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erend/Dropbox (Quintel)/Quintel/Projects/201707_Flevoland/Dataset/"/>
    </mc:Choice>
  </mc:AlternateContent>
  <bookViews>
    <workbookView xWindow="18020" yWindow="460" windowWidth="20380" windowHeight="20060" tabRatio="500" activeTab="1"/>
  </bookViews>
  <sheets>
    <sheet name="Cover Sheet" sheetId="5" r:id="rId1"/>
    <sheet name="Dashboard" sheetId="1" r:id="rId2"/>
    <sheet name="Analyse" sheetId="6" r:id="rId3"/>
    <sheet name=".ad" sheetId="2" r:id="rId4"/>
  </sheets>
  <externalReferences>
    <externalReference r:id="rId5"/>
  </externalReferences>
  <definedNames>
    <definedName name="Eff_cooking_biomass">[1]technical_specs!$P$51</definedName>
    <definedName name="Eff_cooking_electric">[1]technical_specs!$P$48</definedName>
    <definedName name="Eff_cooking_gas">[1]technical_specs!$P$47</definedName>
    <definedName name="Eff_cooking_halogen">[1]technical_specs!$P$49</definedName>
    <definedName name="Eff_cooking_induction">[1]technical_specs!$P$50</definedName>
    <definedName name="Eff_cooling_airco">[1]technical_specs!$P$44</definedName>
    <definedName name="Eff_cooling_pump_air">[1]technical_specs!$P$43</definedName>
    <definedName name="Eff_cooling_pump_ground">[1]technical_specs!$P$42</definedName>
    <definedName name="Eff_hot_water_coal">[1]technical_specs!$P$36</definedName>
    <definedName name="Eff_hot_water_combi_boiler">[1]technical_specs!$P$26</definedName>
    <definedName name="Eff_hot_water_district">[1]technical_specs!$P$30</definedName>
    <definedName name="Eff_hot_water_electric">[1]technical_specs!$P$33</definedName>
    <definedName name="Eff_hot_water_fuel_cell">[1]technical_specs!$P$37</definedName>
    <definedName name="Eff_hot_water_gas">[1]technical_specs!$P$34</definedName>
    <definedName name="Eff_hot_water_hhp_gas">[1]technical_specs!$P$39</definedName>
    <definedName name="Eff_hot_water_hhp_heatpump">[1]technical_specs!$P$38</definedName>
    <definedName name="Eff_hot_water_micro_CHP">[1]technical_specs!$P$29</definedName>
    <definedName name="Eff_hot_water_oil">[1]technical_specs!$P$35</definedName>
    <definedName name="Eff_hot_water_pump_air">[1]technical_specs!$P$31</definedName>
    <definedName name="Eff_hot_water_pump_ground">[1]technical_specs!$P$28</definedName>
    <definedName name="Eff_hot_water_solar_thermal_panel">[1]technical_specs!$P$27</definedName>
    <definedName name="Eff_hot_water_woodpellets">[1]technical_specs!$P$32</definedName>
    <definedName name="Eff_lighting_fluorescent">[1]technical_specs!$P$55</definedName>
    <definedName name="Eff_lighting_incandescent">[1]technical_specs!$P$54</definedName>
    <definedName name="Eff_lighting_led">[1]technical_specs!$P$56</definedName>
    <definedName name="Eff_space_heating_coal">[1]technical_specs!$P$21</definedName>
    <definedName name="Eff_space_heating_combi_boiler">[1]technical_specs!$P$11</definedName>
    <definedName name="Eff_space_heating_district">[1]technical_specs!$P$15</definedName>
    <definedName name="Eff_space_heating_electric">[1]technical_specs!$P$18</definedName>
    <definedName name="Eff_space_heating_gas">[1]technical_specs!$P$19</definedName>
    <definedName name="Eff_space_heating_hhp_gas">[1]technical_specs!$P$23</definedName>
    <definedName name="Eff_space_heating_hhp_heatpump">[1]technical_specs!$P$22</definedName>
    <definedName name="Eff_space_heating_micro_CHP">[1]technical_specs!$P$14</definedName>
    <definedName name="Eff_space_heating_oil">[1]technical_specs!$P$20</definedName>
    <definedName name="Eff_space_heating_pump_air">[1]technical_specs!$P$16</definedName>
    <definedName name="Eff_space_heating_pump_ground">[1]technical_specs!$P$13</definedName>
    <definedName name="Eff_space_heating_solar_thermal">[1]technical_specs!$P$12</definedName>
    <definedName name="Eff_space_heating_woodpellets">[1]technical_specs!$P$17</definedName>
    <definedName name="Final_demand_appliances">[1]Dashboard!$E$25</definedName>
    <definedName name="Final_demand_coal">'[1]Fuel aggregation'!$C$11</definedName>
    <definedName name="Final_demand_cooking">[1]Dashboard!$E$24</definedName>
    <definedName name="Final_demand_cooling">[1]Dashboard!$E$22</definedName>
    <definedName name="Final_demand_electricity">'[1]Fuel aggregation'!$I$11</definedName>
    <definedName name="Final_demand_gas">'[1]Fuel aggregation'!$D$11</definedName>
    <definedName name="Final_demand_heat">'[1]Fuel aggregation'!$J$11</definedName>
    <definedName name="Final_demand_hot_water">[1]Dashboard!$E$21</definedName>
    <definedName name="Final_demand_lighting">[1]Dashboard!$E$23</definedName>
    <definedName name="Final_demand_oil">'[1]Fuel aggregation'!$E$11</definedName>
    <definedName name="Final_demand_residences">'[1]Fuel aggregation'!$L$11</definedName>
    <definedName name="Final_demand_solar_thermal">'[1]Fuel aggregation'!$G$11</definedName>
    <definedName name="Final_demand_space_heating">[1]Dashboard!$E$20</definedName>
    <definedName name="Final_demand_woodpellets">'[1]Fuel aggregation'!$F$11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61" i="1"/>
  <c r="F65" i="1"/>
  <c r="F13" i="1"/>
  <c r="B39" i="2"/>
  <c r="F75" i="1"/>
  <c r="F76" i="1"/>
  <c r="E11" i="6"/>
  <c r="F54" i="1"/>
  <c r="E14" i="6"/>
  <c r="E18" i="6"/>
  <c r="F40" i="1"/>
  <c r="G46" i="6"/>
  <c r="G48" i="6"/>
  <c r="M48" i="6"/>
  <c r="F45" i="1"/>
  <c r="H46" i="6"/>
  <c r="H49" i="6"/>
  <c r="M49" i="6"/>
  <c r="F57" i="1"/>
  <c r="E46" i="6"/>
  <c r="E50" i="6"/>
  <c r="M50" i="6"/>
  <c r="D11" i="6"/>
  <c r="F35" i="1"/>
  <c r="D46" i="6"/>
  <c r="D51" i="6"/>
  <c r="M51" i="6"/>
  <c r="I11" i="6"/>
  <c r="I46" i="6"/>
  <c r="I52" i="6"/>
  <c r="M52" i="6"/>
  <c r="M46" i="6"/>
  <c r="B41" i="2"/>
  <c r="C41" i="2"/>
  <c r="F39" i="1"/>
  <c r="G14" i="6"/>
  <c r="G17" i="6"/>
  <c r="M17" i="6"/>
  <c r="M18" i="6"/>
  <c r="F44" i="1"/>
  <c r="H14" i="6"/>
  <c r="H19" i="6"/>
  <c r="M19" i="6"/>
  <c r="J11" i="6"/>
  <c r="J14" i="6"/>
  <c r="J20" i="6"/>
  <c r="M20" i="6"/>
  <c r="E21" i="6"/>
  <c r="M21" i="6"/>
  <c r="F33" i="1"/>
  <c r="D14" i="6"/>
  <c r="F78" i="1"/>
  <c r="F79" i="1"/>
  <c r="D22" i="6"/>
  <c r="M22" i="6"/>
  <c r="D23" i="6"/>
  <c r="F49" i="1"/>
  <c r="I14" i="6"/>
  <c r="M23" i="6"/>
  <c r="F11" i="6"/>
  <c r="F14" i="6"/>
  <c r="F24" i="6"/>
  <c r="M24" i="6"/>
  <c r="I25" i="6"/>
  <c r="M25" i="6"/>
  <c r="M14" i="6"/>
  <c r="B42" i="2"/>
  <c r="C42" i="2"/>
  <c r="F56" i="1"/>
  <c r="E38" i="6"/>
  <c r="F96" i="1"/>
  <c r="F97" i="1"/>
  <c r="F98" i="1"/>
  <c r="E40" i="6"/>
  <c r="M40" i="6"/>
  <c r="E41" i="6"/>
  <c r="M41" i="6"/>
  <c r="E42" i="6"/>
  <c r="M42" i="6"/>
  <c r="M38" i="6"/>
  <c r="B43" i="2"/>
  <c r="C43" i="2"/>
  <c r="D29" i="6"/>
  <c r="D31" i="6"/>
  <c r="M31" i="6"/>
  <c r="F55" i="1"/>
  <c r="E29" i="6"/>
  <c r="F91" i="1"/>
  <c r="F92" i="1"/>
  <c r="E32" i="6"/>
  <c r="M32" i="6"/>
  <c r="E33" i="6"/>
  <c r="M33" i="6"/>
  <c r="M29" i="6"/>
  <c r="B40" i="2"/>
  <c r="C40" i="2"/>
  <c r="N49" i="6"/>
  <c r="B5" i="2"/>
  <c r="C5" i="2"/>
  <c r="N50" i="6"/>
  <c r="B6" i="2"/>
  <c r="C6" i="2"/>
  <c r="N51" i="6"/>
  <c r="B7" i="2"/>
  <c r="C7" i="2"/>
  <c r="N52" i="6"/>
  <c r="B8" i="2"/>
  <c r="C8" i="2"/>
  <c r="N33" i="6"/>
  <c r="B11" i="2"/>
  <c r="C11" i="2"/>
  <c r="N32" i="6"/>
  <c r="B12" i="2"/>
  <c r="C12" i="2"/>
  <c r="N31" i="6"/>
  <c r="B13" i="2"/>
  <c r="C13" i="2"/>
  <c r="B16" i="2"/>
  <c r="C16" i="2"/>
  <c r="B17" i="2"/>
  <c r="C17" i="2"/>
  <c r="B18" i="2"/>
  <c r="C18" i="2"/>
  <c r="B19" i="2"/>
  <c r="C19" i="2"/>
  <c r="B20" i="2"/>
  <c r="C20" i="2"/>
  <c r="N17" i="6"/>
  <c r="B23" i="2"/>
  <c r="C23" i="2"/>
  <c r="N18" i="6"/>
  <c r="B24" i="2"/>
  <c r="C24" i="2"/>
  <c r="N19" i="6"/>
  <c r="B25" i="2"/>
  <c r="C25" i="2"/>
  <c r="N20" i="6"/>
  <c r="B26" i="2"/>
  <c r="C26" i="2"/>
  <c r="N21" i="6"/>
  <c r="B27" i="2"/>
  <c r="C27" i="2"/>
  <c r="N22" i="6"/>
  <c r="B28" i="2"/>
  <c r="C28" i="2"/>
  <c r="N23" i="6"/>
  <c r="B29" i="2"/>
  <c r="C29" i="2"/>
  <c r="N24" i="6"/>
  <c r="B30" i="2"/>
  <c r="C30" i="2"/>
  <c r="N25" i="6"/>
  <c r="B31" i="2"/>
  <c r="C31" i="2"/>
  <c r="N40" i="6"/>
  <c r="B34" i="2"/>
  <c r="C34" i="2"/>
  <c r="N41" i="6"/>
  <c r="B35" i="2"/>
  <c r="C35" i="2"/>
  <c r="N42" i="6"/>
  <c r="B36" i="2"/>
  <c r="C36" i="2"/>
  <c r="C39" i="2"/>
  <c r="N48" i="6"/>
  <c r="B4" i="2"/>
  <c r="C4" i="2"/>
  <c r="F50" i="1"/>
  <c r="F89" i="1"/>
  <c r="O48" i="6"/>
  <c r="O50" i="6"/>
  <c r="O51" i="6"/>
  <c r="O52" i="6"/>
  <c r="O49" i="6"/>
  <c r="O41" i="6"/>
  <c r="O42" i="6"/>
  <c r="O40" i="6"/>
  <c r="O32" i="6"/>
  <c r="O33" i="6"/>
  <c r="O31" i="6"/>
  <c r="J56" i="6"/>
  <c r="J57" i="6"/>
  <c r="I56" i="6"/>
  <c r="I57" i="6"/>
  <c r="H56" i="6"/>
  <c r="H57" i="6"/>
  <c r="G56" i="6"/>
  <c r="G57" i="6"/>
  <c r="F56" i="6"/>
  <c r="F57" i="6"/>
  <c r="D56" i="6"/>
  <c r="D57" i="6"/>
  <c r="K49" i="6"/>
  <c r="K50" i="6"/>
  <c r="K51" i="6"/>
  <c r="K52" i="6"/>
  <c r="K48" i="6"/>
  <c r="K42" i="6"/>
  <c r="K41" i="6"/>
  <c r="K40" i="6"/>
  <c r="K33" i="6"/>
  <c r="K32" i="6"/>
  <c r="K31" i="6"/>
  <c r="C4" i="5"/>
  <c r="K17" i="6"/>
  <c r="K18" i="6"/>
  <c r="K19" i="6"/>
  <c r="K21" i="6"/>
  <c r="K20" i="6"/>
  <c r="K22" i="6"/>
  <c r="K23" i="6"/>
  <c r="K24" i="6"/>
  <c r="K25" i="6"/>
  <c r="E56" i="6"/>
  <c r="E57" i="6"/>
  <c r="O17" i="6"/>
  <c r="O25" i="6"/>
  <c r="O24" i="6"/>
  <c r="O23" i="6"/>
  <c r="O22" i="6"/>
  <c r="O21" i="6"/>
  <c r="O20" i="6"/>
  <c r="O19" i="6"/>
  <c r="O18" i="6"/>
</calcChain>
</file>

<file path=xl/sharedStrings.xml><?xml version="1.0" encoding="utf-8"?>
<sst xmlns="http://schemas.openxmlformats.org/spreadsheetml/2006/main" count="259" uniqueCount="190">
  <si>
    <t>Comments</t>
  </si>
  <si>
    <t>Additional calculations</t>
  </si>
  <si>
    <t>Main calculations</t>
  </si>
  <si>
    <t>Results</t>
  </si>
  <si>
    <t>Dashboard</t>
  </si>
  <si>
    <t>Sources</t>
  </si>
  <si>
    <t>Research data</t>
  </si>
  <si>
    <t>Introductory</t>
  </si>
  <si>
    <t>Sheets</t>
  </si>
  <si>
    <t>Reference to manual input or data input</t>
  </si>
  <si>
    <t>Manual input</t>
  </si>
  <si>
    <t>Result</t>
  </si>
  <si>
    <t>Intermediate (calculation)</t>
  </si>
  <si>
    <t>Cells</t>
  </si>
  <si>
    <t>Legend</t>
  </si>
  <si>
    <t>Quintel Intelligence</t>
  </si>
  <si>
    <t>Organization</t>
  </si>
  <si>
    <t>Author</t>
  </si>
  <si>
    <t>Date</t>
  </si>
  <si>
    <t>Year data</t>
  </si>
  <si>
    <t>Version #</t>
  </si>
  <si>
    <t>Document</t>
  </si>
  <si>
    <t>Cover Sheet</t>
  </si>
  <si>
    <t>Berend Smits</t>
  </si>
  <si>
    <t>July 21, 2017</t>
  </si>
  <si>
    <t>Region</t>
  </si>
  <si>
    <t>flevoland</t>
  </si>
  <si>
    <t>Sector</t>
  </si>
  <si>
    <t>Unit</t>
  </si>
  <si>
    <t>Value</t>
  </si>
  <si>
    <t>Source</t>
  </si>
  <si>
    <t>Space Heating</t>
  </si>
  <si>
    <t>Space Cooling</t>
  </si>
  <si>
    <t>Lighting</t>
  </si>
  <si>
    <t xml:space="preserve">Gas </t>
  </si>
  <si>
    <t>Final demand per energy carrier</t>
  </si>
  <si>
    <t>Notes</t>
  </si>
  <si>
    <t>Application</t>
  </si>
  <si>
    <t>Technology used</t>
  </si>
  <si>
    <t>Final demand for network gas (TJ)</t>
  </si>
  <si>
    <t>Final demand for electricity (TJ)</t>
  </si>
  <si>
    <t>Final demand for solar thermal (TJ)</t>
  </si>
  <si>
    <t>Final demand for coal (TJ)</t>
  </si>
  <si>
    <t>Final demand for oil (TJ)</t>
  </si>
  <si>
    <t>Final demand for woodpellets (TJ)</t>
  </si>
  <si>
    <t>Final demand for district heat (TJ)</t>
  </si>
  <si>
    <t>Useful demand (TJ)</t>
  </si>
  <si>
    <t>Share of useful demand within application</t>
  </si>
  <si>
    <t>kWh</t>
  </si>
  <si>
    <t>District Heating (space heating)</t>
  </si>
  <si>
    <t>m3</t>
  </si>
  <si>
    <t>Electric Heaters (resistance) (space heating)</t>
  </si>
  <si>
    <t>Gas-fired Heaters (space heating)</t>
  </si>
  <si>
    <t>Oil-fired Heaters (space heating)</t>
  </si>
  <si>
    <t>Coal-fired Heaters (space heating)</t>
  </si>
  <si>
    <t>Subtotal of defined appliances</t>
  </si>
  <si>
    <t>Network gas</t>
  </si>
  <si>
    <t>Electricity</t>
  </si>
  <si>
    <t>Solar thermal</t>
  </si>
  <si>
    <t>Coal</t>
  </si>
  <si>
    <t>Oil</t>
  </si>
  <si>
    <t>Woodpellets</t>
  </si>
  <si>
    <t>District heat</t>
  </si>
  <si>
    <t>Subtotal (TJ)</t>
  </si>
  <si>
    <t>Diiference between Carrier demand in analysis and Carrier demand in IEA data (TJ)</t>
  </si>
  <si>
    <t>Data</t>
  </si>
  <si>
    <t>File input</t>
  </si>
  <si>
    <t>Data and assumptions</t>
  </si>
  <si>
    <t>Distribution of natural gas</t>
  </si>
  <si>
    <t>Distribution of electricity</t>
  </si>
  <si>
    <t>Space heating</t>
  </si>
  <si>
    <t>Cooling</t>
  </si>
  <si>
    <t>Appliances</t>
  </si>
  <si>
    <t>Biomass</t>
  </si>
  <si>
    <t>Heat</t>
  </si>
  <si>
    <t>solar thermal panels</t>
  </si>
  <si>
    <t>District Heating</t>
  </si>
  <si>
    <t>woodpellets (biomass) heaters</t>
  </si>
  <si>
    <t>Electric Heaters (resistance)</t>
  </si>
  <si>
    <t>Oil-fired Heaters</t>
  </si>
  <si>
    <t>Coal-fired Heaters</t>
  </si>
  <si>
    <t>ad files</t>
  </si>
  <si>
    <t xml:space="preserve"> UD shares space heating</t>
  </si>
  <si>
    <t>District heating sources</t>
  </si>
  <si>
    <t>Collective CHP networkgas</t>
  </si>
  <si>
    <t>Collective CHP wood pellets</t>
  </si>
  <si>
    <t xml:space="preserve">Collective geothermal </t>
  </si>
  <si>
    <t>Central heat network</t>
  </si>
  <si>
    <t>Sources for district heating in households</t>
  </si>
  <si>
    <t xml:space="preserve">Energy demand </t>
  </si>
  <si>
    <t>TJ</t>
  </si>
  <si>
    <t>Division of (final) natural gas demand:</t>
  </si>
  <si>
    <t xml:space="preserve">Division of (final) electricity demand </t>
  </si>
  <si>
    <t>#</t>
  </si>
  <si>
    <t xml:space="preserve"> UD shares cooling</t>
  </si>
  <si>
    <t>Percentage of useful cooling energy delivered by</t>
  </si>
  <si>
    <t>From national data</t>
  </si>
  <si>
    <t xml:space="preserve">Total </t>
  </si>
  <si>
    <t>Total</t>
  </si>
  <si>
    <t>In this sheet an overview is presented of the allocation of energy carriers over the different technologies and applications. In the next sheet, the initializer inputs are determined</t>
  </si>
  <si>
    <t>National UD</t>
  </si>
  <si>
    <t xml:space="preserve">UD division per carrier: </t>
  </si>
  <si>
    <t>All coal goes in coal heater</t>
  </si>
  <si>
    <t>Gas</t>
  </si>
  <si>
    <t>National electricity technology split</t>
  </si>
  <si>
    <t>Percentage of light (useful energy) delivered by</t>
  </si>
  <si>
    <t>./buildings/buildings_district_heating:</t>
  </si>
  <si>
    <t>buildings_chp_engine_biogas_share.ad</t>
  </si>
  <si>
    <t>buildings_collective_chp_network_gas_share.ad</t>
  </si>
  <si>
    <t>buildings_collective_chp_wood_pellets_share.ad</t>
  </si>
  <si>
    <t>buildings_collective_geothermal_share.ad</t>
  </si>
  <si>
    <t>buildings_heat_network_connection_steam_hot_water_share.ad</t>
  </si>
  <si>
    <t>./buildings/buildings_cooling:</t>
  </si>
  <si>
    <t>buildings_cooling_airconditioning_share.ad</t>
  </si>
  <si>
    <t>buildings_cooling_collective_heatpump_water_water_ts_electricity_share.ad</t>
  </si>
  <si>
    <t>buildings_cooling_heatpump_air_water_network_gas_share.ad</t>
  </si>
  <si>
    <t>./buildings/buildings_heating:</t>
  </si>
  <si>
    <t>buildings_space_heater_coal_share.ad</t>
  </si>
  <si>
    <t>buildings_space_heater_collective_heatpump_water_water_ts_electricity_share.ad</t>
  </si>
  <si>
    <t>buildings_space_heater_crude_oil_share.ad</t>
  </si>
  <si>
    <t>buildings_space_heater_district_heating_steam_hot_water_share.ad</t>
  </si>
  <si>
    <t>buildings_space_heater_electricity_share.ad</t>
  </si>
  <si>
    <t>buildings_space_heater_heatpump_air_water_network_gas_share.ad</t>
  </si>
  <si>
    <t>buildings_space_heater_network_gas_share.ad</t>
  </si>
  <si>
    <t>buildings_space_heater_solar_thermal_share.ad</t>
  </si>
  <si>
    <t>buildings_space_heater_wood_pellets_share.ad</t>
  </si>
  <si>
    <t>./buildings/buildings_lighting:</t>
  </si>
  <si>
    <t>buildings_lighting_efficient_fluorescent_electricity_share.ad</t>
  </si>
  <si>
    <t>buildings_lighting_led_electricity_share.ad</t>
  </si>
  <si>
    <t>buildings_lighting_standard_fluorescent_electricity_share.ad</t>
  </si>
  <si>
    <t>./buildings/buildings_misc:</t>
  </si>
  <si>
    <t>buildings_solar_pv_solar_radiation_market_penetration.ad</t>
  </si>
  <si>
    <t>buildings_useful_demand_cooling.ad</t>
  </si>
  <si>
    <t>buildings_useful_demand_for_appliances.ad</t>
  </si>
  <si>
    <t>buildings_useful_demand_for_space_heating.ad</t>
  </si>
  <si>
    <t>buildings_useful_demand_light.ad</t>
  </si>
  <si>
    <t>./buildings/buildings_appliances:</t>
  </si>
  <si>
    <t>buildings_appliances_coal_share.ad</t>
  </si>
  <si>
    <t>buildings_appliances_crude_oil_share.ad</t>
  </si>
  <si>
    <t>buildings_appliances_electricity_share.ad</t>
  </si>
  <si>
    <t>buildings_appliances_network_gas_share.ad</t>
  </si>
  <si>
    <t>buildings_appliances_wood_pellets_share.ad</t>
  </si>
  <si>
    <t>Number of buildings</t>
  </si>
  <si>
    <t>Gas-fired Heating</t>
  </si>
  <si>
    <t>Crude Oil</t>
  </si>
  <si>
    <t>Wood pellets</t>
  </si>
  <si>
    <t xml:space="preserve">All solar thermal is for space heating </t>
  </si>
  <si>
    <t>All biomass goes in biomass heater</t>
  </si>
  <si>
    <t>CHP biogas</t>
  </si>
  <si>
    <t>Collective electricity-driven Heat pump (ground)</t>
  </si>
  <si>
    <t>Gas-fired heat pumps</t>
  </si>
  <si>
    <t>Standard fluorescent tubes</t>
  </si>
  <si>
    <t>Efficient fluorescent tubes</t>
  </si>
  <si>
    <t>LED tubes</t>
  </si>
  <si>
    <t>All oil goes in oil fired heater</t>
  </si>
  <si>
    <t>All district heating goes here</t>
  </si>
  <si>
    <t>Electric heat pumps with thermal storage</t>
  </si>
  <si>
    <t>Airconditioning</t>
  </si>
  <si>
    <t>Distribution of coal</t>
  </si>
  <si>
    <t>Distribution of crude oil</t>
  </si>
  <si>
    <t>From national dataset</t>
  </si>
  <si>
    <t>Klimaatmonitor</t>
  </si>
  <si>
    <t>Inschatting (relatief nieuwe gebouwen), we kunnen anders ook geschaald NL meenemen</t>
  </si>
  <si>
    <t>Let op, hier alleen ter info. Wordt vanuit area analyse in ad file gezet CBS: http://statline.cbs.nl/Statweb/publication/?DM=SLNL&amp;PA=81955ned&amp;D1=0,6&amp;D2=1-2&amp;D3=0,9&amp;D4=67&amp;HDR=G1,T&amp;STB=G2,G3&amp;VW=T</t>
  </si>
  <si>
    <t>Collective heatpump (ground)</t>
  </si>
  <si>
    <t>Gas fired heat pump</t>
  </si>
  <si>
    <t>Biomass heater</t>
  </si>
  <si>
    <t>Distribution of wood pellets (biomass)</t>
  </si>
  <si>
    <t>Total final demand (TJ)</t>
  </si>
  <si>
    <t>Effective efficiency</t>
  </si>
  <si>
    <t>Percentage of total final demand</t>
  </si>
  <si>
    <t>Distribution of final demand</t>
  </si>
  <si>
    <t>Market shares technologies</t>
  </si>
  <si>
    <t xml:space="preserve">Installed solar PV capacity </t>
  </si>
  <si>
    <t>Wp</t>
  </si>
  <si>
    <t>Roof surface available</t>
  </si>
  <si>
    <t>km2</t>
  </si>
  <si>
    <t>Klimaatmonitor: https://klimaatmonitor.databank.nl/Jive (2/3 toegekend aan residences, 1/3 aan services)</t>
  </si>
  <si>
    <t>POSAD_Eindrapport-Ruimte_voor_energie_in_Flevoland-web_PASS-XS: 1503 ha geprojecteerd oppervlak, 50% geschikt, 15 graden helling</t>
  </si>
  <si>
    <t>Capacity per unit surface</t>
  </si>
  <si>
    <t>Wp/m2</t>
  </si>
  <si>
    <t>ETM value: used for calculating market penetration, is not set into ETM</t>
  </si>
  <si>
    <t>Solar PV</t>
  </si>
  <si>
    <t>Biomassa ketel uit BIO installaties lijst</t>
  </si>
  <si>
    <t>Uit BIO installaties lijst: 0.5 MWth ketel, omgezet via ETM ketel (0.1MW vermogen, verbruik 0.611 TJ)</t>
  </si>
  <si>
    <t>In totaal 1.19 MWe biogasWKK's. Assumptie is dat warmte wel verbruikt wordt. 68.55 TJ per 1 MW unit</t>
  </si>
  <si>
    <t>Rest na WKKs</t>
  </si>
  <si>
    <t>Nog geen geothermie</t>
  </si>
  <si>
    <t>Nationaal</t>
  </si>
  <si>
    <t>Schatting op basis van percentage HH op het warmtenet. ECN zegt 0, is dat realistisch???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</si>
</sst>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0.0000"/>
    <numFmt numFmtId="167" formatCode="[$-409]mmmm\ d\,\ yyyy;@"/>
    <numFmt numFmtId="168" formatCode="#,##0.0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scheme val="minor"/>
    </font>
    <font>
      <i/>
      <sz val="12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/>
      <name val="Calibri"/>
      <scheme val="minor"/>
    </font>
    <font>
      <sz val="11"/>
      <name val="Calibri"/>
      <family val="2"/>
      <scheme val="minor"/>
    </font>
    <font>
      <sz val="10"/>
      <name val="Arial"/>
    </font>
    <font>
      <sz val="11"/>
      <color indexed="10"/>
      <name val="Calibri"/>
      <family val="2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family val="2"/>
      <scheme val="minor"/>
    </font>
    <font>
      <u/>
      <sz val="12"/>
      <name val="Calibri"/>
      <scheme val="minor"/>
    </font>
    <font>
      <sz val="12"/>
      <color theme="3" tint="0.39997558519241921"/>
      <name val="Calibri"/>
      <scheme val="minor"/>
    </font>
    <font>
      <b/>
      <u/>
      <sz val="12"/>
      <color theme="1"/>
      <name val="Calibri"/>
      <scheme val="minor"/>
    </font>
    <font>
      <b/>
      <u/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164" fontId="12" fillId="15" borderId="11">
      <alignment horizontal="right" vertical="center"/>
    </xf>
    <xf numFmtId="0" fontId="13" fillId="0" borderId="0" applyNumberFormat="0" applyFont="0" applyFill="0" applyBorder="0" applyAlignment="0" applyProtection="0"/>
    <xf numFmtId="9" fontId="13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3" applyNumberFormat="0" applyFill="0" applyAlignment="0" applyProtection="0"/>
  </cellStyleXfs>
  <cellXfs count="217">
    <xf numFmtId="0" fontId="0" fillId="0" borderId="0" xfId="0"/>
    <xf numFmtId="0" fontId="0" fillId="4" borderId="0" xfId="0" applyFill="1"/>
    <xf numFmtId="0" fontId="0" fillId="4" borderId="7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0" xfId="0" applyNumberFormat="1" applyFill="1" applyBorder="1" applyAlignment="1">
      <alignment wrapText="1"/>
    </xf>
    <xf numFmtId="0" fontId="0" fillId="4" borderId="4" xfId="0" applyFill="1" applyBorder="1"/>
    <xf numFmtId="0" fontId="0" fillId="4" borderId="3" xfId="0" applyFill="1" applyBorder="1"/>
    <xf numFmtId="0" fontId="6" fillId="4" borderId="2" xfId="0" applyFont="1" applyFill="1" applyBorder="1"/>
    <xf numFmtId="0" fontId="7" fillId="4" borderId="6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6" fillId="4" borderId="9" xfId="0" applyFont="1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4" borderId="12" xfId="0" applyFill="1" applyBorder="1"/>
    <xf numFmtId="0" fontId="6" fillId="4" borderId="0" xfId="0" applyFont="1" applyFill="1" applyBorder="1"/>
    <xf numFmtId="0" fontId="8" fillId="4" borderId="0" xfId="0" applyFont="1" applyFill="1" applyBorder="1"/>
    <xf numFmtId="0" fontId="9" fillId="13" borderId="5" xfId="0" applyFont="1" applyFill="1" applyBorder="1" applyAlignment="1">
      <alignment vertical="center"/>
    </xf>
    <xf numFmtId="0" fontId="9" fillId="13" borderId="9" xfId="0" applyFont="1" applyFill="1" applyBorder="1" applyAlignment="1">
      <alignment vertical="center"/>
    </xf>
    <xf numFmtId="167" fontId="0" fillId="0" borderId="0" xfId="0" applyNumberFormat="1" applyFill="1" applyBorder="1" applyAlignment="1">
      <alignment horizontal="left"/>
    </xf>
    <xf numFmtId="1" fontId="10" fillId="14" borderId="0" xfId="0" applyNumberFormat="1" applyFont="1" applyFill="1" applyAlignment="1">
      <alignment horizontal="left"/>
    </xf>
    <xf numFmtId="0" fontId="9" fillId="14" borderId="9" xfId="0" applyFont="1" applyFill="1" applyBorder="1" applyAlignment="1">
      <alignment vertical="center"/>
    </xf>
    <xf numFmtId="2" fontId="10" fillId="14" borderId="0" xfId="0" applyNumberFormat="1" applyFont="1" applyFill="1" applyAlignment="1">
      <alignment horizontal="left"/>
    </xf>
    <xf numFmtId="2" fontId="0" fillId="4" borderId="0" xfId="0" applyNumberFormat="1" applyFill="1" applyBorder="1" applyAlignment="1">
      <alignment horizontal="left"/>
    </xf>
    <xf numFmtId="0" fontId="11" fillId="4" borderId="0" xfId="0" applyFont="1" applyFill="1"/>
    <xf numFmtId="0" fontId="6" fillId="4" borderId="14" xfId="0" applyFont="1" applyFill="1" applyBorder="1"/>
    <xf numFmtId="0" fontId="0" fillId="4" borderId="15" xfId="0" applyFont="1" applyFill="1" applyBorder="1"/>
    <xf numFmtId="0" fontId="0" fillId="4" borderId="15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right"/>
    </xf>
    <xf numFmtId="0" fontId="0" fillId="4" borderId="15" xfId="0" applyFill="1" applyBorder="1"/>
    <xf numFmtId="0" fontId="0" fillId="4" borderId="16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right"/>
    </xf>
    <xf numFmtId="0" fontId="6" fillId="4" borderId="16" xfId="0" applyFont="1" applyFill="1" applyBorder="1"/>
    <xf numFmtId="0" fontId="6" fillId="4" borderId="6" xfId="0" applyFont="1" applyFill="1" applyBorder="1"/>
    <xf numFmtId="0" fontId="18" fillId="4" borderId="16" xfId="0" applyFont="1" applyFill="1" applyBorder="1"/>
    <xf numFmtId="0" fontId="0" fillId="4" borderId="16" xfId="0" applyFill="1" applyBorder="1"/>
    <xf numFmtId="0" fontId="0" fillId="4" borderId="18" xfId="0" applyFont="1" applyFill="1" applyBorder="1" applyAlignment="1">
      <alignment horizontal="center"/>
    </xf>
    <xf numFmtId="9" fontId="1" fillId="4" borderId="0" xfId="1" applyFont="1" applyFill="1" applyBorder="1" applyAlignment="1">
      <alignment horizontal="right"/>
    </xf>
    <xf numFmtId="0" fontId="8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64" fontId="19" fillId="4" borderId="0" xfId="1" applyNumberFormat="1" applyFont="1" applyFill="1" applyBorder="1" applyAlignment="1">
      <alignment horizontal="right"/>
    </xf>
    <xf numFmtId="0" fontId="18" fillId="4" borderId="17" xfId="0" applyFont="1" applyFill="1" applyBorder="1"/>
    <xf numFmtId="0" fontId="0" fillId="4" borderId="6" xfId="0" applyFont="1" applyFill="1" applyBorder="1"/>
    <xf numFmtId="0" fontId="0" fillId="4" borderId="19" xfId="0" applyFon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9" fontId="0" fillId="4" borderId="3" xfId="1" applyFont="1" applyFill="1" applyBorder="1" applyAlignment="1">
      <alignment horizontal="right"/>
    </xf>
    <xf numFmtId="9" fontId="0" fillId="4" borderId="0" xfId="1" applyFont="1" applyFill="1" applyBorder="1" applyAlignment="1">
      <alignment horizontal="right"/>
    </xf>
    <xf numFmtId="10" fontId="8" fillId="4" borderId="6" xfId="1" applyNumberFormat="1" applyFont="1" applyFill="1" applyBorder="1" applyAlignment="1">
      <alignment horizontal="right"/>
    </xf>
    <xf numFmtId="0" fontId="8" fillId="4" borderId="6" xfId="0" applyFont="1" applyFill="1" applyBorder="1" applyAlignment="1">
      <alignment horizontal="left"/>
    </xf>
    <xf numFmtId="10" fontId="8" fillId="4" borderId="0" xfId="1" applyNumberFormat="1" applyFont="1" applyFill="1" applyBorder="1" applyAlignment="1">
      <alignment horizontal="right"/>
    </xf>
    <xf numFmtId="10" fontId="0" fillId="4" borderId="6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0" fontId="0" fillId="4" borderId="8" xfId="0" applyFont="1" applyFill="1" applyBorder="1"/>
    <xf numFmtId="0" fontId="0" fillId="4" borderId="8" xfId="0" applyFill="1" applyBorder="1" applyAlignment="1">
      <alignment horizontal="left"/>
    </xf>
    <xf numFmtId="0" fontId="0" fillId="4" borderId="8" xfId="0" applyFill="1" applyBorder="1"/>
    <xf numFmtId="0" fontId="17" fillId="13" borderId="17" xfId="0" applyFont="1" applyFill="1" applyBorder="1"/>
    <xf numFmtId="0" fontId="17" fillId="4" borderId="6" xfId="0" applyFont="1" applyFill="1" applyBorder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indent="2"/>
    </xf>
    <xf numFmtId="3" fontId="0" fillId="4" borderId="12" xfId="0" applyNumberFormat="1" applyFont="1" applyFill="1" applyBorder="1" applyAlignment="1">
      <alignment horizontal="right"/>
    </xf>
    <xf numFmtId="0" fontId="0" fillId="4" borderId="18" xfId="0" applyFill="1" applyBorder="1"/>
    <xf numFmtId="10" fontId="0" fillId="4" borderId="12" xfId="1" applyNumberFormat="1" applyFont="1" applyFill="1" applyBorder="1"/>
    <xf numFmtId="10" fontId="0" fillId="4" borderId="0" xfId="1" applyNumberFormat="1" applyFont="1" applyFill="1" applyBorder="1"/>
    <xf numFmtId="0" fontId="10" fillId="4" borderId="20" xfId="0" applyFont="1" applyFill="1" applyBorder="1"/>
    <xf numFmtId="0" fontId="10" fillId="4" borderId="12" xfId="0" applyFont="1" applyFill="1" applyBorder="1"/>
    <xf numFmtId="0" fontId="10" fillId="4" borderId="0" xfId="0" applyFont="1" applyFill="1" applyBorder="1" applyAlignment="1">
      <alignment horizontal="left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0" fontId="17" fillId="4" borderId="26" xfId="0" applyFont="1" applyFill="1" applyBorder="1"/>
    <xf numFmtId="0" fontId="6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11" fillId="4" borderId="0" xfId="0" applyFont="1" applyFill="1" applyBorder="1"/>
    <xf numFmtId="0" fontId="6" fillId="4" borderId="17" xfId="0" applyFont="1" applyFill="1" applyBorder="1" applyAlignment="1">
      <alignment vertical="top" wrapText="1"/>
    </xf>
    <xf numFmtId="0" fontId="6" fillId="4" borderId="6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0" fontId="21" fillId="4" borderId="16" xfId="0" applyFont="1" applyFill="1" applyBorder="1"/>
    <xf numFmtId="0" fontId="6" fillId="4" borderId="3" xfId="0" applyFont="1" applyFill="1" applyBorder="1" applyAlignment="1">
      <alignment vertical="top" wrapText="1"/>
    </xf>
    <xf numFmtId="3" fontId="6" fillId="4" borderId="0" xfId="0" applyNumberFormat="1" applyFont="1" applyFill="1" applyBorder="1" applyAlignment="1">
      <alignment vertical="top" wrapText="1"/>
    </xf>
    <xf numFmtId="4" fontId="0" fillId="4" borderId="0" xfId="0" applyNumberFormat="1" applyFont="1" applyFill="1" applyBorder="1" applyAlignment="1">
      <alignment vertical="top" wrapText="1"/>
    </xf>
    <xf numFmtId="0" fontId="0" fillId="4" borderId="25" xfId="0" applyFont="1" applyFill="1" applyBorder="1"/>
    <xf numFmtId="0" fontId="0" fillId="4" borderId="0" xfId="0" applyFont="1" applyFill="1"/>
    <xf numFmtId="0" fontId="16" fillId="4" borderId="16" xfId="0" applyFont="1" applyFill="1" applyBorder="1"/>
    <xf numFmtId="4" fontId="6" fillId="4" borderId="0" xfId="0" applyNumberFormat="1" applyFont="1" applyFill="1" applyBorder="1" applyAlignment="1">
      <alignment vertical="top" wrapText="1"/>
    </xf>
    <xf numFmtId="4" fontId="6" fillId="4" borderId="6" xfId="0" applyNumberFormat="1" applyFont="1" applyFill="1" applyBorder="1"/>
    <xf numFmtId="4" fontId="6" fillId="4" borderId="0" xfId="0" applyNumberFormat="1" applyFont="1" applyFill="1" applyBorder="1"/>
    <xf numFmtId="0" fontId="21" fillId="4" borderId="6" xfId="0" applyFont="1" applyFill="1" applyBorder="1"/>
    <xf numFmtId="4" fontId="4" fillId="4" borderId="0" xfId="2" applyNumberFormat="1" applyFill="1" applyBorder="1"/>
    <xf numFmtId="4" fontId="16" fillId="4" borderId="16" xfId="0" applyNumberFormat="1" applyFont="1" applyFill="1" applyBorder="1" applyAlignment="1">
      <alignment horizontal="left"/>
    </xf>
    <xf numFmtId="11" fontId="0" fillId="4" borderId="0" xfId="0" applyNumberFormat="1" applyFill="1"/>
    <xf numFmtId="0" fontId="19" fillId="4" borderId="0" xfId="0" applyFont="1" applyFill="1" applyBorder="1"/>
    <xf numFmtId="10" fontId="21" fillId="4" borderId="0" xfId="0" applyNumberFormat="1" applyFont="1" applyFill="1" applyBorder="1"/>
    <xf numFmtId="4" fontId="6" fillId="4" borderId="3" xfId="0" applyNumberFormat="1" applyFont="1" applyFill="1" applyBorder="1"/>
    <xf numFmtId="0" fontId="21" fillId="4" borderId="17" xfId="0" applyFont="1" applyFill="1" applyBorder="1"/>
    <xf numFmtId="0" fontId="19" fillId="4" borderId="6" xfId="0" applyFont="1" applyFill="1" applyBorder="1"/>
    <xf numFmtId="4" fontId="0" fillId="4" borderId="6" xfId="0" applyNumberFormat="1" applyFont="1" applyFill="1" applyBorder="1"/>
    <xf numFmtId="4" fontId="0" fillId="4" borderId="29" xfId="0" applyNumberFormat="1" applyFont="1" applyFill="1" applyBorder="1"/>
    <xf numFmtId="4" fontId="0" fillId="4" borderId="0" xfId="0" applyNumberFormat="1" applyFont="1" applyFill="1" applyBorder="1"/>
    <xf numFmtId="2" fontId="0" fillId="4" borderId="0" xfId="0" applyNumberFormat="1" applyFill="1" applyBorder="1"/>
    <xf numFmtId="0" fontId="22" fillId="4" borderId="0" xfId="0" applyFont="1" applyFill="1" applyBorder="1"/>
    <xf numFmtId="0" fontId="22" fillId="4" borderId="0" xfId="0" applyFont="1" applyFill="1"/>
    <xf numFmtId="0" fontId="21" fillId="4" borderId="0" xfId="0" applyFont="1" applyFill="1" applyBorder="1"/>
    <xf numFmtId="4" fontId="21" fillId="4" borderId="0" xfId="0" applyNumberFormat="1" applyFont="1" applyFill="1" applyBorder="1"/>
    <xf numFmtId="4" fontId="21" fillId="4" borderId="6" xfId="0" applyNumberFormat="1" applyFont="1" applyFill="1" applyBorder="1"/>
    <xf numFmtId="4" fontId="0" fillId="4" borderId="29" xfId="0" applyNumberFormat="1" applyFill="1" applyBorder="1"/>
    <xf numFmtId="4" fontId="0" fillId="4" borderId="6" xfId="0" applyNumberFormat="1" applyFill="1" applyBorder="1"/>
    <xf numFmtId="0" fontId="23" fillId="4" borderId="16" xfId="0" applyFont="1" applyFill="1" applyBorder="1"/>
    <xf numFmtId="4" fontId="6" fillId="4" borderId="30" xfId="0" applyNumberFormat="1" applyFont="1" applyFill="1" applyBorder="1"/>
    <xf numFmtId="0" fontId="6" fillId="4" borderId="3" xfId="0" applyFont="1" applyFill="1" applyBorder="1" applyAlignment="1"/>
    <xf numFmtId="4" fontId="6" fillId="0" borderId="9" xfId="0" applyNumberFormat="1" applyFont="1" applyFill="1" applyBorder="1"/>
    <xf numFmtId="4" fontId="6" fillId="0" borderId="0" xfId="0" applyNumberFormat="1" applyFont="1" applyFill="1" applyBorder="1"/>
    <xf numFmtId="0" fontId="6" fillId="4" borderId="0" xfId="0" applyFont="1" applyFill="1" applyBorder="1" applyAlignment="1"/>
    <xf numFmtId="9" fontId="6" fillId="0" borderId="0" xfId="1" applyNumberFormat="1" applyFont="1" applyFill="1" applyBorder="1"/>
    <xf numFmtId="0" fontId="0" fillId="4" borderId="23" xfId="0" applyFill="1" applyBorder="1"/>
    <xf numFmtId="0" fontId="5" fillId="4" borderId="1" xfId="3" applyFill="1"/>
    <xf numFmtId="0" fontId="5" fillId="4" borderId="0" xfId="3" applyFill="1" applyBorder="1"/>
    <xf numFmtId="166" fontId="15" fillId="4" borderId="0" xfId="9" applyNumberFormat="1" applyFill="1" applyBorder="1"/>
    <xf numFmtId="165" fontId="1" fillId="4" borderId="25" xfId="1" applyNumberFormat="1" applyFont="1" applyFill="1" applyBorder="1"/>
    <xf numFmtId="0" fontId="1" fillId="4" borderId="25" xfId="0" applyFont="1" applyFill="1" applyBorder="1"/>
    <xf numFmtId="4" fontId="0" fillId="4" borderId="0" xfId="0" applyNumberFormat="1" applyFill="1" applyBorder="1"/>
    <xf numFmtId="9" fontId="6" fillId="4" borderId="0" xfId="1" applyNumberFormat="1" applyFont="1" applyFill="1" applyBorder="1"/>
    <xf numFmtId="0" fontId="0" fillId="4" borderId="0" xfId="0" applyFill="1" applyBorder="1" applyAlignment="1">
      <alignment horizontal="left" indent="2"/>
    </xf>
    <xf numFmtId="2" fontId="0" fillId="0" borderId="0" xfId="0" applyNumberFormat="1"/>
    <xf numFmtId="3" fontId="0" fillId="4" borderId="18" xfId="0" applyNumberFormat="1" applyFont="1" applyFill="1" applyBorder="1" applyAlignment="1">
      <alignment horizontal="center"/>
    </xf>
    <xf numFmtId="3" fontId="0" fillId="4" borderId="20" xfId="0" applyNumberFormat="1" applyFont="1" applyFill="1" applyBorder="1" applyAlignment="1">
      <alignment horizontal="right"/>
    </xf>
    <xf numFmtId="3" fontId="0" fillId="4" borderId="0" xfId="0" applyNumberFormat="1" applyFont="1" applyFill="1" applyBorder="1" applyAlignment="1">
      <alignment horizontal="center"/>
    </xf>
    <xf numFmtId="10" fontId="0" fillId="4" borderId="0" xfId="0" applyNumberFormat="1" applyFill="1" applyBorder="1"/>
    <xf numFmtId="0" fontId="0" fillId="4" borderId="0" xfId="0" applyFill="1" applyAlignment="1">
      <alignment horizontal="left"/>
    </xf>
    <xf numFmtId="0" fontId="0" fillId="4" borderId="15" xfId="0" applyFont="1" applyFill="1" applyBorder="1" applyAlignment="1">
      <alignment horizontal="left"/>
    </xf>
    <xf numFmtId="0" fontId="17" fillId="4" borderId="6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3" fontId="0" fillId="4" borderId="25" xfId="0" applyNumberFormat="1" applyFont="1" applyFill="1" applyBorder="1" applyAlignment="1">
      <alignment horizontal="left"/>
    </xf>
    <xf numFmtId="3" fontId="0" fillId="4" borderId="0" xfId="0" applyNumberFormat="1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10" fontId="0" fillId="4" borderId="0" xfId="0" applyNumberFormat="1" applyFill="1" applyBorder="1" applyAlignment="1">
      <alignment horizontal="left"/>
    </xf>
    <xf numFmtId="10" fontId="0" fillId="4" borderId="0" xfId="1" applyNumberFormat="1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0" fillId="4" borderId="0" xfId="0" applyFont="1" applyFill="1" applyBorder="1"/>
    <xf numFmtId="1" fontId="6" fillId="4" borderId="0" xfId="1" applyNumberFormat="1" applyFont="1" applyFill="1" applyBorder="1" applyAlignment="1">
      <alignment vertical="top" wrapText="1"/>
    </xf>
    <xf numFmtId="4" fontId="24" fillId="4" borderId="0" xfId="0" applyNumberFormat="1" applyFont="1" applyFill="1" applyBorder="1"/>
    <xf numFmtId="10" fontId="0" fillId="4" borderId="22" xfId="1" applyNumberFormat="1" applyFont="1" applyFill="1" applyBorder="1"/>
    <xf numFmtId="10" fontId="0" fillId="4" borderId="8" xfId="0" applyNumberFormat="1" applyFont="1" applyFill="1" applyBorder="1" applyAlignment="1">
      <alignment horizontal="right"/>
    </xf>
    <xf numFmtId="4" fontId="20" fillId="4" borderId="0" xfId="0" applyNumberFormat="1" applyFont="1" applyFill="1" applyBorder="1"/>
    <xf numFmtId="0" fontId="0" fillId="0" borderId="0" xfId="0" applyNumberFormat="1"/>
    <xf numFmtId="0" fontId="21" fillId="4" borderId="21" xfId="0" applyFont="1" applyFill="1" applyBorder="1"/>
    <xf numFmtId="0" fontId="21" fillId="4" borderId="32" xfId="0" applyFont="1" applyFill="1" applyBorder="1"/>
    <xf numFmtId="4" fontId="6" fillId="4" borderId="32" xfId="0" applyNumberFormat="1" applyFont="1" applyFill="1" applyBorder="1"/>
    <xf numFmtId="0" fontId="18" fillId="4" borderId="23" xfId="0" applyFont="1" applyFill="1" applyBorder="1"/>
    <xf numFmtId="0" fontId="0" fillId="4" borderId="33" xfId="0" applyFont="1" applyFill="1" applyBorder="1" applyAlignment="1">
      <alignment horizontal="center"/>
    </xf>
    <xf numFmtId="0" fontId="0" fillId="4" borderId="19" xfId="0" applyFill="1" applyBorder="1"/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6" fillId="4" borderId="6" xfId="0" applyFont="1" applyFill="1" applyBorder="1" applyAlignment="1">
      <alignment vertical="top"/>
    </xf>
    <xf numFmtId="0" fontId="6" fillId="4" borderId="26" xfId="0" applyFont="1" applyFill="1" applyBorder="1" applyAlignment="1">
      <alignment vertical="top" wrapText="1"/>
    </xf>
    <xf numFmtId="0" fontId="6" fillId="4" borderId="0" xfId="0" applyFont="1" applyFill="1" applyBorder="1" applyAlignment="1">
      <alignment wrapText="1"/>
    </xf>
    <xf numFmtId="10" fontId="4" fillId="4" borderId="0" xfId="2" applyNumberFormat="1" applyFill="1" applyBorder="1"/>
    <xf numFmtId="0" fontId="6" fillId="0" borderId="7" xfId="0" applyFont="1" applyFill="1" applyBorder="1" applyAlignment="1">
      <alignment vertical="top" wrapText="1"/>
    </xf>
    <xf numFmtId="1" fontId="6" fillId="4" borderId="10" xfId="1" applyNumberFormat="1" applyFont="1" applyFill="1" applyBorder="1" applyAlignment="1">
      <alignment vertical="top" wrapText="1"/>
    </xf>
    <xf numFmtId="4" fontId="6" fillId="4" borderId="7" xfId="0" applyNumberFormat="1" applyFont="1" applyFill="1" applyBorder="1"/>
    <xf numFmtId="4" fontId="6" fillId="4" borderId="35" xfId="0" applyNumberFormat="1" applyFont="1" applyFill="1" applyBorder="1"/>
    <xf numFmtId="4" fontId="6" fillId="4" borderId="10" xfId="0" applyNumberFormat="1" applyFont="1" applyFill="1" applyBorder="1"/>
    <xf numFmtId="4" fontId="6" fillId="4" borderId="4" xfId="0" applyNumberFormat="1" applyFont="1" applyFill="1" applyBorder="1"/>
    <xf numFmtId="4" fontId="0" fillId="4" borderId="7" xfId="0" applyNumberFormat="1" applyFont="1" applyFill="1" applyBorder="1"/>
    <xf numFmtId="4" fontId="0" fillId="4" borderId="10" xfId="0" applyNumberFormat="1" applyFont="1" applyFill="1" applyBorder="1"/>
    <xf numFmtId="4" fontId="21" fillId="4" borderId="10" xfId="0" applyNumberFormat="1" applyFont="1" applyFill="1" applyBorder="1"/>
    <xf numFmtId="4" fontId="21" fillId="4" borderId="7" xfId="0" applyNumberFormat="1" applyFont="1" applyFill="1" applyBorder="1"/>
    <xf numFmtId="4" fontId="24" fillId="4" borderId="10" xfId="0" applyNumberFormat="1" applyFont="1" applyFill="1" applyBorder="1"/>
    <xf numFmtId="0" fontId="21" fillId="4" borderId="10" xfId="0" applyFont="1" applyFill="1" applyBorder="1"/>
    <xf numFmtId="4" fontId="0" fillId="4" borderId="7" xfId="0" applyNumberFormat="1" applyFill="1" applyBorder="1"/>
    <xf numFmtId="4" fontId="6" fillId="0" borderId="10" xfId="0" applyNumberFormat="1" applyFont="1" applyFill="1" applyBorder="1"/>
    <xf numFmtId="9" fontId="6" fillId="0" borderId="10" xfId="1" applyNumberFormat="1" applyFont="1" applyFill="1" applyBorder="1"/>
    <xf numFmtId="0" fontId="0" fillId="4" borderId="34" xfId="0" applyFill="1" applyBorder="1"/>
    <xf numFmtId="4" fontId="4" fillId="16" borderId="3" xfId="2" applyNumberFormat="1" applyFill="1" applyBorder="1"/>
    <xf numFmtId="4" fontId="4" fillId="16" borderId="4" xfId="2" applyNumberFormat="1" applyFill="1" applyBorder="1"/>
    <xf numFmtId="4" fontId="4" fillId="16" borderId="0" xfId="2" applyNumberFormat="1" applyFill="1" applyBorder="1"/>
    <xf numFmtId="4" fontId="4" fillId="16" borderId="10" xfId="2" applyNumberFormat="1" applyFill="1" applyBorder="1"/>
    <xf numFmtId="4" fontId="4" fillId="16" borderId="6" xfId="2" applyNumberFormat="1" applyFill="1" applyBorder="1"/>
    <xf numFmtId="4" fontId="4" fillId="16" borderId="7" xfId="2" applyNumberFormat="1" applyFill="1" applyBorder="1"/>
    <xf numFmtId="4" fontId="6" fillId="4" borderId="2" xfId="0" applyNumberFormat="1" applyFont="1" applyFill="1" applyBorder="1"/>
    <xf numFmtId="4" fontId="4" fillId="4" borderId="2" xfId="2" applyNumberFormat="1" applyFill="1" applyBorder="1"/>
    <xf numFmtId="0" fontId="1" fillId="4" borderId="27" xfId="0" applyFont="1" applyFill="1" applyBorder="1"/>
    <xf numFmtId="2" fontId="0" fillId="4" borderId="3" xfId="0" applyNumberFormat="1" applyFill="1" applyBorder="1"/>
    <xf numFmtId="0" fontId="18" fillId="4" borderId="0" xfId="0" applyFont="1" applyFill="1" applyBorder="1"/>
    <xf numFmtId="0" fontId="0" fillId="4" borderId="8" xfId="0" applyFont="1" applyFill="1" applyBorder="1" applyAlignment="1">
      <alignment horizontal="right"/>
    </xf>
    <xf numFmtId="10" fontId="0" fillId="4" borderId="8" xfId="1" applyNumberFormat="1" applyFont="1" applyFill="1" applyBorder="1" applyAlignment="1">
      <alignment horizontal="right"/>
    </xf>
    <xf numFmtId="3" fontId="0" fillId="4" borderId="0" xfId="0" applyNumberFormat="1" applyFont="1" applyFill="1" applyBorder="1" applyAlignment="1">
      <alignment horizontal="right"/>
    </xf>
    <xf numFmtId="168" fontId="0" fillId="4" borderId="12" xfId="0" applyNumberFormat="1" applyFont="1" applyFill="1" applyBorder="1" applyAlignment="1">
      <alignment horizontal="right"/>
    </xf>
    <xf numFmtId="0" fontId="0" fillId="4" borderId="8" xfId="0" applyFont="1" applyFill="1" applyBorder="1" applyAlignment="1">
      <alignment horizontal="center"/>
    </xf>
    <xf numFmtId="10" fontId="0" fillId="4" borderId="8" xfId="1" applyNumberFormat="1" applyFont="1" applyFill="1" applyBorder="1" applyAlignment="1">
      <alignment horizontal="left"/>
    </xf>
    <xf numFmtId="0" fontId="10" fillId="4" borderId="8" xfId="0" applyFont="1" applyFill="1" applyBorder="1"/>
    <xf numFmtId="0" fontId="18" fillId="4" borderId="14" xfId="0" applyFont="1" applyFill="1" applyBorder="1"/>
    <xf numFmtId="0" fontId="0" fillId="4" borderId="15" xfId="0" applyFill="1" applyBorder="1" applyAlignment="1">
      <alignment horizontal="left"/>
    </xf>
    <xf numFmtId="0" fontId="0" fillId="4" borderId="23" xfId="0" applyFont="1" applyFill="1" applyBorder="1"/>
    <xf numFmtId="0" fontId="6" fillId="4" borderId="24" xfId="0" applyFont="1" applyFill="1" applyBorder="1"/>
    <xf numFmtId="0" fontId="0" fillId="4" borderId="11" xfId="0" applyFill="1" applyBorder="1"/>
    <xf numFmtId="10" fontId="0" fillId="4" borderId="12" xfId="1" applyNumberFormat="1" applyFont="1" applyFill="1" applyBorder="1" applyAlignment="1">
      <alignment horizontal="right"/>
    </xf>
    <xf numFmtId="10" fontId="0" fillId="4" borderId="20" xfId="1" applyNumberFormat="1" applyFont="1" applyFill="1" applyBorder="1" applyAlignment="1">
      <alignment horizontal="right"/>
    </xf>
    <xf numFmtId="0" fontId="0" fillId="4" borderId="31" xfId="0" applyFill="1" applyBorder="1"/>
    <xf numFmtId="10" fontId="0" fillId="4" borderId="12" xfId="0" applyNumberFormat="1" applyFill="1" applyBorder="1"/>
    <xf numFmtId="10" fontId="0" fillId="4" borderId="8" xfId="0" applyNumberFormat="1" applyFill="1" applyBorder="1"/>
  </cellXfs>
  <cellStyles count="10">
    <cellStyle name="Good" xfId="2" builtinId="26"/>
    <cellStyle name="Input" xfId="3" builtinId="20"/>
    <cellStyle name="Input cel" xfId="4"/>
    <cellStyle name="Linked Cell" xfId="9" builtinId="24"/>
    <cellStyle name="Normal" xfId="0" builtinId="0"/>
    <cellStyle name="Normal 2" xfId="5"/>
    <cellStyle name="Percent" xfId="1" builtinId="5"/>
    <cellStyle name="Percent 2" xfId="6"/>
    <cellStyle name="Percent 3" xfId="7"/>
    <cellStyle name="Warning Text 3" xfId="8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end/etdataset/analyses/6_residen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E20">
            <v>292481.03262334003</v>
          </cell>
        </row>
        <row r="21">
          <cell r="E21">
            <v>71970.539521814397</v>
          </cell>
        </row>
        <row r="22">
          <cell r="E22">
            <v>6530.3137113401999</v>
          </cell>
        </row>
        <row r="23">
          <cell r="E23">
            <v>12127.725463917501</v>
          </cell>
        </row>
        <row r="24">
          <cell r="E24">
            <v>9890.7872362886592</v>
          </cell>
        </row>
        <row r="25">
          <cell r="E25">
            <v>57833.111258999998</v>
          </cell>
        </row>
      </sheetData>
      <sheetData sheetId="7"/>
      <sheetData sheetId="8">
        <row r="11">
          <cell r="P11">
            <v>1.0669999999999999</v>
          </cell>
        </row>
        <row r="12">
          <cell r="P12">
            <v>1</v>
          </cell>
        </row>
        <row r="13">
          <cell r="P13">
            <v>4.8000000000000078</v>
          </cell>
        </row>
        <row r="14">
          <cell r="P14">
            <v>0.88</v>
          </cell>
        </row>
        <row r="15">
          <cell r="P15">
            <v>1</v>
          </cell>
        </row>
        <row r="16">
          <cell r="P16">
            <v>4.5000000000000044</v>
          </cell>
        </row>
        <row r="17">
          <cell r="P17">
            <v>0.82</v>
          </cell>
        </row>
        <row r="18">
          <cell r="P18">
            <v>1</v>
          </cell>
        </row>
        <row r="19">
          <cell r="P19">
            <v>0.8</v>
          </cell>
        </row>
        <row r="20">
          <cell r="P20">
            <v>0.85</v>
          </cell>
        </row>
        <row r="21">
          <cell r="P21">
            <v>0.8</v>
          </cell>
        </row>
        <row r="22">
          <cell r="P22">
            <v>4.4999999999999885</v>
          </cell>
        </row>
        <row r="23">
          <cell r="P23">
            <v>1.0669999999999999</v>
          </cell>
        </row>
        <row r="26">
          <cell r="P26">
            <v>0.9</v>
          </cell>
        </row>
        <row r="27">
          <cell r="P27">
            <v>1</v>
          </cell>
        </row>
        <row r="28">
          <cell r="P28">
            <v>3.0000000000000031</v>
          </cell>
        </row>
        <row r="29">
          <cell r="P29">
            <v>0.88</v>
          </cell>
        </row>
        <row r="30">
          <cell r="P30">
            <v>1</v>
          </cell>
        </row>
        <row r="31">
          <cell r="P31">
            <v>3.0000000000000031</v>
          </cell>
        </row>
        <row r="32">
          <cell r="P32">
            <v>0.82</v>
          </cell>
        </row>
        <row r="33">
          <cell r="P33">
            <v>0.95</v>
          </cell>
        </row>
        <row r="34">
          <cell r="P34">
            <v>0.67</v>
          </cell>
        </row>
        <row r="35">
          <cell r="P35">
            <v>0.85</v>
          </cell>
        </row>
        <row r="36">
          <cell r="P36">
            <v>0.8</v>
          </cell>
        </row>
        <row r="37">
          <cell r="P37">
            <v>0.2</v>
          </cell>
        </row>
        <row r="38">
          <cell r="P38">
            <v>3.0000000000000044</v>
          </cell>
        </row>
        <row r="39">
          <cell r="P39">
            <v>0.9</v>
          </cell>
        </row>
        <row r="42">
          <cell r="P42">
            <v>18.999999999050001</v>
          </cell>
        </row>
        <row r="43">
          <cell r="P43">
            <v>4.5000000000000044</v>
          </cell>
        </row>
        <row r="44">
          <cell r="P44">
            <v>4</v>
          </cell>
        </row>
        <row r="47">
          <cell r="P47">
            <v>0.4</v>
          </cell>
        </row>
        <row r="48">
          <cell r="P48">
            <v>0.55000000000000004</v>
          </cell>
        </row>
        <row r="49">
          <cell r="P49">
            <v>0.6</v>
          </cell>
        </row>
        <row r="50">
          <cell r="P50">
            <v>0.85</v>
          </cell>
        </row>
        <row r="51">
          <cell r="P51">
            <v>0.3</v>
          </cell>
        </row>
        <row r="54">
          <cell r="P54">
            <v>0.05</v>
          </cell>
        </row>
        <row r="55">
          <cell r="P55">
            <v>0.25</v>
          </cell>
        </row>
        <row r="56">
          <cell r="P56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1">
          <cell r="C11">
            <v>205.11</v>
          </cell>
          <cell r="D11">
            <v>331545.53000000003</v>
          </cell>
          <cell r="E11">
            <v>3700.96</v>
          </cell>
          <cell r="F11">
            <v>12820.53</v>
          </cell>
          <cell r="G11">
            <v>934.83</v>
          </cell>
          <cell r="I11">
            <v>90491.49</v>
          </cell>
          <cell r="J11">
            <v>11141.87</v>
          </cell>
          <cell r="L11">
            <v>451110.33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9.9978637043366805E-2"/>
  </sheetPr>
  <dimension ref="B2:D39"/>
  <sheetViews>
    <sheetView workbookViewId="0">
      <selection activeCell="C43" sqref="C43"/>
    </sheetView>
  </sheetViews>
  <sheetFormatPr baseColWidth="10" defaultRowHeight="16" x14ac:dyDescent="0.2"/>
  <cols>
    <col min="1" max="1" width="10.83203125" style="1"/>
    <col min="2" max="2" width="14" style="1" customWidth="1"/>
    <col min="3" max="3" width="44" style="1" customWidth="1"/>
    <col min="4" max="4" width="9.33203125" style="1" customWidth="1"/>
    <col min="5" max="16384" width="10.83203125" style="1"/>
  </cols>
  <sheetData>
    <row r="2" spans="2:4" ht="21" x14ac:dyDescent="0.25">
      <c r="B2" s="32" t="s">
        <v>22</v>
      </c>
    </row>
    <row r="4" spans="2:4" x14ac:dyDescent="0.2">
      <c r="B4" s="11" t="s">
        <v>21</v>
      </c>
      <c r="C4" s="10" t="str">
        <f>"Residence analysis "&amp;C6&amp;" "&amp;C7</f>
        <v>Residence analysis flevoland 2015</v>
      </c>
      <c r="D4" s="9"/>
    </row>
    <row r="5" spans="2:4" x14ac:dyDescent="0.2">
      <c r="B5" s="26" t="s">
        <v>20</v>
      </c>
      <c r="C5" s="31">
        <v>1</v>
      </c>
      <c r="D5" s="5"/>
    </row>
    <row r="6" spans="2:4" x14ac:dyDescent="0.2">
      <c r="B6" s="29" t="s">
        <v>25</v>
      </c>
      <c r="C6" s="30" t="s">
        <v>26</v>
      </c>
      <c r="D6" s="5"/>
    </row>
    <row r="7" spans="2:4" x14ac:dyDescent="0.2">
      <c r="B7" s="29" t="s">
        <v>19</v>
      </c>
      <c r="C7" s="28">
        <v>2015</v>
      </c>
      <c r="D7" s="5"/>
    </row>
    <row r="8" spans="2:4" x14ac:dyDescent="0.2">
      <c r="B8" s="26" t="s">
        <v>18</v>
      </c>
      <c r="C8" s="27" t="s">
        <v>24</v>
      </c>
      <c r="D8" s="5"/>
    </row>
    <row r="9" spans="2:4" x14ac:dyDescent="0.2">
      <c r="B9" s="26" t="s">
        <v>17</v>
      </c>
      <c r="C9" s="6" t="s">
        <v>23</v>
      </c>
      <c r="D9" s="5"/>
    </row>
    <row r="10" spans="2:4" x14ac:dyDescent="0.2">
      <c r="B10" s="25" t="s">
        <v>16</v>
      </c>
      <c r="C10" s="3" t="s">
        <v>15</v>
      </c>
      <c r="D10" s="2"/>
    </row>
    <row r="12" spans="2:4" x14ac:dyDescent="0.2">
      <c r="B12" s="11" t="s">
        <v>14</v>
      </c>
      <c r="C12" s="10"/>
      <c r="D12" s="9"/>
    </row>
    <row r="13" spans="2:4" x14ac:dyDescent="0.2">
      <c r="B13" s="18"/>
      <c r="C13" s="6"/>
      <c r="D13" s="5"/>
    </row>
    <row r="14" spans="2:4" x14ac:dyDescent="0.2">
      <c r="B14" s="18" t="s">
        <v>13</v>
      </c>
      <c r="C14" s="24" t="s">
        <v>12</v>
      </c>
      <c r="D14" s="5"/>
    </row>
    <row r="15" spans="2:4" ht="17" thickBot="1" x14ac:dyDescent="0.25">
      <c r="B15" s="18"/>
      <c r="C15" s="23" t="s">
        <v>11</v>
      </c>
      <c r="D15" s="5"/>
    </row>
    <row r="16" spans="2:4" ht="17" thickBot="1" x14ac:dyDescent="0.25">
      <c r="B16" s="18"/>
      <c r="C16" s="22" t="s">
        <v>10</v>
      </c>
      <c r="D16" s="5"/>
    </row>
    <row r="17" spans="2:4" x14ac:dyDescent="0.2">
      <c r="B17" s="18"/>
      <c r="C17" s="6" t="s">
        <v>9</v>
      </c>
      <c r="D17" s="5"/>
    </row>
    <row r="18" spans="2:4" x14ac:dyDescent="0.2">
      <c r="B18" s="18"/>
      <c r="C18" s="6"/>
      <c r="D18" s="5"/>
    </row>
    <row r="19" spans="2:4" x14ac:dyDescent="0.2">
      <c r="B19" s="18" t="s">
        <v>8</v>
      </c>
      <c r="C19" s="21" t="s">
        <v>7</v>
      </c>
      <c r="D19" s="5"/>
    </row>
    <row r="20" spans="2:4" x14ac:dyDescent="0.2">
      <c r="B20" s="18"/>
      <c r="C20" s="20" t="s">
        <v>6</v>
      </c>
      <c r="D20" s="5"/>
    </row>
    <row r="21" spans="2:4" x14ac:dyDescent="0.2">
      <c r="B21" s="18"/>
      <c r="C21" s="19" t="s">
        <v>5</v>
      </c>
      <c r="D21" s="5"/>
    </row>
    <row r="22" spans="2:4" x14ac:dyDescent="0.2">
      <c r="B22" s="18"/>
      <c r="C22" s="17" t="s">
        <v>4</v>
      </c>
      <c r="D22" s="5"/>
    </row>
    <row r="23" spans="2:4" x14ac:dyDescent="0.2">
      <c r="B23" s="7"/>
      <c r="C23" s="16" t="s">
        <v>3</v>
      </c>
      <c r="D23" s="5"/>
    </row>
    <row r="24" spans="2:4" x14ac:dyDescent="0.2">
      <c r="B24" s="7"/>
      <c r="C24" s="15" t="s">
        <v>2</v>
      </c>
      <c r="D24" s="5"/>
    </row>
    <row r="25" spans="2:4" x14ac:dyDescent="0.2">
      <c r="B25" s="7"/>
      <c r="C25" s="14" t="s">
        <v>1</v>
      </c>
      <c r="D25" s="5"/>
    </row>
    <row r="26" spans="2:4" x14ac:dyDescent="0.2">
      <c r="B26" s="7"/>
      <c r="C26" s="13" t="s">
        <v>81</v>
      </c>
      <c r="D26" s="5"/>
    </row>
    <row r="27" spans="2:4" x14ac:dyDescent="0.2">
      <c r="B27" s="4"/>
      <c r="C27" s="12"/>
      <c r="D27" s="2"/>
    </row>
    <row r="29" spans="2:4" x14ac:dyDescent="0.2">
      <c r="B29" s="11" t="s">
        <v>0</v>
      </c>
      <c r="C29" s="10"/>
      <c r="D29" s="9"/>
    </row>
    <row r="30" spans="2:4" x14ac:dyDescent="0.2">
      <c r="B30" s="7"/>
      <c r="C30" s="8"/>
      <c r="D30" s="5"/>
    </row>
    <row r="31" spans="2:4" x14ac:dyDescent="0.2">
      <c r="B31" s="7"/>
      <c r="C31" s="6"/>
      <c r="D31" s="5"/>
    </row>
    <row r="32" spans="2:4" x14ac:dyDescent="0.2">
      <c r="B32" s="7"/>
      <c r="C32" s="6"/>
      <c r="D32" s="5"/>
    </row>
    <row r="33" spans="2:4" x14ac:dyDescent="0.2">
      <c r="B33" s="7"/>
      <c r="C33" s="6"/>
      <c r="D33" s="5"/>
    </row>
    <row r="34" spans="2:4" x14ac:dyDescent="0.2">
      <c r="B34" s="7"/>
      <c r="C34" s="6"/>
      <c r="D34" s="5"/>
    </row>
    <row r="35" spans="2:4" x14ac:dyDescent="0.2">
      <c r="B35" s="7"/>
      <c r="C35" s="6"/>
      <c r="D35" s="5"/>
    </row>
    <row r="36" spans="2:4" x14ac:dyDescent="0.2">
      <c r="B36" s="7"/>
      <c r="C36" s="6"/>
      <c r="D36" s="5"/>
    </row>
    <row r="37" spans="2:4" x14ac:dyDescent="0.2">
      <c r="B37" s="7"/>
      <c r="C37" s="6"/>
      <c r="D37" s="5"/>
    </row>
    <row r="38" spans="2:4" x14ac:dyDescent="0.2">
      <c r="B38" s="7"/>
      <c r="C38" s="6"/>
      <c r="D38" s="5"/>
    </row>
    <row r="39" spans="2:4" x14ac:dyDescent="0.2">
      <c r="B39" s="4"/>
      <c r="C39" s="3"/>
      <c r="D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103"/>
  <sheetViews>
    <sheetView tabSelected="1" topLeftCell="F1" workbookViewId="0">
      <selection activeCell="H21" sqref="H21"/>
    </sheetView>
  </sheetViews>
  <sheetFormatPr baseColWidth="10" defaultRowHeight="16" x14ac:dyDescent="0.2"/>
  <cols>
    <col min="2" max="2" width="41.83203125" bestFit="1" customWidth="1"/>
    <col min="3" max="3" width="52.5" customWidth="1"/>
    <col min="4" max="4" width="6.83203125" bestFit="1" customWidth="1"/>
    <col min="5" max="5" width="13.33203125" style="152" customWidth="1"/>
    <col min="6" max="6" width="14.6640625" customWidth="1"/>
    <col min="8" max="8" width="131.5" customWidth="1"/>
  </cols>
  <sheetData>
    <row r="1" spans="1:10" x14ac:dyDescent="0.2">
      <c r="A1" s="1"/>
      <c r="B1" s="1"/>
      <c r="C1" s="1"/>
      <c r="D1" s="1"/>
      <c r="E1" s="142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42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42"/>
      <c r="F3" s="1"/>
      <c r="G3" s="1"/>
      <c r="H3" s="1"/>
      <c r="I3" s="1"/>
      <c r="J3" s="1"/>
    </row>
    <row r="4" spans="1:10" ht="17" thickBot="1" x14ac:dyDescent="0.25">
      <c r="A4" s="1"/>
      <c r="B4" s="1"/>
      <c r="C4" s="1"/>
      <c r="D4" s="1"/>
      <c r="E4" s="142"/>
      <c r="F4" s="1"/>
      <c r="G4" s="1"/>
      <c r="H4" s="1"/>
      <c r="I4" s="1"/>
      <c r="J4" s="1"/>
    </row>
    <row r="5" spans="1:10" x14ac:dyDescent="0.2">
      <c r="A5" s="1"/>
      <c r="B5" s="33" t="s">
        <v>67</v>
      </c>
      <c r="C5" s="34"/>
      <c r="D5" s="35"/>
      <c r="E5" s="143"/>
      <c r="F5" s="36"/>
      <c r="G5" s="37"/>
      <c r="H5" s="37"/>
      <c r="I5" s="79"/>
      <c r="J5" s="1"/>
    </row>
    <row r="6" spans="1:10" x14ac:dyDescent="0.2">
      <c r="A6" s="1"/>
      <c r="B6" s="38"/>
      <c r="C6" s="39"/>
      <c r="D6" s="40"/>
      <c r="E6" s="69"/>
      <c r="F6" s="41"/>
      <c r="G6" s="6"/>
      <c r="H6" s="6"/>
      <c r="I6" s="80"/>
      <c r="J6" s="1"/>
    </row>
    <row r="7" spans="1:10" x14ac:dyDescent="0.2">
      <c r="A7" s="1"/>
      <c r="B7" s="67" t="s">
        <v>27</v>
      </c>
      <c r="C7" s="68"/>
      <c r="D7" s="68" t="s">
        <v>28</v>
      </c>
      <c r="E7" s="144" t="s">
        <v>100</v>
      </c>
      <c r="F7" s="68" t="s">
        <v>29</v>
      </c>
      <c r="G7" s="68"/>
      <c r="H7" s="68" t="s">
        <v>30</v>
      </c>
      <c r="I7" s="81"/>
      <c r="J7" s="1"/>
    </row>
    <row r="8" spans="1:10" x14ac:dyDescent="0.2">
      <c r="A8" s="1"/>
      <c r="B8" s="46" t="s">
        <v>65</v>
      </c>
      <c r="C8" s="23"/>
      <c r="D8" s="42"/>
      <c r="E8" s="145"/>
      <c r="F8" s="43"/>
      <c r="G8" s="23"/>
      <c r="H8" s="23"/>
      <c r="I8" s="82"/>
      <c r="J8" s="1"/>
    </row>
    <row r="9" spans="1:10" x14ac:dyDescent="0.2">
      <c r="A9" s="1"/>
      <c r="B9" s="46"/>
      <c r="C9" s="23"/>
      <c r="D9" s="42"/>
      <c r="E9" s="145"/>
      <c r="F9" s="43"/>
      <c r="G9" s="23"/>
      <c r="H9" s="23"/>
      <c r="I9" s="82"/>
      <c r="J9" s="1"/>
    </row>
    <row r="10" spans="1:10" x14ac:dyDescent="0.2">
      <c r="A10" s="1"/>
      <c r="B10" s="46"/>
      <c r="C10" s="23"/>
      <c r="D10" s="42"/>
      <c r="E10" s="145"/>
      <c r="F10" s="43"/>
      <c r="G10" s="23"/>
      <c r="H10" s="23"/>
      <c r="I10" s="82"/>
      <c r="J10" s="1"/>
    </row>
    <row r="11" spans="1:10" ht="17" thickBot="1" x14ac:dyDescent="0.25">
      <c r="A11" s="1"/>
      <c r="B11" s="46"/>
      <c r="C11" s="23"/>
      <c r="D11" s="42"/>
      <c r="E11" s="145"/>
      <c r="F11" s="43"/>
      <c r="G11" s="23"/>
      <c r="H11" s="23"/>
      <c r="I11" s="82"/>
      <c r="J11" s="1"/>
    </row>
    <row r="12" spans="1:10" ht="17" thickBot="1" x14ac:dyDescent="0.25">
      <c r="A12" s="1"/>
      <c r="B12" s="46"/>
      <c r="C12" s="39" t="s">
        <v>142</v>
      </c>
      <c r="D12" s="42" t="s">
        <v>93</v>
      </c>
      <c r="E12" s="145"/>
      <c r="F12" s="71">
        <v>19666</v>
      </c>
      <c r="G12" s="23"/>
      <c r="H12" s="22" t="s">
        <v>163</v>
      </c>
      <c r="I12" s="82"/>
      <c r="J12" s="1"/>
    </row>
    <row r="13" spans="1:10" ht="17" thickBot="1" x14ac:dyDescent="0.25">
      <c r="A13" s="1"/>
      <c r="B13" s="46"/>
      <c r="C13" s="39" t="s">
        <v>173</v>
      </c>
      <c r="D13" s="40" t="s">
        <v>174</v>
      </c>
      <c r="E13" s="145"/>
      <c r="F13" s="71">
        <f>45000000*(1/3)</f>
        <v>15000000</v>
      </c>
      <c r="G13" s="23"/>
      <c r="H13" s="22" t="s">
        <v>177</v>
      </c>
      <c r="I13" s="82"/>
      <c r="J13" s="1"/>
    </row>
    <row r="14" spans="1:10" ht="17" thickBot="1" x14ac:dyDescent="0.25">
      <c r="A14" s="1"/>
      <c r="B14" s="46"/>
      <c r="C14" s="39" t="s">
        <v>175</v>
      </c>
      <c r="D14" s="40" t="s">
        <v>176</v>
      </c>
      <c r="E14" s="145"/>
      <c r="F14" s="203">
        <v>7.5149999999999997</v>
      </c>
      <c r="G14" s="23"/>
      <c r="H14" s="211" t="s">
        <v>178</v>
      </c>
      <c r="I14" s="82"/>
      <c r="J14" s="1"/>
    </row>
    <row r="15" spans="1:10" x14ac:dyDescent="0.2">
      <c r="A15" s="1"/>
      <c r="B15" s="46"/>
      <c r="C15" s="39"/>
      <c r="D15" s="42"/>
      <c r="E15" s="145"/>
      <c r="F15" s="202"/>
      <c r="G15" s="23"/>
      <c r="H15" s="6"/>
      <c r="I15" s="82"/>
      <c r="J15" s="1"/>
    </row>
    <row r="16" spans="1:10" x14ac:dyDescent="0.2">
      <c r="A16" s="1"/>
      <c r="B16" s="46"/>
      <c r="C16" s="39"/>
      <c r="D16" s="48"/>
      <c r="E16" s="69"/>
      <c r="F16" s="49"/>
      <c r="G16" s="50"/>
      <c r="H16" s="6"/>
      <c r="I16" s="80"/>
      <c r="J16" s="1"/>
    </row>
    <row r="17" spans="1:10" ht="17" thickBot="1" x14ac:dyDescent="0.25">
      <c r="A17" s="1"/>
      <c r="B17" s="46"/>
      <c r="C17" s="69" t="s">
        <v>89</v>
      </c>
      <c r="D17" s="48"/>
      <c r="E17" s="69"/>
      <c r="F17" s="49"/>
      <c r="G17" s="50"/>
      <c r="H17" s="6"/>
      <c r="I17" s="80"/>
      <c r="J17" s="1"/>
    </row>
    <row r="18" spans="1:10" ht="17" thickBot="1" x14ac:dyDescent="0.25">
      <c r="A18" s="1"/>
      <c r="B18" s="46"/>
      <c r="C18" s="70" t="s">
        <v>57</v>
      </c>
      <c r="D18" s="140" t="s">
        <v>48</v>
      </c>
      <c r="E18" s="146"/>
      <c r="F18" s="71">
        <v>846062000</v>
      </c>
      <c r="G18" s="50"/>
      <c r="H18" s="22" t="s">
        <v>161</v>
      </c>
      <c r="I18" s="80"/>
      <c r="J18" s="1"/>
    </row>
    <row r="19" spans="1:10" ht="17" thickBot="1" x14ac:dyDescent="0.25">
      <c r="A19" s="1"/>
      <c r="B19" s="46"/>
      <c r="C19" s="70" t="s">
        <v>34</v>
      </c>
      <c r="D19" s="140" t="s">
        <v>50</v>
      </c>
      <c r="E19" s="146"/>
      <c r="F19" s="71">
        <v>58997000</v>
      </c>
      <c r="G19" s="50"/>
      <c r="H19" s="22" t="s">
        <v>161</v>
      </c>
      <c r="I19" s="80"/>
      <c r="J19" s="1"/>
    </row>
    <row r="20" spans="1:10" ht="17" thickBot="1" x14ac:dyDescent="0.25">
      <c r="A20" s="1"/>
      <c r="B20" s="46"/>
      <c r="C20" s="70" t="s">
        <v>73</v>
      </c>
      <c r="D20" s="140" t="s">
        <v>90</v>
      </c>
      <c r="E20" s="147"/>
      <c r="F20" s="22">
        <v>3.06</v>
      </c>
      <c r="G20" s="50"/>
      <c r="H20" s="22" t="s">
        <v>184</v>
      </c>
      <c r="I20" s="80"/>
      <c r="J20" s="1"/>
    </row>
    <row r="21" spans="1:10" ht="17" thickBot="1" x14ac:dyDescent="0.25">
      <c r="A21" s="1"/>
      <c r="B21" s="46"/>
      <c r="C21" s="70" t="s">
        <v>74</v>
      </c>
      <c r="D21" s="138" t="s">
        <v>90</v>
      </c>
      <c r="E21" s="147"/>
      <c r="F21" s="71">
        <f>F19/(1-0.321)*0.321*31.65/10^6</f>
        <v>882.75238740795282</v>
      </c>
      <c r="G21" s="50"/>
      <c r="H21" s="22" t="s">
        <v>189</v>
      </c>
      <c r="I21" s="80"/>
      <c r="J21" s="1"/>
    </row>
    <row r="22" spans="1:10" ht="17" thickBot="1" x14ac:dyDescent="0.25">
      <c r="A22" s="1"/>
      <c r="B22" s="46"/>
      <c r="C22" s="70" t="s">
        <v>58</v>
      </c>
      <c r="D22" s="48" t="s">
        <v>90</v>
      </c>
      <c r="E22" s="69"/>
      <c r="F22" s="139">
        <v>0</v>
      </c>
      <c r="G22" s="51"/>
      <c r="H22" s="22"/>
      <c r="I22" s="80"/>
      <c r="J22" s="1"/>
    </row>
    <row r="23" spans="1:10" ht="17" thickBot="1" x14ac:dyDescent="0.25">
      <c r="A23" s="1"/>
      <c r="B23" s="46"/>
      <c r="C23" s="70" t="s">
        <v>60</v>
      </c>
      <c r="D23" s="48" t="s">
        <v>90</v>
      </c>
      <c r="E23" s="69"/>
      <c r="F23" s="139">
        <v>0</v>
      </c>
      <c r="G23" s="51"/>
      <c r="H23" s="22" t="s">
        <v>162</v>
      </c>
      <c r="I23" s="80"/>
      <c r="J23" s="1"/>
    </row>
    <row r="24" spans="1:10" ht="17" thickBot="1" x14ac:dyDescent="0.25">
      <c r="A24" s="1"/>
      <c r="B24" s="46"/>
      <c r="C24" s="70" t="s">
        <v>59</v>
      </c>
      <c r="D24" s="48" t="s">
        <v>90</v>
      </c>
      <c r="E24" s="69"/>
      <c r="F24" s="139">
        <v>0</v>
      </c>
      <c r="G24" s="51"/>
      <c r="H24" s="22" t="s">
        <v>162</v>
      </c>
      <c r="I24" s="80"/>
      <c r="J24" s="1"/>
    </row>
    <row r="25" spans="1:10" x14ac:dyDescent="0.2">
      <c r="A25" s="1"/>
      <c r="B25" s="46"/>
      <c r="C25" s="39"/>
      <c r="D25" s="48"/>
      <c r="E25" s="69"/>
      <c r="F25" s="52"/>
      <c r="G25" s="51"/>
      <c r="H25" s="6"/>
      <c r="I25" s="80"/>
      <c r="J25" s="1"/>
    </row>
    <row r="26" spans="1:10" ht="17" thickBot="1" x14ac:dyDescent="0.25">
      <c r="A26" s="1"/>
      <c r="B26" s="163"/>
      <c r="C26" s="64"/>
      <c r="D26" s="164"/>
      <c r="E26" s="151"/>
      <c r="F26" s="200"/>
      <c r="G26" s="65"/>
      <c r="H26" s="66"/>
      <c r="I26" s="85"/>
      <c r="J26" s="1"/>
    </row>
    <row r="27" spans="1:10" ht="17" thickBot="1" x14ac:dyDescent="0.25">
      <c r="A27" s="1"/>
      <c r="B27" s="199"/>
      <c r="C27" s="39"/>
      <c r="D27" s="40"/>
      <c r="E27" s="69"/>
      <c r="F27" s="41"/>
      <c r="G27" s="51"/>
      <c r="H27" s="6"/>
      <c r="I27" s="6"/>
      <c r="J27" s="1"/>
    </row>
    <row r="28" spans="1:10" x14ac:dyDescent="0.2">
      <c r="A28" s="1"/>
      <c r="B28" s="33" t="s">
        <v>171</v>
      </c>
      <c r="C28" s="34"/>
      <c r="D28" s="35"/>
      <c r="E28" s="143"/>
      <c r="F28" s="36"/>
      <c r="G28" s="37"/>
      <c r="H28" s="37"/>
      <c r="I28" s="79"/>
      <c r="J28" s="1"/>
    </row>
    <row r="29" spans="1:10" x14ac:dyDescent="0.2">
      <c r="A29" s="1"/>
      <c r="B29" s="38"/>
      <c r="C29" s="39"/>
      <c r="D29" s="40"/>
      <c r="E29" s="69"/>
      <c r="F29" s="41"/>
      <c r="G29" s="6"/>
      <c r="H29" s="6"/>
      <c r="I29" s="80"/>
      <c r="J29" s="1"/>
    </row>
    <row r="30" spans="1:10" x14ac:dyDescent="0.2">
      <c r="A30" s="1"/>
      <c r="B30" s="67" t="s">
        <v>27</v>
      </c>
      <c r="C30" s="68"/>
      <c r="D30" s="68" t="s">
        <v>28</v>
      </c>
      <c r="E30" s="144" t="s">
        <v>100</v>
      </c>
      <c r="F30" s="68" t="s">
        <v>29</v>
      </c>
      <c r="G30" s="68"/>
      <c r="H30" s="68" t="s">
        <v>30</v>
      </c>
      <c r="I30" s="81"/>
      <c r="J30" s="1"/>
    </row>
    <row r="31" spans="1:10" x14ac:dyDescent="0.2">
      <c r="A31" s="1"/>
      <c r="B31" s="46" t="s">
        <v>68</v>
      </c>
      <c r="C31" s="39"/>
      <c r="D31" s="48"/>
      <c r="E31" s="69"/>
      <c r="F31" s="58"/>
      <c r="G31" s="51"/>
      <c r="H31" s="6"/>
      <c r="I31" s="80"/>
      <c r="J31" s="1"/>
    </row>
    <row r="32" spans="1:10" ht="17" thickBot="1" x14ac:dyDescent="0.25">
      <c r="A32" s="1"/>
      <c r="B32" s="46"/>
      <c r="C32" s="69" t="s">
        <v>91</v>
      </c>
      <c r="D32" s="48"/>
      <c r="E32" s="69"/>
      <c r="F32" s="58"/>
      <c r="G32" s="51"/>
      <c r="H32" s="6"/>
      <c r="I32" s="80"/>
      <c r="J32" s="1"/>
    </row>
    <row r="33" spans="1:10" ht="17" thickBot="1" x14ac:dyDescent="0.25">
      <c r="A33" s="1"/>
      <c r="B33" s="46"/>
      <c r="C33" s="70" t="s">
        <v>70</v>
      </c>
      <c r="D33" s="6"/>
      <c r="E33" s="149">
        <v>0.85660000000000003</v>
      </c>
      <c r="F33" s="73">
        <f>E33</f>
        <v>0.85660000000000003</v>
      </c>
      <c r="G33" s="51"/>
      <c r="H33" s="22" t="s">
        <v>160</v>
      </c>
      <c r="I33" s="80"/>
      <c r="J33" s="1"/>
    </row>
    <row r="34" spans="1:10" ht="17" thickBot="1" x14ac:dyDescent="0.25">
      <c r="A34" s="1"/>
      <c r="B34" s="46"/>
      <c r="C34" s="70" t="s">
        <v>71</v>
      </c>
      <c r="D34" s="6"/>
      <c r="E34" s="149">
        <v>0</v>
      </c>
      <c r="F34" s="73">
        <v>0</v>
      </c>
      <c r="G34" s="51"/>
      <c r="H34" s="22" t="s">
        <v>160</v>
      </c>
      <c r="I34" s="80"/>
      <c r="J34" s="1"/>
    </row>
    <row r="35" spans="1:10" ht="17" thickBot="1" x14ac:dyDescent="0.25">
      <c r="A35" s="1"/>
      <c r="B35" s="46"/>
      <c r="C35" s="70" t="s">
        <v>72</v>
      </c>
      <c r="D35" s="6"/>
      <c r="E35" s="149">
        <v>0.1434</v>
      </c>
      <c r="F35" s="73">
        <f t="shared" ref="F35" si="0">E35</f>
        <v>0.1434</v>
      </c>
      <c r="G35" s="51"/>
      <c r="H35" s="22" t="s">
        <v>160</v>
      </c>
      <c r="I35" s="80"/>
      <c r="J35" s="1"/>
    </row>
    <row r="36" spans="1:10" x14ac:dyDescent="0.2">
      <c r="A36" s="1"/>
      <c r="B36" s="53"/>
      <c r="C36" s="54"/>
      <c r="D36" s="55"/>
      <c r="E36" s="148"/>
      <c r="F36" s="59"/>
      <c r="G36" s="60"/>
      <c r="H36" s="3"/>
      <c r="I36" s="83"/>
      <c r="J36" s="1"/>
    </row>
    <row r="37" spans="1:10" x14ac:dyDescent="0.2">
      <c r="A37" s="1"/>
      <c r="B37" s="46" t="s">
        <v>158</v>
      </c>
      <c r="C37" s="39"/>
      <c r="D37" s="48"/>
      <c r="E37" s="69"/>
      <c r="F37" s="57"/>
      <c r="G37" s="51"/>
      <c r="H37" s="6"/>
      <c r="I37" s="80"/>
      <c r="J37" s="1"/>
    </row>
    <row r="38" spans="1:10" ht="17" thickBot="1" x14ac:dyDescent="0.25">
      <c r="A38" s="1"/>
      <c r="B38" s="46"/>
      <c r="C38" s="69" t="s">
        <v>91</v>
      </c>
      <c r="D38" s="48"/>
      <c r="E38" s="69"/>
      <c r="F38" s="58"/>
      <c r="G38" s="51"/>
      <c r="H38" s="6"/>
      <c r="I38" s="80"/>
      <c r="J38" s="1"/>
    </row>
    <row r="39" spans="1:10" ht="17" thickBot="1" x14ac:dyDescent="0.25">
      <c r="A39" s="1"/>
      <c r="B39" s="46"/>
      <c r="C39" s="70" t="s">
        <v>70</v>
      </c>
      <c r="D39" s="6"/>
      <c r="E39" s="149">
        <v>0</v>
      </c>
      <c r="F39" s="73">
        <f>E39</f>
        <v>0</v>
      </c>
      <c r="G39" s="51"/>
      <c r="H39" s="22" t="s">
        <v>160</v>
      </c>
      <c r="I39" s="80"/>
      <c r="J39" s="1"/>
    </row>
    <row r="40" spans="1:10" ht="17" thickBot="1" x14ac:dyDescent="0.25">
      <c r="A40" s="1"/>
      <c r="B40" s="46"/>
      <c r="C40" s="70" t="s">
        <v>72</v>
      </c>
      <c r="D40" s="6"/>
      <c r="E40" s="149">
        <v>1</v>
      </c>
      <c r="F40" s="73">
        <f t="shared" ref="F40" si="1">E40</f>
        <v>1</v>
      </c>
      <c r="G40" s="51"/>
      <c r="H40" s="22" t="s">
        <v>160</v>
      </c>
      <c r="I40" s="80"/>
      <c r="J40" s="1"/>
    </row>
    <row r="41" spans="1:10" x14ac:dyDescent="0.2">
      <c r="A41" s="1"/>
      <c r="B41" s="53"/>
      <c r="C41" s="54"/>
      <c r="D41" s="55"/>
      <c r="E41" s="148"/>
      <c r="F41" s="59"/>
      <c r="G41" s="60"/>
      <c r="H41" s="3"/>
      <c r="I41" s="83"/>
      <c r="J41" s="1"/>
    </row>
    <row r="42" spans="1:10" x14ac:dyDescent="0.2">
      <c r="A42" s="1"/>
      <c r="B42" s="46" t="s">
        <v>159</v>
      </c>
      <c r="C42" s="39"/>
      <c r="D42" s="48"/>
      <c r="E42" s="69"/>
      <c r="F42" s="57"/>
      <c r="G42" s="51"/>
      <c r="H42" s="6"/>
      <c r="I42" s="80"/>
      <c r="J42" s="1"/>
    </row>
    <row r="43" spans="1:10" ht="17" thickBot="1" x14ac:dyDescent="0.25">
      <c r="A43" s="1"/>
      <c r="B43" s="46"/>
      <c r="C43" s="69" t="s">
        <v>91</v>
      </c>
      <c r="D43" s="48"/>
      <c r="E43" s="69"/>
      <c r="F43" s="58"/>
      <c r="G43" s="51"/>
      <c r="H43" s="6"/>
      <c r="I43" s="80"/>
      <c r="J43" s="1"/>
    </row>
    <row r="44" spans="1:10" ht="17" thickBot="1" x14ac:dyDescent="0.25">
      <c r="A44" s="1"/>
      <c r="B44" s="46"/>
      <c r="C44" s="70" t="s">
        <v>70</v>
      </c>
      <c r="D44" s="6"/>
      <c r="E44" s="149">
        <v>0</v>
      </c>
      <c r="F44" s="73">
        <f>E44</f>
        <v>0</v>
      </c>
      <c r="G44" s="51"/>
      <c r="H44" s="22" t="s">
        <v>160</v>
      </c>
      <c r="I44" s="80"/>
      <c r="J44" s="1"/>
    </row>
    <row r="45" spans="1:10" ht="17" thickBot="1" x14ac:dyDescent="0.25">
      <c r="A45" s="1"/>
      <c r="B45" s="46"/>
      <c r="C45" s="70" t="s">
        <v>72</v>
      </c>
      <c r="D45" s="6"/>
      <c r="E45" s="149">
        <v>1</v>
      </c>
      <c r="F45" s="73">
        <f t="shared" ref="F45" si="2">E45</f>
        <v>1</v>
      </c>
      <c r="G45" s="51"/>
      <c r="H45" s="22" t="s">
        <v>160</v>
      </c>
      <c r="I45" s="80"/>
      <c r="J45" s="1"/>
    </row>
    <row r="46" spans="1:10" x14ac:dyDescent="0.2">
      <c r="A46" s="1"/>
      <c r="B46" s="53"/>
      <c r="C46" s="54"/>
      <c r="D46" s="55"/>
      <c r="E46" s="148"/>
      <c r="F46" s="59"/>
      <c r="G46" s="60"/>
      <c r="H46" s="3"/>
      <c r="I46" s="83"/>
      <c r="J46" s="1"/>
    </row>
    <row r="47" spans="1:10" x14ac:dyDescent="0.2">
      <c r="A47" s="1"/>
      <c r="B47" s="46" t="s">
        <v>167</v>
      </c>
      <c r="C47" s="39"/>
      <c r="D47" s="48"/>
      <c r="E47" s="69"/>
      <c r="F47" s="57"/>
      <c r="G47" s="51"/>
      <c r="H47" s="6"/>
      <c r="I47" s="80"/>
      <c r="J47" s="1"/>
    </row>
    <row r="48" spans="1:10" ht="17" thickBot="1" x14ac:dyDescent="0.25">
      <c r="A48" s="1"/>
      <c r="B48" s="46"/>
      <c r="C48" s="69" t="s">
        <v>91</v>
      </c>
      <c r="D48" s="48"/>
      <c r="E48" s="69"/>
      <c r="F48" s="58"/>
      <c r="G48" s="51"/>
      <c r="H48" s="6"/>
      <c r="I48" s="80"/>
      <c r="J48" s="1"/>
    </row>
    <row r="49" spans="1:10" ht="17" thickBot="1" x14ac:dyDescent="0.25">
      <c r="A49" s="1"/>
      <c r="B49" s="46"/>
      <c r="C49" s="70" t="s">
        <v>70</v>
      </c>
      <c r="D49" s="6"/>
      <c r="E49" s="149">
        <v>1</v>
      </c>
      <c r="F49" s="73">
        <f>E49</f>
        <v>1</v>
      </c>
      <c r="G49" s="51"/>
      <c r="H49" s="22" t="s">
        <v>183</v>
      </c>
      <c r="I49" s="80"/>
      <c r="J49" s="1"/>
    </row>
    <row r="50" spans="1:10" ht="17" thickBot="1" x14ac:dyDescent="0.25">
      <c r="A50" s="1"/>
      <c r="B50" s="46"/>
      <c r="C50" s="70" t="s">
        <v>72</v>
      </c>
      <c r="D50" s="6"/>
      <c r="E50" s="149">
        <v>0</v>
      </c>
      <c r="F50" s="73">
        <f t="shared" ref="F50" si="3">E50</f>
        <v>0</v>
      </c>
      <c r="G50" s="51"/>
      <c r="H50" s="22" t="s">
        <v>160</v>
      </c>
      <c r="I50" s="80"/>
      <c r="J50" s="1"/>
    </row>
    <row r="51" spans="1:10" x14ac:dyDescent="0.2">
      <c r="A51" s="1"/>
      <c r="B51" s="53"/>
      <c r="C51" s="54"/>
      <c r="D51" s="55"/>
      <c r="E51" s="148"/>
      <c r="F51" s="59"/>
      <c r="G51" s="60"/>
      <c r="H51" s="3"/>
      <c r="I51" s="83"/>
      <c r="J51" s="1"/>
    </row>
    <row r="52" spans="1:10" x14ac:dyDescent="0.2">
      <c r="A52" s="1"/>
      <c r="B52" s="46" t="s">
        <v>69</v>
      </c>
      <c r="C52" s="39"/>
      <c r="D52" s="48"/>
      <c r="E52" s="69"/>
      <c r="F52" s="61"/>
      <c r="G52" s="51"/>
      <c r="H52" s="6"/>
      <c r="I52" s="80"/>
      <c r="J52" s="1"/>
    </row>
    <row r="53" spans="1:10" ht="17" thickBot="1" x14ac:dyDescent="0.25">
      <c r="A53" s="1"/>
      <c r="B53" s="46"/>
      <c r="C53" s="69" t="s">
        <v>92</v>
      </c>
      <c r="D53" s="48"/>
      <c r="E53" s="69"/>
      <c r="F53" s="61"/>
      <c r="G53" s="51"/>
      <c r="H53" s="6"/>
      <c r="I53" s="80"/>
      <c r="J53" s="1"/>
    </row>
    <row r="54" spans="1:10" ht="17" thickBot="1" x14ac:dyDescent="0.25">
      <c r="A54" s="1"/>
      <c r="B54" s="46"/>
      <c r="C54" s="70" t="s">
        <v>70</v>
      </c>
      <c r="D54" s="72"/>
      <c r="E54" s="149">
        <v>3.8999999999999998E-3</v>
      </c>
      <c r="F54" s="73">
        <f>E54</f>
        <v>3.8999999999999998E-3</v>
      </c>
      <c r="G54" s="51"/>
      <c r="H54" s="22" t="s">
        <v>160</v>
      </c>
      <c r="I54" s="80"/>
      <c r="J54" s="1"/>
    </row>
    <row r="55" spans="1:10" ht="17" thickBot="1" x14ac:dyDescent="0.25">
      <c r="A55" s="1"/>
      <c r="B55" s="46"/>
      <c r="C55" s="136" t="s">
        <v>71</v>
      </c>
      <c r="D55" s="72"/>
      <c r="E55" s="149">
        <v>5.4800000000000001E-2</v>
      </c>
      <c r="F55" s="73">
        <f t="shared" ref="F55:F57" si="4">E55</f>
        <v>5.4800000000000001E-2</v>
      </c>
      <c r="G55" s="51"/>
      <c r="H55" s="22" t="s">
        <v>160</v>
      </c>
      <c r="I55" s="80"/>
      <c r="J55" s="1"/>
    </row>
    <row r="56" spans="1:10" ht="17" thickBot="1" x14ac:dyDescent="0.25">
      <c r="A56" s="1"/>
      <c r="B56" s="46"/>
      <c r="C56" s="136" t="s">
        <v>33</v>
      </c>
      <c r="D56" s="72"/>
      <c r="E56" s="149">
        <v>0.47639999999999999</v>
      </c>
      <c r="F56" s="73">
        <f t="shared" si="4"/>
        <v>0.47639999999999999</v>
      </c>
      <c r="G56" s="51"/>
      <c r="H56" s="22" t="s">
        <v>160</v>
      </c>
      <c r="I56" s="80"/>
      <c r="J56" s="1"/>
    </row>
    <row r="57" spans="1:10" ht="17" thickBot="1" x14ac:dyDescent="0.25">
      <c r="A57" s="1"/>
      <c r="B57" s="46"/>
      <c r="C57" s="136" t="s">
        <v>72</v>
      </c>
      <c r="D57" s="72"/>
      <c r="E57" s="149">
        <v>0.46500000000000002</v>
      </c>
      <c r="F57" s="73">
        <f t="shared" si="4"/>
        <v>0.46500000000000002</v>
      </c>
      <c r="G57" s="51"/>
      <c r="H57" s="22" t="s">
        <v>160</v>
      </c>
      <c r="I57" s="80"/>
      <c r="J57" s="1"/>
    </row>
    <row r="58" spans="1:10" x14ac:dyDescent="0.2">
      <c r="A58" s="1"/>
      <c r="B58" s="53"/>
      <c r="C58" s="54"/>
      <c r="D58" s="55"/>
      <c r="E58" s="148"/>
      <c r="F58" s="62"/>
      <c r="G58" s="56"/>
      <c r="H58" s="3"/>
      <c r="I58" s="83"/>
      <c r="J58" s="1"/>
    </row>
    <row r="59" spans="1:10" x14ac:dyDescent="0.2">
      <c r="A59" s="1"/>
      <c r="B59" s="46" t="s">
        <v>83</v>
      </c>
      <c r="C59" s="39"/>
      <c r="D59" s="48"/>
      <c r="E59" s="69"/>
      <c r="F59" s="63"/>
      <c r="G59" s="51"/>
      <c r="H59" s="6"/>
      <c r="I59" s="80"/>
      <c r="J59" s="1"/>
    </row>
    <row r="60" spans="1:10" ht="17" thickBot="1" x14ac:dyDescent="0.25">
      <c r="A60" s="1"/>
      <c r="B60" s="46"/>
      <c r="C60" s="6" t="s">
        <v>88</v>
      </c>
      <c r="D60" s="48"/>
      <c r="E60" s="69"/>
      <c r="F60" s="63"/>
      <c r="G60" s="51"/>
      <c r="H60" s="6"/>
      <c r="I60" s="80"/>
      <c r="J60" s="1"/>
    </row>
    <row r="61" spans="1:10" ht="17" thickBot="1" x14ac:dyDescent="0.25">
      <c r="A61" s="1"/>
      <c r="B61" s="46"/>
      <c r="C61" s="136" t="s">
        <v>148</v>
      </c>
      <c r="D61" s="72"/>
      <c r="E61" s="149">
        <v>2.8999999999999998E-3</v>
      </c>
      <c r="F61" s="73">
        <f>68.55*1.19/F21</f>
        <v>9.2409265795960246E-2</v>
      </c>
      <c r="G61" s="51"/>
      <c r="H61" s="76" t="s">
        <v>185</v>
      </c>
      <c r="I61" s="80"/>
      <c r="J61" s="1"/>
    </row>
    <row r="62" spans="1:10" ht="17" thickBot="1" x14ac:dyDescent="0.25">
      <c r="A62" s="1"/>
      <c r="B62" s="46"/>
      <c r="C62" s="136" t="s">
        <v>84</v>
      </c>
      <c r="D62" s="72"/>
      <c r="E62" s="149">
        <v>0</v>
      </c>
      <c r="F62" s="73">
        <v>0</v>
      </c>
      <c r="G62" s="51"/>
      <c r="H62" s="76" t="s">
        <v>188</v>
      </c>
      <c r="I62" s="80"/>
      <c r="J62" s="1"/>
    </row>
    <row r="63" spans="1:10" ht="17" thickBot="1" x14ac:dyDescent="0.25">
      <c r="A63" s="1"/>
      <c r="B63" s="46"/>
      <c r="C63" s="136" t="s">
        <v>85</v>
      </c>
      <c r="D63" s="72"/>
      <c r="E63" s="149">
        <v>0</v>
      </c>
      <c r="F63" s="73">
        <v>0</v>
      </c>
      <c r="G63" s="51"/>
      <c r="H63" s="76" t="s">
        <v>188</v>
      </c>
      <c r="I63" s="80"/>
      <c r="J63" s="1"/>
    </row>
    <row r="64" spans="1:10" ht="17" thickBot="1" x14ac:dyDescent="0.25">
      <c r="A64" s="1"/>
      <c r="B64" s="46"/>
      <c r="C64" s="136" t="s">
        <v>86</v>
      </c>
      <c r="D64" s="72"/>
      <c r="E64" s="149">
        <v>0</v>
      </c>
      <c r="F64" s="73">
        <v>0</v>
      </c>
      <c r="G64" s="51"/>
      <c r="H64" s="75" t="s">
        <v>187</v>
      </c>
      <c r="I64" s="80"/>
      <c r="J64" s="1"/>
    </row>
    <row r="65" spans="1:10" ht="17" thickBot="1" x14ac:dyDescent="0.25">
      <c r="A65" s="1"/>
      <c r="B65" s="46"/>
      <c r="C65" s="136" t="s">
        <v>87</v>
      </c>
      <c r="D65" s="72"/>
      <c r="E65" s="149">
        <v>0.99709999999999999</v>
      </c>
      <c r="F65" s="73">
        <f>1-SUM(F61:F64)</f>
        <v>0.9075907342040398</v>
      </c>
      <c r="G65" s="51"/>
      <c r="H65" s="76" t="s">
        <v>186</v>
      </c>
      <c r="I65" s="80"/>
      <c r="J65" s="1"/>
    </row>
    <row r="66" spans="1:10" ht="17" thickBot="1" x14ac:dyDescent="0.25">
      <c r="A66" s="1"/>
      <c r="B66" s="163"/>
      <c r="C66" s="64"/>
      <c r="D66" s="164"/>
      <c r="E66" s="151"/>
      <c r="F66" s="201"/>
      <c r="G66" s="65"/>
      <c r="H66" s="66"/>
      <c r="I66" s="85"/>
      <c r="J66" s="1"/>
    </row>
    <row r="67" spans="1:10" x14ac:dyDescent="0.2">
      <c r="A67" s="1"/>
      <c r="B67" s="199"/>
      <c r="C67" s="39"/>
      <c r="D67" s="40"/>
      <c r="E67" s="69"/>
      <c r="F67" s="63"/>
      <c r="G67" s="51"/>
      <c r="H67" s="6"/>
      <c r="I67" s="6"/>
      <c r="J67" s="1"/>
    </row>
    <row r="68" spans="1:10" x14ac:dyDescent="0.2">
      <c r="A68" s="1"/>
      <c r="B68" s="1"/>
      <c r="C68" s="1"/>
      <c r="D68" s="1"/>
      <c r="E68" s="142"/>
      <c r="F68" s="1"/>
      <c r="G68" s="1"/>
      <c r="H68" s="1"/>
      <c r="I68" s="1"/>
      <c r="J68" s="1"/>
    </row>
    <row r="69" spans="1:10" ht="17" thickBot="1" x14ac:dyDescent="0.25">
      <c r="A69" s="1"/>
      <c r="B69" s="1"/>
      <c r="C69" s="1"/>
      <c r="D69" s="1"/>
      <c r="E69" s="142"/>
      <c r="F69" s="1"/>
      <c r="G69" s="1"/>
      <c r="H69" s="1"/>
      <c r="I69" s="1"/>
      <c r="J69" s="1"/>
    </row>
    <row r="70" spans="1:10" x14ac:dyDescent="0.2">
      <c r="A70" s="1"/>
      <c r="B70" s="33" t="s">
        <v>172</v>
      </c>
      <c r="C70" s="34"/>
      <c r="D70" s="35"/>
      <c r="E70" s="143"/>
      <c r="F70" s="36"/>
      <c r="G70" s="37"/>
      <c r="H70" s="37"/>
      <c r="I70" s="79"/>
      <c r="J70" s="1"/>
    </row>
    <row r="71" spans="1:10" x14ac:dyDescent="0.2">
      <c r="A71" s="1"/>
      <c r="B71" s="38"/>
      <c r="C71" s="39"/>
      <c r="D71" s="40"/>
      <c r="E71" s="69"/>
      <c r="F71" s="41"/>
      <c r="G71" s="6"/>
      <c r="H71" s="6"/>
      <c r="I71" s="80"/>
      <c r="J71" s="1"/>
    </row>
    <row r="72" spans="1:10" x14ac:dyDescent="0.2">
      <c r="A72" s="1"/>
      <c r="B72" s="67" t="s">
        <v>27</v>
      </c>
      <c r="C72" s="68"/>
      <c r="D72" s="68" t="s">
        <v>28</v>
      </c>
      <c r="E72" s="144" t="s">
        <v>100</v>
      </c>
      <c r="F72" s="68" t="s">
        <v>29</v>
      </c>
      <c r="G72" s="68"/>
      <c r="H72" s="68" t="s">
        <v>30</v>
      </c>
      <c r="I72" s="81"/>
      <c r="J72" s="1"/>
    </row>
    <row r="73" spans="1:10" x14ac:dyDescent="0.2">
      <c r="A73" s="1"/>
      <c r="B73" s="46" t="s">
        <v>82</v>
      </c>
      <c r="C73" s="39"/>
      <c r="D73" s="48"/>
      <c r="E73" s="69"/>
      <c r="F73" s="63"/>
      <c r="G73" s="51"/>
      <c r="H73" s="6"/>
      <c r="I73" s="80"/>
      <c r="J73" s="1"/>
    </row>
    <row r="74" spans="1:10" ht="17" thickBot="1" x14ac:dyDescent="0.25">
      <c r="A74" s="1"/>
      <c r="B74" s="46"/>
      <c r="C74" s="39" t="s">
        <v>101</v>
      </c>
      <c r="D74" s="48"/>
      <c r="E74" s="69"/>
      <c r="F74" s="63"/>
      <c r="G74" s="51"/>
      <c r="H74" s="6"/>
      <c r="I74" s="80"/>
      <c r="J74" s="1"/>
    </row>
    <row r="75" spans="1:10" ht="17" thickBot="1" x14ac:dyDescent="0.25">
      <c r="A75" s="1"/>
      <c r="B75" s="47"/>
      <c r="C75" s="70" t="s">
        <v>149</v>
      </c>
      <c r="D75" s="72"/>
      <c r="E75" s="150">
        <v>1.9800000000000002E-2</v>
      </c>
      <c r="F75" s="156">
        <f>E75/SUM(E$75:E$76)</f>
        <v>1</v>
      </c>
      <c r="G75" s="51"/>
      <c r="H75" s="78" t="s">
        <v>104</v>
      </c>
      <c r="I75" s="80"/>
      <c r="J75" s="1"/>
    </row>
    <row r="76" spans="1:10" ht="17" thickBot="1" x14ac:dyDescent="0.25">
      <c r="A76" s="1"/>
      <c r="B76" s="47"/>
      <c r="C76" s="70" t="s">
        <v>78</v>
      </c>
      <c r="D76" s="72"/>
      <c r="E76" s="150">
        <v>0</v>
      </c>
      <c r="F76" s="73">
        <f>E76/SUM(E$75:E$76)</f>
        <v>0</v>
      </c>
      <c r="G76" s="51"/>
      <c r="H76" s="22" t="s">
        <v>104</v>
      </c>
      <c r="I76" s="80"/>
      <c r="J76" s="1"/>
    </row>
    <row r="77" spans="1:10" ht="17" thickBot="1" x14ac:dyDescent="0.25">
      <c r="A77" s="1"/>
      <c r="B77" s="47"/>
      <c r="C77" s="70"/>
      <c r="D77" s="72"/>
      <c r="E77" s="150"/>
      <c r="F77" s="74"/>
      <c r="G77" s="51"/>
      <c r="H77" s="6"/>
      <c r="I77" s="80"/>
      <c r="J77" s="1"/>
    </row>
    <row r="78" spans="1:10" ht="17" thickBot="1" x14ac:dyDescent="0.25">
      <c r="A78" s="1"/>
      <c r="B78" s="46"/>
      <c r="C78" s="136" t="s">
        <v>150</v>
      </c>
      <c r="D78" s="72"/>
      <c r="E78" s="150">
        <v>0</v>
      </c>
      <c r="F78" s="73">
        <f>E78/SUM(E$78:E$79)</f>
        <v>0</v>
      </c>
      <c r="G78" s="51"/>
      <c r="H78" s="22" t="s">
        <v>104</v>
      </c>
      <c r="I78" s="80"/>
      <c r="J78" s="1"/>
    </row>
    <row r="79" spans="1:10" ht="17" thickBot="1" x14ac:dyDescent="0.25">
      <c r="A79" s="1"/>
      <c r="B79" s="47"/>
      <c r="C79" s="70" t="s">
        <v>143</v>
      </c>
      <c r="D79" s="72"/>
      <c r="E79" s="149">
        <v>0.87980000000000003</v>
      </c>
      <c r="F79" s="73">
        <f>E79/SUM(E$78:E$79)</f>
        <v>1</v>
      </c>
      <c r="G79" s="51"/>
      <c r="H79" s="22" t="s">
        <v>104</v>
      </c>
      <c r="I79" s="80"/>
      <c r="J79" s="1"/>
    </row>
    <row r="80" spans="1:10" ht="17" thickBot="1" x14ac:dyDescent="0.25">
      <c r="A80" s="1"/>
      <c r="B80" s="46"/>
      <c r="C80" s="6"/>
      <c r="D80" s="72"/>
      <c r="E80" s="149"/>
      <c r="F80" s="74"/>
      <c r="G80" s="51"/>
      <c r="H80" s="6"/>
      <c r="I80" s="80"/>
      <c r="J80" s="1"/>
    </row>
    <row r="81" spans="1:10" ht="17" thickBot="1" x14ac:dyDescent="0.25">
      <c r="A81" s="1"/>
      <c r="B81" s="47"/>
      <c r="C81" s="70" t="s">
        <v>80</v>
      </c>
      <c r="D81" s="72"/>
      <c r="E81" s="149">
        <v>0</v>
      </c>
      <c r="F81" s="73">
        <v>1</v>
      </c>
      <c r="G81" s="51"/>
      <c r="H81" s="22" t="s">
        <v>102</v>
      </c>
      <c r="I81" s="80"/>
      <c r="J81" s="1"/>
    </row>
    <row r="82" spans="1:10" ht="17" thickBot="1" x14ac:dyDescent="0.25">
      <c r="A82" s="1"/>
      <c r="B82" s="47"/>
      <c r="C82" s="70" t="s">
        <v>79</v>
      </c>
      <c r="D82" s="72"/>
      <c r="E82" s="149">
        <v>0</v>
      </c>
      <c r="F82" s="73">
        <v>1</v>
      </c>
      <c r="G82" s="51"/>
      <c r="H82" s="22" t="s">
        <v>154</v>
      </c>
      <c r="I82" s="80"/>
      <c r="J82" s="1"/>
    </row>
    <row r="83" spans="1:10" ht="17" thickBot="1" x14ac:dyDescent="0.25">
      <c r="A83" s="1"/>
      <c r="B83" s="46"/>
      <c r="C83" s="70" t="s">
        <v>76</v>
      </c>
      <c r="D83" s="72"/>
      <c r="E83" s="149">
        <v>9.74E-2</v>
      </c>
      <c r="F83" s="73">
        <v>1</v>
      </c>
      <c r="G83" s="51"/>
      <c r="H83" s="22" t="s">
        <v>155</v>
      </c>
      <c r="I83" s="80"/>
      <c r="J83" s="1"/>
    </row>
    <row r="84" spans="1:10" ht="17" thickBot="1" x14ac:dyDescent="0.25">
      <c r="A84" s="1"/>
      <c r="B84" s="46"/>
      <c r="C84" s="70" t="s">
        <v>75</v>
      </c>
      <c r="D84" s="72"/>
      <c r="E84" s="149">
        <v>6.9999999999999999E-4</v>
      </c>
      <c r="F84" s="73">
        <v>1</v>
      </c>
      <c r="G84" s="51"/>
      <c r="H84" s="22" t="s">
        <v>146</v>
      </c>
      <c r="I84" s="80"/>
      <c r="J84" s="1"/>
    </row>
    <row r="85" spans="1:10" ht="17" thickBot="1" x14ac:dyDescent="0.25">
      <c r="A85" s="1"/>
      <c r="B85" s="46"/>
      <c r="C85" s="70" t="s">
        <v>77</v>
      </c>
      <c r="D85" s="72"/>
      <c r="E85" s="149">
        <v>2.3E-3</v>
      </c>
      <c r="F85" s="73">
        <v>1</v>
      </c>
      <c r="G85" s="51"/>
      <c r="H85" s="22" t="s">
        <v>147</v>
      </c>
      <c r="I85" s="80"/>
      <c r="J85" s="1"/>
    </row>
    <row r="86" spans="1:10" x14ac:dyDescent="0.2">
      <c r="A86" s="1"/>
      <c r="B86" s="53"/>
      <c r="C86" s="54"/>
      <c r="D86" s="165"/>
      <c r="E86" s="56"/>
      <c r="F86" s="62"/>
      <c r="G86" s="56"/>
      <c r="H86" s="3"/>
      <c r="I86" s="83"/>
      <c r="J86" s="1"/>
    </row>
    <row r="87" spans="1:10" x14ac:dyDescent="0.2">
      <c r="A87" s="1"/>
      <c r="B87" s="46" t="s">
        <v>94</v>
      </c>
      <c r="C87" s="6"/>
      <c r="D87" s="6"/>
      <c r="E87" s="51"/>
      <c r="F87" s="141"/>
      <c r="G87" s="6"/>
      <c r="H87" s="6"/>
      <c r="I87" s="80"/>
      <c r="J87" s="1"/>
    </row>
    <row r="88" spans="1:10" ht="17" thickBot="1" x14ac:dyDescent="0.25">
      <c r="A88" s="1"/>
      <c r="B88" s="47"/>
      <c r="C88" s="69" t="s">
        <v>95</v>
      </c>
      <c r="D88" s="48"/>
      <c r="E88" s="150"/>
      <c r="F88" s="63"/>
      <c r="G88" s="6"/>
      <c r="H88" s="153"/>
      <c r="I88" s="80"/>
      <c r="J88" s="1"/>
    </row>
    <row r="89" spans="1:10" ht="17" thickBot="1" x14ac:dyDescent="0.25">
      <c r="A89" s="1"/>
      <c r="B89" s="46"/>
      <c r="C89" s="136" t="s">
        <v>150</v>
      </c>
      <c r="D89" s="48"/>
      <c r="E89" s="150">
        <v>0</v>
      </c>
      <c r="F89" s="212">
        <f>E89</f>
        <v>0</v>
      </c>
      <c r="G89" s="51"/>
      <c r="H89" s="76" t="s">
        <v>96</v>
      </c>
      <c r="I89" s="80"/>
      <c r="J89" s="1"/>
    </row>
    <row r="90" spans="1:10" ht="17" thickBot="1" x14ac:dyDescent="0.25">
      <c r="A90" s="1"/>
      <c r="B90" s="46"/>
      <c r="C90" s="136"/>
      <c r="D90" s="48"/>
      <c r="E90" s="150"/>
      <c r="F90" s="63"/>
      <c r="G90" s="51"/>
      <c r="H90" s="153"/>
      <c r="I90" s="80"/>
      <c r="J90" s="1"/>
    </row>
    <row r="91" spans="1:10" ht="17" thickBot="1" x14ac:dyDescent="0.25">
      <c r="A91" s="1"/>
      <c r="B91" s="46"/>
      <c r="C91" s="136" t="s">
        <v>156</v>
      </c>
      <c r="D91" s="48"/>
      <c r="E91" s="150">
        <v>4.3999999999999997E-2</v>
      </c>
      <c r="F91" s="212">
        <f>E91</f>
        <v>4.3999999999999997E-2</v>
      </c>
      <c r="G91" s="77"/>
      <c r="H91" s="76" t="s">
        <v>96</v>
      </c>
      <c r="I91" s="80"/>
      <c r="J91" s="1"/>
    </row>
    <row r="92" spans="1:10" ht="17" thickBot="1" x14ac:dyDescent="0.25">
      <c r="A92" s="1"/>
      <c r="B92" s="46"/>
      <c r="C92" s="136" t="s">
        <v>157</v>
      </c>
      <c r="D92" s="48"/>
      <c r="E92" s="150">
        <v>0.95599999999999996</v>
      </c>
      <c r="F92" s="213">
        <f>E92</f>
        <v>0.95599999999999996</v>
      </c>
      <c r="G92" s="77"/>
      <c r="H92" s="75" t="s">
        <v>96</v>
      </c>
      <c r="I92" s="80"/>
      <c r="J92" s="1"/>
    </row>
    <row r="93" spans="1:10" x14ac:dyDescent="0.2">
      <c r="A93" s="1"/>
      <c r="B93" s="53"/>
      <c r="C93" s="214"/>
      <c r="D93" s="55"/>
      <c r="E93" s="148"/>
      <c r="F93" s="62"/>
      <c r="G93" s="56"/>
      <c r="H93" s="3"/>
      <c r="I93" s="83"/>
      <c r="J93" s="1"/>
    </row>
    <row r="94" spans="1:10" x14ac:dyDescent="0.2">
      <c r="A94" s="1"/>
      <c r="B94" s="46" t="s">
        <v>33</v>
      </c>
      <c r="C94" s="39"/>
      <c r="D94" s="48"/>
      <c r="E94" s="69"/>
      <c r="F94" s="63"/>
      <c r="G94" s="51"/>
      <c r="H94" s="6"/>
      <c r="I94" s="80"/>
      <c r="J94" s="1"/>
    </row>
    <row r="95" spans="1:10" ht="17" thickBot="1" x14ac:dyDescent="0.25">
      <c r="A95" s="1"/>
      <c r="B95" s="46"/>
      <c r="C95" s="69" t="s">
        <v>105</v>
      </c>
      <c r="D95" s="48"/>
      <c r="E95" s="69"/>
      <c r="F95" s="63"/>
      <c r="G95" s="51"/>
      <c r="H95" s="6"/>
      <c r="I95" s="80"/>
      <c r="J95" s="1"/>
    </row>
    <row r="96" spans="1:10" ht="17" thickBot="1" x14ac:dyDescent="0.25">
      <c r="A96" s="1"/>
      <c r="B96" s="47"/>
      <c r="C96" s="136" t="s">
        <v>152</v>
      </c>
      <c r="D96" s="6"/>
      <c r="E96" s="150">
        <v>6.5000000000000002E-2</v>
      </c>
      <c r="F96" s="215">
        <f>E96</f>
        <v>6.5000000000000002E-2</v>
      </c>
      <c r="G96" s="77"/>
      <c r="H96" s="76" t="s">
        <v>96</v>
      </c>
      <c r="I96" s="80"/>
      <c r="J96" s="1"/>
    </row>
    <row r="97" spans="1:10" ht="17" thickBot="1" x14ac:dyDescent="0.25">
      <c r="A97" s="1"/>
      <c r="B97" s="47"/>
      <c r="C97" s="136" t="s">
        <v>153</v>
      </c>
      <c r="D97" s="6"/>
      <c r="E97" s="150">
        <v>1.6E-2</v>
      </c>
      <c r="F97" s="215">
        <f t="shared" ref="F97:F98" si="5">E97</f>
        <v>1.6E-2</v>
      </c>
      <c r="G97" s="51"/>
      <c r="H97" s="76" t="s">
        <v>96</v>
      </c>
      <c r="I97" s="80"/>
      <c r="J97" s="1"/>
    </row>
    <row r="98" spans="1:10" ht="17" thickBot="1" x14ac:dyDescent="0.25">
      <c r="A98" s="1"/>
      <c r="B98" s="47"/>
      <c r="C98" s="136" t="s">
        <v>151</v>
      </c>
      <c r="D98" s="6"/>
      <c r="E98" s="150">
        <v>0.91900000000000004</v>
      </c>
      <c r="F98" s="215">
        <f t="shared" si="5"/>
        <v>0.91900000000000004</v>
      </c>
      <c r="G98" s="51"/>
      <c r="H98" s="76" t="s">
        <v>96</v>
      </c>
      <c r="I98" s="80"/>
      <c r="J98" s="1"/>
    </row>
    <row r="99" spans="1:10" ht="17" thickBot="1" x14ac:dyDescent="0.25">
      <c r="A99" s="1"/>
      <c r="B99" s="163"/>
      <c r="C99" s="66"/>
      <c r="D99" s="204"/>
      <c r="E99" s="205"/>
      <c r="F99" s="216"/>
      <c r="G99" s="65"/>
      <c r="H99" s="206"/>
      <c r="I99" s="85"/>
      <c r="J99" s="1"/>
    </row>
    <row r="100" spans="1:10" ht="17" thickBot="1" x14ac:dyDescent="0.25">
      <c r="A100" s="1"/>
      <c r="B100" s="199"/>
      <c r="C100" s="6"/>
      <c r="D100" s="40"/>
      <c r="E100" s="150"/>
      <c r="F100" s="141"/>
      <c r="G100" s="51"/>
      <c r="H100" s="153"/>
      <c r="I100" s="6"/>
      <c r="J100" s="1"/>
    </row>
    <row r="101" spans="1:10" ht="17" thickBot="1" x14ac:dyDescent="0.25">
      <c r="A101" s="1"/>
      <c r="B101" s="207" t="s">
        <v>182</v>
      </c>
      <c r="C101" s="37"/>
      <c r="D101" s="37"/>
      <c r="E101" s="208"/>
      <c r="F101" s="37"/>
      <c r="G101" s="37"/>
      <c r="H101" s="37"/>
      <c r="I101" s="210"/>
      <c r="J101" s="1"/>
    </row>
    <row r="102" spans="1:10" ht="17" thickBot="1" x14ac:dyDescent="0.25">
      <c r="A102" s="1"/>
      <c r="B102" s="38"/>
      <c r="C102" s="39" t="s">
        <v>179</v>
      </c>
      <c r="D102" s="40" t="s">
        <v>180</v>
      </c>
      <c r="E102" s="145"/>
      <c r="F102" s="71">
        <v>150</v>
      </c>
      <c r="G102" s="23"/>
      <c r="H102" s="22" t="s">
        <v>181</v>
      </c>
      <c r="I102" s="80"/>
      <c r="J102" s="1"/>
    </row>
    <row r="103" spans="1:10" ht="17" thickBot="1" x14ac:dyDescent="0.25">
      <c r="A103" s="1"/>
      <c r="B103" s="209"/>
      <c r="C103" s="64"/>
      <c r="D103" s="204"/>
      <c r="E103" s="151"/>
      <c r="F103" s="157"/>
      <c r="G103" s="65"/>
      <c r="H103" s="66"/>
      <c r="I103" s="85"/>
      <c r="J103" s="1"/>
    </row>
  </sheetData>
  <dataValidations count="2">
    <dataValidation type="decimal" operator="greaterThanOrEqual" showInputMessage="1" showErrorMessage="1" errorTitle="Number Range" error="You may only add positive numbers. _x000d_" sqref="E88:E92 E75:E78 F88:F95 F33:F36 F39:F41 F44:F46 E96:E100 F49:F67 F73:F86">
      <formula1>0</formula1>
    </dataValidation>
    <dataValidation type="decimal" operator="greaterThanOrEqual" allowBlank="1" showInputMessage="1" showErrorMessage="1" errorTitle="Number Range" error="You may only enter positive numbers here. " sqref="F18:F21 F12:F15 F102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T73"/>
  <sheetViews>
    <sheetView topLeftCell="A4" workbookViewId="0">
      <selection activeCell="N25" sqref="N25"/>
    </sheetView>
  </sheetViews>
  <sheetFormatPr baseColWidth="10" defaultRowHeight="16" x14ac:dyDescent="0.2"/>
  <cols>
    <col min="2" max="2" width="48.6640625" customWidth="1"/>
    <col min="3" max="3" width="37.33203125" customWidth="1"/>
    <col min="4" max="4" width="20.1640625" customWidth="1"/>
    <col min="5" max="5" width="24.1640625" customWidth="1"/>
    <col min="6" max="10" width="20.1640625" customWidth="1"/>
    <col min="11" max="11" width="9.1640625" bestFit="1" customWidth="1"/>
    <col min="12" max="12" width="9.83203125" bestFit="1" customWidth="1"/>
    <col min="13" max="13" width="17" bestFit="1" customWidth="1"/>
    <col min="14" max="14" width="10.33203125" bestFit="1" customWidth="1"/>
    <col min="15" max="15" width="24" bestFit="1" customWidth="1"/>
    <col min="16" max="16" width="53.83203125" bestFit="1" customWidth="1"/>
    <col min="17" max="17" width="21.1640625" bestFit="1" customWidth="1"/>
    <col min="18" max="18" width="8.1640625" bestFit="1" customWidth="1"/>
    <col min="19" max="19" width="11.1640625" bestFit="1" customWidth="1"/>
    <col min="20" max="20" width="7.1640625" bestFit="1" customWidth="1"/>
  </cols>
  <sheetData>
    <row r="1" spans="1:20" ht="21" x14ac:dyDescent="0.25">
      <c r="A1" s="1"/>
      <c r="B1" s="86" t="s">
        <v>35</v>
      </c>
      <c r="C1" s="6"/>
      <c r="D1" s="6"/>
      <c r="E1" s="6"/>
      <c r="F1" s="6"/>
      <c r="G1" s="6"/>
      <c r="H1" s="6"/>
      <c r="I1" s="6"/>
      <c r="J1" s="6"/>
      <c r="K1" s="6"/>
      <c r="L1" s="1"/>
      <c r="M1" s="1"/>
      <c r="N1" s="1"/>
      <c r="O1" s="6"/>
      <c r="P1" s="1"/>
      <c r="Q1" s="1"/>
      <c r="R1" s="1"/>
      <c r="S1" s="1"/>
      <c r="T1" s="1"/>
    </row>
    <row r="2" spans="1:20" x14ac:dyDescent="0.2">
      <c r="A2" s="1"/>
      <c r="B2" s="1"/>
      <c r="C2" s="1"/>
      <c r="D2" s="6"/>
      <c r="E2" s="6"/>
      <c r="F2" s="6"/>
      <c r="G2" s="6"/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1"/>
      <c r="B3" s="11" t="s">
        <v>36</v>
      </c>
      <c r="C3" s="10"/>
      <c r="D3" s="10"/>
      <c r="E3" s="10"/>
      <c r="F3" s="9"/>
      <c r="G3" s="6"/>
      <c r="H3" s="6"/>
      <c r="I3" s="6"/>
      <c r="J3" s="6"/>
      <c r="K3" s="6"/>
      <c r="L3" s="1"/>
      <c r="M3" s="1"/>
      <c r="N3" s="1"/>
      <c r="O3" s="10"/>
      <c r="P3" s="1"/>
      <c r="Q3" s="1"/>
      <c r="R3" s="1"/>
      <c r="S3" s="1"/>
      <c r="T3" s="1"/>
    </row>
    <row r="4" spans="1:20" ht="16" customHeight="1" x14ac:dyDescent="0.2">
      <c r="A4" s="1"/>
      <c r="B4" s="166" t="s">
        <v>99</v>
      </c>
      <c r="C4" s="167"/>
      <c r="D4" s="167"/>
      <c r="E4" s="167"/>
      <c r="F4" s="168"/>
      <c r="G4" s="6"/>
      <c r="H4" s="6"/>
      <c r="I4" s="6"/>
      <c r="J4" s="6"/>
      <c r="K4" s="6"/>
      <c r="L4" s="1"/>
      <c r="M4" s="1"/>
      <c r="N4" s="1"/>
      <c r="O4" s="167"/>
      <c r="P4" s="1"/>
      <c r="Q4" s="1"/>
      <c r="R4" s="6"/>
      <c r="S4" s="1"/>
      <c r="T4" s="1"/>
    </row>
    <row r="5" spans="1:20" ht="17" thickBot="1" x14ac:dyDescent="0.25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1"/>
      <c r="M5" s="1"/>
      <c r="N5" s="1"/>
      <c r="O5" s="6"/>
      <c r="P5" s="1"/>
      <c r="Q5" s="1"/>
      <c r="R5" s="6"/>
      <c r="S5" s="1"/>
      <c r="T5" s="1"/>
    </row>
    <row r="6" spans="1:20" x14ac:dyDescent="0.2">
      <c r="A6" s="1"/>
      <c r="B6" s="33" t="s">
        <v>35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79"/>
      <c r="O6" s="6"/>
      <c r="P6" s="1"/>
      <c r="Q6" s="1"/>
      <c r="R6" s="130"/>
      <c r="S6" s="1"/>
      <c r="T6" s="1"/>
    </row>
    <row r="7" spans="1:20" x14ac:dyDescent="0.2">
      <c r="A7" s="1"/>
      <c r="B7" s="4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80"/>
      <c r="O7" s="6"/>
      <c r="P7" s="1"/>
      <c r="Q7" s="1"/>
      <c r="R7" s="130"/>
      <c r="S7" s="1"/>
      <c r="T7" s="1"/>
    </row>
    <row r="8" spans="1:20" ht="80" x14ac:dyDescent="0.2">
      <c r="A8" s="1"/>
      <c r="B8" s="87" t="s">
        <v>37</v>
      </c>
      <c r="C8" s="88" t="s">
        <v>38</v>
      </c>
      <c r="D8" s="89" t="s">
        <v>39</v>
      </c>
      <c r="E8" s="89" t="s">
        <v>40</v>
      </c>
      <c r="F8" s="89" t="s">
        <v>41</v>
      </c>
      <c r="G8" s="89" t="s">
        <v>42</v>
      </c>
      <c r="H8" s="89" t="s">
        <v>43</v>
      </c>
      <c r="I8" s="89" t="s">
        <v>44</v>
      </c>
      <c r="J8" s="173" t="s">
        <v>45</v>
      </c>
      <c r="K8" s="88" t="s">
        <v>168</v>
      </c>
      <c r="L8" s="88" t="s">
        <v>169</v>
      </c>
      <c r="M8" s="169" t="s">
        <v>46</v>
      </c>
      <c r="N8" s="170" t="s">
        <v>47</v>
      </c>
      <c r="O8" s="89" t="s">
        <v>170</v>
      </c>
      <c r="P8" s="1"/>
      <c r="Q8" s="1"/>
      <c r="R8" s="131"/>
      <c r="S8" s="1"/>
      <c r="T8" s="1"/>
    </row>
    <row r="9" spans="1:20" x14ac:dyDescent="0.2">
      <c r="A9" s="1"/>
      <c r="B9" s="91"/>
      <c r="C9" s="92"/>
      <c r="D9" s="6"/>
      <c r="E9" s="6"/>
      <c r="F9" s="6"/>
      <c r="G9" s="6"/>
      <c r="H9" s="6"/>
      <c r="I9" s="6"/>
      <c r="J9" s="5"/>
      <c r="K9" s="93"/>
      <c r="L9" s="6"/>
      <c r="M9" s="6"/>
      <c r="N9" s="80"/>
      <c r="O9" s="6"/>
      <c r="P9" s="1"/>
      <c r="Q9" s="1"/>
      <c r="R9" s="6"/>
      <c r="S9" s="1"/>
      <c r="T9" s="1"/>
    </row>
    <row r="10" spans="1:20" x14ac:dyDescent="0.2">
      <c r="A10" s="1"/>
      <c r="B10" s="38"/>
      <c r="C10" s="6"/>
      <c r="D10" s="6"/>
      <c r="E10" s="6"/>
      <c r="F10" s="6"/>
      <c r="G10" s="6"/>
      <c r="H10" s="6"/>
      <c r="I10" s="6"/>
      <c r="J10" s="5"/>
      <c r="K10" s="94"/>
      <c r="L10" s="39"/>
      <c r="M10" s="39"/>
      <c r="N10" s="95"/>
      <c r="O10" s="6"/>
      <c r="P10" s="96"/>
      <c r="Q10" s="39"/>
      <c r="R10" s="39"/>
      <c r="S10" s="96"/>
      <c r="T10" s="96"/>
    </row>
    <row r="11" spans="1:20" x14ac:dyDescent="0.2">
      <c r="A11" s="1"/>
      <c r="B11" s="97"/>
      <c r="C11" s="90"/>
      <c r="D11" s="154">
        <f>Dashboard!F19*31.65/10^6</f>
        <v>1867.25505</v>
      </c>
      <c r="E11" s="154">
        <f>Dashboard!F18*0.0000036</f>
        <v>3045.8231999999998</v>
      </c>
      <c r="F11" s="154">
        <f>Dashboard!F22</f>
        <v>0</v>
      </c>
      <c r="G11" s="154">
        <v>0</v>
      </c>
      <c r="H11" s="154">
        <v>0</v>
      </c>
      <c r="I11" s="154">
        <f>Dashboard!F20</f>
        <v>3.06</v>
      </c>
      <c r="J11" s="174">
        <f>Dashboard!F21</f>
        <v>882.75238740795282</v>
      </c>
      <c r="K11" s="98"/>
      <c r="L11" s="6"/>
      <c r="M11" s="6"/>
      <c r="N11" s="80"/>
      <c r="O11" s="90"/>
      <c r="P11" s="1"/>
      <c r="Q11" s="6"/>
      <c r="R11" s="6"/>
      <c r="S11" s="1"/>
      <c r="T11" s="1"/>
    </row>
    <row r="12" spans="1:20" x14ac:dyDescent="0.2">
      <c r="A12" s="1"/>
      <c r="B12" s="87"/>
      <c r="C12" s="3"/>
      <c r="D12" s="99"/>
      <c r="E12" s="99"/>
      <c r="F12" s="99"/>
      <c r="G12" s="99"/>
      <c r="H12" s="99"/>
      <c r="I12" s="99"/>
      <c r="J12" s="175"/>
      <c r="K12" s="100"/>
      <c r="L12" s="6"/>
      <c r="M12" s="6"/>
      <c r="N12" s="80"/>
      <c r="O12" s="6"/>
      <c r="P12" s="1"/>
      <c r="Q12" s="6"/>
      <c r="R12" s="6"/>
      <c r="S12" s="1"/>
      <c r="T12" s="1"/>
    </row>
    <row r="13" spans="1:20" x14ac:dyDescent="0.2">
      <c r="A13" s="1"/>
      <c r="B13" s="160" t="s">
        <v>31</v>
      </c>
      <c r="C13" s="161"/>
      <c r="D13" s="162"/>
      <c r="E13" s="162"/>
      <c r="F13" s="162"/>
      <c r="G13" s="162"/>
      <c r="H13" s="162"/>
      <c r="I13" s="162"/>
      <c r="J13" s="176"/>
      <c r="K13" s="100"/>
      <c r="L13" s="6"/>
      <c r="M13" s="6"/>
      <c r="N13" s="80"/>
      <c r="O13" s="6"/>
      <c r="P13" s="1"/>
      <c r="Q13" s="6"/>
      <c r="R13" s="6"/>
      <c r="S13" s="1"/>
      <c r="T13" s="1"/>
    </row>
    <row r="14" spans="1:20" x14ac:dyDescent="0.2">
      <c r="A14" s="1"/>
      <c r="B14" s="91"/>
      <c r="C14" s="105" t="s">
        <v>97</v>
      </c>
      <c r="D14" s="100">
        <f>D11*Dashboard!F33</f>
        <v>1599.4906758300001</v>
      </c>
      <c r="E14" s="100">
        <f>E11*Dashboard!F54</f>
        <v>11.878710479999999</v>
      </c>
      <c r="F14" s="100">
        <f>F11</f>
        <v>0</v>
      </c>
      <c r="G14" s="100">
        <f>G11*Dashboard!F39</f>
        <v>0</v>
      </c>
      <c r="H14" s="100">
        <f>H11*Dashboard!F44</f>
        <v>0</v>
      </c>
      <c r="I14" s="100">
        <f>I11*Dashboard!F49</f>
        <v>3.06</v>
      </c>
      <c r="J14" s="177">
        <f>J11</f>
        <v>882.75238740795282</v>
      </c>
      <c r="K14" s="195"/>
      <c r="L14" s="10"/>
      <c r="M14" s="10">
        <f>SUM(M17:M25)</f>
        <v>2698.8265328385628</v>
      </c>
      <c r="N14" s="84"/>
      <c r="O14" s="6"/>
      <c r="P14" s="1"/>
      <c r="Q14" s="6"/>
      <c r="R14" s="6"/>
      <c r="S14" s="1"/>
      <c r="T14" s="1"/>
    </row>
    <row r="15" spans="1:20" x14ac:dyDescent="0.2">
      <c r="A15" s="1"/>
      <c r="B15" s="91"/>
      <c r="C15" s="105"/>
      <c r="D15" s="100"/>
      <c r="E15" s="100"/>
      <c r="F15" s="100"/>
      <c r="G15" s="100"/>
      <c r="H15" s="100"/>
      <c r="I15" s="100"/>
      <c r="J15" s="177"/>
      <c r="K15" s="100"/>
      <c r="L15" s="6"/>
      <c r="M15" s="6"/>
      <c r="N15" s="80"/>
      <c r="O15" s="6"/>
      <c r="P15" s="1"/>
      <c r="Q15" s="6"/>
      <c r="R15" s="6"/>
      <c r="S15" s="1"/>
      <c r="T15" s="1"/>
    </row>
    <row r="16" spans="1:20" x14ac:dyDescent="0.2">
      <c r="A16" s="1"/>
      <c r="B16" s="91"/>
      <c r="C16" s="116"/>
      <c r="D16" s="100"/>
      <c r="E16" s="100"/>
      <c r="F16" s="100"/>
      <c r="G16" s="100"/>
      <c r="H16" s="100"/>
      <c r="I16" s="100"/>
      <c r="J16" s="177"/>
      <c r="K16" s="100"/>
      <c r="L16" s="6"/>
      <c r="M16" s="6"/>
      <c r="N16" s="80"/>
      <c r="O16" s="6"/>
      <c r="P16" s="1"/>
      <c r="Q16" s="6"/>
      <c r="R16" s="6"/>
      <c r="S16" s="1"/>
      <c r="T16" s="1"/>
    </row>
    <row r="17" spans="1:20" x14ac:dyDescent="0.2">
      <c r="A17" s="1"/>
      <c r="B17" s="47"/>
      <c r="C17" s="105" t="s">
        <v>54</v>
      </c>
      <c r="D17" s="189"/>
      <c r="E17" s="189"/>
      <c r="F17" s="189"/>
      <c r="G17" s="189">
        <f>G14</f>
        <v>0</v>
      </c>
      <c r="H17" s="189"/>
      <c r="I17" s="189"/>
      <c r="J17" s="190"/>
      <c r="K17" s="102">
        <f>SUM(D17:J17)</f>
        <v>0</v>
      </c>
      <c r="L17">
        <v>0.8</v>
      </c>
      <c r="M17" s="6">
        <f>L17*SUM(D17:J17)</f>
        <v>0</v>
      </c>
      <c r="N17" s="132">
        <f t="shared" ref="N17:N25" si="0">M17/SUM($M$17:$M$25)</f>
        <v>0</v>
      </c>
      <c r="O17" s="172">
        <f t="shared" ref="O17:O25" si="1">SUM(D17:J17)/SUM($D$17:$J$25)</f>
        <v>0</v>
      </c>
      <c r="P17" s="1"/>
      <c r="Q17" s="1"/>
      <c r="R17" s="6"/>
      <c r="S17" s="1"/>
      <c r="T17" s="1"/>
    </row>
    <row r="18" spans="1:20" x14ac:dyDescent="0.2">
      <c r="A18" s="1"/>
      <c r="B18" s="47"/>
      <c r="C18" s="105" t="s">
        <v>164</v>
      </c>
      <c r="D18" s="191"/>
      <c r="E18" s="191">
        <f>(Dashboard!F75/L18)/(Dashboard!F$75/L$18+Dashboard!F$76/L$21)*E$14</f>
        <v>11.878710479999999</v>
      </c>
      <c r="F18" s="191"/>
      <c r="G18" s="191"/>
      <c r="H18" s="191"/>
      <c r="I18" s="191"/>
      <c r="J18" s="192"/>
      <c r="K18" s="102">
        <f t="shared" ref="K18:K52" si="2">SUM(D18:J18)</f>
        <v>11.878710479999999</v>
      </c>
      <c r="L18">
        <v>9</v>
      </c>
      <c r="M18" s="6">
        <f>L18*SUM(D18:J18)</f>
        <v>106.90839431999999</v>
      </c>
      <c r="N18" s="132">
        <f t="shared" si="0"/>
        <v>3.9612918066118254E-2</v>
      </c>
      <c r="O18" s="172">
        <f t="shared" si="1"/>
        <v>4.7568465399754484E-3</v>
      </c>
      <c r="P18" s="1"/>
      <c r="Q18" s="1"/>
      <c r="R18" s="6"/>
      <c r="S18" s="1"/>
      <c r="T18" s="1"/>
    </row>
    <row r="19" spans="1:20" x14ac:dyDescent="0.2">
      <c r="A19" s="1"/>
      <c r="B19" s="47"/>
      <c r="C19" s="105" t="s">
        <v>53</v>
      </c>
      <c r="D19" s="191"/>
      <c r="E19" s="191"/>
      <c r="F19" s="191"/>
      <c r="G19" s="191"/>
      <c r="H19" s="191">
        <f>H14</f>
        <v>0</v>
      </c>
      <c r="I19" s="191"/>
      <c r="J19" s="192"/>
      <c r="K19" s="102">
        <f t="shared" si="2"/>
        <v>0</v>
      </c>
      <c r="L19">
        <v>0.85</v>
      </c>
      <c r="M19" s="6">
        <f t="shared" ref="M19:M33" si="3">L19*SUM(D19:J19)</f>
        <v>0</v>
      </c>
      <c r="N19" s="132">
        <f t="shared" si="0"/>
        <v>0</v>
      </c>
      <c r="O19" s="172">
        <f t="shared" si="1"/>
        <v>0</v>
      </c>
      <c r="P19" s="1"/>
      <c r="Q19" s="1"/>
      <c r="R19" s="6"/>
      <c r="S19" s="1"/>
      <c r="T19" s="1"/>
    </row>
    <row r="20" spans="1:20" x14ac:dyDescent="0.2">
      <c r="A20" s="1"/>
      <c r="B20" s="47"/>
      <c r="C20" s="105" t="s">
        <v>49</v>
      </c>
      <c r="D20" s="191"/>
      <c r="E20" s="191"/>
      <c r="F20" s="191"/>
      <c r="G20" s="191"/>
      <c r="H20" s="191"/>
      <c r="I20" s="191"/>
      <c r="J20" s="192">
        <f>J14</f>
        <v>882.75238740795282</v>
      </c>
      <c r="K20" s="102">
        <f t="shared" si="2"/>
        <v>882.75238740795282</v>
      </c>
      <c r="L20">
        <v>1</v>
      </c>
      <c r="M20" s="6">
        <f t="shared" si="3"/>
        <v>882.75238740795282</v>
      </c>
      <c r="N20" s="132">
        <f t="shared" si="0"/>
        <v>0.32708748660459275</v>
      </c>
      <c r="O20" s="172">
        <f t="shared" si="1"/>
        <v>0.35349945154119017</v>
      </c>
      <c r="P20" s="1"/>
      <c r="Q20" s="1"/>
      <c r="R20" s="1"/>
      <c r="S20" s="104"/>
      <c r="T20" s="1"/>
    </row>
    <row r="21" spans="1:20" x14ac:dyDescent="0.2">
      <c r="A21" s="1"/>
      <c r="B21" s="47"/>
      <c r="C21" s="105" t="s">
        <v>51</v>
      </c>
      <c r="D21" s="191"/>
      <c r="E21" s="191">
        <f>(Dashboard!F76/L21)/(Dashboard!F$75/L$18+Dashboard!F$76/L$21)*E$14</f>
        <v>0</v>
      </c>
      <c r="F21" s="191"/>
      <c r="G21" s="191"/>
      <c r="H21" s="191"/>
      <c r="I21" s="191"/>
      <c r="J21" s="192"/>
      <c r="K21" s="102">
        <f t="shared" si="2"/>
        <v>0</v>
      </c>
      <c r="L21">
        <v>1</v>
      </c>
      <c r="M21" s="6">
        <f t="shared" si="3"/>
        <v>0</v>
      </c>
      <c r="N21" s="132">
        <f t="shared" si="0"/>
        <v>0</v>
      </c>
      <c r="O21" s="172">
        <f t="shared" si="1"/>
        <v>0</v>
      </c>
      <c r="P21" s="1"/>
      <c r="Q21" s="1"/>
      <c r="R21" s="1"/>
      <c r="S21" s="1"/>
      <c r="T21" s="1"/>
    </row>
    <row r="22" spans="1:20" x14ac:dyDescent="0.2">
      <c r="A22" s="1"/>
      <c r="B22" s="47"/>
      <c r="C22" s="105" t="s">
        <v>165</v>
      </c>
      <c r="D22" s="191">
        <f>(Dashboard!F78/L22)/(Dashboard!F$78/L$22+Dashboard!F$79/L$23)*D$14</f>
        <v>0</v>
      </c>
      <c r="E22" s="191"/>
      <c r="F22" s="191"/>
      <c r="G22" s="191"/>
      <c r="H22" s="191"/>
      <c r="I22" s="191"/>
      <c r="J22" s="192"/>
      <c r="K22" s="102">
        <f t="shared" si="2"/>
        <v>0</v>
      </c>
      <c r="L22">
        <v>2</v>
      </c>
      <c r="M22" s="6">
        <f t="shared" si="3"/>
        <v>0</v>
      </c>
      <c r="N22" s="132">
        <f t="shared" si="0"/>
        <v>0</v>
      </c>
      <c r="O22" s="172">
        <f t="shared" si="1"/>
        <v>0</v>
      </c>
      <c r="P22" s="1"/>
      <c r="Q22" s="1"/>
      <c r="R22" s="1"/>
      <c r="S22" s="1"/>
      <c r="T22" s="1"/>
    </row>
    <row r="23" spans="1:20" x14ac:dyDescent="0.2">
      <c r="A23" s="1"/>
      <c r="B23" s="47"/>
      <c r="C23" s="105" t="s">
        <v>52</v>
      </c>
      <c r="D23" s="191">
        <f>(Dashboard!F79/L23)/(Dashboard!F$78/L$22+Dashboard!F$79/L$23)*D$14</f>
        <v>1599.4906758300001</v>
      </c>
      <c r="E23" s="191"/>
      <c r="F23" s="191"/>
      <c r="G23" s="191"/>
      <c r="H23" s="191"/>
      <c r="I23" s="191"/>
      <c r="J23" s="192"/>
      <c r="K23" s="102">
        <f t="shared" si="2"/>
        <v>1599.4906758300001</v>
      </c>
      <c r="L23">
        <v>1.0669999999999999</v>
      </c>
      <c r="M23" s="6">
        <f t="shared" si="3"/>
        <v>1706.6565511106101</v>
      </c>
      <c r="N23" s="132">
        <f t="shared" si="0"/>
        <v>0.63236985791583589</v>
      </c>
      <c r="O23" s="172">
        <f t="shared" si="1"/>
        <v>0.64051832055805169</v>
      </c>
      <c r="P23" s="1"/>
      <c r="Q23" s="1"/>
      <c r="R23" s="1"/>
      <c r="S23" s="104"/>
      <c r="T23" s="1"/>
    </row>
    <row r="24" spans="1:20" x14ac:dyDescent="0.2">
      <c r="A24" s="1"/>
      <c r="B24" s="47"/>
      <c r="C24" s="105" t="s">
        <v>58</v>
      </c>
      <c r="D24" s="191"/>
      <c r="E24" s="191"/>
      <c r="F24" s="191">
        <f>F14</f>
        <v>0</v>
      </c>
      <c r="G24" s="191"/>
      <c r="H24" s="191"/>
      <c r="I24" s="191"/>
      <c r="J24" s="192"/>
      <c r="K24" s="102">
        <f t="shared" si="2"/>
        <v>0</v>
      </c>
      <c r="L24">
        <v>0.95</v>
      </c>
      <c r="M24" s="6">
        <f t="shared" si="3"/>
        <v>0</v>
      </c>
      <c r="N24" s="132">
        <f t="shared" si="0"/>
        <v>0</v>
      </c>
      <c r="O24" s="172">
        <f t="shared" si="1"/>
        <v>0</v>
      </c>
      <c r="P24" s="1"/>
      <c r="Q24" s="1"/>
      <c r="R24" s="1"/>
      <c r="S24" s="1"/>
      <c r="T24" s="1"/>
    </row>
    <row r="25" spans="1:20" x14ac:dyDescent="0.2">
      <c r="A25" s="1"/>
      <c r="B25" s="47"/>
      <c r="C25" s="105" t="s">
        <v>166</v>
      </c>
      <c r="D25" s="191"/>
      <c r="E25" s="193"/>
      <c r="F25" s="191"/>
      <c r="G25" s="191"/>
      <c r="H25" s="191"/>
      <c r="I25" s="191">
        <f>I14</f>
        <v>3.06</v>
      </c>
      <c r="J25" s="192"/>
      <c r="K25" s="102">
        <f t="shared" si="2"/>
        <v>3.06</v>
      </c>
      <c r="L25">
        <v>0.82</v>
      </c>
      <c r="M25" s="6">
        <f t="shared" si="3"/>
        <v>2.5091999999999999</v>
      </c>
      <c r="N25" s="132">
        <f t="shared" si="0"/>
        <v>9.2973741345312843E-4</v>
      </c>
      <c r="O25" s="172">
        <f t="shared" si="1"/>
        <v>1.2253813607825952E-3</v>
      </c>
      <c r="P25" s="1"/>
      <c r="Q25" s="1"/>
      <c r="R25" s="1"/>
      <c r="S25" s="1"/>
      <c r="T25" s="1"/>
    </row>
    <row r="26" spans="1:20" x14ac:dyDescent="0.2">
      <c r="A26" s="1"/>
      <c r="B26" s="91"/>
      <c r="C26" s="105"/>
      <c r="D26" s="107"/>
      <c r="E26" s="100"/>
      <c r="F26" s="107"/>
      <c r="G26" s="107"/>
      <c r="H26" s="107"/>
      <c r="I26" s="107"/>
      <c r="J26" s="178"/>
      <c r="K26" s="102"/>
      <c r="L26" s="6"/>
      <c r="M26" s="6"/>
      <c r="N26" s="133"/>
      <c r="O26" s="106"/>
      <c r="P26" s="1"/>
      <c r="Q26" s="6"/>
      <c r="R26" s="1"/>
      <c r="S26" s="1"/>
      <c r="T26" s="1"/>
    </row>
    <row r="27" spans="1:20" x14ac:dyDescent="0.2">
      <c r="A27" s="1"/>
      <c r="B27" s="108"/>
      <c r="C27" s="109"/>
      <c r="D27" s="99"/>
      <c r="E27" s="99"/>
      <c r="F27" s="99"/>
      <c r="G27" s="99"/>
      <c r="H27" s="99"/>
      <c r="I27" s="99"/>
      <c r="J27" s="175"/>
      <c r="K27" s="102"/>
      <c r="L27" s="6"/>
      <c r="M27" s="6"/>
      <c r="N27" s="133"/>
      <c r="O27" s="106"/>
      <c r="P27" s="1"/>
      <c r="Q27" s="1"/>
      <c r="R27" s="1"/>
      <c r="S27" s="1"/>
      <c r="T27" s="1"/>
    </row>
    <row r="28" spans="1:20" x14ac:dyDescent="0.2">
      <c r="A28" s="1"/>
      <c r="B28" s="91" t="s">
        <v>32</v>
      </c>
      <c r="C28" s="109"/>
      <c r="D28" s="111"/>
      <c r="E28" s="110"/>
      <c r="F28" s="110"/>
      <c r="G28" s="110"/>
      <c r="H28" s="110"/>
      <c r="I28" s="110"/>
      <c r="J28" s="179"/>
      <c r="K28" s="102"/>
      <c r="L28" s="6"/>
      <c r="M28" s="6"/>
      <c r="N28" s="133"/>
      <c r="O28" s="106"/>
      <c r="P28" s="1"/>
      <c r="Q28" s="1"/>
      <c r="R28" s="1"/>
      <c r="S28" s="1"/>
      <c r="T28" s="1"/>
    </row>
    <row r="29" spans="1:20" x14ac:dyDescent="0.2">
      <c r="A29" s="1"/>
      <c r="B29" s="91"/>
      <c r="C29" s="105" t="s">
        <v>98</v>
      </c>
      <c r="D29" s="100">
        <f>D11*Dashboard!F34</f>
        <v>0</v>
      </c>
      <c r="E29" s="100">
        <f>E11*Dashboard!F55</f>
        <v>166.91111136000001</v>
      </c>
      <c r="F29" s="100"/>
      <c r="G29" s="100"/>
      <c r="H29" s="100"/>
      <c r="I29" s="100"/>
      <c r="J29" s="177"/>
      <c r="K29" s="196"/>
      <c r="L29" s="10"/>
      <c r="M29" s="10">
        <f>SUM(M31:M33)</f>
        <v>691.67090858015274</v>
      </c>
      <c r="N29" s="197"/>
      <c r="O29" s="106"/>
      <c r="P29" s="1"/>
      <c r="Q29" s="1"/>
      <c r="R29" s="1"/>
      <c r="S29" s="1"/>
      <c r="T29" s="1"/>
    </row>
    <row r="30" spans="1:20" x14ac:dyDescent="0.2">
      <c r="A30" s="1"/>
      <c r="B30" s="91"/>
      <c r="C30" s="105"/>
      <c r="D30" s="112"/>
      <c r="E30" s="112"/>
      <c r="F30" s="112"/>
      <c r="G30" s="112"/>
      <c r="H30" s="112"/>
      <c r="I30" s="112"/>
      <c r="J30" s="180"/>
      <c r="K30" s="102"/>
      <c r="L30" s="6"/>
      <c r="M30" s="6"/>
      <c r="N30" s="133"/>
      <c r="O30" s="106"/>
      <c r="P30" s="1"/>
      <c r="Q30" s="1"/>
      <c r="R30" s="1"/>
      <c r="S30" s="1"/>
      <c r="T30" s="1"/>
    </row>
    <row r="31" spans="1:20" x14ac:dyDescent="0.2">
      <c r="A31" s="1"/>
      <c r="B31" s="97"/>
      <c r="C31" s="136" t="s">
        <v>150</v>
      </c>
      <c r="D31" s="189">
        <f>D29</f>
        <v>0</v>
      </c>
      <c r="E31" s="189"/>
      <c r="F31" s="189"/>
      <c r="G31" s="189"/>
      <c r="H31" s="189"/>
      <c r="I31" s="189"/>
      <c r="J31" s="190"/>
      <c r="K31" s="102">
        <f t="shared" si="2"/>
        <v>0</v>
      </c>
      <c r="L31">
        <v>17</v>
      </c>
      <c r="M31" s="6">
        <f t="shared" si="3"/>
        <v>0</v>
      </c>
      <c r="N31" s="132">
        <f>M31/SUM($M$31:$M$33)</f>
        <v>0</v>
      </c>
      <c r="O31" s="172">
        <f>SUM(D31:J31)/SUM($D$31:$J$33)</f>
        <v>0</v>
      </c>
      <c r="P31" s="1"/>
      <c r="Q31" s="1"/>
      <c r="R31" s="1"/>
      <c r="S31" s="1"/>
      <c r="T31" s="1"/>
    </row>
    <row r="32" spans="1:20" x14ac:dyDescent="0.2">
      <c r="A32" s="1"/>
      <c r="B32" s="103"/>
      <c r="C32" s="136" t="s">
        <v>156</v>
      </c>
      <c r="D32" s="191"/>
      <c r="E32" s="191">
        <f>(Dashboard!F91/L32)/(Dashboard!F$91/L$32+Dashboard!F$92/L$33)*E$29</f>
        <v>1.6017642093435114</v>
      </c>
      <c r="F32" s="191"/>
      <c r="G32" s="191"/>
      <c r="H32" s="191"/>
      <c r="I32" s="191"/>
      <c r="J32" s="192"/>
      <c r="K32" s="102">
        <f t="shared" si="2"/>
        <v>1.6017642093435114</v>
      </c>
      <c r="L32">
        <v>19</v>
      </c>
      <c r="M32" s="6">
        <f t="shared" si="3"/>
        <v>30.433519977526718</v>
      </c>
      <c r="N32" s="132">
        <f>M32/SUM($M$31:$M$33)</f>
        <v>4.3999999999999997E-2</v>
      </c>
      <c r="O32" s="172">
        <f>SUM(D32:J32)/SUM($D$31:$J$33)</f>
        <v>9.596510359869137E-3</v>
      </c>
      <c r="P32" s="1"/>
      <c r="Q32" s="1"/>
      <c r="R32" s="1"/>
      <c r="S32" s="1"/>
      <c r="T32" s="1"/>
    </row>
    <row r="33" spans="1:20" x14ac:dyDescent="0.2">
      <c r="A33" s="1"/>
      <c r="B33" s="91"/>
      <c r="C33" s="136" t="s">
        <v>157</v>
      </c>
      <c r="D33" s="193"/>
      <c r="E33" s="193">
        <f>(Dashboard!F92/L33)/(Dashboard!F$91/L$32+Dashboard!F$92/L$33)*E$29</f>
        <v>165.30934715065649</v>
      </c>
      <c r="F33" s="193"/>
      <c r="G33" s="193"/>
      <c r="H33" s="193"/>
      <c r="I33" s="193"/>
      <c r="J33" s="194"/>
      <c r="K33" s="102">
        <f t="shared" si="2"/>
        <v>165.30934715065649</v>
      </c>
      <c r="L33" s="6">
        <v>4</v>
      </c>
      <c r="M33" s="6">
        <f t="shared" si="3"/>
        <v>661.23738860262597</v>
      </c>
      <c r="N33" s="132">
        <f>M33/SUM($M$31:$M$33)</f>
        <v>0.95599999999999996</v>
      </c>
      <c r="O33" s="172">
        <f>SUM(D33:J33)/SUM($D$31:$J$33)</f>
        <v>0.99040348964013081</v>
      </c>
      <c r="P33" s="1"/>
      <c r="Q33" s="1"/>
      <c r="R33" s="1"/>
      <c r="S33" s="1"/>
      <c r="T33" s="129"/>
    </row>
    <row r="34" spans="1:20" x14ac:dyDescent="0.2">
      <c r="A34" s="1"/>
      <c r="B34" s="91"/>
      <c r="C34" s="105"/>
      <c r="D34" s="112"/>
      <c r="E34" s="112"/>
      <c r="F34" s="112"/>
      <c r="G34" s="112"/>
      <c r="H34" s="112"/>
      <c r="I34" s="112"/>
      <c r="J34" s="180"/>
      <c r="K34" s="102"/>
      <c r="L34" s="6"/>
      <c r="M34" s="6"/>
      <c r="N34" s="133"/>
      <c r="O34" s="106"/>
      <c r="P34" s="1"/>
      <c r="Q34" s="1"/>
      <c r="R34" s="1"/>
      <c r="S34" s="1"/>
      <c r="T34" s="129"/>
    </row>
    <row r="35" spans="1:20" x14ac:dyDescent="0.2">
      <c r="A35" s="1"/>
      <c r="B35" s="108"/>
      <c r="C35" s="109"/>
      <c r="D35" s="110"/>
      <c r="E35" s="110"/>
      <c r="F35" s="110"/>
      <c r="G35" s="110"/>
      <c r="H35" s="110"/>
      <c r="I35" s="110"/>
      <c r="J35" s="179"/>
      <c r="K35" s="102"/>
      <c r="L35" s="6"/>
      <c r="M35" s="6"/>
      <c r="N35" s="133"/>
      <c r="O35" s="106"/>
      <c r="P35" s="1"/>
      <c r="Q35" s="1"/>
      <c r="R35" s="1"/>
      <c r="S35" s="1"/>
      <c r="T35" s="1"/>
    </row>
    <row r="36" spans="1:20" x14ac:dyDescent="0.2">
      <c r="A36" s="1"/>
      <c r="B36" s="108"/>
      <c r="C36" s="109"/>
      <c r="D36" s="110"/>
      <c r="E36" s="110"/>
      <c r="F36" s="110"/>
      <c r="G36" s="110"/>
      <c r="H36" s="110"/>
      <c r="I36" s="110"/>
      <c r="J36" s="179"/>
      <c r="K36" s="102"/>
      <c r="L36" s="6"/>
      <c r="M36" s="6"/>
      <c r="N36" s="133"/>
      <c r="O36" s="106"/>
      <c r="P36" s="1"/>
      <c r="Q36" s="1"/>
      <c r="R36" s="1"/>
      <c r="S36" s="1"/>
      <c r="T36" s="1"/>
    </row>
    <row r="37" spans="1:20" x14ac:dyDescent="0.2">
      <c r="A37" s="1"/>
      <c r="B37" s="91" t="s">
        <v>33</v>
      </c>
      <c r="C37" s="109"/>
      <c r="D37" s="111"/>
      <c r="E37" s="110"/>
      <c r="F37" s="110"/>
      <c r="G37" s="110"/>
      <c r="H37" s="110"/>
      <c r="I37" s="110"/>
      <c r="J37" s="179"/>
      <c r="K37" s="102"/>
      <c r="L37" s="6"/>
      <c r="M37" s="6"/>
      <c r="N37" s="133"/>
      <c r="O37" s="106"/>
      <c r="P37" s="1"/>
      <c r="Q37" s="1"/>
      <c r="R37" s="1"/>
      <c r="S37" s="1"/>
      <c r="T37" s="1"/>
    </row>
    <row r="38" spans="1:20" x14ac:dyDescent="0.2">
      <c r="A38" s="1"/>
      <c r="B38" s="91"/>
      <c r="C38" s="105" t="s">
        <v>97</v>
      </c>
      <c r="D38" s="100"/>
      <c r="E38" s="100">
        <f>E11*Dashboard!F56</f>
        <v>1451.0301724799999</v>
      </c>
      <c r="F38" s="100"/>
      <c r="G38" s="100"/>
      <c r="H38" s="100"/>
      <c r="I38" s="100"/>
      <c r="J38" s="177"/>
      <c r="K38" s="196"/>
      <c r="L38" s="10"/>
      <c r="M38" s="198">
        <f>SUM(M40:M42)</f>
        <v>237.70601901790627</v>
      </c>
      <c r="N38" s="197"/>
      <c r="O38" s="106"/>
      <c r="P38" s="1"/>
      <c r="Q38" s="1"/>
      <c r="R38" s="1"/>
      <c r="S38" s="1"/>
      <c r="T38" s="1"/>
    </row>
    <row r="39" spans="1:20" x14ac:dyDescent="0.2">
      <c r="A39" s="1"/>
      <c r="B39" s="91"/>
      <c r="C39" s="105"/>
      <c r="D39" s="112"/>
      <c r="E39" s="112"/>
      <c r="F39" s="112"/>
      <c r="G39" s="112"/>
      <c r="H39" s="112"/>
      <c r="I39" s="112"/>
      <c r="J39" s="180"/>
      <c r="K39" s="102"/>
      <c r="L39" s="6"/>
      <c r="M39" s="6"/>
      <c r="N39" s="133"/>
      <c r="O39" s="106"/>
      <c r="P39" s="1"/>
      <c r="Q39" s="1"/>
      <c r="R39" s="1"/>
      <c r="S39" s="1"/>
      <c r="T39" s="1"/>
    </row>
    <row r="40" spans="1:20" x14ac:dyDescent="0.2">
      <c r="A40" s="1"/>
      <c r="B40" s="97"/>
      <c r="C40" s="136" t="s">
        <v>152</v>
      </c>
      <c r="D40" s="189"/>
      <c r="E40" s="189">
        <f>(Dashboard!F96/L40)/(Dashboard!F$96/L$40+Dashboard!F$97/L$41+Dashboard!F$98/L$42)*E$38</f>
        <v>77.254456180819531</v>
      </c>
      <c r="F40" s="189"/>
      <c r="G40" s="189"/>
      <c r="H40" s="189"/>
      <c r="I40" s="189"/>
      <c r="J40" s="190"/>
      <c r="K40" s="102">
        <f t="shared" si="2"/>
        <v>77.254456180819531</v>
      </c>
      <c r="L40" s="1">
        <v>0.2</v>
      </c>
      <c r="M40" s="113">
        <f>L40*SUM(D40:J40)</f>
        <v>15.450891236163907</v>
      </c>
      <c r="N40" s="132">
        <f>M40/SUM($M$40:$M$42)</f>
        <v>6.5000000000000002E-2</v>
      </c>
      <c r="O40" s="172">
        <f>E40/SUM($D$40:$J$42)</f>
        <v>5.3241109417305636E-2</v>
      </c>
      <c r="P40" s="96"/>
      <c r="Q40" s="114"/>
      <c r="R40" s="1"/>
      <c r="S40" s="1"/>
      <c r="T40" s="1"/>
    </row>
    <row r="41" spans="1:20" x14ac:dyDescent="0.2">
      <c r="A41" s="1"/>
      <c r="B41" s="103"/>
      <c r="C41" s="136" t="s">
        <v>153</v>
      </c>
      <c r="D41" s="191"/>
      <c r="E41" s="191">
        <f>(Dashboard!F97/L41)/(Dashboard!F$96/L$40+Dashboard!F$97/L$41+Dashboard!F$98/L$42)*E$38</f>
        <v>8.4517695650811113</v>
      </c>
      <c r="F41" s="191"/>
      <c r="G41" s="191"/>
      <c r="H41" s="191"/>
      <c r="I41" s="191"/>
      <c r="J41" s="192"/>
      <c r="K41" s="102">
        <f t="shared" si="2"/>
        <v>8.4517695650811113</v>
      </c>
      <c r="L41" s="1">
        <v>0.45</v>
      </c>
      <c r="M41" s="113">
        <f>L41*SUM(D41:J41)</f>
        <v>3.8032963042865</v>
      </c>
      <c r="N41" s="132">
        <f t="shared" ref="N41:N42" si="4">M41/SUM($M$40:$M$42)</f>
        <v>1.5999999999999997E-2</v>
      </c>
      <c r="O41" s="172">
        <f>E41/SUM($D$40:$J$42)</f>
        <v>5.824668380696685E-3</v>
      </c>
      <c r="P41" s="115"/>
      <c r="Q41" s="114"/>
      <c r="R41" s="1"/>
      <c r="S41" s="1"/>
      <c r="T41" s="1"/>
    </row>
    <row r="42" spans="1:20" x14ac:dyDescent="0.2">
      <c r="A42" s="1"/>
      <c r="B42" s="91"/>
      <c r="C42" s="136" t="s">
        <v>151</v>
      </c>
      <c r="D42" s="193"/>
      <c r="E42" s="193">
        <f>(Dashboard!F98/L42)/(Dashboard!F$96/L$40+Dashboard!F$97/L$41+Dashboard!F$98/L$42)*E$38</f>
        <v>1365.3239467340991</v>
      </c>
      <c r="F42" s="193"/>
      <c r="G42" s="193"/>
      <c r="H42" s="193"/>
      <c r="I42" s="193"/>
      <c r="J42" s="194"/>
      <c r="K42" s="102">
        <f t="shared" si="2"/>
        <v>1365.3239467340991</v>
      </c>
      <c r="L42" s="1">
        <v>0.16</v>
      </c>
      <c r="M42" s="113">
        <f>L42*SUM(D42:J42)</f>
        <v>218.45183147745587</v>
      </c>
      <c r="N42" s="132">
        <f t="shared" si="4"/>
        <v>0.91900000000000004</v>
      </c>
      <c r="O42" s="172">
        <f>E42/SUM($D$40:$J$42)</f>
        <v>0.94093422220199774</v>
      </c>
      <c r="P42" s="1"/>
      <c r="Q42" s="114"/>
      <c r="R42" s="1"/>
      <c r="S42" s="1"/>
      <c r="T42" s="1"/>
    </row>
    <row r="43" spans="1:20" x14ac:dyDescent="0.2">
      <c r="A43" s="1"/>
      <c r="B43" s="91"/>
      <c r="C43" s="116"/>
      <c r="D43" s="117"/>
      <c r="E43" s="117"/>
      <c r="F43" s="117"/>
      <c r="G43" s="117"/>
      <c r="H43" s="117"/>
      <c r="I43" s="117"/>
      <c r="J43" s="181"/>
      <c r="K43" s="102"/>
      <c r="L43" s="6"/>
      <c r="M43" s="113"/>
      <c r="N43" s="133"/>
      <c r="O43" s="106"/>
      <c r="P43" s="1"/>
      <c r="Q43" s="1"/>
      <c r="R43" s="1"/>
      <c r="S43" s="1"/>
      <c r="T43" s="1"/>
    </row>
    <row r="44" spans="1:20" x14ac:dyDescent="0.2">
      <c r="A44" s="1"/>
      <c r="B44" s="108"/>
      <c r="C44" s="101"/>
      <c r="D44" s="118"/>
      <c r="E44" s="118"/>
      <c r="F44" s="118"/>
      <c r="G44" s="118"/>
      <c r="H44" s="118"/>
      <c r="I44" s="118"/>
      <c r="J44" s="182"/>
      <c r="K44" s="102"/>
      <c r="L44" s="6"/>
      <c r="M44" s="113"/>
      <c r="N44" s="133"/>
      <c r="O44" s="106"/>
      <c r="P44" s="1"/>
      <c r="Q44" s="1"/>
      <c r="R44" s="1"/>
      <c r="S44" s="1"/>
      <c r="T44" s="1"/>
    </row>
    <row r="45" spans="1:20" x14ac:dyDescent="0.2">
      <c r="A45" s="1"/>
      <c r="B45" s="91" t="s">
        <v>72</v>
      </c>
      <c r="C45" s="101"/>
      <c r="D45" s="118"/>
      <c r="E45" s="118"/>
      <c r="F45" s="118"/>
      <c r="G45" s="118"/>
      <c r="H45" s="118"/>
      <c r="I45" s="118"/>
      <c r="J45" s="182"/>
      <c r="K45" s="102"/>
      <c r="L45" s="6"/>
      <c r="M45" s="113"/>
      <c r="N45" s="133"/>
      <c r="O45" s="106"/>
      <c r="P45" s="1"/>
      <c r="Q45" s="1"/>
      <c r="R45" s="1"/>
      <c r="S45" s="1"/>
      <c r="T45" s="1"/>
    </row>
    <row r="46" spans="1:20" x14ac:dyDescent="0.2">
      <c r="A46" s="1"/>
      <c r="B46" s="91"/>
      <c r="C46" s="105" t="s">
        <v>98</v>
      </c>
      <c r="D46" s="158">
        <f>D11*Dashboard!F35</f>
        <v>267.76437417</v>
      </c>
      <c r="E46" s="158">
        <f>E11*Dashboard!F57</f>
        <v>1416.3077880000001</v>
      </c>
      <c r="F46" s="155"/>
      <c r="G46" s="158">
        <f>G11*Dashboard!F40</f>
        <v>0</v>
      </c>
      <c r="H46" s="158">
        <f>H11*Dashboard!F45</f>
        <v>0</v>
      </c>
      <c r="I46" s="158">
        <f>I11</f>
        <v>3.06</v>
      </c>
      <c r="J46" s="183"/>
      <c r="K46" s="196"/>
      <c r="L46" s="10"/>
      <c r="M46" s="198">
        <f>SUM(M48:M52)</f>
        <v>1687.1321621699999</v>
      </c>
      <c r="N46" s="197"/>
      <c r="O46" s="106"/>
      <c r="P46" s="1"/>
      <c r="Q46" s="1"/>
      <c r="R46" s="1"/>
      <c r="S46" s="1"/>
      <c r="T46" s="1"/>
    </row>
    <row r="47" spans="1:20" x14ac:dyDescent="0.2">
      <c r="A47" s="1"/>
      <c r="B47" s="91"/>
      <c r="C47" s="116"/>
      <c r="D47" s="117"/>
      <c r="E47" s="117"/>
      <c r="F47" s="117"/>
      <c r="G47" s="117"/>
      <c r="H47" s="117"/>
      <c r="I47" s="117"/>
      <c r="J47" s="181"/>
      <c r="K47" s="102"/>
      <c r="L47" s="6"/>
      <c r="M47" s="113"/>
      <c r="N47" s="133"/>
      <c r="O47" s="106"/>
      <c r="P47" s="1"/>
      <c r="Q47" s="1"/>
      <c r="R47" s="1"/>
      <c r="S47" s="1"/>
      <c r="T47" s="1"/>
    </row>
    <row r="48" spans="1:20" x14ac:dyDescent="0.2">
      <c r="A48" s="1"/>
      <c r="B48" s="97"/>
      <c r="C48" s="70" t="s">
        <v>59</v>
      </c>
      <c r="D48" s="189"/>
      <c r="E48" s="189"/>
      <c r="F48" s="189"/>
      <c r="G48" s="189">
        <f>G46</f>
        <v>0</v>
      </c>
      <c r="H48" s="189"/>
      <c r="I48" s="189"/>
      <c r="J48" s="190"/>
      <c r="K48" s="102">
        <f t="shared" si="2"/>
        <v>0</v>
      </c>
      <c r="L48" s="6">
        <v>1</v>
      </c>
      <c r="M48" s="113">
        <f t="shared" ref="M48:M52" si="5">L48*SUM(D48:J48)</f>
        <v>0</v>
      </c>
      <c r="N48" s="132">
        <f>M48/SUM($M$48:$M$52)</f>
        <v>0</v>
      </c>
      <c r="O48" s="172">
        <f>E48/SUM($D$48:$J$52)</f>
        <v>0</v>
      </c>
      <c r="P48" s="1"/>
      <c r="Q48" s="1"/>
      <c r="R48" s="1"/>
      <c r="S48" s="1"/>
      <c r="T48" s="1"/>
    </row>
    <row r="49" spans="1:20" x14ac:dyDescent="0.2">
      <c r="A49" s="1"/>
      <c r="B49" s="103"/>
      <c r="C49" s="70" t="s">
        <v>144</v>
      </c>
      <c r="D49" s="191"/>
      <c r="E49" s="191"/>
      <c r="F49" s="191"/>
      <c r="G49" s="191"/>
      <c r="H49" s="191">
        <f>H46</f>
        <v>0</v>
      </c>
      <c r="I49" s="191"/>
      <c r="J49" s="192"/>
      <c r="K49" s="102">
        <f t="shared" si="2"/>
        <v>0</v>
      </c>
      <c r="L49" s="6">
        <v>1</v>
      </c>
      <c r="M49" s="113">
        <f t="shared" si="5"/>
        <v>0</v>
      </c>
      <c r="N49" s="132">
        <f>M49/SUM($M$48:$M$52)</f>
        <v>0</v>
      </c>
      <c r="O49" s="172">
        <f>E49/SUM($D$48:$J$52)</f>
        <v>0</v>
      </c>
      <c r="P49" s="1"/>
      <c r="Q49" s="1"/>
      <c r="R49" s="1"/>
      <c r="S49" s="1"/>
      <c r="T49" s="1"/>
    </row>
    <row r="50" spans="1:20" x14ac:dyDescent="0.2">
      <c r="A50" s="1"/>
      <c r="B50" s="38"/>
      <c r="C50" s="70" t="s">
        <v>57</v>
      </c>
      <c r="D50" s="191"/>
      <c r="E50" s="191">
        <f>E46</f>
        <v>1416.3077880000001</v>
      </c>
      <c r="F50" s="191"/>
      <c r="G50" s="191"/>
      <c r="H50" s="191"/>
      <c r="I50" s="191"/>
      <c r="J50" s="192"/>
      <c r="K50" s="102">
        <f t="shared" si="2"/>
        <v>1416.3077880000001</v>
      </c>
      <c r="L50" s="6">
        <v>1</v>
      </c>
      <c r="M50" s="113">
        <f t="shared" si="5"/>
        <v>1416.3077880000001</v>
      </c>
      <c r="N50" s="132">
        <f>M50/SUM($M$48:$M$52)</f>
        <v>0.83947649138425295</v>
      </c>
      <c r="O50" s="172">
        <f>E50/SUM($D$48:$J$52)</f>
        <v>0.83947649138425295</v>
      </c>
      <c r="P50" s="1"/>
      <c r="Q50" s="1"/>
      <c r="R50" s="1"/>
      <c r="S50" s="1"/>
      <c r="T50" s="1"/>
    </row>
    <row r="51" spans="1:20" x14ac:dyDescent="0.2">
      <c r="A51" s="1"/>
      <c r="B51" s="38"/>
      <c r="C51" s="70" t="s">
        <v>103</v>
      </c>
      <c r="D51" s="191">
        <f>D46</f>
        <v>267.76437417</v>
      </c>
      <c r="E51" s="191"/>
      <c r="F51" s="191"/>
      <c r="G51" s="191"/>
      <c r="H51" s="191"/>
      <c r="I51" s="191"/>
      <c r="J51" s="192"/>
      <c r="K51" s="102">
        <f t="shared" si="2"/>
        <v>267.76437417</v>
      </c>
      <c r="L51" s="6">
        <v>1</v>
      </c>
      <c r="M51" s="113">
        <f t="shared" si="5"/>
        <v>267.76437417</v>
      </c>
      <c r="N51" s="132">
        <f>M51/SUM($M$48:$M$52)</f>
        <v>0.15870977992951055</v>
      </c>
      <c r="O51" s="172">
        <f>E51/SUM($D$48:$J$52)</f>
        <v>0</v>
      </c>
      <c r="P51" s="1"/>
      <c r="Q51" s="1"/>
      <c r="R51" s="1"/>
      <c r="S51" s="1"/>
      <c r="T51" s="1"/>
    </row>
    <row r="52" spans="1:20" x14ac:dyDescent="0.2">
      <c r="A52" s="1"/>
      <c r="B52" s="38"/>
      <c r="C52" s="70" t="s">
        <v>145</v>
      </c>
      <c r="D52" s="193"/>
      <c r="E52" s="193"/>
      <c r="F52" s="193"/>
      <c r="G52" s="193"/>
      <c r="H52" s="193"/>
      <c r="I52" s="193">
        <f>I46</f>
        <v>3.06</v>
      </c>
      <c r="J52" s="194"/>
      <c r="K52" s="102">
        <f t="shared" si="2"/>
        <v>3.06</v>
      </c>
      <c r="L52" s="6">
        <v>1</v>
      </c>
      <c r="M52" s="113">
        <f t="shared" si="5"/>
        <v>3.06</v>
      </c>
      <c r="N52" s="132">
        <f>M52/SUM($M$48:$M$52)</f>
        <v>1.8137286862365358E-3</v>
      </c>
      <c r="O52" s="172">
        <f>E52/SUM($D$48:$J$52)</f>
        <v>0</v>
      </c>
      <c r="P52" s="1"/>
      <c r="Q52" s="1"/>
      <c r="R52" s="1"/>
      <c r="S52" s="1"/>
      <c r="T52" s="1"/>
    </row>
    <row r="53" spans="1:20" x14ac:dyDescent="0.2">
      <c r="A53" s="1"/>
      <c r="B53" s="91"/>
      <c r="C53" s="116"/>
      <c r="D53" s="116"/>
      <c r="E53" s="116"/>
      <c r="F53" s="116"/>
      <c r="G53" s="116"/>
      <c r="H53" s="116"/>
      <c r="I53" s="116"/>
      <c r="J53" s="184"/>
      <c r="K53" s="102"/>
      <c r="L53" s="6"/>
      <c r="M53" s="6"/>
      <c r="N53" s="80"/>
      <c r="O53" s="116"/>
      <c r="P53" s="1"/>
      <c r="Q53" s="1"/>
      <c r="R53" s="1"/>
      <c r="S53" s="1"/>
      <c r="T53" s="1"/>
    </row>
    <row r="54" spans="1:20" x14ac:dyDescent="0.2">
      <c r="A54" s="1"/>
      <c r="B54" s="108"/>
      <c r="C54" s="3"/>
      <c r="D54" s="119"/>
      <c r="E54" s="120"/>
      <c r="F54" s="120"/>
      <c r="G54" s="120"/>
      <c r="H54" s="120"/>
      <c r="I54" s="120"/>
      <c r="J54" s="185"/>
      <c r="K54" s="134"/>
      <c r="L54" s="6"/>
      <c r="M54" s="6"/>
      <c r="N54" s="80"/>
      <c r="O54" s="6"/>
      <c r="P54" s="1"/>
      <c r="Q54" s="1"/>
      <c r="R54" s="1"/>
      <c r="S54" s="1"/>
      <c r="T54" s="1"/>
    </row>
    <row r="55" spans="1:20" x14ac:dyDescent="0.2">
      <c r="A55" s="1"/>
      <c r="B55" s="121" t="s">
        <v>55</v>
      </c>
      <c r="C55" s="45"/>
      <c r="D55" s="122" t="s">
        <v>56</v>
      </c>
      <c r="E55" s="99" t="s">
        <v>57</v>
      </c>
      <c r="F55" s="99" t="s">
        <v>58</v>
      </c>
      <c r="G55" s="99" t="s">
        <v>59</v>
      </c>
      <c r="H55" s="99" t="s">
        <v>60</v>
      </c>
      <c r="I55" s="99" t="s">
        <v>61</v>
      </c>
      <c r="J55" s="175" t="s">
        <v>62</v>
      </c>
      <c r="K55" s="100"/>
      <c r="L55" s="6"/>
      <c r="M55" s="6"/>
      <c r="N55" s="80"/>
      <c r="O55" s="23"/>
      <c r="P55" s="1"/>
      <c r="Q55" s="1"/>
      <c r="R55" s="1"/>
      <c r="S55" s="1"/>
      <c r="T55" s="1"/>
    </row>
    <row r="56" spans="1:20" x14ac:dyDescent="0.2">
      <c r="A56" s="1"/>
      <c r="B56" s="44"/>
      <c r="C56" s="123" t="s">
        <v>63</v>
      </c>
      <c r="D56" s="124">
        <f t="shared" ref="D56:J56" si="6">SUM(D17:D53)</f>
        <v>2135.0194241700001</v>
      </c>
      <c r="E56" s="125">
        <f t="shared" si="6"/>
        <v>6080.3768541600002</v>
      </c>
      <c r="F56" s="125">
        <f t="shared" si="6"/>
        <v>0</v>
      </c>
      <c r="G56" s="125">
        <f t="shared" si="6"/>
        <v>0</v>
      </c>
      <c r="H56" s="125">
        <f t="shared" si="6"/>
        <v>0</v>
      </c>
      <c r="I56" s="125">
        <f t="shared" si="6"/>
        <v>9.18</v>
      </c>
      <c r="J56" s="186">
        <f t="shared" si="6"/>
        <v>882.75238740795282</v>
      </c>
      <c r="K56" s="100"/>
      <c r="L56" s="6"/>
      <c r="M56" s="6"/>
      <c r="N56" s="80"/>
      <c r="O56" s="126"/>
      <c r="P56" s="1"/>
      <c r="Q56" s="1"/>
      <c r="R56" s="1"/>
      <c r="S56" s="1"/>
      <c r="T56" s="1"/>
    </row>
    <row r="57" spans="1:20" x14ac:dyDescent="0.2">
      <c r="A57" s="1"/>
      <c r="B57" s="44"/>
      <c r="C57" s="126" t="s">
        <v>64</v>
      </c>
      <c r="D57" s="124">
        <f t="shared" ref="D57:J57" si="7">D10-D56</f>
        <v>-2135.0194241700001</v>
      </c>
      <c r="E57" s="125">
        <f t="shared" si="7"/>
        <v>-6080.3768541600002</v>
      </c>
      <c r="F57" s="125">
        <f t="shared" si="7"/>
        <v>0</v>
      </c>
      <c r="G57" s="125">
        <f t="shared" si="7"/>
        <v>0</v>
      </c>
      <c r="H57" s="125">
        <f t="shared" si="7"/>
        <v>0</v>
      </c>
      <c r="I57" s="125">
        <f t="shared" si="7"/>
        <v>-9.18</v>
      </c>
      <c r="J57" s="186">
        <f t="shared" si="7"/>
        <v>-882.75238740795282</v>
      </c>
      <c r="K57" s="100"/>
      <c r="L57" s="6"/>
      <c r="M57" s="6"/>
      <c r="N57" s="80"/>
      <c r="O57" s="171"/>
      <c r="P57" s="1"/>
      <c r="Q57" s="1"/>
      <c r="R57" s="1"/>
      <c r="S57" s="1"/>
      <c r="T57" s="1"/>
    </row>
    <row r="58" spans="1:20" x14ac:dyDescent="0.2">
      <c r="A58" s="1"/>
      <c r="B58" s="44"/>
      <c r="C58" s="126"/>
      <c r="D58" s="127"/>
      <c r="E58" s="127"/>
      <c r="F58" s="127"/>
      <c r="G58" s="127"/>
      <c r="H58" s="127"/>
      <c r="I58" s="127"/>
      <c r="J58" s="187"/>
      <c r="K58" s="135"/>
      <c r="L58" s="6"/>
      <c r="M58" s="6"/>
      <c r="N58" s="80"/>
      <c r="O58" s="126"/>
      <c r="P58" s="1"/>
      <c r="Q58" s="1"/>
      <c r="R58" s="1"/>
      <c r="S58" s="1"/>
      <c r="T58" s="1"/>
    </row>
    <row r="59" spans="1:20" ht="17" thickBot="1" x14ac:dyDescent="0.25">
      <c r="A59" s="1"/>
      <c r="B59" s="128"/>
      <c r="C59" s="66"/>
      <c r="D59" s="66"/>
      <c r="E59" s="66"/>
      <c r="F59" s="66"/>
      <c r="G59" s="66"/>
      <c r="H59" s="66"/>
      <c r="I59" s="66"/>
      <c r="J59" s="188"/>
      <c r="K59" s="66"/>
      <c r="L59" s="66"/>
      <c r="M59" s="66"/>
      <c r="N59" s="85"/>
      <c r="O59" s="6"/>
      <c r="P59" s="1"/>
      <c r="Q59" s="1"/>
      <c r="R59" s="1"/>
      <c r="S59" s="1"/>
      <c r="T59" s="1"/>
    </row>
    <row r="60" spans="1:2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6"/>
      <c r="P60" s="1"/>
      <c r="Q60" s="1"/>
      <c r="R60" s="1"/>
      <c r="S60" s="1"/>
      <c r="T60" s="1"/>
    </row>
    <row r="61" spans="1:2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6"/>
      <c r="P61" s="1"/>
      <c r="Q61" s="1"/>
      <c r="R61" s="1"/>
      <c r="S61" s="1"/>
      <c r="T61" s="1"/>
    </row>
    <row r="62" spans="1:2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6"/>
      <c r="P62" s="1"/>
      <c r="Q62" s="1"/>
      <c r="R62" s="1"/>
      <c r="S62" s="1"/>
      <c r="T62" s="1"/>
    </row>
    <row r="63" spans="1:2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6"/>
      <c r="P63" s="1"/>
      <c r="Q63" s="1"/>
      <c r="R63" s="1"/>
      <c r="S63" s="1"/>
      <c r="T63" s="1"/>
    </row>
    <row r="64" spans="1:2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6"/>
      <c r="P64" s="1"/>
      <c r="Q64" s="1"/>
      <c r="R64" s="1"/>
      <c r="S64" s="1"/>
      <c r="T64" s="1"/>
    </row>
    <row r="65" spans="1:2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</sheetData>
  <conditionalFormatting sqref="I5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C43"/>
  <sheetViews>
    <sheetView workbookViewId="0">
      <selection activeCell="C4" sqref="C4:C43"/>
    </sheetView>
  </sheetViews>
  <sheetFormatPr baseColWidth="10" defaultRowHeight="16" x14ac:dyDescent="0.2"/>
  <cols>
    <col min="1" max="1" width="68.33203125" customWidth="1"/>
    <col min="2" max="2" width="18.5" customWidth="1"/>
    <col min="3" max="3" width="79.33203125" customWidth="1"/>
    <col min="4" max="4" width="59.1640625" customWidth="1"/>
  </cols>
  <sheetData>
    <row r="2" spans="1:3" x14ac:dyDescent="0.2">
      <c r="B2" t="s">
        <v>29</v>
      </c>
      <c r="C2" t="s">
        <v>66</v>
      </c>
    </row>
    <row r="3" spans="1:3" x14ac:dyDescent="0.2">
      <c r="A3" t="s">
        <v>136</v>
      </c>
    </row>
    <row r="4" spans="1:3" x14ac:dyDescent="0.2">
      <c r="A4" t="s">
        <v>137</v>
      </c>
      <c r="B4">
        <f>Analyse!N48</f>
        <v>0</v>
      </c>
      <c r="C4" t="str">
        <f>"- init." &amp; LEFT(A4, LEN(A4)-3)&amp; " " &amp; "=" &amp;" " &amp; B4*100</f>
        <v>- init.buildings_appliances_coal_share = 0</v>
      </c>
    </row>
    <row r="5" spans="1:3" x14ac:dyDescent="0.2">
      <c r="A5" t="s">
        <v>138</v>
      </c>
      <c r="B5">
        <f>Analyse!N49</f>
        <v>0</v>
      </c>
      <c r="C5" t="str">
        <f t="shared" ref="C5:C39" si="0">"- init." &amp; LEFT(A5, LEN(A5)-3)&amp; " " &amp; "=" &amp;" " &amp; B5*100</f>
        <v>- init.buildings_appliances_crude_oil_share = 0</v>
      </c>
    </row>
    <row r="6" spans="1:3" x14ac:dyDescent="0.2">
      <c r="A6" t="s">
        <v>139</v>
      </c>
      <c r="B6">
        <f>Analyse!N50</f>
        <v>0.83947649138425295</v>
      </c>
      <c r="C6" t="str">
        <f t="shared" si="0"/>
        <v>- init.buildings_appliances_electricity_share = 83.9476491384253</v>
      </c>
    </row>
    <row r="7" spans="1:3" x14ac:dyDescent="0.2">
      <c r="A7" t="s">
        <v>140</v>
      </c>
      <c r="B7">
        <f>Analyse!N51</f>
        <v>0.15870977992951055</v>
      </c>
      <c r="C7" t="str">
        <f t="shared" si="0"/>
        <v>- init.buildings_appliances_network_gas_share = 15.8709779929511</v>
      </c>
    </row>
    <row r="8" spans="1:3" x14ac:dyDescent="0.2">
      <c r="A8" t="s">
        <v>141</v>
      </c>
      <c r="B8">
        <f>Analyse!N52</f>
        <v>1.8137286862365358E-3</v>
      </c>
      <c r="C8" t="str">
        <f t="shared" si="0"/>
        <v>- init.buildings_appliances_wood_pellets_share = 0.181372868623654</v>
      </c>
    </row>
    <row r="10" spans="1:3" x14ac:dyDescent="0.2">
      <c r="A10" t="s">
        <v>112</v>
      </c>
    </row>
    <row r="11" spans="1:3" x14ac:dyDescent="0.2">
      <c r="A11" t="s">
        <v>113</v>
      </c>
      <c r="B11">
        <f>Analyse!N33</f>
        <v>0.95599999999999996</v>
      </c>
      <c r="C11" t="str">
        <f t="shared" si="0"/>
        <v>- init.buildings_cooling_airconditioning_share = 95.6</v>
      </c>
    </row>
    <row r="12" spans="1:3" x14ac:dyDescent="0.2">
      <c r="A12" t="s">
        <v>114</v>
      </c>
      <c r="B12">
        <f>Analyse!N32</f>
        <v>4.3999999999999997E-2</v>
      </c>
      <c r="C12" t="str">
        <f t="shared" si="0"/>
        <v>- init.buildings_cooling_collective_heatpump_water_water_ts_electricity_share = 4.4</v>
      </c>
    </row>
    <row r="13" spans="1:3" x14ac:dyDescent="0.2">
      <c r="A13" t="s">
        <v>115</v>
      </c>
      <c r="B13">
        <f>Analyse!N31</f>
        <v>0</v>
      </c>
      <c r="C13" t="str">
        <f t="shared" si="0"/>
        <v>- init.buildings_cooling_heatpump_air_water_network_gas_share = 0</v>
      </c>
    </row>
    <row r="15" spans="1:3" x14ac:dyDescent="0.2">
      <c r="A15" t="s">
        <v>106</v>
      </c>
    </row>
    <row r="16" spans="1:3" x14ac:dyDescent="0.2">
      <c r="A16" t="s">
        <v>107</v>
      </c>
      <c r="B16" s="159">
        <f>Dashboard!F61</f>
        <v>9.2409265795960246E-2</v>
      </c>
      <c r="C16" t="str">
        <f t="shared" si="0"/>
        <v>- init.buildings_chp_engine_biogas_share = 9.24092657959602</v>
      </c>
    </row>
    <row r="17" spans="1:3" x14ac:dyDescent="0.2">
      <c r="A17" t="s">
        <v>108</v>
      </c>
      <c r="B17" s="159">
        <f>Dashboard!F62</f>
        <v>0</v>
      </c>
      <c r="C17" t="str">
        <f t="shared" si="0"/>
        <v>- init.buildings_collective_chp_network_gas_share = 0</v>
      </c>
    </row>
    <row r="18" spans="1:3" x14ac:dyDescent="0.2">
      <c r="A18" t="s">
        <v>109</v>
      </c>
      <c r="B18" s="159">
        <f>Dashboard!F63</f>
        <v>0</v>
      </c>
      <c r="C18" t="str">
        <f t="shared" si="0"/>
        <v>- init.buildings_collective_chp_wood_pellets_share = 0</v>
      </c>
    </row>
    <row r="19" spans="1:3" x14ac:dyDescent="0.2">
      <c r="A19" t="s">
        <v>110</v>
      </c>
      <c r="B19" s="159">
        <f>Dashboard!F64</f>
        <v>0</v>
      </c>
      <c r="C19" t="str">
        <f t="shared" si="0"/>
        <v>- init.buildings_collective_geothermal_share = 0</v>
      </c>
    </row>
    <row r="20" spans="1:3" x14ac:dyDescent="0.2">
      <c r="A20" t="s">
        <v>111</v>
      </c>
      <c r="B20" s="159">
        <f>Dashboard!F65</f>
        <v>0.9075907342040398</v>
      </c>
      <c r="C20" t="str">
        <f t="shared" si="0"/>
        <v>- init.buildings_heat_network_connection_steam_hot_water_share = 90.759073420404</v>
      </c>
    </row>
    <row r="22" spans="1:3" x14ac:dyDescent="0.2">
      <c r="A22" t="s">
        <v>116</v>
      </c>
    </row>
    <row r="23" spans="1:3" x14ac:dyDescent="0.2">
      <c r="A23" t="s">
        <v>117</v>
      </c>
      <c r="B23">
        <f>Analyse!N17</f>
        <v>0</v>
      </c>
      <c r="C23" t="str">
        <f t="shared" si="0"/>
        <v>- init.buildings_space_heater_coal_share = 0</v>
      </c>
    </row>
    <row r="24" spans="1:3" x14ac:dyDescent="0.2">
      <c r="A24" t="s">
        <v>118</v>
      </c>
      <c r="B24">
        <f>Analyse!N18</f>
        <v>3.9612918066118254E-2</v>
      </c>
      <c r="C24" t="str">
        <f t="shared" si="0"/>
        <v>- init.buildings_space_heater_collective_heatpump_water_water_ts_electricity_share = 3.96129180661183</v>
      </c>
    </row>
    <row r="25" spans="1:3" x14ac:dyDescent="0.2">
      <c r="A25" t="s">
        <v>119</v>
      </c>
      <c r="B25">
        <f>Analyse!N19</f>
        <v>0</v>
      </c>
      <c r="C25" t="str">
        <f t="shared" si="0"/>
        <v>- init.buildings_space_heater_crude_oil_share = 0</v>
      </c>
    </row>
    <row r="26" spans="1:3" x14ac:dyDescent="0.2">
      <c r="A26" t="s">
        <v>120</v>
      </c>
      <c r="B26">
        <f>Analyse!N20</f>
        <v>0.32708748660459275</v>
      </c>
      <c r="C26" t="str">
        <f t="shared" si="0"/>
        <v>- init.buildings_space_heater_district_heating_steam_hot_water_share = 32.7087486604593</v>
      </c>
    </row>
    <row r="27" spans="1:3" x14ac:dyDescent="0.2">
      <c r="A27" t="s">
        <v>121</v>
      </c>
      <c r="B27">
        <f>Analyse!N21</f>
        <v>0</v>
      </c>
      <c r="C27" t="str">
        <f t="shared" si="0"/>
        <v>- init.buildings_space_heater_electricity_share = 0</v>
      </c>
    </row>
    <row r="28" spans="1:3" x14ac:dyDescent="0.2">
      <c r="A28" t="s">
        <v>122</v>
      </c>
      <c r="B28">
        <f>Analyse!N22</f>
        <v>0</v>
      </c>
      <c r="C28" t="str">
        <f t="shared" si="0"/>
        <v>- init.buildings_space_heater_heatpump_air_water_network_gas_share = 0</v>
      </c>
    </row>
    <row r="29" spans="1:3" x14ac:dyDescent="0.2">
      <c r="A29" t="s">
        <v>123</v>
      </c>
      <c r="B29">
        <f>Analyse!N23</f>
        <v>0.63236985791583589</v>
      </c>
      <c r="C29" t="str">
        <f t="shared" si="0"/>
        <v>- init.buildings_space_heater_network_gas_share = 63.2369857915836</v>
      </c>
    </row>
    <row r="30" spans="1:3" x14ac:dyDescent="0.2">
      <c r="A30" t="s">
        <v>124</v>
      </c>
      <c r="B30">
        <f>Analyse!N24</f>
        <v>0</v>
      </c>
      <c r="C30" t="str">
        <f t="shared" si="0"/>
        <v>- init.buildings_space_heater_solar_thermal_share = 0</v>
      </c>
    </row>
    <row r="31" spans="1:3" x14ac:dyDescent="0.2">
      <c r="A31" t="s">
        <v>125</v>
      </c>
      <c r="B31">
        <f>Analyse!N25</f>
        <v>9.2973741345312843E-4</v>
      </c>
      <c r="C31" t="str">
        <f t="shared" si="0"/>
        <v>- init.buildings_space_heater_wood_pellets_share = 0.0929737413453128</v>
      </c>
    </row>
    <row r="33" spans="1:3" x14ac:dyDescent="0.2">
      <c r="A33" t="s">
        <v>126</v>
      </c>
    </row>
    <row r="34" spans="1:3" x14ac:dyDescent="0.2">
      <c r="A34" t="s">
        <v>127</v>
      </c>
      <c r="B34">
        <f>Analyse!N40</f>
        <v>6.5000000000000002E-2</v>
      </c>
      <c r="C34" t="str">
        <f t="shared" si="0"/>
        <v>- init.buildings_lighting_efficient_fluorescent_electricity_share = 6.5</v>
      </c>
    </row>
    <row r="35" spans="1:3" x14ac:dyDescent="0.2">
      <c r="A35" t="s">
        <v>128</v>
      </c>
      <c r="B35">
        <f>Analyse!N41</f>
        <v>1.5999999999999997E-2</v>
      </c>
      <c r="C35" t="str">
        <f t="shared" si="0"/>
        <v>- init.buildings_lighting_led_electricity_share = 1.6</v>
      </c>
    </row>
    <row r="36" spans="1:3" x14ac:dyDescent="0.2">
      <c r="A36" t="s">
        <v>129</v>
      </c>
      <c r="B36">
        <f>Analyse!N42</f>
        <v>0.91900000000000004</v>
      </c>
      <c r="C36" t="str">
        <f t="shared" si="0"/>
        <v>- init.buildings_lighting_standard_fluorescent_electricity_share = 91.9</v>
      </c>
    </row>
    <row r="38" spans="1:3" x14ac:dyDescent="0.2">
      <c r="A38" t="s">
        <v>130</v>
      </c>
    </row>
    <row r="39" spans="1:3" x14ac:dyDescent="0.2">
      <c r="A39" t="s">
        <v>131</v>
      </c>
      <c r="B39">
        <f>Dashboard!F13/(Dashboard!F14*Dashboard!F102)*10^-6</f>
        <v>1.330671989354624E-2</v>
      </c>
      <c r="C39" t="str">
        <f t="shared" si="0"/>
        <v>- init.buildings_solar_pv_solar_radiation_market_penetration = 1.33067198935462</v>
      </c>
    </row>
    <row r="40" spans="1:3" x14ac:dyDescent="0.2">
      <c r="A40" t="s">
        <v>132</v>
      </c>
      <c r="B40">
        <f>Analyse!M29</f>
        <v>691.67090858015274</v>
      </c>
      <c r="C40" t="str">
        <f>"- init." &amp; LEFT(A40, LEN(A40)-3)&amp; " " &amp; "=" &amp;" " &amp; B40*10^6</f>
        <v>- init.buildings_useful_demand_cooling = 691670908.580153</v>
      </c>
    </row>
    <row r="41" spans="1:3" x14ac:dyDescent="0.2">
      <c r="A41" t="s">
        <v>133</v>
      </c>
      <c r="B41" s="137">
        <f>Analyse!M46</f>
        <v>1687.1321621699999</v>
      </c>
      <c r="C41" t="str">
        <f t="shared" ref="C41:C43" si="1">"- init." &amp; LEFT(A41, LEN(A41)-3)&amp; " " &amp; "=" &amp;" " &amp; B41*10^6</f>
        <v>- init.buildings_useful_demand_for_appliances = 1687132162.17</v>
      </c>
    </row>
    <row r="42" spans="1:3" x14ac:dyDescent="0.2">
      <c r="A42" t="s">
        <v>134</v>
      </c>
      <c r="B42">
        <f>Analyse!M14</f>
        <v>2698.8265328385628</v>
      </c>
      <c r="C42" t="str">
        <f t="shared" si="1"/>
        <v>- init.buildings_useful_demand_for_space_heating = 2698826532.83856</v>
      </c>
    </row>
    <row r="43" spans="1:3" x14ac:dyDescent="0.2">
      <c r="A43" t="s">
        <v>135</v>
      </c>
      <c r="B43" s="137">
        <f>Analyse!M38</f>
        <v>237.70601901790627</v>
      </c>
      <c r="C43" t="str">
        <f t="shared" si="1"/>
        <v>- init.buildings_useful_demand_light = 237706019.017906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Dashboard</vt:lpstr>
      <vt:lpstr>Analyse</vt:lpstr>
      <vt:lpstr>.ad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2017-07-20T08:09:20Z</dcterms:created>
  <dcterms:modified xsi:type="dcterms:W3CDTF">2017-08-30T12:17:06Z</dcterms:modified>
</cp:coreProperties>
</file>