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tlubben/Dropbox (Quintel)/Quintel/Projects/201606_ETMoses voor Groningen/Reitdiep/Dataset Reitdiep/"/>
    </mc:Choice>
  </mc:AlternateContent>
  <bookViews>
    <workbookView xWindow="28800" yWindow="-10360" windowWidth="51200" windowHeight="28360" tabRatio="500"/>
  </bookViews>
  <sheets>
    <sheet name="Dashboard" sheetId="3" r:id="rId1"/>
    <sheet name="Analyse" sheetId="5" r:id="rId2"/>
    <sheet name="Notes" sheetId="6" r:id="rId3"/>
    <sheet name=".yml" sheetId="2" r:id="rId4"/>
  </sheets>
  <externalReferences>
    <externalReference r:id="rId5"/>
  </externalReferences>
  <definedNames>
    <definedName name="Eff_cooking_biomass">[1]technical_specs!$P$51</definedName>
    <definedName name="Eff_cooking_electric">[1]technical_specs!$P$48</definedName>
    <definedName name="Eff_cooking_gas">[1]technical_specs!$P$47</definedName>
    <definedName name="Eff_cooking_halogen">[1]technical_specs!$P$49</definedName>
    <definedName name="Eff_cooking_induction">[1]technical_specs!$P$50</definedName>
    <definedName name="Eff_cooling_airco">[1]technical_specs!$P$44</definedName>
    <definedName name="Eff_cooling_pump_air">[1]technical_specs!$P$43</definedName>
    <definedName name="Eff_cooling_pump_ground">[1]technical_specs!$P$42</definedName>
    <definedName name="Eff_hot_water_coal">[1]technical_specs!$P$36</definedName>
    <definedName name="Eff_hot_water_combi_boiler">[1]technical_specs!$P$26</definedName>
    <definedName name="Eff_hot_water_district">[1]technical_specs!$P$30</definedName>
    <definedName name="Eff_hot_water_electric">[1]technical_specs!$P$33</definedName>
    <definedName name="Eff_hot_water_fuel_cell">[1]technical_specs!$P$37</definedName>
    <definedName name="Eff_hot_water_gas">[1]technical_specs!$P$34</definedName>
    <definedName name="Eff_hot_water_hhp_gas">[1]technical_specs!$P$39</definedName>
    <definedName name="Eff_hot_water_hhp_heatpump">[1]technical_specs!$P$38</definedName>
    <definedName name="Eff_hot_water_micro_CHP">[1]technical_specs!$P$29</definedName>
    <definedName name="Eff_hot_water_oil">[1]technical_specs!$P$35</definedName>
    <definedName name="Eff_hot_water_pump_air">[1]technical_specs!$P$31</definedName>
    <definedName name="Eff_hot_water_pump_ground">[1]technical_specs!$P$28</definedName>
    <definedName name="Eff_hot_water_solar_thermal_panel">[1]technical_specs!$P$27</definedName>
    <definedName name="Eff_hot_water_woodpellets">[1]technical_specs!$P$32</definedName>
    <definedName name="Eff_lighting_fluorescent">[1]technical_specs!$P$55</definedName>
    <definedName name="Eff_lighting_incandescent">[1]technical_specs!$P$54</definedName>
    <definedName name="Eff_lighting_led">[1]technical_specs!$P$56</definedName>
    <definedName name="Eff_space_heating_coal">[1]technical_specs!$P$21</definedName>
    <definedName name="Eff_space_heating_combi_boiler">[1]technical_specs!$P$11</definedName>
    <definedName name="Eff_space_heating_district">[1]technical_specs!$P$15</definedName>
    <definedName name="Eff_space_heating_electric">[1]technical_specs!$P$18</definedName>
    <definedName name="Eff_space_heating_gas">[1]technical_specs!$P$19</definedName>
    <definedName name="Eff_space_heating_hhp_gas">[1]technical_specs!$P$23</definedName>
    <definedName name="Eff_space_heating_hhp_heatpump">[1]technical_specs!$P$22</definedName>
    <definedName name="Eff_space_heating_micro_CHP">[1]technical_specs!$P$14</definedName>
    <definedName name="Eff_space_heating_oil">[1]technical_specs!$P$20</definedName>
    <definedName name="Eff_space_heating_pump_air">[1]technical_specs!$P$16</definedName>
    <definedName name="Eff_space_heating_pump_ground">[1]technical_specs!$P$13</definedName>
    <definedName name="Eff_space_heating_solar_thermal">[1]technical_specs!$P$12</definedName>
    <definedName name="Eff_space_heating_woodpellets">[1]technical_specs!$P$17</definedName>
    <definedName name="Final_demand_appliances">[1]Dashboard!$E$25</definedName>
    <definedName name="Final_demand_coal">'[1]Fuel aggregation'!$C$11</definedName>
    <definedName name="Final_demand_cooking">[1]Dashboard!$E$24</definedName>
    <definedName name="Final_demand_cooling">[1]Dashboard!$E$22</definedName>
    <definedName name="Final_demand_electricity">'[1]Fuel aggregation'!$I$11</definedName>
    <definedName name="Final_demand_gas">'[1]Fuel aggregation'!$D$11</definedName>
    <definedName name="Final_demand_heat">'[1]Fuel aggregation'!$J$11</definedName>
    <definedName name="Final_demand_hot_water">[1]Dashboard!$E$21</definedName>
    <definedName name="Final_demand_lighting">[1]Dashboard!$E$23</definedName>
    <definedName name="Final_demand_oil">'[1]Fuel aggregation'!$E$11</definedName>
    <definedName name="Final_demand_residences">'[1]Fuel aggregation'!$L$11</definedName>
    <definedName name="Final_demand_solar_thermal">'[1]Fuel aggregation'!$G$11</definedName>
    <definedName name="Final_demand_space_heating">[1]Dashboard!$E$20</definedName>
    <definedName name="Final_demand_woodpellets">'[1]Fuel aggregation'!$F$11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3" l="1"/>
  <c r="F23" i="3"/>
  <c r="F22" i="3"/>
  <c r="F21" i="3"/>
  <c r="F20" i="3"/>
  <c r="F19" i="3"/>
  <c r="C5" i="6"/>
  <c r="F15" i="3"/>
  <c r="F16" i="3"/>
  <c r="H11" i="5"/>
  <c r="F54" i="3"/>
  <c r="H14" i="5"/>
  <c r="B12" i="2"/>
  <c r="D11" i="5"/>
  <c r="D14" i="5"/>
  <c r="B11" i="2"/>
  <c r="F11" i="5"/>
  <c r="F41" i="3"/>
  <c r="F14" i="5"/>
  <c r="B10" i="2"/>
  <c r="E16" i="5"/>
  <c r="E11" i="5"/>
  <c r="E21" i="5"/>
  <c r="E25" i="5"/>
  <c r="E33" i="5"/>
  <c r="M33" i="5"/>
  <c r="D21" i="5"/>
  <c r="D25" i="5"/>
  <c r="D29" i="5"/>
  <c r="M29" i="5"/>
  <c r="J16" i="5"/>
  <c r="J11" i="5"/>
  <c r="J21" i="5"/>
  <c r="J25" i="5"/>
  <c r="J31" i="5"/>
  <c r="M31" i="5"/>
  <c r="G11" i="5"/>
  <c r="G21" i="5"/>
  <c r="G25" i="5"/>
  <c r="G28" i="5"/>
  <c r="M28" i="5"/>
  <c r="H21" i="5"/>
  <c r="H25" i="5"/>
  <c r="H30" i="5"/>
  <c r="M30" i="5"/>
  <c r="I11" i="5"/>
  <c r="I21" i="5"/>
  <c r="I25" i="5"/>
  <c r="I32" i="5"/>
  <c r="M32" i="5"/>
  <c r="N29" i="5"/>
  <c r="B5" i="2"/>
  <c r="D5" i="2"/>
  <c r="N30" i="5"/>
  <c r="B6" i="2"/>
  <c r="D6" i="2"/>
  <c r="N31" i="5"/>
  <c r="B7" i="2"/>
  <c r="D7" i="2"/>
  <c r="N32" i="5"/>
  <c r="B8" i="2"/>
  <c r="D8" i="2"/>
  <c r="N33" i="5"/>
  <c r="B9" i="2"/>
  <c r="D9" i="2"/>
  <c r="E37" i="5"/>
  <c r="E39" i="5"/>
  <c r="M39" i="5"/>
  <c r="M37" i="5"/>
  <c r="D15" i="2"/>
  <c r="M25" i="5"/>
  <c r="D16" i="2"/>
  <c r="F75" i="3"/>
  <c r="F19" i="5"/>
  <c r="D19" i="2"/>
  <c r="F67" i="3"/>
  <c r="D19" i="5"/>
  <c r="D20" i="2"/>
  <c r="F83" i="3"/>
  <c r="H19" i="5"/>
  <c r="D21" i="2"/>
  <c r="D10" i="2"/>
  <c r="D11" i="2"/>
  <c r="D12" i="2"/>
  <c r="N28" i="5"/>
  <c r="B4" i="2"/>
  <c r="D4" i="2"/>
  <c r="N39" i="5"/>
  <c r="O39" i="5"/>
  <c r="K39" i="5"/>
  <c r="J37" i="5"/>
  <c r="I37" i="5"/>
  <c r="H37" i="5"/>
  <c r="G37" i="5"/>
  <c r="D37" i="5"/>
  <c r="F21" i="5"/>
  <c r="I42" i="5"/>
  <c r="I43" i="5"/>
  <c r="K28" i="5"/>
  <c r="O28" i="5"/>
  <c r="K29" i="5"/>
  <c r="O29" i="5"/>
  <c r="K30" i="5"/>
  <c r="O30" i="5"/>
  <c r="K31" i="5"/>
  <c r="O31" i="5"/>
  <c r="K32" i="5"/>
  <c r="O32" i="5"/>
  <c r="K33" i="5"/>
  <c r="O33" i="5"/>
  <c r="D42" i="5"/>
  <c r="E42" i="5"/>
  <c r="F42" i="5"/>
  <c r="G42" i="5"/>
  <c r="H42" i="5"/>
  <c r="J42" i="5"/>
  <c r="D43" i="5"/>
  <c r="E43" i="5"/>
  <c r="F43" i="5"/>
  <c r="G43" i="5"/>
  <c r="H43" i="5"/>
  <c r="J43" i="5"/>
  <c r="E48" i="3"/>
  <c r="F53" i="3"/>
</calcChain>
</file>

<file path=xl/sharedStrings.xml><?xml version="1.0" encoding="utf-8"?>
<sst xmlns="http://schemas.openxmlformats.org/spreadsheetml/2006/main" count="208" uniqueCount="131">
  <si>
    <t>TJ</t>
  </si>
  <si>
    <t>./agriculture:</t>
  </si>
  <si>
    <t xml:space="preserve">Data </t>
  </si>
  <si>
    <t>Sector</t>
  </si>
  <si>
    <t>Unit</t>
  </si>
  <si>
    <t>National UD</t>
  </si>
  <si>
    <t>Value</t>
  </si>
  <si>
    <t>Source</t>
  </si>
  <si>
    <t>Data</t>
  </si>
  <si>
    <t xml:space="preserve">Energy demand </t>
  </si>
  <si>
    <t>Electricity</t>
  </si>
  <si>
    <t>kWh</t>
  </si>
  <si>
    <t>m3</t>
  </si>
  <si>
    <t>Biomass</t>
  </si>
  <si>
    <t>Heat</t>
  </si>
  <si>
    <t>Biogas</t>
  </si>
  <si>
    <t>Olieproducten</t>
  </si>
  <si>
    <t>Geothermal</t>
  </si>
  <si>
    <t>Distribution of final demand</t>
  </si>
  <si>
    <t>Distribution of natural gas</t>
  </si>
  <si>
    <t>Burner</t>
  </si>
  <si>
    <t>CHP</t>
  </si>
  <si>
    <t>Distribution of biogas</t>
  </si>
  <si>
    <t>Distribution of electricity</t>
  </si>
  <si>
    <t>Division of biogas demand:</t>
  </si>
  <si>
    <t>Heatpump</t>
  </si>
  <si>
    <t>Electricity use</t>
  </si>
  <si>
    <t>Natural gas</t>
  </si>
  <si>
    <t>Distribution of biomass</t>
  </si>
  <si>
    <t>Division of electricity demand:</t>
  </si>
  <si>
    <t>Division of (primary) natural gas demand:</t>
  </si>
  <si>
    <t>Division of biomass demand:</t>
  </si>
  <si>
    <t>National dataset</t>
  </si>
  <si>
    <t>Diiference between Carrier demand in analysis and Carrier demand in IEA data (TJ)</t>
  </si>
  <si>
    <t xml:space="preserve">Total FD from </t>
  </si>
  <si>
    <t>District heat</t>
  </si>
  <si>
    <t>Woodpellets</t>
  </si>
  <si>
    <t>Oil</t>
  </si>
  <si>
    <t>Coal</t>
  </si>
  <si>
    <t>Network gas</t>
  </si>
  <si>
    <t>Checks</t>
  </si>
  <si>
    <t xml:space="preserve">Total </t>
  </si>
  <si>
    <t>Percentage of total final demand</t>
  </si>
  <si>
    <t>Share of useful demand within application</t>
  </si>
  <si>
    <t>Useful demand (TJ)</t>
  </si>
  <si>
    <t>Effective efficiency</t>
  </si>
  <si>
    <t>Total final demand (TJ)</t>
  </si>
  <si>
    <t>Final demand for district heat (TJ)</t>
  </si>
  <si>
    <t>Final demand for oil (TJ)</t>
  </si>
  <si>
    <t>Final demand for electricity (TJ)</t>
  </si>
  <si>
    <t>Final demand for network gas (TJ)</t>
  </si>
  <si>
    <t>Technology used</t>
  </si>
  <si>
    <t>Application</t>
  </si>
  <si>
    <t>Final demand per energy carrier</t>
  </si>
  <si>
    <t xml:space="preserve">In this sheet an overview is presented of the allocation of energy carriers over the different technologies and applications. In the next sheet, the initializer inputs are determined. </t>
  </si>
  <si>
    <t>Notes</t>
  </si>
  <si>
    <t>Final demand for biogas (TJ)</t>
  </si>
  <si>
    <t>Final demand for biomass (TJ)</t>
  </si>
  <si>
    <t>Final demand for geothermal (TJ)</t>
  </si>
  <si>
    <t>CHP correction</t>
  </si>
  <si>
    <t xml:space="preserve">In </t>
  </si>
  <si>
    <t>After CHP</t>
  </si>
  <si>
    <t>CHP characterization</t>
  </si>
  <si>
    <t>Type</t>
  </si>
  <si>
    <t>Electricity production per unit input</t>
  </si>
  <si>
    <t>Heat prodution per unit input</t>
  </si>
  <si>
    <t>Electric capacity</t>
  </si>
  <si>
    <t>FLH</t>
  </si>
  <si>
    <t>h</t>
  </si>
  <si>
    <t>MW</t>
  </si>
  <si>
    <t>ETM value</t>
  </si>
  <si>
    <t>Burner crude oil</t>
  </si>
  <si>
    <t>Burner network gas</t>
  </si>
  <si>
    <t>Burner wood pellets</t>
  </si>
  <si>
    <t>Heatpump ground water</t>
  </si>
  <si>
    <t>Out</t>
  </si>
  <si>
    <t>Useful heat</t>
  </si>
  <si>
    <t>Other</t>
  </si>
  <si>
    <t>Useful demand electricity</t>
  </si>
  <si>
    <t>Number of CHP</t>
  </si>
  <si>
    <t>Yearly input demand per unit</t>
  </si>
  <si>
    <t>Central heat</t>
  </si>
  <si>
    <t xml:space="preserve">:"agriculture_burner_crude_oil-agriculture_useful_demand_useable_heat@useable_heat": </t>
  </si>
  <si>
    <t xml:space="preserve">:"agriculture_burner_network_gas-agriculture_useful_demand_useable_heat@useable_heat": </t>
  </si>
  <si>
    <t xml:space="preserve">:"agriculture_burner_wood_pellets-agriculture_useful_demand_useable_heat@useable_heat": </t>
  </si>
  <si>
    <t xml:space="preserve">:"agriculture_final_demand_steam_hot_water-agriculture_useful_demand_useable_heat@useable_heat": </t>
  </si>
  <si>
    <t xml:space="preserve">:"agriculture_geothermal-agriculture_useful_demand_useable_heat@useable_heat": </t>
  </si>
  <si>
    <t xml:space="preserve">:"agriculture_heatpump_water_water_ts_electricity-agriculture_useful_demand_useable_heat@useable_heat": </t>
  </si>
  <si>
    <t xml:space="preserve">agriculture_useful_demand_electricity: </t>
  </si>
  <si>
    <t xml:space="preserve">agriculture_useful_demand_useable_heat: </t>
  </si>
  <si>
    <t xml:space="preserve">agriculture_chp_engine_biogas: </t>
  </si>
  <si>
    <t xml:space="preserve">agriculture_chp_engine_network_gas: </t>
  </si>
  <si>
    <t xml:space="preserve">agriculture_chp_supercritical_wood_pellets: </t>
  </si>
  <si>
    <t xml:space="preserve">:"agriculture_chp_engine_biogas-agriculture_locally_available_electricity@electricity": </t>
  </si>
  <si>
    <t xml:space="preserve">:"agriculture_chp_engine_network_gas-agriculture_locally_available_electricity@electricity": </t>
  </si>
  <si>
    <t xml:space="preserve">:"agriculture_chp_supercritical_wood_pellets-agriculture_locally_available_electricity@electricity": </t>
  </si>
  <si>
    <t>Klimaatmonitor:</t>
  </si>
  <si>
    <t>Conversion</t>
  </si>
  <si>
    <t>Note: Conversion to change TJ to MJ; for shares/number of installations no conversion needed</t>
  </si>
  <si>
    <t>Initializer method</t>
  </si>
  <si>
    <t>Note</t>
  </si>
  <si>
    <t>Value should be the demand, even though the initializer method sets a share (see: https://github.com/quintel/etsource/issues/1358)</t>
  </si>
  <si>
    <t># Shares</t>
  </si>
  <si>
    <t># Number of units</t>
  </si>
  <si>
    <t>National FD</t>
  </si>
  <si>
    <t># Preset demand</t>
  </si>
  <si>
    <t>Total arable land</t>
  </si>
  <si>
    <t>Total arable land NL</t>
  </si>
  <si>
    <t>Geen geothermie</t>
  </si>
  <si>
    <t>CBS</t>
  </si>
  <si>
    <t>ha</t>
  </si>
  <si>
    <t xml:space="preserve">CBS, oppervlakte cultuurgrond (1 km2 = 10.000 are). Schatting op basis van http://www.cbsinuwbuurt.nl/#bodemgebruik2012 &amp; google maps: </t>
  </si>
  <si>
    <t>Klimaatmonitor, geschaald op aantal landbouwgrond Reitdiep/Groningen</t>
  </si>
  <si>
    <t>NL dataset, geschaald op aantal landbouwgrond Reitdiep/Nederland</t>
  </si>
  <si>
    <t xml:space="preserve">Source </t>
  </si>
  <si>
    <t>maps</t>
  </si>
  <si>
    <t>unit</t>
  </si>
  <si>
    <t>m2</t>
  </si>
  <si>
    <t>area</t>
  </si>
  <si>
    <t>https://www.google.nl/maps/place/Groningen/@53.242852,6.5168889,16.52z/data=!4m5!3m4!1s0x47c83286b462cca7:0xcb4b5086f9a6c8dc!8m2!3d53.2193835!4d6.5665017</t>
  </si>
  <si>
    <t>Dasboard value</t>
  </si>
  <si>
    <t>m2 per ha</t>
  </si>
  <si>
    <t>Total arable land Gemeente Groningen</t>
  </si>
  <si>
    <t>CBS 2012</t>
  </si>
  <si>
    <t>https://klimaatmonitor.databank.nl/Jive?workspace_guid=dc05a4c1-18a4-44b8-a819-bc428b168fe1</t>
  </si>
  <si>
    <t>CBS, oppervlakte cultuurgrond.  Schatting op basis van http://www.cbsinuwbuurt.nl/#bodemgebruik2012 &amp; google maps: zie notes</t>
  </si>
  <si>
    <t>Groningen</t>
  </si>
  <si>
    <t>https://opendata.cbs.nl/statline/#/CBS/nl/dataset/70262ned/table?dl=58CD</t>
  </si>
  <si>
    <t>Aanname, nog navraag bij gemeente</t>
  </si>
  <si>
    <r>
      <t xml:space="preserve">CBS 2012: </t>
    </r>
    <r>
      <rPr>
        <sz val="12"/>
        <color theme="1"/>
        <rFont val="Calibri"/>
        <family val="2"/>
        <scheme val="minor"/>
      </rPr>
      <t>Is de laatst beschikbare data van CBS over bodemgebruik Groningen &amp; Reitdiep.</t>
    </r>
  </si>
  <si>
    <t>http://www.cbsinuwbuurt.nl/#bodemgebruik2012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</si>
</sst>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10"/>
      <name val="Calibri"/>
      <family val="2"/>
    </font>
    <font>
      <sz val="12"/>
      <color rgb="FF006100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Consolas"/>
      <family val="2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2" borderId="1" applyNumberFormat="0" applyAlignment="0" applyProtection="0"/>
    <xf numFmtId="0" fontId="3" fillId="3" borderId="0" applyNumberFormat="0" applyBorder="0" applyAlignment="0" applyProtection="0"/>
    <xf numFmtId="9" fontId="2" fillId="0" borderId="0" applyFont="0" applyFill="0" applyBorder="0" applyAlignment="0" applyProtection="0"/>
    <xf numFmtId="164" fontId="11" fillId="6" borderId="9">
      <alignment horizontal="right" vertical="center"/>
    </xf>
    <xf numFmtId="0" fontId="12" fillId="0" borderId="0" applyNumberFormat="0" applyFont="0" applyFill="0" applyBorder="0" applyAlignment="0" applyProtection="0"/>
    <xf numFmtId="9" fontId="12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0" borderId="25" applyNumberFormat="0" applyFill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72">
    <xf numFmtId="0" fontId="0" fillId="0" borderId="0" xfId="0"/>
    <xf numFmtId="2" fontId="0" fillId="0" borderId="0" xfId="0" applyNumberFormat="1"/>
    <xf numFmtId="0" fontId="0" fillId="4" borderId="0" xfId="0" applyFill="1"/>
    <xf numFmtId="0" fontId="5" fillId="4" borderId="12" xfId="0" applyFont="1" applyFill="1" applyBorder="1"/>
    <xf numFmtId="0" fontId="0" fillId="4" borderId="13" xfId="0" applyFont="1" applyFill="1" applyBorder="1"/>
    <xf numFmtId="0" fontId="0" fillId="4" borderId="13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left"/>
    </xf>
    <xf numFmtId="0" fontId="0" fillId="4" borderId="13" xfId="0" applyFont="1" applyFill="1" applyBorder="1" applyAlignment="1">
      <alignment horizontal="right"/>
    </xf>
    <xf numFmtId="0" fontId="0" fillId="4" borderId="13" xfId="0" applyFill="1" applyBorder="1"/>
    <xf numFmtId="0" fontId="0" fillId="4" borderId="14" xfId="0" applyFill="1" applyBorder="1"/>
    <xf numFmtId="0" fontId="0" fillId="4" borderId="15" xfId="0" applyFont="1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right"/>
    </xf>
    <xf numFmtId="0" fontId="0" fillId="4" borderId="0" xfId="0" applyFill="1" applyBorder="1"/>
    <xf numFmtId="0" fontId="0" fillId="4" borderId="11" xfId="0" applyFill="1" applyBorder="1"/>
    <xf numFmtId="0" fontId="6" fillId="5" borderId="16" xfId="0" applyFont="1" applyFill="1" applyBorder="1"/>
    <xf numFmtId="0" fontId="6" fillId="4" borderId="6" xfId="0" applyFont="1" applyFill="1" applyBorder="1"/>
    <xf numFmtId="0" fontId="6" fillId="4" borderId="6" xfId="0" applyFont="1" applyFill="1" applyBorder="1" applyAlignment="1">
      <alignment horizontal="left"/>
    </xf>
    <xf numFmtId="0" fontId="6" fillId="4" borderId="17" xfId="0" applyFont="1" applyFill="1" applyBorder="1"/>
    <xf numFmtId="0" fontId="7" fillId="4" borderId="15" xfId="0" applyFont="1" applyFill="1" applyBorder="1"/>
    <xf numFmtId="0" fontId="5" fillId="4" borderId="0" xfId="0" applyFont="1" applyFill="1" applyBorder="1"/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right"/>
    </xf>
    <xf numFmtId="0" fontId="5" fillId="4" borderId="11" xfId="0" applyFont="1" applyFill="1" applyBorder="1"/>
    <xf numFmtId="0" fontId="0" fillId="4" borderId="18" xfId="0" applyFill="1" applyBorder="1"/>
    <xf numFmtId="0" fontId="0" fillId="4" borderId="0" xfId="0" applyFill="1" applyBorder="1" applyAlignment="1">
      <alignment horizontal="left"/>
    </xf>
    <xf numFmtId="0" fontId="0" fillId="4" borderId="19" xfId="0" applyFont="1" applyFill="1" applyBorder="1" applyAlignment="1">
      <alignment horizontal="center"/>
    </xf>
    <xf numFmtId="9" fontId="2" fillId="4" borderId="0" xfId="3" applyFont="1" applyFill="1" applyBorder="1" applyAlignment="1">
      <alignment horizontal="right"/>
    </xf>
    <xf numFmtId="0" fontId="8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indent="2"/>
    </xf>
    <xf numFmtId="3" fontId="0" fillId="4" borderId="0" xfId="0" applyNumberFormat="1" applyFont="1" applyFill="1" applyBorder="1" applyAlignment="1">
      <alignment horizontal="center"/>
    </xf>
    <xf numFmtId="3" fontId="0" fillId="4" borderId="11" xfId="0" applyNumberFormat="1" applyFont="1" applyFill="1" applyBorder="1" applyAlignment="1">
      <alignment horizontal="left"/>
    </xf>
    <xf numFmtId="3" fontId="0" fillId="4" borderId="0" xfId="0" applyNumberFormat="1" applyFont="1" applyFill="1" applyBorder="1" applyAlignment="1">
      <alignment horizontal="left"/>
    </xf>
    <xf numFmtId="3" fontId="0" fillId="4" borderId="19" xfId="0" applyNumberFormat="1" applyFont="1" applyFill="1" applyBorder="1" applyAlignment="1">
      <alignment horizontal="center"/>
    </xf>
    <xf numFmtId="0" fontId="7" fillId="4" borderId="20" xfId="0" applyFont="1" applyFill="1" applyBorder="1"/>
    <xf numFmtId="0" fontId="0" fillId="4" borderId="8" xfId="0" applyFont="1" applyFill="1" applyBorder="1"/>
    <xf numFmtId="0" fontId="0" fillId="4" borderId="21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left"/>
    </xf>
    <xf numFmtId="164" fontId="9" fillId="4" borderId="8" xfId="3" applyNumberFormat="1" applyFont="1" applyFill="1" applyBorder="1" applyAlignment="1">
      <alignment horizontal="right"/>
    </xf>
    <xf numFmtId="0" fontId="0" fillId="4" borderId="8" xfId="0" applyFill="1" applyBorder="1" applyAlignment="1">
      <alignment horizontal="left"/>
    </xf>
    <xf numFmtId="0" fontId="0" fillId="4" borderId="8" xfId="0" applyFill="1" applyBorder="1"/>
    <xf numFmtId="0" fontId="0" fillId="4" borderId="22" xfId="0" applyFill="1" applyBorder="1"/>
    <xf numFmtId="0" fontId="7" fillId="4" borderId="0" xfId="0" applyFont="1" applyFill="1" applyBorder="1"/>
    <xf numFmtId="0" fontId="0" fillId="4" borderId="0" xfId="0" applyFill="1" applyAlignment="1">
      <alignment horizontal="left" indent="2"/>
    </xf>
    <xf numFmtId="9" fontId="0" fillId="4" borderId="0" xfId="3" applyFont="1" applyFill="1" applyBorder="1" applyAlignment="1">
      <alignment horizontal="right"/>
    </xf>
    <xf numFmtId="10" fontId="0" fillId="4" borderId="0" xfId="0" applyNumberFormat="1" applyFill="1" applyBorder="1" applyAlignment="1">
      <alignment horizontal="left"/>
    </xf>
    <xf numFmtId="10" fontId="0" fillId="4" borderId="18" xfId="3" applyNumberFormat="1" applyFont="1" applyFill="1" applyBorder="1"/>
    <xf numFmtId="0" fontId="7" fillId="4" borderId="16" xfId="0" applyFont="1" applyFill="1" applyBorder="1"/>
    <xf numFmtId="0" fontId="0" fillId="4" borderId="6" xfId="0" applyFont="1" applyFill="1" applyBorder="1"/>
    <xf numFmtId="0" fontId="0" fillId="4" borderId="23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left"/>
    </xf>
    <xf numFmtId="10" fontId="8" fillId="4" borderId="6" xfId="3" applyNumberFormat="1" applyFont="1" applyFill="1" applyBorder="1" applyAlignment="1">
      <alignment horizontal="right"/>
    </xf>
    <xf numFmtId="0" fontId="8" fillId="4" borderId="6" xfId="0" applyFont="1" applyFill="1" applyBorder="1" applyAlignment="1">
      <alignment horizontal="left"/>
    </xf>
    <xf numFmtId="0" fontId="0" fillId="4" borderId="6" xfId="0" applyFill="1" applyBorder="1"/>
    <xf numFmtId="0" fontId="0" fillId="4" borderId="17" xfId="0" applyFill="1" applyBorder="1"/>
    <xf numFmtId="0" fontId="0" fillId="4" borderId="3" xfId="0" applyFill="1" applyBorder="1"/>
    <xf numFmtId="0" fontId="5" fillId="4" borderId="2" xfId="0" applyFont="1" applyFill="1" applyBorder="1"/>
    <xf numFmtId="10" fontId="0" fillId="4" borderId="0" xfId="3" applyNumberFormat="1" applyFont="1" applyFill="1" applyBorder="1"/>
    <xf numFmtId="0" fontId="7" fillId="4" borderId="26" xfId="0" applyFont="1" applyFill="1" applyBorder="1"/>
    <xf numFmtId="0" fontId="0" fillId="4" borderId="3" xfId="0" applyFont="1" applyFill="1" applyBorder="1"/>
    <xf numFmtId="0" fontId="0" fillId="4" borderId="27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right"/>
    </xf>
    <xf numFmtId="0" fontId="0" fillId="4" borderId="3" xfId="0" applyFill="1" applyBorder="1" applyAlignment="1">
      <alignment horizontal="left"/>
    </xf>
    <xf numFmtId="0" fontId="0" fillId="4" borderId="28" xfId="0" applyFill="1" applyBorder="1"/>
    <xf numFmtId="0" fontId="0" fillId="4" borderId="20" xfId="0" applyFill="1" applyBorder="1"/>
    <xf numFmtId="0" fontId="5" fillId="4" borderId="0" xfId="0" applyFont="1" applyFill="1" applyBorder="1" applyAlignment="1"/>
    <xf numFmtId="9" fontId="5" fillId="4" borderId="0" xfId="11" applyNumberFormat="1" applyFont="1" applyFill="1" applyBorder="1"/>
    <xf numFmtId="0" fontId="5" fillId="4" borderId="15" xfId="0" applyFont="1" applyFill="1" applyBorder="1"/>
    <xf numFmtId="0" fontId="5" fillId="4" borderId="0" xfId="0" applyFont="1" applyFill="1" applyBorder="1" applyAlignment="1">
      <alignment wrapText="1"/>
    </xf>
    <xf numFmtId="4" fontId="5" fillId="4" borderId="24" xfId="0" applyNumberFormat="1" applyFont="1" applyFill="1" applyBorder="1"/>
    <xf numFmtId="0" fontId="5" fillId="4" borderId="3" xfId="0" applyFont="1" applyFill="1" applyBorder="1" applyAlignment="1"/>
    <xf numFmtId="4" fontId="5" fillId="4" borderId="29" xfId="0" applyNumberFormat="1" applyFont="1" applyFill="1" applyBorder="1"/>
    <xf numFmtId="4" fontId="5" fillId="4" borderId="30" xfId="0" applyNumberFormat="1" applyFont="1" applyFill="1" applyBorder="1"/>
    <xf numFmtId="0" fontId="5" fillId="4" borderId="30" xfId="0" applyFont="1" applyFill="1" applyBorder="1"/>
    <xf numFmtId="0" fontId="17" fillId="4" borderId="26" xfId="0" applyFont="1" applyFill="1" applyBorder="1"/>
    <xf numFmtId="4" fontId="5" fillId="4" borderId="0" xfId="0" applyNumberFormat="1" applyFont="1" applyFill="1" applyBorder="1"/>
    <xf numFmtId="0" fontId="9" fillId="4" borderId="0" xfId="0" applyFont="1" applyFill="1" applyBorder="1"/>
    <xf numFmtId="0" fontId="18" fillId="4" borderId="15" xfId="0" applyFont="1" applyFill="1" applyBorder="1"/>
    <xf numFmtId="0" fontId="7" fillId="4" borderId="15" xfId="0" applyFont="1" applyFill="1" applyBorder="1" applyAlignment="1">
      <alignment vertical="top" wrapText="1"/>
    </xf>
    <xf numFmtId="0" fontId="18" fillId="4" borderId="16" xfId="0" applyFont="1" applyFill="1" applyBorder="1"/>
    <xf numFmtId="0" fontId="18" fillId="4" borderId="0" xfId="0" applyFont="1" applyFill="1" applyBorder="1"/>
    <xf numFmtId="4" fontId="14" fillId="4" borderId="24" xfId="9" applyNumberFormat="1" applyFill="1" applyBorder="1"/>
    <xf numFmtId="10" fontId="14" fillId="4" borderId="0" xfId="9" applyNumberFormat="1" applyFill="1" applyBorder="1"/>
    <xf numFmtId="165" fontId="1" fillId="4" borderId="11" xfId="11" applyNumberFormat="1" applyFont="1" applyFill="1" applyBorder="1"/>
    <xf numFmtId="0" fontId="16" fillId="4" borderId="15" xfId="0" applyFont="1" applyFill="1" applyBorder="1"/>
    <xf numFmtId="10" fontId="18" fillId="4" borderId="0" xfId="0" applyNumberFormat="1" applyFont="1" applyFill="1" applyBorder="1"/>
    <xf numFmtId="0" fontId="1" fillId="4" borderId="11" xfId="0" applyFont="1" applyFill="1" applyBorder="1"/>
    <xf numFmtId="0" fontId="0" fillId="4" borderId="0" xfId="0" applyFont="1" applyFill="1"/>
    <xf numFmtId="0" fontId="9" fillId="4" borderId="6" xfId="0" applyFont="1" applyFill="1" applyBorder="1"/>
    <xf numFmtId="0" fontId="0" fillId="4" borderId="15" xfId="0" applyFont="1" applyFill="1" applyBorder="1" applyAlignment="1">
      <alignment horizontal="left" indent="2"/>
    </xf>
    <xf numFmtId="4" fontId="5" fillId="4" borderId="6" xfId="0" applyNumberFormat="1" applyFont="1" applyFill="1" applyBorder="1"/>
    <xf numFmtId="4" fontId="5" fillId="4" borderId="3" xfId="0" applyNumberFormat="1" applyFont="1" applyFill="1" applyBorder="1"/>
    <xf numFmtId="11" fontId="0" fillId="4" borderId="0" xfId="0" applyNumberFormat="1" applyFill="1"/>
    <xf numFmtId="11" fontId="0" fillId="4" borderId="0" xfId="0" applyNumberFormat="1" applyFill="1" applyBorder="1"/>
    <xf numFmtId="0" fontId="4" fillId="4" borderId="0" xfId="1" applyFill="1" applyBorder="1"/>
    <xf numFmtId="4" fontId="5" fillId="4" borderId="2" xfId="0" applyNumberFormat="1" applyFont="1" applyFill="1" applyBorder="1"/>
    <xf numFmtId="0" fontId="18" fillId="4" borderId="30" xfId="0" applyFont="1" applyFill="1" applyBorder="1"/>
    <xf numFmtId="0" fontId="18" fillId="4" borderId="26" xfId="0" applyFont="1" applyFill="1" applyBorder="1"/>
    <xf numFmtId="0" fontId="5" fillId="4" borderId="16" xfId="0" applyFont="1" applyFill="1" applyBorder="1" applyAlignment="1">
      <alignment vertical="top" wrapText="1"/>
    </xf>
    <xf numFmtId="0" fontId="5" fillId="4" borderId="0" xfId="0" applyFont="1" applyFill="1" applyBorder="1" applyAlignment="1">
      <alignment vertical="top" wrapText="1"/>
    </xf>
    <xf numFmtId="4" fontId="5" fillId="4" borderId="24" xfId="0" applyNumberFormat="1" applyFont="1" applyFill="1" applyBorder="1" applyAlignment="1">
      <alignment vertical="top" wrapText="1"/>
    </xf>
    <xf numFmtId="1" fontId="5" fillId="4" borderId="0" xfId="11" applyNumberFormat="1" applyFont="1" applyFill="1" applyBorder="1" applyAlignment="1">
      <alignment vertical="top" wrapText="1"/>
    </xf>
    <xf numFmtId="0" fontId="0" fillId="4" borderId="11" xfId="0" applyFont="1" applyFill="1" applyBorder="1"/>
    <xf numFmtId="4" fontId="0" fillId="4" borderId="24" xfId="0" applyNumberFormat="1" applyFont="1" applyFill="1" applyBorder="1" applyAlignment="1">
      <alignment vertical="top" wrapText="1"/>
    </xf>
    <xf numFmtId="3" fontId="5" fillId="4" borderId="24" xfId="0" applyNumberFormat="1" applyFont="1" applyFill="1" applyBorder="1" applyAlignment="1">
      <alignment vertical="top" wrapText="1"/>
    </xf>
    <xf numFmtId="0" fontId="5" fillId="4" borderId="3" xfId="0" applyFont="1" applyFill="1" applyBorder="1" applyAlignment="1">
      <alignment vertical="top" wrapText="1"/>
    </xf>
    <xf numFmtId="166" fontId="15" fillId="4" borderId="0" xfId="10" applyNumberFormat="1" applyFill="1" applyBorder="1"/>
    <xf numFmtId="0" fontId="5" fillId="4" borderId="17" xfId="0" applyFont="1" applyFill="1" applyBorder="1" applyAlignment="1">
      <alignment vertical="top" wrapText="1"/>
    </xf>
    <xf numFmtId="0" fontId="5" fillId="4" borderId="6" xfId="0" applyFont="1" applyFill="1" applyBorder="1" applyAlignment="1">
      <alignment vertical="top"/>
    </xf>
    <xf numFmtId="0" fontId="5" fillId="4" borderId="6" xfId="0" applyFont="1" applyFill="1" applyBorder="1" applyAlignment="1">
      <alignment vertical="top" wrapText="1"/>
    </xf>
    <xf numFmtId="0" fontId="5" fillId="4" borderId="5" xfId="0" applyFont="1" applyFill="1" applyBorder="1" applyAlignment="1">
      <alignment vertical="top" wrapText="1"/>
    </xf>
    <xf numFmtId="0" fontId="0" fillId="4" borderId="15" xfId="0" applyFill="1" applyBorder="1"/>
    <xf numFmtId="0" fontId="0" fillId="4" borderId="0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10" fillId="4" borderId="0" xfId="0" applyFont="1" applyFill="1" applyBorder="1"/>
    <xf numFmtId="1" fontId="0" fillId="4" borderId="0" xfId="0" applyNumberFormat="1" applyFill="1" applyBorder="1" applyAlignment="1">
      <alignment horizontal="left"/>
    </xf>
    <xf numFmtId="10" fontId="0" fillId="4" borderId="18" xfId="0" applyNumberFormat="1" applyFill="1" applyBorder="1" applyAlignment="1">
      <alignment horizontal="left"/>
    </xf>
    <xf numFmtId="1" fontId="0" fillId="4" borderId="18" xfId="0" applyNumberFormat="1" applyFill="1" applyBorder="1" applyAlignment="1">
      <alignment horizontal="left"/>
    </xf>
    <xf numFmtId="164" fontId="0" fillId="4" borderId="18" xfId="0" applyNumberFormat="1" applyFill="1" applyBorder="1" applyAlignment="1">
      <alignment horizontal="left"/>
    </xf>
    <xf numFmtId="4" fontId="14" fillId="8" borderId="3" xfId="9" applyNumberFormat="1" applyFill="1" applyBorder="1"/>
    <xf numFmtId="4" fontId="14" fillId="8" borderId="0" xfId="9" applyNumberFormat="1" applyFill="1" applyBorder="1"/>
    <xf numFmtId="4" fontId="14" fillId="8" borderId="6" xfId="9" applyNumberFormat="1" applyFill="1" applyBorder="1"/>
    <xf numFmtId="4" fontId="0" fillId="8" borderId="3" xfId="0" applyNumberFormat="1" applyFont="1" applyFill="1" applyBorder="1"/>
    <xf numFmtId="4" fontId="0" fillId="8" borderId="4" xfId="0" applyNumberFormat="1" applyFont="1" applyFill="1" applyBorder="1"/>
    <xf numFmtId="4" fontId="0" fillId="4" borderId="0" xfId="0" applyNumberFormat="1" applyFont="1" applyFill="1" applyBorder="1"/>
    <xf numFmtId="4" fontId="0" fillId="4" borderId="10" xfId="0" applyNumberFormat="1" applyFont="1" applyFill="1" applyBorder="1"/>
    <xf numFmtId="4" fontId="0" fillId="8" borderId="6" xfId="0" applyNumberFormat="1" applyFont="1" applyFill="1" applyBorder="1"/>
    <xf numFmtId="4" fontId="0" fillId="8" borderId="7" xfId="0" applyNumberFormat="1" applyFont="1" applyFill="1" applyBorder="1"/>
    <xf numFmtId="2" fontId="5" fillId="4" borderId="3" xfId="0" applyNumberFormat="1" applyFont="1" applyFill="1" applyBorder="1"/>
    <xf numFmtId="4" fontId="5" fillId="8" borderId="30" xfId="0" applyNumberFormat="1" applyFont="1" applyFill="1" applyBorder="1"/>
    <xf numFmtId="4" fontId="5" fillId="8" borderId="29" xfId="0" applyNumberFormat="1" applyFont="1" applyFill="1" applyBorder="1"/>
    <xf numFmtId="2" fontId="5" fillId="4" borderId="0" xfId="11" applyNumberFormat="1" applyFont="1" applyFill="1" applyBorder="1" applyAlignment="1">
      <alignment vertical="top" wrapText="1"/>
    </xf>
    <xf numFmtId="2" fontId="0" fillId="4" borderId="18" xfId="0" applyNumberFormat="1" applyFill="1" applyBorder="1" applyAlignment="1">
      <alignment horizontal="left"/>
    </xf>
    <xf numFmtId="1" fontId="0" fillId="0" borderId="0" xfId="0" applyNumberFormat="1"/>
    <xf numFmtId="0" fontId="19" fillId="0" borderId="0" xfId="0" applyFont="1"/>
    <xf numFmtId="0" fontId="5" fillId="0" borderId="0" xfId="0" applyFont="1"/>
    <xf numFmtId="10" fontId="0" fillId="0" borderId="18" xfId="3" applyNumberFormat="1" applyFont="1" applyFill="1" applyBorder="1"/>
    <xf numFmtId="4" fontId="0" fillId="0" borderId="0" xfId="0" applyNumberFormat="1"/>
    <xf numFmtId="0" fontId="19" fillId="0" borderId="0" xfId="0" applyFont="1" applyFill="1"/>
    <xf numFmtId="0" fontId="20" fillId="0" borderId="0" xfId="12"/>
    <xf numFmtId="3" fontId="0" fillId="0" borderId="18" xfId="0" applyNumberFormat="1" applyFont="1" applyFill="1" applyBorder="1" applyAlignment="1">
      <alignment horizontal="right"/>
    </xf>
    <xf numFmtId="0" fontId="8" fillId="0" borderId="0" xfId="0" applyFont="1"/>
    <xf numFmtId="2" fontId="0" fillId="4" borderId="18" xfId="0" applyNumberFormat="1" applyFont="1" applyFill="1" applyBorder="1"/>
    <xf numFmtId="0" fontId="0" fillId="4" borderId="18" xfId="0" applyFont="1" applyFill="1" applyBorder="1"/>
    <xf numFmtId="2" fontId="0" fillId="0" borderId="18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left"/>
    </xf>
    <xf numFmtId="0" fontId="5" fillId="0" borderId="12" xfId="0" applyFont="1" applyFill="1" applyBorder="1"/>
    <xf numFmtId="0" fontId="0" fillId="0" borderId="13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right"/>
    </xf>
    <xf numFmtId="0" fontId="0" fillId="0" borderId="15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6" fillId="0" borderId="16" xfId="0" applyFont="1" applyFill="1" applyBorder="1"/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7" fillId="0" borderId="15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3" fontId="0" fillId="4" borderId="0" xfId="0" applyNumberFormat="1" applyFont="1" applyFill="1" applyBorder="1"/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3">
    <cellStyle name="40% - Accent2 2" xfId="2"/>
    <cellStyle name="Good" xfId="9" builtinId="26"/>
    <cellStyle name="Hyperlink" xfId="12" builtinId="8"/>
    <cellStyle name="Input" xfId="1" builtinId="20"/>
    <cellStyle name="Input cel" xfId="4"/>
    <cellStyle name="Linked Cell" xfId="10" builtinId="24"/>
    <cellStyle name="Normal" xfId="0" builtinId="0"/>
    <cellStyle name="Normal 2" xfId="5"/>
    <cellStyle name="Percent" xfId="3" builtinId="5"/>
    <cellStyle name="Percent 2" xfId="6"/>
    <cellStyle name="Percent 3" xfId="7"/>
    <cellStyle name="Percent 4" xfId="11"/>
    <cellStyle name="Warning Text 3" xfId="8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5</xdr:row>
      <xdr:rowOff>12700</xdr:rowOff>
    </xdr:from>
    <xdr:to>
      <xdr:col>18</xdr:col>
      <xdr:colOff>647700</xdr:colOff>
      <xdr:row>32</xdr:row>
      <xdr:rowOff>12700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91" b="5866"/>
        <a:stretch/>
      </xdr:blipFill>
      <xdr:spPr>
        <a:xfrm>
          <a:off x="11049000" y="1041400"/>
          <a:ext cx="5549900" cy="5486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25400</xdr:rowOff>
    </xdr:from>
    <xdr:to>
      <xdr:col>13</xdr:col>
      <xdr:colOff>215900</xdr:colOff>
      <xdr:row>32</xdr:row>
      <xdr:rowOff>5242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7700" y="1054100"/>
          <a:ext cx="10121900" cy="5466242"/>
        </a:xfrm>
        <a:prstGeom prst="rect">
          <a:avLst/>
        </a:prstGeom>
      </xdr:spPr>
    </xdr:pic>
    <xdr:clientData/>
  </xdr:twoCellAnchor>
  <xdr:twoCellAnchor>
    <xdr:from>
      <xdr:col>7</xdr:col>
      <xdr:colOff>495300</xdr:colOff>
      <xdr:row>15</xdr:row>
      <xdr:rowOff>76200</xdr:rowOff>
    </xdr:from>
    <xdr:to>
      <xdr:col>15</xdr:col>
      <xdr:colOff>127000</xdr:colOff>
      <xdr:row>19</xdr:row>
      <xdr:rowOff>38100</xdr:rowOff>
    </xdr:to>
    <xdr:cxnSp macro="">
      <xdr:nvCxnSpPr>
        <xdr:cNvPr id="5" name="Straight Arrow Connector 4"/>
        <xdr:cNvCxnSpPr/>
      </xdr:nvCxnSpPr>
      <xdr:spPr>
        <a:xfrm flipV="1">
          <a:off x="7366000" y="3136900"/>
          <a:ext cx="6235700" cy="774700"/>
        </a:xfrm>
        <a:prstGeom prst="straightConnector1">
          <a:avLst/>
        </a:prstGeom>
        <a:ln w="603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28</xdr:row>
      <xdr:rowOff>165100</xdr:rowOff>
    </xdr:from>
    <xdr:to>
      <xdr:col>17</xdr:col>
      <xdr:colOff>635000</xdr:colOff>
      <xdr:row>32</xdr:row>
      <xdr:rowOff>0</xdr:rowOff>
    </xdr:to>
    <xdr:sp macro="" textlink="">
      <xdr:nvSpPr>
        <xdr:cNvPr id="7" name="Rectangle 6"/>
        <xdr:cNvSpPr/>
      </xdr:nvSpPr>
      <xdr:spPr>
        <a:xfrm>
          <a:off x="13208000" y="5867400"/>
          <a:ext cx="2552700" cy="6477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end/etdataset/analyses/6_residences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solar_heater_and_p2h_parent"/>
      <sheetName val="csv_hot_water_p2h_child"/>
      <sheetName val="csv_export_to_area_analysis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E20">
            <v>292481.03262334003</v>
          </cell>
        </row>
        <row r="21">
          <cell r="E21">
            <v>71970.539521814397</v>
          </cell>
        </row>
        <row r="22">
          <cell r="E22">
            <v>6530.3137113401999</v>
          </cell>
        </row>
        <row r="23">
          <cell r="E23">
            <v>12127.725463917501</v>
          </cell>
        </row>
        <row r="24">
          <cell r="E24">
            <v>9890.7872362886592</v>
          </cell>
        </row>
        <row r="25">
          <cell r="E25">
            <v>57833.111258999998</v>
          </cell>
        </row>
      </sheetData>
      <sheetData sheetId="7"/>
      <sheetData sheetId="8">
        <row r="11">
          <cell r="P11">
            <v>1.0669999999999999</v>
          </cell>
        </row>
        <row r="12">
          <cell r="P12">
            <v>1</v>
          </cell>
        </row>
        <row r="13">
          <cell r="P13">
            <v>4.8000000000000078</v>
          </cell>
        </row>
        <row r="14">
          <cell r="P14">
            <v>0.88</v>
          </cell>
        </row>
        <row r="15">
          <cell r="P15">
            <v>1</v>
          </cell>
        </row>
        <row r="16">
          <cell r="P16">
            <v>4.5000000000000044</v>
          </cell>
        </row>
        <row r="17">
          <cell r="P17">
            <v>0.82</v>
          </cell>
        </row>
        <row r="18">
          <cell r="P18">
            <v>1</v>
          </cell>
        </row>
        <row r="19">
          <cell r="P19">
            <v>0.8</v>
          </cell>
        </row>
        <row r="20">
          <cell r="P20">
            <v>0.85</v>
          </cell>
        </row>
        <row r="21">
          <cell r="P21">
            <v>0.8</v>
          </cell>
        </row>
        <row r="22">
          <cell r="P22">
            <v>4.4999999999999885</v>
          </cell>
        </row>
        <row r="23">
          <cell r="P23">
            <v>1.0669999999999999</v>
          </cell>
        </row>
        <row r="26">
          <cell r="P26">
            <v>0.9</v>
          </cell>
        </row>
        <row r="27">
          <cell r="P27">
            <v>1</v>
          </cell>
        </row>
        <row r="28">
          <cell r="P28">
            <v>3.0000000000000031</v>
          </cell>
        </row>
        <row r="29">
          <cell r="P29">
            <v>0.88</v>
          </cell>
        </row>
        <row r="30">
          <cell r="P30">
            <v>1</v>
          </cell>
        </row>
        <row r="31">
          <cell r="P31">
            <v>3.0000000000000031</v>
          </cell>
        </row>
        <row r="32">
          <cell r="P32">
            <v>0.82</v>
          </cell>
        </row>
        <row r="33">
          <cell r="P33">
            <v>0.95</v>
          </cell>
        </row>
        <row r="34">
          <cell r="P34">
            <v>0.67</v>
          </cell>
        </row>
        <row r="35">
          <cell r="P35">
            <v>0.85</v>
          </cell>
        </row>
        <row r="36">
          <cell r="P36">
            <v>0.8</v>
          </cell>
        </row>
        <row r="37">
          <cell r="P37">
            <v>0.2</v>
          </cell>
        </row>
        <row r="38">
          <cell r="P38">
            <v>3.0000000000000044</v>
          </cell>
        </row>
        <row r="39">
          <cell r="P39">
            <v>0.9</v>
          </cell>
        </row>
        <row r="42">
          <cell r="P42">
            <v>18.999999999050001</v>
          </cell>
        </row>
        <row r="43">
          <cell r="P43">
            <v>4.5000000000000044</v>
          </cell>
        </row>
        <row r="44">
          <cell r="P44">
            <v>4</v>
          </cell>
        </row>
        <row r="47">
          <cell r="P47">
            <v>0.4</v>
          </cell>
        </row>
        <row r="48">
          <cell r="P48">
            <v>0.55000000000000004</v>
          </cell>
        </row>
        <row r="49">
          <cell r="P49">
            <v>0.6</v>
          </cell>
        </row>
        <row r="50">
          <cell r="P50">
            <v>0.85</v>
          </cell>
        </row>
        <row r="51">
          <cell r="P51">
            <v>0.3</v>
          </cell>
        </row>
        <row r="54">
          <cell r="P54">
            <v>0.05</v>
          </cell>
        </row>
        <row r="55">
          <cell r="P55">
            <v>0.25</v>
          </cell>
        </row>
        <row r="56">
          <cell r="P56">
            <v>0.5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1">
          <cell r="C11">
            <v>205.11</v>
          </cell>
          <cell r="D11">
            <v>331545.53000000003</v>
          </cell>
          <cell r="E11">
            <v>3700.96</v>
          </cell>
          <cell r="F11">
            <v>12820.53</v>
          </cell>
          <cell r="G11">
            <v>934.83</v>
          </cell>
          <cell r="I11">
            <v>90491.49</v>
          </cell>
          <cell r="J11">
            <v>11141.87</v>
          </cell>
          <cell r="L11">
            <v>451110.33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limaatmonitor.databank.nl/Jive?workspace_guid=dc05a4c1-18a4-44b8-a819-bc428b168fe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J90"/>
  <sheetViews>
    <sheetView tabSelected="1" zoomScale="90" workbookViewId="0">
      <selection activeCell="H13" sqref="H13"/>
    </sheetView>
  </sheetViews>
  <sheetFormatPr baseColWidth="10" defaultRowHeight="16" x14ac:dyDescent="0.2"/>
  <cols>
    <col min="2" max="2" width="6.33203125" bestFit="1" customWidth="1"/>
    <col min="3" max="3" width="47.83203125" bestFit="1" customWidth="1"/>
    <col min="4" max="4" width="10.6640625" customWidth="1"/>
    <col min="5" max="5" width="12.33203125" customWidth="1"/>
    <col min="6" max="6" width="22.33203125" bestFit="1" customWidth="1"/>
    <col min="8" max="8" width="113.33203125" bestFit="1" customWidth="1"/>
  </cols>
  <sheetData>
    <row r="1" spans="1:10" x14ac:dyDescent="0.2">
      <c r="A1" s="149"/>
      <c r="B1" s="149"/>
      <c r="C1" s="149"/>
      <c r="D1" s="149" t="s">
        <v>114</v>
      </c>
      <c r="E1" s="151"/>
      <c r="F1" s="149"/>
      <c r="G1" s="2"/>
      <c r="H1" s="2"/>
      <c r="I1" s="2"/>
      <c r="J1" s="2"/>
    </row>
    <row r="2" spans="1:10" x14ac:dyDescent="0.2">
      <c r="A2" s="149"/>
      <c r="B2" s="149"/>
      <c r="C2" s="149"/>
      <c r="D2" s="149"/>
      <c r="E2" s="151"/>
      <c r="F2" s="149"/>
      <c r="G2" s="2"/>
      <c r="H2" s="2"/>
      <c r="I2" s="2"/>
      <c r="J2" s="2"/>
    </row>
    <row r="3" spans="1:10" x14ac:dyDescent="0.2">
      <c r="A3" s="149"/>
      <c r="B3" s="149"/>
      <c r="C3" s="149"/>
      <c r="D3" s="149" t="s">
        <v>109</v>
      </c>
      <c r="E3" s="151"/>
      <c r="F3" s="149"/>
      <c r="G3" s="2"/>
      <c r="H3" s="2"/>
      <c r="I3" s="2"/>
      <c r="J3" s="2"/>
    </row>
    <row r="4" spans="1:10" ht="17" thickBot="1" x14ac:dyDescent="0.25">
      <c r="A4" s="149"/>
      <c r="B4" s="149"/>
      <c r="C4" s="149"/>
      <c r="D4" s="149"/>
      <c r="E4" s="151"/>
      <c r="F4" s="149"/>
      <c r="G4" s="2"/>
      <c r="H4" s="2"/>
      <c r="I4" s="2"/>
      <c r="J4" s="2"/>
    </row>
    <row r="5" spans="1:10" x14ac:dyDescent="0.2">
      <c r="A5" s="149"/>
      <c r="B5" s="152" t="s">
        <v>2</v>
      </c>
      <c r="C5" s="153"/>
      <c r="D5" s="154"/>
      <c r="E5" s="155"/>
      <c r="F5" s="156"/>
      <c r="G5" s="8"/>
      <c r="H5" s="8"/>
      <c r="I5" s="9"/>
      <c r="J5" s="2"/>
    </row>
    <row r="6" spans="1:10" x14ac:dyDescent="0.2">
      <c r="A6" s="149"/>
      <c r="B6" s="157"/>
      <c r="C6" s="150"/>
      <c r="D6" s="158"/>
      <c r="E6" s="159"/>
      <c r="F6" s="160"/>
      <c r="G6" s="15"/>
      <c r="H6" s="15"/>
      <c r="I6" s="16"/>
      <c r="J6" s="2"/>
    </row>
    <row r="7" spans="1:10" x14ac:dyDescent="0.2">
      <c r="A7" s="149"/>
      <c r="B7" s="161" t="s">
        <v>3</v>
      </c>
      <c r="C7" s="162"/>
      <c r="D7" s="162" t="s">
        <v>4</v>
      </c>
      <c r="E7" s="163" t="s">
        <v>104</v>
      </c>
      <c r="F7" s="162" t="s">
        <v>6</v>
      </c>
      <c r="G7" s="18" t="s">
        <v>126</v>
      </c>
      <c r="H7" s="18" t="s">
        <v>7</v>
      </c>
      <c r="I7" s="20"/>
      <c r="J7" s="2"/>
    </row>
    <row r="8" spans="1:10" x14ac:dyDescent="0.2">
      <c r="A8" s="149"/>
      <c r="B8" s="164" t="s">
        <v>8</v>
      </c>
      <c r="C8" s="165"/>
      <c r="D8" s="166"/>
      <c r="E8" s="167"/>
      <c r="F8" s="168"/>
      <c r="G8" s="22"/>
      <c r="H8" s="11"/>
      <c r="I8" s="26"/>
      <c r="J8" s="2"/>
    </row>
    <row r="9" spans="1:10" x14ac:dyDescent="0.2">
      <c r="A9" s="149"/>
      <c r="B9" s="164"/>
      <c r="C9" s="165"/>
      <c r="D9" s="166"/>
      <c r="E9" s="167"/>
      <c r="F9" s="168"/>
      <c r="G9" s="22"/>
      <c r="H9" s="22" t="s">
        <v>96</v>
      </c>
      <c r="I9" s="26"/>
      <c r="J9" s="2"/>
    </row>
    <row r="10" spans="1:10" x14ac:dyDescent="0.2">
      <c r="A10" s="149"/>
      <c r="B10" s="164"/>
      <c r="C10" s="167"/>
      <c r="D10" s="166"/>
      <c r="E10" s="167"/>
      <c r="F10" s="168"/>
      <c r="G10" s="22"/>
      <c r="H10" s="143" t="s">
        <v>124</v>
      </c>
      <c r="I10" s="26"/>
      <c r="J10" s="2"/>
    </row>
    <row r="11" spans="1:10" x14ac:dyDescent="0.2">
      <c r="A11" s="149"/>
      <c r="B11" s="164"/>
      <c r="C11" s="149"/>
      <c r="D11" s="166"/>
      <c r="E11" s="167"/>
      <c r="F11" s="168"/>
      <c r="G11" s="22"/>
      <c r="H11" s="22" t="s">
        <v>129</v>
      </c>
      <c r="I11" s="26"/>
      <c r="J11" s="2"/>
    </row>
    <row r="12" spans="1:10" x14ac:dyDescent="0.2">
      <c r="A12" s="149"/>
      <c r="B12" s="164"/>
      <c r="C12" s="165"/>
      <c r="D12" s="166"/>
      <c r="E12" s="167"/>
      <c r="F12" s="168"/>
      <c r="G12" s="22"/>
      <c r="H12" s="143" t="s">
        <v>127</v>
      </c>
      <c r="I12" s="26"/>
      <c r="J12" s="2"/>
    </row>
    <row r="13" spans="1:10" ht="17" thickBot="1" x14ac:dyDescent="0.25">
      <c r="A13" s="2"/>
      <c r="B13" s="21"/>
      <c r="C13" s="22"/>
      <c r="D13" s="23"/>
      <c r="E13" s="24"/>
      <c r="F13" s="25"/>
      <c r="G13" s="22"/>
      <c r="H13" s="143" t="s">
        <v>130</v>
      </c>
      <c r="I13" s="26"/>
      <c r="J13" s="2"/>
    </row>
    <row r="14" spans="1:10" ht="17" thickBot="1" x14ac:dyDescent="0.25">
      <c r="A14" s="2"/>
      <c r="B14" s="21"/>
      <c r="C14" s="11" t="s">
        <v>106</v>
      </c>
      <c r="D14" s="12" t="s">
        <v>110</v>
      </c>
      <c r="E14" s="24"/>
      <c r="F14" s="146">
        <v>1.0000000000000001E-5</v>
      </c>
      <c r="G14" s="15"/>
      <c r="H14" s="147" t="s">
        <v>125</v>
      </c>
      <c r="I14" s="26"/>
      <c r="J14" s="2"/>
    </row>
    <row r="15" spans="1:10" ht="17" thickBot="1" x14ac:dyDescent="0.25">
      <c r="A15" s="2"/>
      <c r="B15" s="21"/>
      <c r="C15" s="11" t="s">
        <v>122</v>
      </c>
      <c r="D15" s="12" t="s">
        <v>110</v>
      </c>
      <c r="E15" s="24"/>
      <c r="F15" s="144">
        <f>G15</f>
        <v>2680</v>
      </c>
      <c r="G15" s="11">
        <v>2680</v>
      </c>
      <c r="H15" s="27" t="s">
        <v>123</v>
      </c>
      <c r="I15" s="26"/>
      <c r="J15" s="2"/>
    </row>
    <row r="16" spans="1:10" ht="17" thickBot="1" x14ac:dyDescent="0.25">
      <c r="A16" s="2"/>
      <c r="B16" s="21"/>
      <c r="C16" s="11" t="s">
        <v>107</v>
      </c>
      <c r="D16" s="12" t="s">
        <v>110</v>
      </c>
      <c r="E16" s="169">
        <v>2252233</v>
      </c>
      <c r="F16" s="144">
        <f>E16</f>
        <v>2252233</v>
      </c>
      <c r="H16" s="27" t="s">
        <v>123</v>
      </c>
      <c r="I16" s="26"/>
      <c r="J16" s="2"/>
    </row>
    <row r="17" spans="1:10" x14ac:dyDescent="0.2">
      <c r="A17" s="2"/>
      <c r="B17" s="21"/>
      <c r="C17" s="11"/>
      <c r="D17" s="23"/>
      <c r="E17" s="24"/>
      <c r="F17" s="25"/>
      <c r="G17" s="22"/>
      <c r="H17" s="143"/>
      <c r="I17" s="26"/>
      <c r="J17" s="2"/>
    </row>
    <row r="18" spans="1:10" ht="17" thickBot="1" x14ac:dyDescent="0.25">
      <c r="A18" s="2"/>
      <c r="B18" s="21"/>
      <c r="C18" s="13" t="s">
        <v>9</v>
      </c>
      <c r="D18" s="29"/>
      <c r="E18" s="13"/>
      <c r="F18" s="30"/>
      <c r="G18" s="31"/>
      <c r="H18" s="15"/>
      <c r="I18" s="16"/>
      <c r="J18" s="2"/>
    </row>
    <row r="19" spans="1:10" ht="17" thickBot="1" x14ac:dyDescent="0.25">
      <c r="A19" s="2"/>
      <c r="B19" s="21"/>
      <c r="C19" s="32" t="s">
        <v>10</v>
      </c>
      <c r="D19" s="33" t="s">
        <v>11</v>
      </c>
      <c r="E19" s="34"/>
      <c r="F19" s="144">
        <f>G19*(F14/F15)</f>
        <v>8.1791044776119409E-3</v>
      </c>
      <c r="G19" s="11">
        <v>2192000</v>
      </c>
      <c r="H19" s="27" t="s">
        <v>112</v>
      </c>
      <c r="I19" s="16"/>
      <c r="J19" s="2"/>
    </row>
    <row r="20" spans="1:10" ht="17" thickBot="1" x14ac:dyDescent="0.25">
      <c r="A20" s="2"/>
      <c r="B20" s="21"/>
      <c r="C20" s="32" t="s">
        <v>27</v>
      </c>
      <c r="D20" s="33" t="s">
        <v>12</v>
      </c>
      <c r="E20" s="34"/>
      <c r="F20" s="144">
        <f>G20*(F14/F15)</f>
        <v>2.1791044776119407E-3</v>
      </c>
      <c r="G20" s="11">
        <v>584000</v>
      </c>
      <c r="H20" s="27" t="s">
        <v>112</v>
      </c>
      <c r="I20" s="16"/>
      <c r="J20" s="2"/>
    </row>
    <row r="21" spans="1:10" ht="17" thickBot="1" x14ac:dyDescent="0.25">
      <c r="A21" s="2"/>
      <c r="B21" s="21"/>
      <c r="C21" s="46" t="s">
        <v>15</v>
      </c>
      <c r="D21" s="33" t="s">
        <v>0</v>
      </c>
      <c r="E21" s="34">
        <v>4369</v>
      </c>
      <c r="F21" s="148">
        <f>(F$14/F$16)*E21</f>
        <v>1.9398525818598701E-8</v>
      </c>
      <c r="G21" s="31"/>
      <c r="H21" s="27" t="s">
        <v>113</v>
      </c>
      <c r="I21" s="16"/>
      <c r="J21" s="2"/>
    </row>
    <row r="22" spans="1:10" ht="17" thickBot="1" x14ac:dyDescent="0.25">
      <c r="A22" s="2"/>
      <c r="B22" s="21"/>
      <c r="C22" s="46" t="s">
        <v>16</v>
      </c>
      <c r="D22" s="33" t="s">
        <v>0</v>
      </c>
      <c r="E22" s="34">
        <v>16856</v>
      </c>
      <c r="F22" s="148">
        <f>(F$14/F$16)*E22</f>
        <v>7.4841279743259256E-8</v>
      </c>
      <c r="G22" s="31"/>
      <c r="H22" s="27" t="s">
        <v>113</v>
      </c>
      <c r="I22" s="16"/>
      <c r="J22" s="2"/>
    </row>
    <row r="23" spans="1:10" ht="17" thickBot="1" x14ac:dyDescent="0.25">
      <c r="A23" s="2"/>
      <c r="B23" s="21"/>
      <c r="C23" s="32" t="s">
        <v>13</v>
      </c>
      <c r="D23" s="33" t="s">
        <v>0</v>
      </c>
      <c r="E23" s="35">
        <v>2472</v>
      </c>
      <c r="F23" s="148">
        <f>(F$14/F$16)*E23</f>
        <v>1.0975773820914622E-8</v>
      </c>
      <c r="G23" s="31"/>
      <c r="H23" s="27" t="s">
        <v>113</v>
      </c>
      <c r="I23" s="16"/>
      <c r="J23" s="2"/>
    </row>
    <row r="24" spans="1:10" ht="17" thickBot="1" x14ac:dyDescent="0.25">
      <c r="A24" s="2"/>
      <c r="B24" s="21"/>
      <c r="C24" s="32" t="s">
        <v>17</v>
      </c>
      <c r="D24" s="33" t="s">
        <v>0</v>
      </c>
      <c r="E24" s="35">
        <v>2554</v>
      </c>
      <c r="F24" s="148">
        <v>0</v>
      </c>
      <c r="G24" s="31"/>
      <c r="H24" s="27" t="s">
        <v>108</v>
      </c>
      <c r="I24" s="16"/>
      <c r="J24" s="2"/>
    </row>
    <row r="25" spans="1:10" ht="17" thickBot="1" x14ac:dyDescent="0.25">
      <c r="A25" s="2"/>
      <c r="B25" s="21"/>
      <c r="C25" s="32" t="s">
        <v>81</v>
      </c>
      <c r="D25" s="36" t="s">
        <v>0</v>
      </c>
      <c r="E25" s="35">
        <v>42123</v>
      </c>
      <c r="F25" s="148">
        <f>(F$14/F$16)*E25</f>
        <v>1.8702771871293959E-7</v>
      </c>
      <c r="G25" s="31"/>
      <c r="H25" s="27" t="s">
        <v>113</v>
      </c>
      <c r="I25" s="16"/>
      <c r="J25" s="2"/>
    </row>
    <row r="26" spans="1:10" ht="17" thickBot="1" x14ac:dyDescent="0.25">
      <c r="A26" s="2"/>
      <c r="B26" s="37"/>
      <c r="C26" s="38"/>
      <c r="D26" s="39"/>
      <c r="E26" s="40"/>
      <c r="F26" s="41"/>
      <c r="G26" s="42"/>
      <c r="H26" s="43"/>
      <c r="I26" s="44"/>
      <c r="J26" s="2"/>
    </row>
    <row r="27" spans="1:10" x14ac:dyDescent="0.2">
      <c r="A27" s="2"/>
      <c r="B27" s="45"/>
      <c r="C27" s="11"/>
      <c r="D27" s="12"/>
      <c r="E27" s="13"/>
      <c r="F27" s="14"/>
      <c r="G27" s="28"/>
      <c r="H27" s="15"/>
      <c r="I27" s="15"/>
      <c r="J27" s="2"/>
    </row>
    <row r="28" spans="1:10" ht="17" thickBo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2"/>
      <c r="B29" s="3" t="s">
        <v>18</v>
      </c>
      <c r="C29" s="4"/>
      <c r="D29" s="5"/>
      <c r="E29" s="6"/>
      <c r="F29" s="7"/>
      <c r="G29" s="8"/>
      <c r="H29" s="8"/>
      <c r="I29" s="9"/>
      <c r="J29" s="2"/>
    </row>
    <row r="30" spans="1:10" x14ac:dyDescent="0.2">
      <c r="A30" s="2"/>
      <c r="B30" s="10"/>
      <c r="C30" s="11"/>
      <c r="D30" s="12"/>
      <c r="E30" s="13"/>
      <c r="F30" s="14"/>
      <c r="G30" s="15"/>
      <c r="H30" s="15"/>
      <c r="I30" s="16"/>
      <c r="J30" s="2"/>
    </row>
    <row r="31" spans="1:10" x14ac:dyDescent="0.2">
      <c r="A31" s="2"/>
      <c r="B31" s="17" t="s">
        <v>3</v>
      </c>
      <c r="C31" s="18"/>
      <c r="D31" s="18" t="s">
        <v>4</v>
      </c>
      <c r="E31" s="19" t="s">
        <v>5</v>
      </c>
      <c r="F31" s="18" t="s">
        <v>6</v>
      </c>
      <c r="G31" s="18"/>
      <c r="H31" s="18" t="s">
        <v>7</v>
      </c>
      <c r="I31" s="20"/>
      <c r="J31" s="2"/>
    </row>
    <row r="32" spans="1:10" x14ac:dyDescent="0.2">
      <c r="A32" s="2"/>
      <c r="B32" s="21"/>
      <c r="C32" s="11"/>
      <c r="D32" s="29"/>
      <c r="E32" s="13"/>
      <c r="F32" s="14"/>
      <c r="G32" s="28"/>
      <c r="H32" s="15"/>
      <c r="I32" s="16"/>
      <c r="J32" s="2"/>
    </row>
    <row r="33" spans="1:10" x14ac:dyDescent="0.2">
      <c r="A33" s="2"/>
      <c r="B33" s="21" t="s">
        <v>19</v>
      </c>
      <c r="C33" s="11"/>
      <c r="D33" s="29"/>
      <c r="E33" s="13"/>
      <c r="F33" s="47"/>
      <c r="G33" s="28"/>
      <c r="H33" s="15"/>
      <c r="I33" s="16"/>
      <c r="J33" s="2"/>
    </row>
    <row r="34" spans="1:10" ht="17" thickBot="1" x14ac:dyDescent="0.25">
      <c r="A34" s="2"/>
      <c r="B34" s="21"/>
      <c r="C34" s="13" t="s">
        <v>30</v>
      </c>
      <c r="D34" s="29"/>
      <c r="E34" s="13"/>
      <c r="F34" s="47"/>
      <c r="G34" s="28"/>
      <c r="H34" s="15"/>
      <c r="I34" s="16"/>
      <c r="J34" s="2"/>
    </row>
    <row r="35" spans="1:10" ht="17" thickBot="1" x14ac:dyDescent="0.25">
      <c r="A35" s="2"/>
      <c r="B35" s="21"/>
      <c r="C35" s="32" t="s">
        <v>20</v>
      </c>
      <c r="D35" s="15"/>
      <c r="E35" s="48"/>
      <c r="F35" s="140">
        <v>1</v>
      </c>
      <c r="G35" s="28"/>
      <c r="H35" s="27" t="s">
        <v>128</v>
      </c>
      <c r="I35" s="16"/>
      <c r="J35" s="2"/>
    </row>
    <row r="36" spans="1:10" ht="17" thickBot="1" x14ac:dyDescent="0.25">
      <c r="A36" s="2"/>
      <c r="B36" s="21"/>
      <c r="C36" s="32" t="s">
        <v>21</v>
      </c>
      <c r="D36" s="15"/>
      <c r="E36" s="48"/>
      <c r="F36" s="140">
        <v>0</v>
      </c>
      <c r="G36" s="28"/>
      <c r="H36" s="27" t="s">
        <v>128</v>
      </c>
      <c r="I36" s="16"/>
      <c r="J36" s="2"/>
    </row>
    <row r="37" spans="1:10" x14ac:dyDescent="0.2">
      <c r="A37" s="2"/>
      <c r="B37" s="50"/>
      <c r="C37" s="51"/>
      <c r="D37" s="52"/>
      <c r="E37" s="53"/>
      <c r="F37" s="54"/>
      <c r="G37" s="55"/>
      <c r="H37" s="56"/>
      <c r="I37" s="57"/>
      <c r="J37" s="2"/>
    </row>
    <row r="38" spans="1:10" x14ac:dyDescent="0.2">
      <c r="A38" s="2"/>
      <c r="B38" s="61"/>
      <c r="C38" s="62"/>
      <c r="D38" s="63"/>
      <c r="E38" s="64"/>
      <c r="F38" s="65"/>
      <c r="G38" s="66"/>
      <c r="H38" s="58"/>
      <c r="I38" s="67"/>
      <c r="J38" s="2"/>
    </row>
    <row r="39" spans="1:10" x14ac:dyDescent="0.2">
      <c r="A39" s="2"/>
      <c r="B39" s="21" t="s">
        <v>22</v>
      </c>
      <c r="C39" s="11"/>
      <c r="D39" s="29"/>
      <c r="E39" s="13"/>
      <c r="F39" s="47"/>
      <c r="G39" s="28"/>
      <c r="H39" s="15"/>
      <c r="I39" s="16"/>
      <c r="J39" s="2"/>
    </row>
    <row r="40" spans="1:10" ht="17" thickBot="1" x14ac:dyDescent="0.25">
      <c r="A40" s="2"/>
      <c r="B40" s="21"/>
      <c r="C40" s="13" t="s">
        <v>24</v>
      </c>
      <c r="D40" s="29"/>
      <c r="E40" s="13"/>
      <c r="F40" s="47"/>
      <c r="G40" s="28"/>
      <c r="H40" s="15"/>
      <c r="I40" s="16"/>
      <c r="J40" s="2"/>
    </row>
    <row r="41" spans="1:10" ht="17" thickBot="1" x14ac:dyDescent="0.25">
      <c r="A41" s="2"/>
      <c r="B41" s="21"/>
      <c r="C41" s="32" t="s">
        <v>21</v>
      </c>
      <c r="D41" s="15"/>
      <c r="E41" s="48">
        <v>1</v>
      </c>
      <c r="F41" s="49">
        <f t="shared" ref="F41" si="0">E41</f>
        <v>1</v>
      </c>
      <c r="G41" s="28"/>
      <c r="H41" s="27" t="s">
        <v>32</v>
      </c>
      <c r="I41" s="16"/>
      <c r="J41" s="2"/>
    </row>
    <row r="42" spans="1:10" x14ac:dyDescent="0.2">
      <c r="A42" s="2"/>
      <c r="B42" s="50"/>
      <c r="C42" s="51"/>
      <c r="D42" s="52"/>
      <c r="E42" s="53"/>
      <c r="F42" s="54"/>
      <c r="G42" s="55"/>
      <c r="H42" s="56"/>
      <c r="I42" s="57"/>
      <c r="J42" s="2"/>
    </row>
    <row r="43" spans="1:10" x14ac:dyDescent="0.2">
      <c r="A43" s="2"/>
      <c r="B43" s="21"/>
      <c r="C43" s="11"/>
      <c r="D43" s="29"/>
      <c r="E43" s="13"/>
      <c r="F43" s="14"/>
      <c r="G43" s="28"/>
      <c r="H43" s="15"/>
      <c r="I43" s="16"/>
      <c r="J43" s="2"/>
    </row>
    <row r="44" spans="1:10" x14ac:dyDescent="0.2">
      <c r="A44" s="2"/>
      <c r="B44" s="21" t="s">
        <v>23</v>
      </c>
      <c r="C44" s="11"/>
      <c r="D44" s="29"/>
      <c r="E44" s="13"/>
      <c r="F44" s="47"/>
      <c r="G44" s="28"/>
      <c r="H44" s="15"/>
      <c r="I44" s="16"/>
      <c r="J44" s="2"/>
    </row>
    <row r="45" spans="1:10" ht="17" thickBot="1" x14ac:dyDescent="0.25">
      <c r="A45" s="2"/>
      <c r="B45" s="21"/>
      <c r="C45" s="13" t="s">
        <v>29</v>
      </c>
      <c r="D45" s="29"/>
      <c r="E45" s="13"/>
      <c r="F45" s="47"/>
      <c r="G45" s="28"/>
      <c r="H45" s="15"/>
      <c r="I45" s="16"/>
      <c r="J45" s="2"/>
    </row>
    <row r="46" spans="1:10" ht="17" thickBot="1" x14ac:dyDescent="0.25">
      <c r="A46" s="2"/>
      <c r="B46" s="21"/>
      <c r="C46" s="32" t="s">
        <v>25</v>
      </c>
      <c r="D46" s="15"/>
      <c r="E46" s="48">
        <v>5.9999999999999995E-4</v>
      </c>
      <c r="F46" s="49">
        <v>5.9999999999999995E-4</v>
      </c>
      <c r="G46" s="28"/>
      <c r="H46" s="27" t="s">
        <v>32</v>
      </c>
      <c r="I46" s="16"/>
      <c r="J46" s="2"/>
    </row>
    <row r="47" spans="1:10" ht="17" thickBot="1" x14ac:dyDescent="0.25">
      <c r="A47" s="2"/>
      <c r="B47" s="21"/>
      <c r="C47" s="32" t="s">
        <v>26</v>
      </c>
      <c r="D47" s="15"/>
      <c r="E47" s="48">
        <v>0.99790000000000001</v>
      </c>
      <c r="F47" s="49">
        <v>0.99790000000000001</v>
      </c>
      <c r="G47" s="28"/>
      <c r="H47" s="27" t="s">
        <v>32</v>
      </c>
      <c r="I47" s="16"/>
      <c r="J47" s="2"/>
    </row>
    <row r="48" spans="1:10" ht="17" thickBot="1" x14ac:dyDescent="0.25">
      <c r="A48" s="2"/>
      <c r="B48" s="21"/>
      <c r="C48" s="32" t="s">
        <v>17</v>
      </c>
      <c r="D48" s="15"/>
      <c r="E48" s="48">
        <f>1-E46-E47</f>
        <v>1.4999999999999458E-3</v>
      </c>
      <c r="F48" s="49">
        <v>1.5E-3</v>
      </c>
      <c r="G48" s="28"/>
      <c r="H48" s="27" t="s">
        <v>32</v>
      </c>
      <c r="I48" s="16"/>
      <c r="J48" s="2"/>
    </row>
    <row r="49" spans="1:10" x14ac:dyDescent="0.2">
      <c r="A49" s="2"/>
      <c r="B49" s="21"/>
      <c r="C49" s="2"/>
      <c r="D49" s="15"/>
      <c r="E49" s="48"/>
      <c r="F49" s="60"/>
      <c r="G49" s="28"/>
      <c r="H49" s="15"/>
      <c r="I49" s="16"/>
      <c r="J49" s="2"/>
    </row>
    <row r="50" spans="1:10" x14ac:dyDescent="0.2">
      <c r="A50" s="2"/>
      <c r="B50" s="61"/>
      <c r="C50" s="62"/>
      <c r="D50" s="63"/>
      <c r="E50" s="64"/>
      <c r="F50" s="65"/>
      <c r="G50" s="66"/>
      <c r="H50" s="58"/>
      <c r="I50" s="67"/>
      <c r="J50" s="2"/>
    </row>
    <row r="51" spans="1:10" x14ac:dyDescent="0.2">
      <c r="A51" s="2"/>
      <c r="B51" s="21" t="s">
        <v>28</v>
      </c>
      <c r="C51" s="11"/>
      <c r="D51" s="29"/>
      <c r="E51" s="13"/>
      <c r="F51" s="47"/>
      <c r="G51" s="28"/>
      <c r="H51" s="15"/>
      <c r="I51" s="16"/>
      <c r="J51" s="2"/>
    </row>
    <row r="52" spans="1:10" ht="17" thickBot="1" x14ac:dyDescent="0.25">
      <c r="A52" s="2"/>
      <c r="B52" s="21"/>
      <c r="C52" s="13" t="s">
        <v>31</v>
      </c>
      <c r="D52" s="29"/>
      <c r="E52" s="13"/>
      <c r="F52" s="47"/>
      <c r="G52" s="28"/>
      <c r="H52" s="15"/>
      <c r="I52" s="16"/>
      <c r="J52" s="2"/>
    </row>
    <row r="53" spans="1:10" ht="17" thickBot="1" x14ac:dyDescent="0.25">
      <c r="A53" s="2"/>
      <c r="B53" s="21"/>
      <c r="C53" s="32" t="s">
        <v>20</v>
      </c>
      <c r="D53" s="15"/>
      <c r="E53" s="48">
        <v>1</v>
      </c>
      <c r="F53" s="49">
        <f>E53</f>
        <v>1</v>
      </c>
      <c r="G53" s="28"/>
      <c r="H53" s="27" t="s">
        <v>32</v>
      </c>
      <c r="I53" s="16"/>
      <c r="J53" s="2"/>
    </row>
    <row r="54" spans="1:10" ht="17" thickBot="1" x14ac:dyDescent="0.25">
      <c r="A54" s="2"/>
      <c r="B54" s="21"/>
      <c r="C54" s="32" t="s">
        <v>21</v>
      </c>
      <c r="D54" s="15"/>
      <c r="E54" s="48">
        <v>0</v>
      </c>
      <c r="F54" s="49">
        <f t="shared" ref="F54" si="1">E54</f>
        <v>0</v>
      </c>
      <c r="G54" s="28"/>
      <c r="H54" s="27" t="s">
        <v>32</v>
      </c>
      <c r="I54" s="16"/>
      <c r="J54" s="2"/>
    </row>
    <row r="55" spans="1:10" x14ac:dyDescent="0.2">
      <c r="A55" s="2"/>
      <c r="B55" s="50"/>
      <c r="C55" s="51"/>
      <c r="D55" s="52"/>
      <c r="E55" s="53"/>
      <c r="F55" s="54"/>
      <c r="G55" s="55"/>
      <c r="H55" s="56"/>
      <c r="I55" s="57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7" thickBo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3" t="s">
        <v>62</v>
      </c>
      <c r="C58" s="4"/>
      <c r="D58" s="5"/>
      <c r="E58" s="6"/>
      <c r="F58" s="7"/>
      <c r="G58" s="8"/>
      <c r="H58" s="8"/>
      <c r="I58" s="9"/>
      <c r="J58" s="2"/>
    </row>
    <row r="59" spans="1:10" x14ac:dyDescent="0.2">
      <c r="A59" s="2"/>
      <c r="B59" s="10"/>
      <c r="C59" s="11"/>
      <c r="D59" s="12"/>
      <c r="E59" s="13"/>
      <c r="F59" s="14"/>
      <c r="G59" s="15"/>
      <c r="H59" s="15"/>
      <c r="I59" s="16"/>
      <c r="J59" s="2"/>
    </row>
    <row r="60" spans="1:10" x14ac:dyDescent="0.2">
      <c r="A60" s="2"/>
      <c r="B60" s="17" t="s">
        <v>63</v>
      </c>
      <c r="C60" s="18"/>
      <c r="D60" s="18" t="s">
        <v>4</v>
      </c>
      <c r="E60" s="19" t="s">
        <v>5</v>
      </c>
      <c r="F60" s="18" t="s">
        <v>6</v>
      </c>
      <c r="G60" s="18"/>
      <c r="H60" s="18" t="s">
        <v>7</v>
      </c>
      <c r="I60" s="20"/>
      <c r="J60" s="2"/>
    </row>
    <row r="61" spans="1:10" x14ac:dyDescent="0.2">
      <c r="A61" s="2"/>
      <c r="B61" s="21"/>
      <c r="C61" s="11"/>
      <c r="D61" s="29"/>
      <c r="E61" s="13"/>
      <c r="F61" s="14"/>
      <c r="G61" s="28"/>
      <c r="H61" s="15"/>
      <c r="I61" s="16"/>
      <c r="J61" s="2"/>
    </row>
    <row r="62" spans="1:10" ht="17" thickBot="1" x14ac:dyDescent="0.25">
      <c r="A62" s="2"/>
      <c r="B62" s="21" t="s">
        <v>27</v>
      </c>
      <c r="C62" s="11"/>
      <c r="D62" s="29"/>
      <c r="E62" s="13"/>
      <c r="F62" s="47"/>
      <c r="G62" s="28"/>
      <c r="H62" s="15"/>
      <c r="I62" s="16"/>
      <c r="J62" s="2"/>
    </row>
    <row r="63" spans="1:10" ht="17" thickBot="1" x14ac:dyDescent="0.25">
      <c r="A63" s="2"/>
      <c r="B63" s="21"/>
      <c r="C63" s="32" t="s">
        <v>64</v>
      </c>
      <c r="D63" s="29"/>
      <c r="E63" s="48"/>
      <c r="F63" s="120">
        <v>0.43</v>
      </c>
      <c r="G63" s="28"/>
      <c r="H63" s="27" t="s">
        <v>70</v>
      </c>
      <c r="I63" s="16"/>
      <c r="J63" s="2"/>
    </row>
    <row r="64" spans="1:10" ht="17" thickBot="1" x14ac:dyDescent="0.25">
      <c r="A64" s="2"/>
      <c r="B64" s="21"/>
      <c r="C64" s="32" t="s">
        <v>65</v>
      </c>
      <c r="D64" s="15"/>
      <c r="E64" s="48"/>
      <c r="F64" s="120">
        <v>0.47</v>
      </c>
      <c r="G64" s="28"/>
      <c r="H64" s="27" t="s">
        <v>70</v>
      </c>
      <c r="I64" s="16"/>
      <c r="J64" s="2"/>
    </row>
    <row r="65" spans="1:10" ht="17" thickBot="1" x14ac:dyDescent="0.25">
      <c r="A65" s="2"/>
      <c r="B65" s="21"/>
      <c r="C65" s="32" t="s">
        <v>66</v>
      </c>
      <c r="D65" s="15" t="s">
        <v>69</v>
      </c>
      <c r="E65" s="119"/>
      <c r="F65" s="121">
        <v>2</v>
      </c>
      <c r="G65" s="28"/>
      <c r="H65" s="27" t="s">
        <v>70</v>
      </c>
      <c r="I65" s="16"/>
      <c r="J65" s="2"/>
    </row>
    <row r="66" spans="1:10" ht="17" thickBot="1" x14ac:dyDescent="0.25">
      <c r="A66" s="2"/>
      <c r="B66" s="21"/>
      <c r="C66" s="32" t="s">
        <v>67</v>
      </c>
      <c r="D66" s="15" t="s">
        <v>68</v>
      </c>
      <c r="E66" s="119"/>
      <c r="F66" s="121">
        <v>3600</v>
      </c>
      <c r="G66" s="28"/>
      <c r="H66" s="27" t="s">
        <v>70</v>
      </c>
      <c r="I66" s="16"/>
      <c r="J66" s="2"/>
    </row>
    <row r="67" spans="1:10" ht="17" thickBot="1" x14ac:dyDescent="0.25">
      <c r="A67" s="2"/>
      <c r="B67" s="21"/>
      <c r="C67" s="32" t="s">
        <v>80</v>
      </c>
      <c r="D67" s="15" t="s">
        <v>0</v>
      </c>
      <c r="E67" s="119"/>
      <c r="F67" s="136">
        <f>F65/F63*3600*F66*10^-6</f>
        <v>60.279069767441868</v>
      </c>
      <c r="G67" s="28"/>
      <c r="H67" s="27" t="s">
        <v>70</v>
      </c>
      <c r="I67" s="16"/>
      <c r="J67" s="2"/>
    </row>
    <row r="68" spans="1:10" x14ac:dyDescent="0.2">
      <c r="A68" s="2"/>
      <c r="B68" s="50"/>
      <c r="C68" s="51"/>
      <c r="D68" s="52"/>
      <c r="E68" s="53"/>
      <c r="F68" s="54"/>
      <c r="G68" s="55"/>
      <c r="H68" s="56"/>
      <c r="I68" s="57"/>
      <c r="J68" s="2"/>
    </row>
    <row r="69" spans="1:10" x14ac:dyDescent="0.2">
      <c r="A69" s="2"/>
      <c r="B69" s="21"/>
      <c r="C69" s="11"/>
      <c r="D69" s="29"/>
      <c r="E69" s="13"/>
      <c r="F69" s="14"/>
      <c r="G69" s="28"/>
      <c r="H69" s="15"/>
      <c r="I69" s="16"/>
      <c r="J69" s="2"/>
    </row>
    <row r="70" spans="1:10" ht="17" thickBot="1" x14ac:dyDescent="0.25">
      <c r="A70" s="2"/>
      <c r="B70" s="21" t="s">
        <v>15</v>
      </c>
      <c r="C70" s="11"/>
      <c r="D70" s="29"/>
      <c r="E70" s="13"/>
      <c r="F70" s="47"/>
      <c r="G70" s="28"/>
      <c r="H70" s="15"/>
      <c r="I70" s="16"/>
      <c r="J70" s="2"/>
    </row>
    <row r="71" spans="1:10" ht="17" thickBot="1" x14ac:dyDescent="0.25">
      <c r="A71" s="2"/>
      <c r="B71" s="21"/>
      <c r="C71" s="32" t="s">
        <v>64</v>
      </c>
      <c r="D71" s="29"/>
      <c r="E71" s="48"/>
      <c r="F71" s="120">
        <v>0.42</v>
      </c>
      <c r="G71" s="28"/>
      <c r="H71" s="27" t="s">
        <v>70</v>
      </c>
      <c r="I71" s="16"/>
      <c r="J71" s="2"/>
    </row>
    <row r="72" spans="1:10" ht="17" thickBot="1" x14ac:dyDescent="0.25">
      <c r="A72" s="2"/>
      <c r="B72" s="21"/>
      <c r="C72" s="32" t="s">
        <v>65</v>
      </c>
      <c r="D72" s="15"/>
      <c r="E72" s="48"/>
      <c r="F72" s="120">
        <v>0.35</v>
      </c>
      <c r="G72" s="28"/>
      <c r="H72" s="27" t="s">
        <v>70</v>
      </c>
      <c r="I72" s="16"/>
      <c r="J72" s="2"/>
    </row>
    <row r="73" spans="1:10" ht="17" thickBot="1" x14ac:dyDescent="0.25">
      <c r="A73" s="2"/>
      <c r="B73" s="21"/>
      <c r="C73" s="32" t="s">
        <v>66</v>
      </c>
      <c r="D73" s="15" t="s">
        <v>69</v>
      </c>
      <c r="E73" s="119"/>
      <c r="F73" s="121">
        <v>1</v>
      </c>
      <c r="G73" s="28"/>
      <c r="H73" s="27" t="s">
        <v>70</v>
      </c>
      <c r="I73" s="16"/>
      <c r="J73" s="2"/>
    </row>
    <row r="74" spans="1:10" ht="17" thickBot="1" x14ac:dyDescent="0.25">
      <c r="A74" s="2"/>
      <c r="B74" s="21"/>
      <c r="C74" s="32" t="s">
        <v>67</v>
      </c>
      <c r="D74" s="15" t="s">
        <v>68</v>
      </c>
      <c r="E74" s="119"/>
      <c r="F74" s="121">
        <v>8000</v>
      </c>
      <c r="G74" s="28"/>
      <c r="H74" s="27" t="s">
        <v>70</v>
      </c>
      <c r="I74" s="16"/>
      <c r="J74" s="2"/>
    </row>
    <row r="75" spans="1:10" ht="17" thickBot="1" x14ac:dyDescent="0.25">
      <c r="A75" s="2"/>
      <c r="B75" s="21"/>
      <c r="C75" s="32" t="s">
        <v>80</v>
      </c>
      <c r="D75" s="15" t="s">
        <v>0</v>
      </c>
      <c r="E75" s="119"/>
      <c r="F75" s="136">
        <f>F73/F71*3600*F74*10^-6</f>
        <v>68.571428571428569</v>
      </c>
      <c r="G75" s="28"/>
      <c r="H75" s="27" t="s">
        <v>70</v>
      </c>
      <c r="I75" s="16"/>
      <c r="J75" s="2"/>
    </row>
    <row r="76" spans="1:10" x14ac:dyDescent="0.2">
      <c r="A76" s="2"/>
      <c r="B76" s="50"/>
      <c r="C76" s="51"/>
      <c r="D76" s="52"/>
      <c r="E76" s="53"/>
      <c r="F76" s="54"/>
      <c r="G76" s="55"/>
      <c r="H76" s="56"/>
      <c r="I76" s="57"/>
      <c r="J76" s="2"/>
    </row>
    <row r="77" spans="1:10" x14ac:dyDescent="0.2">
      <c r="A77" s="2"/>
      <c r="B77" s="21"/>
      <c r="C77" s="11"/>
      <c r="D77" s="29"/>
      <c r="E77" s="13"/>
      <c r="F77" s="14"/>
      <c r="G77" s="28"/>
      <c r="H77" s="15"/>
      <c r="I77" s="16"/>
      <c r="J77" s="2"/>
    </row>
    <row r="78" spans="1:10" ht="17" thickBot="1" x14ac:dyDescent="0.25">
      <c r="A78" s="2"/>
      <c r="B78" s="21" t="s">
        <v>13</v>
      </c>
      <c r="C78" s="11"/>
      <c r="D78" s="29"/>
      <c r="E78" s="13"/>
      <c r="F78" s="47"/>
      <c r="G78" s="28"/>
      <c r="H78" s="15"/>
      <c r="I78" s="16"/>
      <c r="J78" s="2"/>
    </row>
    <row r="79" spans="1:10" ht="17" thickBot="1" x14ac:dyDescent="0.25">
      <c r="A79" s="2"/>
      <c r="B79" s="21"/>
      <c r="C79" s="32" t="s">
        <v>64</v>
      </c>
      <c r="D79" s="29"/>
      <c r="E79" s="48"/>
      <c r="F79" s="120">
        <v>0.2</v>
      </c>
      <c r="G79" s="28"/>
      <c r="H79" s="27" t="s">
        <v>70</v>
      </c>
      <c r="I79" s="16"/>
      <c r="J79" s="2"/>
    </row>
    <row r="80" spans="1:10" ht="17" thickBot="1" x14ac:dyDescent="0.25">
      <c r="A80" s="2"/>
      <c r="B80" s="21"/>
      <c r="C80" s="32" t="s">
        <v>65</v>
      </c>
      <c r="D80" s="15"/>
      <c r="E80" s="48"/>
      <c r="F80" s="120">
        <v>0.85</v>
      </c>
      <c r="G80" s="28"/>
      <c r="H80" s="27" t="s">
        <v>70</v>
      </c>
      <c r="I80" s="16"/>
      <c r="J80" s="2"/>
    </row>
    <row r="81" spans="1:10" ht="17" thickBot="1" x14ac:dyDescent="0.25">
      <c r="A81" s="2"/>
      <c r="B81" s="21"/>
      <c r="C81" s="32" t="s">
        <v>66</v>
      </c>
      <c r="D81" s="15" t="s">
        <v>69</v>
      </c>
      <c r="E81" s="119"/>
      <c r="F81" s="122">
        <v>1.5</v>
      </c>
      <c r="G81" s="28"/>
      <c r="H81" s="27" t="s">
        <v>70</v>
      </c>
      <c r="I81" s="16"/>
      <c r="J81" s="2"/>
    </row>
    <row r="82" spans="1:10" ht="17" thickBot="1" x14ac:dyDescent="0.25">
      <c r="A82" s="2"/>
      <c r="B82" s="21"/>
      <c r="C82" s="32" t="s">
        <v>67</v>
      </c>
      <c r="D82" s="15" t="s">
        <v>68</v>
      </c>
      <c r="E82" s="119"/>
      <c r="F82" s="121">
        <v>6000</v>
      </c>
      <c r="G82" s="28"/>
      <c r="H82" s="27" t="s">
        <v>70</v>
      </c>
      <c r="I82" s="16"/>
      <c r="J82" s="2"/>
    </row>
    <row r="83" spans="1:10" ht="17" thickBot="1" x14ac:dyDescent="0.25">
      <c r="A83" s="2"/>
      <c r="B83" s="21"/>
      <c r="C83" s="32" t="s">
        <v>80</v>
      </c>
      <c r="D83" s="15" t="s">
        <v>0</v>
      </c>
      <c r="E83" s="119"/>
      <c r="F83" s="136">
        <f>F81/F79*3600*F82*10^-6</f>
        <v>162</v>
      </c>
      <c r="G83" s="28"/>
      <c r="H83" s="27" t="s">
        <v>70</v>
      </c>
      <c r="I83" s="16"/>
      <c r="J83" s="2"/>
    </row>
    <row r="84" spans="1:10" x14ac:dyDescent="0.2">
      <c r="A84" s="2"/>
      <c r="B84" s="50"/>
      <c r="C84" s="51"/>
      <c r="D84" s="52"/>
      <c r="E84" s="53"/>
      <c r="F84" s="54"/>
      <c r="G84" s="55"/>
      <c r="H84" s="56"/>
      <c r="I84" s="57"/>
      <c r="J84" s="2"/>
    </row>
    <row r="85" spans="1:10" ht="17" thickBot="1" x14ac:dyDescent="0.25">
      <c r="A85" s="2"/>
      <c r="B85" s="68"/>
      <c r="C85" s="43"/>
      <c r="D85" s="43"/>
      <c r="E85" s="43"/>
      <c r="F85" s="43"/>
      <c r="G85" s="43"/>
      <c r="H85" s="43"/>
      <c r="I85" s="44"/>
      <c r="J85" s="2"/>
    </row>
    <row r="86" spans="1:1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</row>
  </sheetData>
  <dataValidations count="2">
    <dataValidation type="decimal" operator="greaterThanOrEqual" allowBlank="1" showInputMessage="1" showErrorMessage="1" errorTitle="Number Range" error="You may only enter positive numbers here. " sqref="F19:F25">
      <formula1>0</formula1>
    </dataValidation>
    <dataValidation type="decimal" operator="greaterThanOrEqual" showInputMessage="1" showErrorMessage="1" errorTitle="Number Range" error="You may only add positive numbers. _x000d_" sqref="F53:F55 F68 F46:F49 F35:F37 F76 F84 F41:F42">
      <formula1>0</formula1>
    </dataValidation>
  </dataValidations>
  <hyperlinks>
    <hyperlink ref="H10" r:id="rId1" tooltip="Link naar de opgeslagen presentatie (Opent in nieuw venster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 tint="0.39997558519241921"/>
  </sheetPr>
  <dimension ref="A1:T49"/>
  <sheetViews>
    <sheetView workbookViewId="0">
      <selection activeCell="F11" sqref="F11"/>
    </sheetView>
  </sheetViews>
  <sheetFormatPr baseColWidth="10" defaultRowHeight="16" x14ac:dyDescent="0.2"/>
  <cols>
    <col min="2" max="2" width="24.1640625" customWidth="1"/>
    <col min="3" max="3" width="63" customWidth="1"/>
    <col min="4" max="4" width="20.1640625" customWidth="1"/>
    <col min="5" max="5" width="22.5" customWidth="1"/>
    <col min="6" max="10" width="20.1640625" customWidth="1"/>
    <col min="11" max="11" width="11.6640625" customWidth="1"/>
    <col min="12" max="12" width="13" customWidth="1"/>
    <col min="13" max="13" width="17" bestFit="1" customWidth="1"/>
    <col min="14" max="14" width="15.1640625" customWidth="1"/>
    <col min="15" max="15" width="24" bestFit="1" customWidth="1"/>
    <col min="16" max="16" width="53.83203125" bestFit="1" customWidth="1"/>
    <col min="17" max="17" width="21.1640625" bestFit="1" customWidth="1"/>
    <col min="18" max="18" width="8.1640625" bestFit="1" customWidth="1"/>
    <col min="19" max="19" width="11.1640625" bestFit="1" customWidth="1"/>
    <col min="20" max="20" width="7.1640625" bestFit="1" customWidth="1"/>
  </cols>
  <sheetData>
    <row r="1" spans="1:20" ht="21" x14ac:dyDescent="0.25">
      <c r="A1" s="2"/>
      <c r="B1" s="118" t="s">
        <v>53</v>
      </c>
      <c r="C1" s="15"/>
      <c r="D1" s="15"/>
      <c r="E1" s="15"/>
      <c r="F1" s="15"/>
      <c r="G1" s="15"/>
      <c r="H1" s="15"/>
      <c r="I1" s="15"/>
      <c r="J1" s="15"/>
      <c r="K1" s="15"/>
      <c r="L1" s="2"/>
      <c r="M1" s="2"/>
      <c r="N1" s="2"/>
      <c r="O1" s="15"/>
      <c r="P1" s="2"/>
      <c r="Q1" s="2"/>
      <c r="R1" s="2"/>
      <c r="S1" s="2"/>
      <c r="T1" s="2"/>
    </row>
    <row r="2" spans="1:20" x14ac:dyDescent="0.2">
      <c r="A2" s="2"/>
      <c r="B2" s="2"/>
      <c r="C2" s="2"/>
      <c r="D2" s="15"/>
      <c r="E2" s="15"/>
      <c r="F2" s="15"/>
      <c r="G2" s="15"/>
      <c r="H2" s="15"/>
      <c r="I2" s="15"/>
      <c r="J2" s="15"/>
      <c r="K2" s="15"/>
      <c r="L2" s="2"/>
      <c r="M2" s="2"/>
      <c r="N2" s="2"/>
      <c r="O2" s="15"/>
      <c r="P2" s="2"/>
      <c r="Q2" s="2"/>
      <c r="R2" s="2"/>
      <c r="S2" s="2"/>
      <c r="T2" s="2"/>
    </row>
    <row r="3" spans="1:20" x14ac:dyDescent="0.2">
      <c r="A3" s="2"/>
      <c r="B3" s="59" t="s">
        <v>55</v>
      </c>
      <c r="C3" s="58"/>
      <c r="D3" s="58"/>
      <c r="E3" s="58"/>
      <c r="F3" s="15"/>
      <c r="G3" s="15"/>
      <c r="H3" s="15"/>
      <c r="I3" s="15"/>
      <c r="J3" s="15"/>
      <c r="K3" s="15"/>
      <c r="L3" s="2"/>
      <c r="M3" s="2"/>
      <c r="N3" s="2"/>
      <c r="O3" s="15"/>
      <c r="P3" s="2"/>
      <c r="Q3" s="2"/>
      <c r="R3" s="2"/>
      <c r="S3" s="2"/>
      <c r="T3" s="2"/>
    </row>
    <row r="4" spans="1:20" ht="78" customHeight="1" x14ac:dyDescent="0.2">
      <c r="A4" s="2"/>
      <c r="B4" s="170" t="s">
        <v>54</v>
      </c>
      <c r="C4" s="171"/>
      <c r="D4" s="117"/>
      <c r="E4" s="117"/>
      <c r="F4" s="15"/>
      <c r="G4" s="15"/>
      <c r="H4" s="15"/>
      <c r="I4" s="15"/>
      <c r="J4" s="15"/>
      <c r="K4" s="15"/>
      <c r="L4" s="2"/>
      <c r="M4" s="2"/>
      <c r="N4" s="2"/>
      <c r="O4" s="116"/>
      <c r="P4" s="2"/>
      <c r="Q4" s="2"/>
      <c r="R4" s="15"/>
      <c r="S4" s="2"/>
      <c r="T4" s="2"/>
    </row>
    <row r="5" spans="1:20" ht="17" thickBot="1" x14ac:dyDescent="0.25">
      <c r="A5" s="2"/>
      <c r="B5" s="15"/>
      <c r="C5" s="15"/>
      <c r="D5" s="15"/>
      <c r="E5" s="15"/>
      <c r="F5" s="15"/>
      <c r="G5" s="15"/>
      <c r="H5" s="15"/>
      <c r="I5" s="15"/>
      <c r="J5" s="15"/>
      <c r="K5" s="15"/>
      <c r="L5" s="2"/>
      <c r="M5" s="2"/>
      <c r="N5" s="2"/>
      <c r="O5" s="15"/>
      <c r="P5" s="2"/>
      <c r="Q5" s="2"/>
      <c r="R5" s="15"/>
      <c r="S5" s="2"/>
      <c r="T5" s="2"/>
    </row>
    <row r="6" spans="1:20" x14ac:dyDescent="0.2">
      <c r="A6" s="2"/>
      <c r="B6" s="3" t="s">
        <v>53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15"/>
      <c r="P6" s="2"/>
      <c r="Q6" s="2"/>
      <c r="R6" s="98"/>
      <c r="S6" s="2"/>
      <c r="T6" s="2"/>
    </row>
    <row r="7" spans="1:20" x14ac:dyDescent="0.2">
      <c r="A7" s="2"/>
      <c r="B7" s="1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  <c r="O7" s="15"/>
      <c r="P7" s="2"/>
      <c r="Q7" s="2"/>
      <c r="R7" s="98"/>
      <c r="S7" s="2"/>
      <c r="T7" s="2"/>
    </row>
    <row r="8" spans="1:20" ht="48" x14ac:dyDescent="0.2">
      <c r="A8" s="2"/>
      <c r="B8" s="102" t="s">
        <v>52</v>
      </c>
      <c r="C8" s="113" t="s">
        <v>51</v>
      </c>
      <c r="D8" s="113" t="s">
        <v>50</v>
      </c>
      <c r="E8" s="113" t="s">
        <v>49</v>
      </c>
      <c r="F8" s="113" t="s">
        <v>56</v>
      </c>
      <c r="G8" s="113" t="s">
        <v>48</v>
      </c>
      <c r="H8" s="113" t="s">
        <v>57</v>
      </c>
      <c r="I8" s="113" t="s">
        <v>58</v>
      </c>
      <c r="J8" s="113" t="s">
        <v>47</v>
      </c>
      <c r="K8" s="114" t="s">
        <v>46</v>
      </c>
      <c r="L8" s="113" t="s">
        <v>45</v>
      </c>
      <c r="M8" s="112" t="s">
        <v>44</v>
      </c>
      <c r="N8" s="111" t="s">
        <v>43</v>
      </c>
      <c r="O8" s="113" t="s">
        <v>42</v>
      </c>
      <c r="P8" s="2"/>
      <c r="Q8" s="2"/>
      <c r="R8" s="110"/>
      <c r="S8" s="2"/>
      <c r="T8" s="2"/>
    </row>
    <row r="9" spans="1:20" x14ac:dyDescent="0.2">
      <c r="A9" s="2"/>
      <c r="B9" s="81"/>
      <c r="C9" s="109"/>
      <c r="D9" s="15"/>
      <c r="E9" s="15"/>
      <c r="F9" s="15"/>
      <c r="G9" s="15"/>
      <c r="H9" s="15"/>
      <c r="I9" s="15"/>
      <c r="J9" s="15"/>
      <c r="K9" s="108"/>
      <c r="L9" s="15"/>
      <c r="M9" s="15"/>
      <c r="N9" s="16"/>
      <c r="O9" s="15"/>
      <c r="P9" s="2"/>
      <c r="Q9" s="2"/>
      <c r="R9" s="15"/>
      <c r="S9" s="2"/>
      <c r="T9" s="2"/>
    </row>
    <row r="10" spans="1:20" x14ac:dyDescent="0.2">
      <c r="A10" s="2"/>
      <c r="B10" s="10"/>
      <c r="C10" s="15"/>
      <c r="D10" s="15"/>
      <c r="E10" s="15"/>
      <c r="F10" s="15"/>
      <c r="G10" s="15"/>
      <c r="H10" s="15"/>
      <c r="I10" s="15"/>
      <c r="J10" s="15"/>
      <c r="K10" s="107"/>
      <c r="L10" s="11"/>
      <c r="M10" s="11"/>
      <c r="N10" s="106"/>
      <c r="O10" s="15"/>
      <c r="P10" s="91"/>
      <c r="Q10" s="11"/>
      <c r="R10" s="11"/>
      <c r="S10" s="91"/>
      <c r="T10" s="91"/>
    </row>
    <row r="11" spans="1:20" x14ac:dyDescent="0.2">
      <c r="A11" s="2"/>
      <c r="B11" s="88"/>
      <c r="C11" s="103"/>
      <c r="D11" s="105">
        <f>Dashboard!F20*31.65/10^6</f>
        <v>6.8968656716417909E-8</v>
      </c>
      <c r="E11" s="105">
        <f>Dashboard!F19*0.0000036</f>
        <v>2.9444776119402987E-8</v>
      </c>
      <c r="F11" s="105">
        <f>Dashboard!F21</f>
        <v>1.9398525818598701E-8</v>
      </c>
      <c r="G11" s="105">
        <f>Dashboard!F22</f>
        <v>7.4841279743259256E-8</v>
      </c>
      <c r="H11" s="105">
        <f>Dashboard!F23</f>
        <v>1.0975773820914622E-8</v>
      </c>
      <c r="I11" s="105">
        <f>Dashboard!F24</f>
        <v>0</v>
      </c>
      <c r="J11" s="105">
        <f>Dashboard!F25</f>
        <v>1.8702771871293959E-7</v>
      </c>
      <c r="K11" s="104"/>
      <c r="L11" s="15"/>
      <c r="M11" s="15"/>
      <c r="N11" s="16"/>
      <c r="O11" s="103"/>
      <c r="P11" s="2"/>
      <c r="Q11" s="15"/>
      <c r="R11" s="15"/>
      <c r="S11" s="2"/>
      <c r="T11" s="2"/>
    </row>
    <row r="12" spans="1:20" x14ac:dyDescent="0.2">
      <c r="A12" s="2"/>
      <c r="B12" s="102"/>
      <c r="C12" s="56"/>
      <c r="D12" s="94"/>
      <c r="E12" s="94"/>
      <c r="F12" s="94"/>
      <c r="G12" s="94"/>
      <c r="H12" s="94"/>
      <c r="I12" s="94"/>
      <c r="J12" s="94"/>
      <c r="K12" s="73"/>
      <c r="L12" s="15"/>
      <c r="M12" s="15"/>
      <c r="N12" s="16"/>
      <c r="O12" s="56"/>
      <c r="P12" s="2"/>
      <c r="Q12" s="15"/>
      <c r="R12" s="15"/>
      <c r="S12" s="2"/>
      <c r="T12" s="2"/>
    </row>
    <row r="13" spans="1:20" x14ac:dyDescent="0.2">
      <c r="A13" s="2"/>
      <c r="B13" s="82" t="s">
        <v>59</v>
      </c>
      <c r="C13" s="15"/>
      <c r="D13" s="79"/>
      <c r="E13" s="79"/>
      <c r="F13" s="79"/>
      <c r="G13" s="79"/>
      <c r="H13" s="79"/>
      <c r="I13" s="79"/>
      <c r="J13" s="79"/>
      <c r="K13" s="73"/>
      <c r="L13" s="15"/>
      <c r="M13" s="15"/>
      <c r="N13" s="16"/>
      <c r="O13" s="15"/>
      <c r="P13" s="2"/>
      <c r="Q13" s="15"/>
      <c r="R13" s="15"/>
      <c r="S13" s="2"/>
      <c r="T13" s="2"/>
    </row>
    <row r="14" spans="1:20" x14ac:dyDescent="0.2">
      <c r="A14" s="2"/>
      <c r="B14" s="81"/>
      <c r="C14" s="80" t="s">
        <v>60</v>
      </c>
      <c r="D14" s="126">
        <f>D11*Dashboard!F36</f>
        <v>0</v>
      </c>
      <c r="E14" s="126"/>
      <c r="F14" s="126">
        <f>F11*Dashboard!F41</f>
        <v>1.9398525818598701E-8</v>
      </c>
      <c r="G14" s="126"/>
      <c r="H14" s="126">
        <f>H11*Dashboard!F54</f>
        <v>0</v>
      </c>
      <c r="I14" s="126"/>
      <c r="J14" s="127"/>
      <c r="K14" s="73"/>
      <c r="L14" s="15"/>
      <c r="M14" s="15"/>
      <c r="N14" s="16"/>
      <c r="O14" s="15"/>
      <c r="P14" s="2"/>
      <c r="Q14" s="15"/>
      <c r="R14" s="15"/>
      <c r="S14" s="2"/>
      <c r="T14" s="2"/>
    </row>
    <row r="15" spans="1:20" x14ac:dyDescent="0.2">
      <c r="A15" s="2"/>
      <c r="B15" s="81"/>
      <c r="C15" s="80"/>
      <c r="D15" s="128"/>
      <c r="E15" s="128"/>
      <c r="F15" s="128"/>
      <c r="G15" s="128"/>
      <c r="H15" s="128"/>
      <c r="I15" s="128"/>
      <c r="J15" s="129"/>
      <c r="K15" s="73"/>
      <c r="L15" s="15"/>
      <c r="M15" s="15"/>
      <c r="N15" s="16"/>
      <c r="O15" s="15"/>
      <c r="P15" s="2"/>
      <c r="Q15" s="15"/>
      <c r="R15" s="15"/>
      <c r="S15" s="2"/>
      <c r="T15" s="2"/>
    </row>
    <row r="16" spans="1:20" x14ac:dyDescent="0.2">
      <c r="A16" s="2"/>
      <c r="B16" s="81"/>
      <c r="C16" s="80" t="s">
        <v>75</v>
      </c>
      <c r="D16" s="130"/>
      <c r="E16" s="130">
        <f>D14*Dashboard!F63+F14*Dashboard!F71+H14*Dashboard!F79</f>
        <v>8.1473808438114548E-9</v>
      </c>
      <c r="F16" s="130"/>
      <c r="G16" s="130"/>
      <c r="H16" s="130"/>
      <c r="I16" s="130"/>
      <c r="J16" s="131">
        <f>D14*Dashboard!F64+F14*Dashboard!F72+H14*Dashboard!F80</f>
        <v>6.7894840365095445E-9</v>
      </c>
      <c r="K16" s="73"/>
      <c r="L16" s="15"/>
      <c r="M16" s="15"/>
      <c r="N16" s="16"/>
      <c r="O16" s="15"/>
      <c r="P16" s="2"/>
      <c r="Q16" s="15"/>
      <c r="R16" s="15"/>
      <c r="S16" s="2"/>
      <c r="T16" s="2"/>
    </row>
    <row r="17" spans="1:20" x14ac:dyDescent="0.2">
      <c r="A17" s="2"/>
      <c r="B17" s="81"/>
      <c r="C17" s="103"/>
      <c r="D17" s="15"/>
      <c r="E17" s="15"/>
      <c r="F17" s="15"/>
      <c r="G17" s="15"/>
      <c r="H17" s="15"/>
      <c r="I17" s="15"/>
      <c r="J17" s="15"/>
      <c r="K17" s="108"/>
      <c r="L17" s="15"/>
      <c r="M17" s="15"/>
      <c r="N17" s="16"/>
      <c r="O17" s="15"/>
      <c r="P17" s="2"/>
      <c r="Q17" s="2"/>
      <c r="R17" s="15"/>
      <c r="S17" s="2"/>
      <c r="T17" s="2"/>
    </row>
    <row r="18" spans="1:20" x14ac:dyDescent="0.2">
      <c r="A18" s="2"/>
      <c r="B18" s="61" t="s">
        <v>79</v>
      </c>
      <c r="C18" s="58"/>
      <c r="D18" s="132"/>
      <c r="E18" s="132"/>
      <c r="F18" s="132"/>
      <c r="G18" s="132"/>
      <c r="H18" s="132"/>
      <c r="I18" s="132"/>
      <c r="J18" s="132"/>
      <c r="K18" s="107"/>
      <c r="L18" s="11"/>
      <c r="M18" s="11"/>
      <c r="N18" s="106"/>
      <c r="O18" s="15"/>
      <c r="P18" s="91"/>
      <c r="Q18" s="11"/>
      <c r="R18" s="11"/>
      <c r="S18" s="91"/>
      <c r="T18" s="91"/>
    </row>
    <row r="19" spans="1:20" x14ac:dyDescent="0.2">
      <c r="A19" s="2"/>
      <c r="B19" s="88"/>
      <c r="C19" s="103"/>
      <c r="D19" s="135">
        <f>D14/Dashboard!F67</f>
        <v>0</v>
      </c>
      <c r="E19" s="105"/>
      <c r="F19" s="105">
        <f>F14/Dashboard!F75</f>
        <v>2.8289516818789772E-10</v>
      </c>
      <c r="G19" s="105"/>
      <c r="H19" s="105">
        <f>H14/Dashboard!F83</f>
        <v>0</v>
      </c>
      <c r="I19" s="105"/>
      <c r="J19" s="105"/>
      <c r="K19" s="104"/>
      <c r="L19" s="15"/>
      <c r="M19" s="15"/>
      <c r="N19" s="16"/>
      <c r="O19" s="103"/>
      <c r="P19" s="2"/>
      <c r="Q19" s="15"/>
      <c r="R19" s="15"/>
      <c r="S19" s="2"/>
      <c r="T19" s="2"/>
    </row>
    <row r="20" spans="1:20" x14ac:dyDescent="0.2">
      <c r="A20" s="2"/>
      <c r="B20" s="102"/>
      <c r="C20" s="56"/>
      <c r="D20" s="94"/>
      <c r="E20" s="94"/>
      <c r="F20" s="94"/>
      <c r="G20" s="94"/>
      <c r="H20" s="94"/>
      <c r="I20" s="94"/>
      <c r="J20" s="94"/>
      <c r="K20" s="73"/>
      <c r="L20" s="15"/>
      <c r="M20" s="15"/>
      <c r="N20" s="16"/>
      <c r="O20" s="56"/>
      <c r="P20" s="2"/>
      <c r="Q20" s="15"/>
      <c r="R20" s="15"/>
      <c r="S20" s="2"/>
      <c r="T20" s="2"/>
    </row>
    <row r="21" spans="1:20" x14ac:dyDescent="0.2">
      <c r="A21" s="2"/>
      <c r="B21" s="61" t="s">
        <v>61</v>
      </c>
      <c r="C21" s="58"/>
      <c r="D21" s="132">
        <f t="shared" ref="D21:J21" si="0">D11-D14+D16</f>
        <v>6.8968656716417909E-8</v>
      </c>
      <c r="E21" s="132">
        <f t="shared" si="0"/>
        <v>3.7592156963214442E-8</v>
      </c>
      <c r="F21" s="132">
        <f t="shared" si="0"/>
        <v>0</v>
      </c>
      <c r="G21" s="132">
        <f t="shared" si="0"/>
        <v>7.4841279743259256E-8</v>
      </c>
      <c r="H21" s="132">
        <f t="shared" si="0"/>
        <v>1.0975773820914622E-8</v>
      </c>
      <c r="I21" s="132">
        <f t="shared" si="0"/>
        <v>0</v>
      </c>
      <c r="J21" s="132">
        <f t="shared" si="0"/>
        <v>1.9381720274944913E-7</v>
      </c>
      <c r="K21" s="107"/>
      <c r="L21" s="11"/>
      <c r="M21" s="11"/>
      <c r="N21" s="106"/>
      <c r="O21" s="15"/>
      <c r="P21" s="91"/>
      <c r="Q21" s="11"/>
      <c r="R21" s="11"/>
      <c r="S21" s="91"/>
      <c r="T21" s="91"/>
    </row>
    <row r="22" spans="1:20" x14ac:dyDescent="0.2">
      <c r="A22" s="2"/>
      <c r="B22" s="88"/>
      <c r="C22" s="103"/>
      <c r="D22" s="105"/>
      <c r="E22" s="105"/>
      <c r="F22" s="105"/>
      <c r="G22" s="105"/>
      <c r="H22" s="105"/>
      <c r="I22" s="105"/>
      <c r="J22" s="105"/>
      <c r="K22" s="104"/>
      <c r="L22" s="15"/>
      <c r="M22" s="15"/>
      <c r="N22" s="16"/>
      <c r="O22" s="103"/>
      <c r="P22" s="2"/>
      <c r="Q22" s="15"/>
      <c r="R22" s="15"/>
      <c r="S22" s="2"/>
      <c r="T22" s="2"/>
    </row>
    <row r="23" spans="1:20" x14ac:dyDescent="0.2">
      <c r="A23" s="2"/>
      <c r="B23" s="102"/>
      <c r="C23" s="56"/>
      <c r="D23" s="94"/>
      <c r="E23" s="94"/>
      <c r="F23" s="94"/>
      <c r="G23" s="94"/>
      <c r="H23" s="94"/>
      <c r="I23" s="94"/>
      <c r="J23" s="94"/>
      <c r="K23" s="73"/>
      <c r="L23" s="15"/>
      <c r="M23" s="15"/>
      <c r="N23" s="16"/>
      <c r="O23" s="56"/>
      <c r="P23" s="2"/>
      <c r="Q23" s="15"/>
      <c r="R23" s="15"/>
      <c r="S23" s="2"/>
      <c r="T23" s="2"/>
    </row>
    <row r="24" spans="1:20" x14ac:dyDescent="0.2">
      <c r="A24" s="2"/>
      <c r="B24" s="101" t="s">
        <v>76</v>
      </c>
      <c r="C24" s="100"/>
      <c r="D24" s="76"/>
      <c r="E24" s="76"/>
      <c r="F24" s="76"/>
      <c r="G24" s="76"/>
      <c r="H24" s="76"/>
      <c r="I24" s="76"/>
      <c r="J24" s="76"/>
      <c r="K24" s="73"/>
      <c r="L24" s="15"/>
      <c r="M24" s="15"/>
      <c r="N24" s="16"/>
      <c r="O24" s="15"/>
      <c r="P24" s="2"/>
      <c r="Q24" s="15"/>
      <c r="R24" s="15"/>
      <c r="S24" s="2"/>
      <c r="T24" s="2"/>
    </row>
    <row r="25" spans="1:20" x14ac:dyDescent="0.2">
      <c r="A25" s="2"/>
      <c r="B25" s="81"/>
      <c r="C25" s="80" t="s">
        <v>41</v>
      </c>
      <c r="D25" s="79">
        <f>D21</f>
        <v>6.8968656716417909E-8</v>
      </c>
      <c r="E25" s="79">
        <f>E21*Dashboard!F46</f>
        <v>2.2555294177928661E-11</v>
      </c>
      <c r="F25" s="79"/>
      <c r="G25" s="79">
        <f>G21</f>
        <v>7.4841279743259256E-8</v>
      </c>
      <c r="H25" s="79">
        <f>H21</f>
        <v>1.0975773820914622E-8</v>
      </c>
      <c r="I25" s="79">
        <f>I21</f>
        <v>0</v>
      </c>
      <c r="J25" s="79">
        <f>J21</f>
        <v>1.9381720274944913E-7</v>
      </c>
      <c r="K25" s="99"/>
      <c r="L25" s="58"/>
      <c r="M25" s="58">
        <f>SUM(M28:M33)</f>
        <v>3.2378545161677803E-7</v>
      </c>
      <c r="N25" s="67"/>
      <c r="O25" s="15"/>
      <c r="P25" s="2"/>
      <c r="Q25" s="15"/>
      <c r="R25" s="15"/>
      <c r="S25" s="2"/>
      <c r="T25" s="2"/>
    </row>
    <row r="26" spans="1:20" x14ac:dyDescent="0.2">
      <c r="A26" s="2"/>
      <c r="B26" s="81"/>
      <c r="C26" s="80"/>
      <c r="D26" s="79"/>
      <c r="E26" s="79"/>
      <c r="F26" s="79"/>
      <c r="G26" s="79"/>
      <c r="H26" s="79"/>
      <c r="I26" s="79"/>
      <c r="J26" s="79"/>
      <c r="K26" s="73"/>
      <c r="L26" s="15"/>
      <c r="M26" s="15"/>
      <c r="N26" s="16"/>
      <c r="O26" s="15"/>
      <c r="P26" s="2"/>
      <c r="Q26" s="15"/>
      <c r="R26" s="15"/>
      <c r="S26" s="2"/>
      <c r="T26" s="2"/>
    </row>
    <row r="27" spans="1:20" x14ac:dyDescent="0.2">
      <c r="A27" s="2"/>
      <c r="B27" s="81"/>
      <c r="C27" s="84"/>
      <c r="D27" s="79"/>
      <c r="E27" s="79"/>
      <c r="F27" s="79"/>
      <c r="G27" s="79"/>
      <c r="H27" s="79"/>
      <c r="I27" s="79"/>
      <c r="J27" s="79"/>
      <c r="K27" s="73"/>
      <c r="L27" s="15"/>
      <c r="M27" s="15"/>
      <c r="N27" s="16"/>
      <c r="O27" s="15"/>
      <c r="P27" s="2"/>
      <c r="Q27" s="15"/>
      <c r="R27" s="15"/>
      <c r="S27" s="2"/>
      <c r="T27" s="2"/>
    </row>
    <row r="28" spans="1:20" x14ac:dyDescent="0.2">
      <c r="A28" s="2"/>
      <c r="B28" s="93"/>
      <c r="C28" s="15" t="s">
        <v>71</v>
      </c>
      <c r="D28" s="123"/>
      <c r="E28" s="123"/>
      <c r="F28" s="123"/>
      <c r="G28" s="123">
        <f>G25</f>
        <v>7.4841279743259256E-8</v>
      </c>
      <c r="H28" s="123"/>
      <c r="I28" s="123"/>
      <c r="J28" s="123"/>
      <c r="K28" s="85">
        <f t="shared" ref="K28:K33" si="1">SUM(D28:J28)</f>
        <v>7.4841279743259256E-8</v>
      </c>
      <c r="L28" s="15">
        <v>0.78869999999999996</v>
      </c>
      <c r="M28" s="15">
        <f t="shared" ref="M28:M33" si="2">L28*SUM(D28:J28)</f>
        <v>5.902731733350857E-8</v>
      </c>
      <c r="N28" s="87">
        <f t="shared" ref="N28:N33" si="3">M28/SUM($M$28:$M$33)</f>
        <v>0.18230379727922857</v>
      </c>
      <c r="O28" s="86">
        <f t="shared" ref="O28:O33" si="4">SUM(D28:J28)/SUM($D$28:$J$33)</f>
        <v>0.21467530786837835</v>
      </c>
      <c r="P28" s="2"/>
      <c r="Q28" s="15"/>
      <c r="R28" s="15"/>
      <c r="S28" s="2"/>
      <c r="T28" s="2"/>
    </row>
    <row r="29" spans="1:20" x14ac:dyDescent="0.2">
      <c r="A29" s="2"/>
      <c r="B29" s="93"/>
      <c r="C29" s="15" t="s">
        <v>72</v>
      </c>
      <c r="D29" s="124">
        <f>D25</f>
        <v>6.8968656716417909E-8</v>
      </c>
      <c r="E29" s="124"/>
      <c r="F29" s="124"/>
      <c r="G29" s="124"/>
      <c r="H29" s="124"/>
      <c r="I29" s="124"/>
      <c r="J29" s="124"/>
      <c r="K29" s="85">
        <f t="shared" si="1"/>
        <v>6.8968656716417909E-8</v>
      </c>
      <c r="L29" s="15">
        <v>0.9</v>
      </c>
      <c r="M29" s="15">
        <f t="shared" si="2"/>
        <v>6.2071791044776118E-8</v>
      </c>
      <c r="N29" s="87">
        <f t="shared" si="3"/>
        <v>0.19170654745242316</v>
      </c>
      <c r="O29" s="86">
        <f t="shared" si="4"/>
        <v>0.19783023038430925</v>
      </c>
      <c r="P29" s="2"/>
      <c r="Q29" s="15"/>
      <c r="R29" s="15"/>
      <c r="S29" s="2"/>
      <c r="T29" s="2"/>
    </row>
    <row r="30" spans="1:20" x14ac:dyDescent="0.2">
      <c r="A30" s="2"/>
      <c r="B30" s="93"/>
      <c r="C30" s="15" t="s">
        <v>73</v>
      </c>
      <c r="D30" s="124"/>
      <c r="E30" s="124"/>
      <c r="F30" s="124"/>
      <c r="G30" s="124"/>
      <c r="H30" s="124">
        <f>H25</f>
        <v>1.0975773820914622E-8</v>
      </c>
      <c r="I30" s="124"/>
      <c r="J30" s="124"/>
      <c r="K30" s="85">
        <f t="shared" si="1"/>
        <v>1.0975773820914622E-8</v>
      </c>
      <c r="L30" s="98">
        <v>0.76080000000000003</v>
      </c>
      <c r="M30" s="15">
        <f t="shared" si="2"/>
        <v>8.3503687229518454E-9</v>
      </c>
      <c r="N30" s="87">
        <f t="shared" si="3"/>
        <v>2.5789820639733594E-2</v>
      </c>
      <c r="O30" s="86">
        <f t="shared" si="4"/>
        <v>3.1482994841636879E-2</v>
      </c>
      <c r="P30" s="2"/>
      <c r="Q30" s="98"/>
      <c r="R30" s="15"/>
      <c r="S30" s="2"/>
      <c r="T30" s="2"/>
    </row>
    <row r="31" spans="1:20" x14ac:dyDescent="0.2">
      <c r="A31" s="2"/>
      <c r="B31" s="93"/>
      <c r="C31" s="15" t="s">
        <v>14</v>
      </c>
      <c r="D31" s="124"/>
      <c r="E31" s="124"/>
      <c r="F31" s="124"/>
      <c r="G31" s="124"/>
      <c r="H31" s="124"/>
      <c r="I31" s="124"/>
      <c r="J31" s="124">
        <f>J25</f>
        <v>1.9381720274944913E-7</v>
      </c>
      <c r="K31" s="85">
        <f t="shared" si="1"/>
        <v>1.9381720274944913E-7</v>
      </c>
      <c r="L31" s="97">
        <v>1</v>
      </c>
      <c r="M31" s="15">
        <f t="shared" si="2"/>
        <v>1.9381720274944913E-7</v>
      </c>
      <c r="N31" s="87">
        <f t="shared" si="3"/>
        <v>0.59859762624185131</v>
      </c>
      <c r="O31" s="86">
        <f t="shared" si="4"/>
        <v>0.55594676912474084</v>
      </c>
      <c r="P31" s="2"/>
      <c r="Q31" s="97"/>
      <c r="R31" s="2"/>
      <c r="S31" s="96"/>
      <c r="T31" s="2"/>
    </row>
    <row r="32" spans="1:20" x14ac:dyDescent="0.2">
      <c r="A32" s="2"/>
      <c r="B32" s="93"/>
      <c r="C32" s="15" t="s">
        <v>17</v>
      </c>
      <c r="D32" s="124"/>
      <c r="E32" s="124"/>
      <c r="F32" s="124"/>
      <c r="G32" s="124"/>
      <c r="H32" s="124"/>
      <c r="I32" s="124">
        <f>I25</f>
        <v>0</v>
      </c>
      <c r="J32" s="124"/>
      <c r="K32" s="85">
        <f t="shared" si="1"/>
        <v>0</v>
      </c>
      <c r="L32" s="15">
        <v>24</v>
      </c>
      <c r="M32" s="15">
        <f t="shared" si="2"/>
        <v>0</v>
      </c>
      <c r="N32" s="87">
        <f t="shared" si="3"/>
        <v>0</v>
      </c>
      <c r="O32" s="86">
        <f t="shared" si="4"/>
        <v>0</v>
      </c>
      <c r="P32" s="2"/>
      <c r="Q32" s="15"/>
      <c r="R32" s="2"/>
      <c r="S32" s="2"/>
      <c r="T32" s="2"/>
    </row>
    <row r="33" spans="1:20" x14ac:dyDescent="0.2">
      <c r="A33" s="2"/>
      <c r="B33" s="93"/>
      <c r="C33" s="15" t="s">
        <v>74</v>
      </c>
      <c r="D33" s="124"/>
      <c r="E33" s="125">
        <f>E25</f>
        <v>2.2555294177928661E-11</v>
      </c>
      <c r="F33" s="124"/>
      <c r="G33" s="124"/>
      <c r="H33" s="124"/>
      <c r="I33" s="124"/>
      <c r="J33" s="124"/>
      <c r="K33" s="85">
        <f t="shared" si="1"/>
        <v>2.2555294177928661E-11</v>
      </c>
      <c r="L33" s="98">
        <v>23</v>
      </c>
      <c r="M33" s="15">
        <f t="shared" si="2"/>
        <v>5.1877176609235917E-10</v>
      </c>
      <c r="N33" s="87">
        <f t="shared" si="3"/>
        <v>1.6022083867633455E-3</v>
      </c>
      <c r="O33" s="86">
        <f t="shared" si="4"/>
        <v>6.4697780934789377E-5</v>
      </c>
      <c r="P33" s="2"/>
      <c r="Q33" s="98"/>
      <c r="R33" s="2"/>
      <c r="S33" s="2"/>
      <c r="T33" s="2"/>
    </row>
    <row r="34" spans="1:20" x14ac:dyDescent="0.2">
      <c r="A34" s="2"/>
      <c r="B34" s="81"/>
      <c r="C34" s="80"/>
      <c r="D34" s="95"/>
      <c r="E34" s="79"/>
      <c r="F34" s="95"/>
      <c r="G34" s="95"/>
      <c r="H34" s="95"/>
      <c r="I34" s="95"/>
      <c r="J34" s="95"/>
      <c r="K34" s="85"/>
      <c r="L34" s="15"/>
      <c r="M34" s="15"/>
      <c r="N34" s="90"/>
      <c r="O34" s="89"/>
      <c r="P34" s="2"/>
      <c r="Q34" s="15"/>
      <c r="R34" s="2"/>
      <c r="S34" s="2"/>
      <c r="T34" s="2"/>
    </row>
    <row r="35" spans="1:20" x14ac:dyDescent="0.2">
      <c r="A35" s="2"/>
      <c r="B35" s="83"/>
      <c r="C35" s="92"/>
      <c r="D35" s="94"/>
      <c r="E35" s="94"/>
      <c r="F35" s="94"/>
      <c r="G35" s="94"/>
      <c r="H35" s="94"/>
      <c r="I35" s="94"/>
      <c r="J35" s="94"/>
      <c r="K35" s="85"/>
      <c r="L35" s="15"/>
      <c r="M35" s="15"/>
      <c r="N35" s="90"/>
      <c r="O35" s="89"/>
      <c r="P35" s="2"/>
      <c r="Q35" s="2"/>
      <c r="R35" s="2"/>
      <c r="S35" s="2"/>
      <c r="T35" s="2"/>
    </row>
    <row r="36" spans="1:20" x14ac:dyDescent="0.2">
      <c r="A36" s="2"/>
      <c r="B36" s="101" t="s">
        <v>77</v>
      </c>
      <c r="C36" s="100"/>
      <c r="D36" s="76"/>
      <c r="E36" s="76"/>
      <c r="F36" s="76"/>
      <c r="G36" s="76"/>
      <c r="H36" s="76"/>
      <c r="I36" s="76"/>
      <c r="J36" s="76"/>
      <c r="K36" s="73"/>
      <c r="L36" s="15"/>
      <c r="M36" s="15"/>
      <c r="N36" s="16"/>
      <c r="O36" s="15"/>
      <c r="P36" s="2"/>
      <c r="Q36" s="15"/>
      <c r="R36" s="15"/>
      <c r="S36" s="2"/>
      <c r="T36" s="2"/>
    </row>
    <row r="37" spans="1:20" x14ac:dyDescent="0.2">
      <c r="A37" s="2"/>
      <c r="B37" s="81"/>
      <c r="C37" s="80" t="s">
        <v>41</v>
      </c>
      <c r="D37" s="79">
        <f>D33</f>
        <v>0</v>
      </c>
      <c r="E37" s="79">
        <f>E21*Dashboard!F47</f>
        <v>3.7513213433591691E-8</v>
      </c>
      <c r="F37" s="79"/>
      <c r="G37" s="79">
        <f>G33</f>
        <v>0</v>
      </c>
      <c r="H37" s="79">
        <f>H33</f>
        <v>0</v>
      </c>
      <c r="I37" s="79">
        <f>I33</f>
        <v>0</v>
      </c>
      <c r="J37" s="79">
        <f>J33</f>
        <v>0</v>
      </c>
      <c r="K37" s="99"/>
      <c r="L37" s="58"/>
      <c r="M37" s="58">
        <f>SUM(M39)</f>
        <v>3.7513213433591691E-8</v>
      </c>
      <c r="N37" s="67"/>
      <c r="O37" s="15"/>
      <c r="P37" s="2"/>
      <c r="Q37" s="15"/>
      <c r="R37" s="15"/>
      <c r="S37" s="2"/>
      <c r="T37" s="2"/>
    </row>
    <row r="38" spans="1:20" x14ac:dyDescent="0.2">
      <c r="A38" s="2"/>
      <c r="B38" s="81"/>
      <c r="C38" s="80"/>
      <c r="D38" s="79"/>
      <c r="E38" s="79"/>
      <c r="F38" s="79"/>
      <c r="G38" s="79"/>
      <c r="H38" s="79"/>
      <c r="I38" s="79"/>
      <c r="J38" s="79"/>
      <c r="K38" s="73"/>
      <c r="L38" s="15"/>
      <c r="M38" s="15"/>
      <c r="N38" s="16"/>
      <c r="O38" s="15"/>
      <c r="P38" s="2"/>
      <c r="Q38" s="15"/>
      <c r="R38" s="15"/>
      <c r="S38" s="2"/>
      <c r="T38" s="2"/>
    </row>
    <row r="39" spans="1:20" x14ac:dyDescent="0.2">
      <c r="A39" s="2"/>
      <c r="B39" s="81"/>
      <c r="C39" s="80" t="s">
        <v>78</v>
      </c>
      <c r="D39" s="133"/>
      <c r="E39" s="133">
        <f>E37</f>
        <v>3.7513213433591691E-8</v>
      </c>
      <c r="F39" s="133"/>
      <c r="G39" s="133"/>
      <c r="H39" s="133"/>
      <c r="I39" s="133"/>
      <c r="J39" s="134"/>
      <c r="K39" s="85">
        <f t="shared" ref="K39" si="5">SUM(D39:J39)</f>
        <v>3.7513213433591691E-8</v>
      </c>
      <c r="L39" s="98">
        <v>1</v>
      </c>
      <c r="M39" s="15">
        <f t="shared" ref="M39" si="6">L39*SUM(D39:J39)</f>
        <v>3.7513213433591691E-8</v>
      </c>
      <c r="N39" s="87">
        <f>M39/SUM($M$39)</f>
        <v>1</v>
      </c>
      <c r="O39" s="86">
        <f>SUM(D39:J39)/SUM($D$28:$J$33)</f>
        <v>0.10760319265804388</v>
      </c>
      <c r="P39" s="2"/>
      <c r="Q39" s="15"/>
      <c r="R39" s="15"/>
      <c r="S39" s="2"/>
      <c r="T39" s="2"/>
    </row>
    <row r="40" spans="1:20" x14ac:dyDescent="0.2">
      <c r="A40" s="2"/>
      <c r="B40" s="81"/>
      <c r="C40" s="84"/>
      <c r="D40" s="79"/>
      <c r="E40" s="79"/>
      <c r="F40" s="79"/>
      <c r="G40" s="79"/>
      <c r="H40" s="79"/>
      <c r="I40" s="79"/>
      <c r="J40" s="79"/>
      <c r="K40" s="73"/>
      <c r="L40" s="15"/>
      <c r="M40" s="15"/>
      <c r="N40" s="16"/>
      <c r="O40" s="15"/>
      <c r="P40" s="2"/>
      <c r="Q40" s="15"/>
      <c r="R40" s="15"/>
      <c r="S40" s="2"/>
      <c r="T40" s="2"/>
    </row>
    <row r="41" spans="1:20" x14ac:dyDescent="0.2">
      <c r="A41" s="2"/>
      <c r="B41" s="78" t="s">
        <v>40</v>
      </c>
      <c r="C41" s="77"/>
      <c r="D41" s="76" t="s">
        <v>39</v>
      </c>
      <c r="E41" s="76" t="s">
        <v>10</v>
      </c>
      <c r="F41" s="76" t="s">
        <v>38</v>
      </c>
      <c r="G41" s="76" t="s">
        <v>37</v>
      </c>
      <c r="H41" s="76" t="s">
        <v>36</v>
      </c>
      <c r="I41" s="75" t="s">
        <v>35</v>
      </c>
      <c r="J41" s="75" t="s">
        <v>35</v>
      </c>
      <c r="K41" s="73"/>
      <c r="L41" s="15"/>
      <c r="M41" s="15"/>
      <c r="N41" s="16"/>
      <c r="O41" s="22"/>
      <c r="P41" s="2"/>
      <c r="Q41" s="2"/>
      <c r="R41" s="2"/>
      <c r="S41" s="2"/>
      <c r="T41" s="2"/>
    </row>
    <row r="42" spans="1:20" x14ac:dyDescent="0.2">
      <c r="A42" s="2"/>
      <c r="B42" s="71"/>
      <c r="C42" s="74" t="s">
        <v>34</v>
      </c>
      <c r="D42" s="73">
        <f>SUM(E28)</f>
        <v>0</v>
      </c>
      <c r="E42" s="79">
        <f t="shared" ref="E42:J42" si="7">SUM(E28:E35)</f>
        <v>2.2555294177928661E-11</v>
      </c>
      <c r="F42" s="79">
        <f t="shared" si="7"/>
        <v>0</v>
      </c>
      <c r="G42" s="79">
        <f t="shared" si="7"/>
        <v>7.4841279743259256E-8</v>
      </c>
      <c r="H42" s="79">
        <f t="shared" si="7"/>
        <v>1.0975773820914622E-8</v>
      </c>
      <c r="I42" s="79">
        <f t="shared" si="7"/>
        <v>0</v>
      </c>
      <c r="J42" s="79">
        <f t="shared" si="7"/>
        <v>1.9381720274944913E-7</v>
      </c>
      <c r="K42" s="73"/>
      <c r="L42" s="15"/>
      <c r="M42" s="15"/>
      <c r="N42" s="16"/>
      <c r="O42" s="69"/>
      <c r="P42" s="2"/>
      <c r="Q42" s="2"/>
      <c r="R42" s="2"/>
      <c r="S42" s="2"/>
      <c r="T42" s="2"/>
    </row>
    <row r="43" spans="1:20" x14ac:dyDescent="0.2">
      <c r="A43" s="2"/>
      <c r="B43" s="71"/>
      <c r="C43" s="69" t="s">
        <v>33</v>
      </c>
      <c r="D43" s="73">
        <f t="shared" ref="D43:J43" si="8">D10-D42</f>
        <v>0</v>
      </c>
      <c r="E43" s="79">
        <f t="shared" si="8"/>
        <v>-2.2555294177928661E-11</v>
      </c>
      <c r="F43" s="79">
        <f t="shared" si="8"/>
        <v>0</v>
      </c>
      <c r="G43" s="79">
        <f t="shared" si="8"/>
        <v>-7.4841279743259256E-8</v>
      </c>
      <c r="H43" s="79">
        <f t="shared" si="8"/>
        <v>-1.0975773820914622E-8</v>
      </c>
      <c r="I43" s="79">
        <f t="shared" si="8"/>
        <v>0</v>
      </c>
      <c r="J43" s="79">
        <f t="shared" si="8"/>
        <v>-1.9381720274944913E-7</v>
      </c>
      <c r="K43" s="73"/>
      <c r="L43" s="15"/>
      <c r="M43" s="15"/>
      <c r="N43" s="16"/>
      <c r="O43" s="72"/>
      <c r="P43" s="2"/>
      <c r="Q43" s="2"/>
      <c r="R43" s="2"/>
      <c r="S43" s="2"/>
      <c r="T43" s="2"/>
    </row>
    <row r="44" spans="1:20" x14ac:dyDescent="0.2">
      <c r="A44" s="2"/>
      <c r="B44" s="71"/>
      <c r="C44" s="69"/>
      <c r="D44" s="70"/>
      <c r="E44" s="70"/>
      <c r="F44" s="70"/>
      <c r="G44" s="70"/>
      <c r="H44" s="70"/>
      <c r="I44" s="70"/>
      <c r="J44" s="70"/>
      <c r="K44" s="70"/>
      <c r="L44" s="15"/>
      <c r="M44" s="15"/>
      <c r="N44" s="16"/>
      <c r="O44" s="69"/>
      <c r="P44" s="2"/>
      <c r="Q44" s="2"/>
      <c r="R44" s="2"/>
      <c r="S44" s="2"/>
      <c r="T44" s="2"/>
    </row>
    <row r="45" spans="1:20" ht="17" thickBot="1" x14ac:dyDescent="0.25">
      <c r="A45" s="2"/>
      <c r="B45" s="68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4"/>
      <c r="O45" s="15"/>
      <c r="P45" s="2"/>
      <c r="Q45" s="2"/>
      <c r="R45" s="2"/>
      <c r="S45" s="2"/>
      <c r="T45" s="2"/>
    </row>
    <row r="46" spans="1:2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2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2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</sheetData>
  <mergeCells count="1">
    <mergeCell ref="B4:C4"/>
  </mergeCells>
  <conditionalFormatting sqref="H4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R5"/>
    </sheetView>
  </sheetViews>
  <sheetFormatPr baseColWidth="10" defaultRowHeight="16" x14ac:dyDescent="0.2"/>
  <cols>
    <col min="1" max="1" width="25.1640625" customWidth="1"/>
  </cols>
  <sheetData>
    <row r="1" spans="1:6" ht="17" customHeight="1" x14ac:dyDescent="0.2">
      <c r="A1" s="149"/>
      <c r="B1" s="149" t="s">
        <v>116</v>
      </c>
      <c r="C1" s="149"/>
      <c r="D1" s="149" t="s">
        <v>114</v>
      </c>
      <c r="E1" s="149"/>
      <c r="F1" s="149"/>
    </row>
    <row r="2" spans="1:6" x14ac:dyDescent="0.2">
      <c r="A2" s="149" t="s">
        <v>121</v>
      </c>
      <c r="B2" s="149" t="s">
        <v>117</v>
      </c>
      <c r="C2" s="149">
        <v>10000</v>
      </c>
      <c r="D2" s="149"/>
      <c r="E2" s="149"/>
      <c r="F2" s="149"/>
    </row>
    <row r="3" spans="1:6" x14ac:dyDescent="0.2">
      <c r="A3" s="150" t="s">
        <v>106</v>
      </c>
      <c r="C3" s="149" t="s">
        <v>118</v>
      </c>
      <c r="D3" s="149" t="s">
        <v>109</v>
      </c>
      <c r="E3" t="s">
        <v>111</v>
      </c>
      <c r="F3" s="149"/>
    </row>
    <row r="4" spans="1:6" x14ac:dyDescent="0.2">
      <c r="A4" s="150" t="s">
        <v>106</v>
      </c>
      <c r="B4" s="149" t="s">
        <v>117</v>
      </c>
      <c r="C4" s="149">
        <v>51849.63</v>
      </c>
      <c r="D4" s="149" t="s">
        <v>115</v>
      </c>
      <c r="E4" s="149" t="s">
        <v>119</v>
      </c>
      <c r="F4" s="149"/>
    </row>
    <row r="5" spans="1:6" x14ac:dyDescent="0.2">
      <c r="A5" s="149" t="s">
        <v>120</v>
      </c>
      <c r="B5" s="149" t="s">
        <v>110</v>
      </c>
      <c r="C5" s="149">
        <f>C4/C2</f>
        <v>5.1849629999999998</v>
      </c>
      <c r="D5" s="149"/>
      <c r="E5" s="149"/>
      <c r="F5" s="149"/>
    </row>
    <row r="6" spans="1:6" x14ac:dyDescent="0.2">
      <c r="A6" s="149"/>
      <c r="B6" s="149"/>
      <c r="C6" s="149"/>
      <c r="D6" s="149"/>
      <c r="E6" s="149"/>
      <c r="F6" s="149"/>
    </row>
    <row r="7" spans="1:6" x14ac:dyDescent="0.2">
      <c r="A7" s="149"/>
      <c r="B7" s="149"/>
      <c r="C7" s="149"/>
      <c r="D7" s="149"/>
      <c r="E7" s="149"/>
      <c r="F7" s="149"/>
    </row>
    <row r="8" spans="1:6" x14ac:dyDescent="0.2">
      <c r="A8" s="149"/>
      <c r="B8" s="149"/>
      <c r="C8" s="149"/>
      <c r="D8" s="149"/>
      <c r="E8" s="149"/>
      <c r="F8" s="149"/>
    </row>
    <row r="9" spans="1:6" x14ac:dyDescent="0.2">
      <c r="A9" s="149"/>
      <c r="B9" s="149"/>
      <c r="C9" s="149"/>
      <c r="D9" s="149"/>
      <c r="E9" s="149"/>
      <c r="F9" s="149"/>
    </row>
    <row r="10" spans="1:6" x14ac:dyDescent="0.2">
      <c r="A10" s="149"/>
      <c r="B10" s="149"/>
      <c r="C10" s="149"/>
      <c r="D10" s="149"/>
      <c r="E10" s="149"/>
      <c r="F10" s="149"/>
    </row>
    <row r="11" spans="1:6" x14ac:dyDescent="0.2">
      <c r="A11" s="149"/>
      <c r="B11" s="149"/>
      <c r="C11" s="149"/>
      <c r="D11" s="149"/>
      <c r="E11" s="149"/>
      <c r="F11" s="149"/>
    </row>
    <row r="12" spans="1:6" x14ac:dyDescent="0.2">
      <c r="A12" s="149"/>
      <c r="B12" s="149"/>
      <c r="C12" s="149"/>
      <c r="D12" s="149"/>
      <c r="E12" s="149"/>
      <c r="F12" s="14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21"/>
  <sheetViews>
    <sheetView workbookViewId="0">
      <selection activeCell="D19" sqref="D19:D21"/>
    </sheetView>
  </sheetViews>
  <sheetFormatPr baseColWidth="10" defaultRowHeight="16" x14ac:dyDescent="0.2"/>
  <cols>
    <col min="1" max="1" width="103.83203125" customWidth="1"/>
    <col min="4" max="4" width="95.33203125" customWidth="1"/>
  </cols>
  <sheetData>
    <row r="1" spans="1:5" x14ac:dyDescent="0.2">
      <c r="A1" s="139" t="s">
        <v>98</v>
      </c>
    </row>
    <row r="2" spans="1:5" x14ac:dyDescent="0.2">
      <c r="A2" s="145" t="s">
        <v>102</v>
      </c>
      <c r="B2" t="s">
        <v>6</v>
      </c>
      <c r="C2" t="s">
        <v>97</v>
      </c>
      <c r="D2" s="139" t="s">
        <v>99</v>
      </c>
      <c r="E2" s="139" t="s">
        <v>100</v>
      </c>
    </row>
    <row r="3" spans="1:5" x14ac:dyDescent="0.2">
      <c r="A3" t="s">
        <v>1</v>
      </c>
    </row>
    <row r="4" spans="1:5" x14ac:dyDescent="0.2">
      <c r="A4" s="138" t="s">
        <v>82</v>
      </c>
      <c r="B4">
        <f>Analyse!N28</f>
        <v>0.18230379727922857</v>
      </c>
      <c r="C4">
        <v>1</v>
      </c>
      <c r="D4" t="str">
        <f>"  " &amp;A4 &amp; B4*C4</f>
        <v xml:space="preserve">  :"agriculture_burner_crude_oil-agriculture_useful_demand_useable_heat@useable_heat": 0.182303797279229</v>
      </c>
    </row>
    <row r="5" spans="1:5" x14ac:dyDescent="0.2">
      <c r="A5" s="138" t="s">
        <v>83</v>
      </c>
      <c r="B5">
        <f>Analyse!N29</f>
        <v>0.19170654745242316</v>
      </c>
      <c r="C5">
        <v>1</v>
      </c>
      <c r="D5" t="str">
        <f t="shared" ref="D5:D9" si="0">"  " &amp;A5 &amp; B5*C5</f>
        <v xml:space="preserve">  :"agriculture_burner_network_gas-agriculture_useful_demand_useable_heat@useable_heat": 0.191706547452423</v>
      </c>
    </row>
    <row r="6" spans="1:5" x14ac:dyDescent="0.2">
      <c r="A6" s="138" t="s">
        <v>84</v>
      </c>
      <c r="B6">
        <f>Analyse!N30</f>
        <v>2.5789820639733594E-2</v>
      </c>
      <c r="C6">
        <v>1</v>
      </c>
      <c r="D6" t="str">
        <f t="shared" si="0"/>
        <v xml:space="preserve">  :"agriculture_burner_wood_pellets-agriculture_useful_demand_useable_heat@useable_heat": 0.0257898206397336</v>
      </c>
    </row>
    <row r="7" spans="1:5" x14ac:dyDescent="0.2">
      <c r="A7" s="138" t="s">
        <v>85</v>
      </c>
      <c r="B7">
        <f>Analyse!N31</f>
        <v>0.59859762624185131</v>
      </c>
      <c r="C7">
        <v>1</v>
      </c>
      <c r="D7" t="str">
        <f t="shared" si="0"/>
        <v xml:space="preserve">  :"agriculture_final_demand_steam_hot_water-agriculture_useful_demand_useable_heat@useable_heat": 0.598597626241851</v>
      </c>
    </row>
    <row r="8" spans="1:5" x14ac:dyDescent="0.2">
      <c r="A8" s="138" t="s">
        <v>86</v>
      </c>
      <c r="B8">
        <f>Analyse!N32</f>
        <v>0</v>
      </c>
      <c r="C8">
        <v>1</v>
      </c>
      <c r="D8" t="str">
        <f t="shared" si="0"/>
        <v xml:space="preserve">  :"agriculture_geothermal-agriculture_useful_demand_useable_heat@useable_heat": 0</v>
      </c>
    </row>
    <row r="9" spans="1:5" x14ac:dyDescent="0.2">
      <c r="A9" s="138" t="s">
        <v>87</v>
      </c>
      <c r="B9">
        <f>Analyse!N33</f>
        <v>1.6022083867633455E-3</v>
      </c>
      <c r="C9">
        <v>1</v>
      </c>
      <c r="D9" t="str">
        <f t="shared" si="0"/>
        <v xml:space="preserve">  :"agriculture_heatpump_water_water_ts_electricity-agriculture_useful_demand_useable_heat@useable_heat": 0.00160220838676335</v>
      </c>
    </row>
    <row r="10" spans="1:5" x14ac:dyDescent="0.2">
      <c r="A10" s="142" t="s">
        <v>93</v>
      </c>
      <c r="B10" s="141">
        <f>Analyse!F14</f>
        <v>1.9398525818598701E-8</v>
      </c>
      <c r="C10">
        <v>1000000</v>
      </c>
      <c r="D10" t="str">
        <f>"  " &amp;A10 &amp; B10*C10</f>
        <v xml:space="preserve">  :"agriculture_chp_engine_biogas-agriculture_locally_available_electricity@electricity": 0.0193985258185987</v>
      </c>
      <c r="E10" s="139" t="s">
        <v>101</v>
      </c>
    </row>
    <row r="11" spans="1:5" x14ac:dyDescent="0.2">
      <c r="A11" s="142" t="s">
        <v>94</v>
      </c>
      <c r="B11" s="141">
        <f>Analyse!D14</f>
        <v>0</v>
      </c>
      <c r="C11">
        <v>1000000</v>
      </c>
      <c r="D11" t="str">
        <f>"  " &amp;A11 &amp; B11*C11</f>
        <v xml:space="preserve">  :"agriculture_chp_engine_network_gas-agriculture_locally_available_electricity@electricity": 0</v>
      </c>
      <c r="E11" s="139" t="s">
        <v>101</v>
      </c>
    </row>
    <row r="12" spans="1:5" x14ac:dyDescent="0.2">
      <c r="A12" s="142" t="s">
        <v>95</v>
      </c>
      <c r="B12" s="141">
        <f>Analyse!H14</f>
        <v>0</v>
      </c>
      <c r="C12">
        <v>1000000</v>
      </c>
      <c r="D12" t="str">
        <f>"  " &amp;A12 &amp; B12*C12</f>
        <v xml:space="preserve">  :"agriculture_chp_supercritical_wood_pellets-agriculture_locally_available_electricity@electricity": 0</v>
      </c>
      <c r="E12" s="139" t="s">
        <v>101</v>
      </c>
    </row>
    <row r="13" spans="1:5" x14ac:dyDescent="0.2">
      <c r="A13" s="142"/>
      <c r="B13" s="141"/>
      <c r="E13" s="139"/>
    </row>
    <row r="14" spans="1:5" x14ac:dyDescent="0.2">
      <c r="A14" s="145" t="s">
        <v>105</v>
      </c>
    </row>
    <row r="15" spans="1:5" x14ac:dyDescent="0.2">
      <c r="A15" s="138" t="s">
        <v>88</v>
      </c>
      <c r="B15">
        <v>0</v>
      </c>
      <c r="C15">
        <v>1000000</v>
      </c>
      <c r="D15" t="str">
        <f>"  " &amp;A15 &amp; B15*C15</f>
        <v xml:space="preserve">  agriculture_useful_demand_electricity: 0</v>
      </c>
    </row>
    <row r="16" spans="1:5" x14ac:dyDescent="0.2">
      <c r="A16" s="138" t="s">
        <v>89</v>
      </c>
      <c r="B16">
        <v>0</v>
      </c>
      <c r="C16">
        <v>1000000</v>
      </c>
      <c r="D16" t="str">
        <f>"  " &amp;A16 &amp; B16*C16</f>
        <v xml:space="preserve">  agriculture_useful_demand_useable_heat: 0</v>
      </c>
    </row>
    <row r="18" spans="1:4" x14ac:dyDescent="0.2">
      <c r="A18" s="138" t="s">
        <v>103</v>
      </c>
    </row>
    <row r="19" spans="1:4" x14ac:dyDescent="0.2">
      <c r="A19" s="138" t="s">
        <v>90</v>
      </c>
      <c r="B19" s="137">
        <v>0</v>
      </c>
      <c r="C19" s="137">
        <v>1</v>
      </c>
      <c r="D19" t="str">
        <f>"  " &amp;A19 &amp; B19*C19</f>
        <v xml:space="preserve">  agriculture_chp_engine_biogas: 0</v>
      </c>
    </row>
    <row r="20" spans="1:4" x14ac:dyDescent="0.2">
      <c r="A20" s="138" t="s">
        <v>91</v>
      </c>
      <c r="B20" s="1">
        <v>0</v>
      </c>
      <c r="C20" s="137">
        <v>1</v>
      </c>
      <c r="D20" t="str">
        <f>"  " &amp;A20 &amp; B20*C20</f>
        <v xml:space="preserve">  agriculture_chp_engine_network_gas: 0</v>
      </c>
    </row>
    <row r="21" spans="1:4" x14ac:dyDescent="0.2">
      <c r="A21" s="138" t="s">
        <v>92</v>
      </c>
      <c r="B21" s="137">
        <v>0</v>
      </c>
      <c r="C21" s="137">
        <v>1</v>
      </c>
      <c r="D21" t="str">
        <f>"  " &amp;A21 &amp; B21*C21</f>
        <v xml:space="preserve">  agriculture_chp_supercritical_wood_pellets: 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Analyse</vt:lpstr>
      <vt:lpstr>Notes</vt:lpstr>
      <vt:lpstr>.yml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2017-07-20T08:10:24Z</dcterms:created>
  <dcterms:modified xsi:type="dcterms:W3CDTF">2018-01-12T14:16:12Z</dcterms:modified>
</cp:coreProperties>
</file>