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tlubben/Dropbox (Quintel)/Quintel/Projects/201606_ETMoses voor Groningen/Reitdiep/Dataset Reitdiep/"/>
    </mc:Choice>
  </mc:AlternateContent>
  <bookViews>
    <workbookView xWindow="28800" yWindow="-10360" windowWidth="25600" windowHeight="28360" tabRatio="500" activeTab="3"/>
  </bookViews>
  <sheets>
    <sheet name="Dashboard" sheetId="1" r:id="rId1"/>
    <sheet name="Notes" sheetId="7" r:id="rId2"/>
    <sheet name="Analyse" sheetId="6" r:id="rId3"/>
    <sheet name=".yml" sheetId="2" r:id="rId4"/>
  </sheets>
  <externalReferences>
    <externalReference r:id="rId5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D11" i="7"/>
  <c r="D6" i="7"/>
  <c r="D5" i="7"/>
  <c r="F27" i="1"/>
  <c r="F23" i="1"/>
  <c r="F28" i="1"/>
  <c r="F26" i="1"/>
  <c r="F24" i="1"/>
  <c r="F18" i="1"/>
  <c r="E11" i="6"/>
  <c r="E38" i="6"/>
  <c r="E42" i="6"/>
  <c r="E41" i="6"/>
  <c r="E40" i="6"/>
  <c r="I52" i="6"/>
  <c r="F37" i="1"/>
  <c r="D11" i="6"/>
  <c r="D14" i="6"/>
  <c r="J11" i="6"/>
  <c r="B17" i="2"/>
  <c r="D17" i="2"/>
  <c r="F116" i="1"/>
  <c r="E55" i="6"/>
  <c r="B30" i="2"/>
  <c r="M55" i="6"/>
  <c r="F115" i="1"/>
  <c r="D29" i="6"/>
  <c r="D31" i="6"/>
  <c r="M31" i="6"/>
  <c r="E29" i="6"/>
  <c r="F99" i="1"/>
  <c r="F100" i="1"/>
  <c r="E32" i="6"/>
  <c r="M32" i="6"/>
  <c r="E33" i="6"/>
  <c r="M33" i="6"/>
  <c r="M29" i="6"/>
  <c r="B33" i="2"/>
  <c r="D33" i="2"/>
  <c r="G11" i="6"/>
  <c r="F44" i="1"/>
  <c r="G46" i="6"/>
  <c r="G48" i="6"/>
  <c r="M48" i="6"/>
  <c r="H11" i="6"/>
  <c r="F49" i="1"/>
  <c r="H46" i="6"/>
  <c r="H49" i="6"/>
  <c r="M49" i="6"/>
  <c r="F61" i="1"/>
  <c r="E46" i="6"/>
  <c r="E50" i="6"/>
  <c r="M50" i="6"/>
  <c r="F39" i="1"/>
  <c r="D46" i="6"/>
  <c r="D51" i="6"/>
  <c r="M51" i="6"/>
  <c r="I11" i="6"/>
  <c r="I46" i="6"/>
  <c r="M52" i="6"/>
  <c r="M46" i="6"/>
  <c r="B34" i="2"/>
  <c r="D34" i="2"/>
  <c r="F43" i="1"/>
  <c r="G14" i="6"/>
  <c r="G17" i="6"/>
  <c r="M17" i="6"/>
  <c r="E14" i="6"/>
  <c r="F79" i="1"/>
  <c r="F80" i="1"/>
  <c r="E18" i="6"/>
  <c r="M18" i="6"/>
  <c r="F48" i="1"/>
  <c r="H14" i="6"/>
  <c r="H19" i="6"/>
  <c r="M19" i="6"/>
  <c r="J14" i="6"/>
  <c r="J20" i="6"/>
  <c r="M20" i="6"/>
  <c r="E21" i="6"/>
  <c r="M21" i="6"/>
  <c r="F82" i="1"/>
  <c r="F83" i="1"/>
  <c r="D22" i="6"/>
  <c r="M22" i="6"/>
  <c r="D23" i="6"/>
  <c r="M23" i="6"/>
  <c r="F11" i="6"/>
  <c r="F14" i="6"/>
  <c r="F24" i="6"/>
  <c r="M24" i="6"/>
  <c r="I14" i="6"/>
  <c r="I25" i="6"/>
  <c r="M25" i="6"/>
  <c r="M14" i="6"/>
  <c r="B35" i="2"/>
  <c r="D35" i="2"/>
  <c r="F60" i="1"/>
  <c r="F104" i="1"/>
  <c r="F105" i="1"/>
  <c r="F106" i="1"/>
  <c r="M40" i="6"/>
  <c r="M41" i="6"/>
  <c r="M42" i="6"/>
  <c r="M38" i="6"/>
  <c r="B36" i="2"/>
  <c r="D36" i="2"/>
  <c r="D30" i="2"/>
  <c r="N41" i="6"/>
  <c r="B28" i="2"/>
  <c r="D28" i="2"/>
  <c r="N42" i="6"/>
  <c r="B29" i="2"/>
  <c r="D29" i="2"/>
  <c r="N40" i="6"/>
  <c r="B27" i="2"/>
  <c r="D27" i="2"/>
  <c r="N18" i="6"/>
  <c r="B19" i="2"/>
  <c r="D19" i="2"/>
  <c r="N19" i="6"/>
  <c r="B20" i="2"/>
  <c r="D20" i="2"/>
  <c r="N20" i="6"/>
  <c r="B21" i="2"/>
  <c r="D21" i="2"/>
  <c r="N21" i="6"/>
  <c r="B22" i="2"/>
  <c r="D22" i="2"/>
  <c r="N22" i="6"/>
  <c r="B23" i="2"/>
  <c r="D23" i="2"/>
  <c r="N23" i="6"/>
  <c r="B24" i="2"/>
  <c r="D24" i="2"/>
  <c r="N24" i="6"/>
  <c r="B25" i="2"/>
  <c r="D25" i="2"/>
  <c r="N25" i="6"/>
  <c r="B26" i="2"/>
  <c r="D26" i="2"/>
  <c r="N17" i="6"/>
  <c r="B18" i="2"/>
  <c r="D18" i="2"/>
  <c r="B14" i="2"/>
  <c r="D14" i="2"/>
  <c r="B15" i="2"/>
  <c r="D15" i="2"/>
  <c r="B16" i="2"/>
  <c r="D16" i="2"/>
  <c r="B13" i="2"/>
  <c r="D13" i="2"/>
  <c r="N32" i="6"/>
  <c r="B11" i="2"/>
  <c r="D11" i="2"/>
  <c r="N31" i="6"/>
  <c r="B12" i="2"/>
  <c r="D12" i="2"/>
  <c r="N33" i="6"/>
  <c r="B10" i="2"/>
  <c r="D10" i="2"/>
  <c r="N49" i="6"/>
  <c r="B6" i="2"/>
  <c r="D6" i="2"/>
  <c r="N50" i="6"/>
  <c r="B7" i="2"/>
  <c r="D7" i="2"/>
  <c r="N51" i="6"/>
  <c r="B8" i="2"/>
  <c r="D8" i="2"/>
  <c r="N52" i="6"/>
  <c r="B9" i="2"/>
  <c r="D9" i="2"/>
  <c r="N48" i="6"/>
  <c r="B5" i="2"/>
  <c r="D5" i="2"/>
  <c r="F54" i="1"/>
  <c r="F97" i="1"/>
  <c r="O48" i="6"/>
  <c r="O50" i="6"/>
  <c r="O51" i="6"/>
  <c r="O52" i="6"/>
  <c r="O49" i="6"/>
  <c r="O41" i="6"/>
  <c r="O42" i="6"/>
  <c r="O40" i="6"/>
  <c r="O32" i="6"/>
  <c r="O33" i="6"/>
  <c r="O31" i="6"/>
  <c r="J58" i="6"/>
  <c r="J59" i="6"/>
  <c r="I58" i="6"/>
  <c r="I59" i="6"/>
  <c r="H58" i="6"/>
  <c r="H59" i="6"/>
  <c r="G58" i="6"/>
  <c r="G59" i="6"/>
  <c r="F58" i="6"/>
  <c r="F59" i="6"/>
  <c r="D58" i="6"/>
  <c r="D59" i="6"/>
  <c r="K49" i="6"/>
  <c r="K50" i="6"/>
  <c r="K51" i="6"/>
  <c r="K52" i="6"/>
  <c r="K48" i="6"/>
  <c r="K42" i="6"/>
  <c r="K41" i="6"/>
  <c r="K40" i="6"/>
  <c r="K33" i="6"/>
  <c r="K32" i="6"/>
  <c r="K31" i="6"/>
  <c r="K17" i="6"/>
  <c r="K18" i="6"/>
  <c r="K19" i="6"/>
  <c r="K21" i="6"/>
  <c r="K20" i="6"/>
  <c r="K22" i="6"/>
  <c r="K23" i="6"/>
  <c r="K24" i="6"/>
  <c r="K25" i="6"/>
  <c r="E58" i="6"/>
  <c r="E59" i="6"/>
  <c r="O17" i="6"/>
  <c r="O25" i="6"/>
  <c r="O24" i="6"/>
  <c r="O23" i="6"/>
  <c r="O22" i="6"/>
  <c r="O21" i="6"/>
  <c r="O20" i="6"/>
  <c r="O19" i="6"/>
  <c r="O18" i="6"/>
</calcChain>
</file>

<file path=xl/sharedStrings.xml><?xml version="1.0" encoding="utf-8"?>
<sst xmlns="http://schemas.openxmlformats.org/spreadsheetml/2006/main" count="276" uniqueCount="185">
  <si>
    <t>Sector</t>
  </si>
  <si>
    <t>Unit</t>
  </si>
  <si>
    <t>Value</t>
  </si>
  <si>
    <t>Source</t>
  </si>
  <si>
    <t>Space Heating</t>
  </si>
  <si>
    <t>Space Cooling</t>
  </si>
  <si>
    <t>Lighting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</si>
  <si>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</si>
  <si>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</si>
  <si>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</si>
  <si>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</si>
  <si>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</si>
  <si>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</si>
  <si>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</si>
  <si>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solar thermal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</si>
  <si>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</si>
  <si>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</si>
  <si>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</si>
  <si>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</si>
  <si>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</si>
  <si>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</si>
  <si>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kWh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</si>
  <si>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</si>
  <si>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</si>
  <si>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</si>
  <si>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</si>
  <si>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</si>
  <si>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</si>
  <si>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Subtotal of defined appliances</t>
  </si>
  <si>
    <t>Network gas</t>
  </si>
  <si>
    <t>Electricity</t>
  </si>
  <si>
    <t>Solar thermal</t>
  </si>
  <si>
    <t>Coal</t>
  </si>
  <si>
    <t>Oil</t>
  </si>
  <si>
    <t>Woodpellets</t>
  </si>
  <si>
    <t>District heat</t>
  </si>
  <si>
    <t>Subtotal (TJ)</t>
  </si>
  <si>
    <t>Diiference between Carrier demand in analysis and Carrier demand in IEA data (TJ)</t>
  </si>
  <si>
    <t>Data</t>
  </si>
  <si>
    <t>File input</t>
  </si>
  <si>
    <t>Data and assumptions</t>
  </si>
  <si>
    <t>Distribution of natural gas</t>
  </si>
  <si>
    <t>Distribution of electricity</t>
  </si>
  <si>
    <t>Space heating</t>
  </si>
  <si>
    <t>Cooling</t>
  </si>
  <si>
    <t>Appliances</t>
  </si>
  <si>
    <t>Biomass</t>
  </si>
  <si>
    <t>Heat</t>
  </si>
  <si>
    <t>District Heating</t>
  </si>
  <si>
    <t>Electric Heaters (resistance)</t>
  </si>
  <si>
    <t>Oil-fired Heaters</t>
  </si>
  <si>
    <t>Coal-fired Heaters</t>
  </si>
  <si>
    <t xml:space="preserve"> UD shares space heating</t>
  </si>
  <si>
    <t>District heating sources</t>
  </si>
  <si>
    <t>Collective CHP networkgas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</si>
  <si>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</si>
  <si>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</si>
  <si>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</si>
  <si>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</si>
  <si>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</si>
  <si>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</si>
  <si>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</si>
  <si>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</si>
  <si>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</si>
  <si>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</si>
  <si>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</si>
  <si>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</si>
  <si>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 xml:space="preserve">Total </t>
  </si>
  <si>
    <t>Total</t>
  </si>
  <si>
    <t>In this sheet an overview is presented of the allocation of energy carriers over the different technologies and applications. In the next sheet, the initializer inputs are determined</t>
  </si>
  <si>
    <t>National UD</t>
  </si>
  <si>
    <t xml:space="preserve">UD division per carrier: </t>
  </si>
  <si>
    <t>All coal goes in coal heater</t>
  </si>
  <si>
    <t>Gas</t>
  </si>
  <si>
    <t>National electricity technology split</t>
  </si>
  <si>
    <t>Percentage of light (useful energy) delivered by</t>
  </si>
  <si>
    <t>./buildings/buildings_appliances:</t>
  </si>
  <si>
    <t>Gas-fired Heating</t>
  </si>
  <si>
    <t>Crude Oil</t>
  </si>
  <si>
    <t>Wood pellets</t>
  </si>
  <si>
    <t xml:space="preserve">All solar thermal is for space heating </t>
  </si>
  <si>
    <t>All biomass goes in biomass heater</t>
  </si>
  <si>
    <t>CHP biogas</t>
  </si>
  <si>
    <t>Collective electricity-driven Heat pump (ground)</t>
  </si>
  <si>
    <t>Gas-fired heat pumps</t>
  </si>
  <si>
    <t>Standard fluorescent tubes</t>
  </si>
  <si>
    <t>Efficient fluorescent tubes</t>
  </si>
  <si>
    <t>LED tubes</t>
  </si>
  <si>
    <t>All oil goes in oil fired heater</t>
  </si>
  <si>
    <t>All district heating goes here</t>
  </si>
  <si>
    <t>Electric heat pumps with thermal storage</t>
  </si>
  <si>
    <t>Airconditioning</t>
  </si>
  <si>
    <t>Distribution of coal</t>
  </si>
  <si>
    <t>Distribution of crude oil</t>
  </si>
  <si>
    <t>From national dataset</t>
  </si>
  <si>
    <t>Collective heatpump (ground)</t>
  </si>
  <si>
    <t>Gas fired heat pump</t>
  </si>
  <si>
    <t>Biomass heater</t>
  </si>
  <si>
    <t>Distribution of wood pellets (biomass)</t>
  </si>
  <si>
    <t>Total final demand (TJ)</t>
  </si>
  <si>
    <t>Effective efficiency</t>
  </si>
  <si>
    <t>Percentage of total final demand</t>
  </si>
  <si>
    <t>Distribution of final demand</t>
  </si>
  <si>
    <t>Market shares technologies</t>
  </si>
  <si>
    <t xml:space="preserve">Installed solar PV capacity </t>
  </si>
  <si>
    <t>Capacity per unit surface</t>
  </si>
  <si>
    <t>ETM value: used for calculating market penetration, is not set into ETM</t>
  </si>
  <si>
    <t>Solar PV</t>
  </si>
  <si>
    <t xml:space="preserve">Gegevens klimaatmonitor: </t>
  </si>
  <si>
    <t xml:space="preserve">Gegevens CBS: </t>
  </si>
  <si>
    <t xml:space="preserve">:"buildings_appliances_coal-buildings_useful_demand_for_appliances@not_defined": </t>
  </si>
  <si>
    <t xml:space="preserve">:"buildings_appliances_crude_oil-buildings_useful_demand_for_appliances@not_defined": </t>
  </si>
  <si>
    <t xml:space="preserve">:"buildings_appliances_electricity-buildings_useful_demand_for_appliances@not_defined": </t>
  </si>
  <si>
    <t xml:space="preserve">:"buildings_appliances_network_gas-buildings_useful_demand_for_appliances@not_defined": </t>
  </si>
  <si>
    <t xml:space="preserve">:"buildings_appliances_wood_pellets-buildings_useful_demand_for_appliances@not_defined": </t>
  </si>
  <si>
    <t xml:space="preserve">:"buildings_cooling_airconditioning_electricity-buildings_useful_demand_after_insulation_cooling@cooling": </t>
  </si>
  <si>
    <t xml:space="preserve">:"buildings_cooling_collective_heatpump_water_water_ts_electricity-buildings_useful_demand_after_insulation_cooling@cooling": </t>
  </si>
  <si>
    <t xml:space="preserve">:"buildings_cooling_heatpump_air_water_network_gas-buildings_useful_demand_after_insulation_cooling@cooling": </t>
  </si>
  <si>
    <t xml:space="preserve">:"buildings_chp_engine_biogas-buildings_final_demand_steam_hot_water@steam_hot_water": </t>
  </si>
  <si>
    <t xml:space="preserve">:"buildings_collective_chp_network_gas-buildings_final_demand_steam_hot_water@steam_hot_water": </t>
  </si>
  <si>
    <t xml:space="preserve">:"buildings_collective_chp_wood_pellets-buildings_final_demand_steam_hot_water@steam_hot_water": </t>
  </si>
  <si>
    <t xml:space="preserve">:"buildings_collective_geothermal-buildings_final_demand_steam_hot_water@steam_hot_water": </t>
  </si>
  <si>
    <t xml:space="preserve">:"buildings_heat_network_connection_steam_hot_water-buildings_final_demand_steam_hot_water@steam_hot_water": </t>
  </si>
  <si>
    <t xml:space="preserve">:"buildings_space_heater_coal-buildings_useful_demand_for_space_heating_after_insulation@useable_heat": </t>
  </si>
  <si>
    <t xml:space="preserve">:"buildings_space_heater_collective_heatpump_water_water_ts_electricity-buildings_useful_demand_for_space_heating_after_insulation@useable_heat": </t>
  </si>
  <si>
    <t xml:space="preserve">:"buildings_space_heater_crude_oil-buildings_useful_demand_for_space_heating_after_insulation@useable_heat": </t>
  </si>
  <si>
    <t xml:space="preserve">:"buildings_space_heater_district_heating_steam_hot_water-buildings_useful_demand_for_space_heating_after_insulation@useable_heat": </t>
  </si>
  <si>
    <t xml:space="preserve">:"buildings_space_heater_electricity-buildings_useful_demand_for_space_heating_after_insulation@useable_heat": </t>
  </si>
  <si>
    <t xml:space="preserve">:"buildings_space_heater_heatpump_air_water_network_gas-buildings_useful_demand_for_space_heating_after_insulation@useable_heat": </t>
  </si>
  <si>
    <t xml:space="preserve">:"buildings_space_heater_network_gas-buildings_useful_demand_for_space_heating_after_insulation@useable_heat": </t>
  </si>
  <si>
    <t xml:space="preserve">:"buildings_space_heater_solar_thermal-buildings_useful_demand_for_space_heating_after_insulation@useable_heat": </t>
  </si>
  <si>
    <t xml:space="preserve">:"buildings_space_heater_wood_pellets-buildings_useful_demand_for_space_heating_after_insulation@useable_heat": </t>
  </si>
  <si>
    <t xml:space="preserve">:"buildings_lighting_efficient_fluorescent_electricity-buildings_useful_demand_after_motion_detection_daylight_control_light@light": </t>
  </si>
  <si>
    <t xml:space="preserve">:"buildings_lighting_led_electricity-buildings_useful_demand_after_motion_detection_daylight_control_light@light": </t>
  </si>
  <si>
    <t xml:space="preserve">:"buildings_lighting_standard_fluorescent_electricity-buildings_useful_demand_after_motion_detection_daylight_control_light@light": </t>
  </si>
  <si>
    <t xml:space="preserve">buildings_useful_demand_cooling: </t>
  </si>
  <si>
    <t xml:space="preserve">buildings_useful_demand_for_appliances: </t>
  </si>
  <si>
    <t xml:space="preserve">buildings_useful_demand_for_space_heating: </t>
  </si>
  <si>
    <t xml:space="preserve">buildings_useful_demand_light: </t>
  </si>
  <si>
    <t>Conversion</t>
  </si>
  <si>
    <t>ETM value</t>
  </si>
  <si>
    <t>Physics</t>
  </si>
  <si>
    <t>Gross calorific value (gcv) (m3 to TJ)</t>
  </si>
  <si>
    <t>kWh to TJ</t>
  </si>
  <si>
    <t>Note: Conversion to change TJ to MJ; for shares no conversion needed</t>
  </si>
  <si>
    <t>Solar thermal panels</t>
  </si>
  <si>
    <t>Woodpellets (biomass) heaters</t>
  </si>
  <si>
    <t>National FD</t>
  </si>
  <si>
    <t>Full load hours solar PV</t>
  </si>
  <si>
    <t>hour</t>
  </si>
  <si>
    <t>ETM</t>
  </si>
  <si>
    <t>Production installed solar PV</t>
  </si>
  <si>
    <t>kWp</t>
  </si>
  <si>
    <t>Electrical efficiency</t>
  </si>
  <si>
    <t>%</t>
  </si>
  <si>
    <t xml:space="preserve">:"buildings_solar_pv_solar_radiation-buildings_local_production_electricity@electricity":  </t>
  </si>
  <si>
    <t>Wp/m2</t>
  </si>
  <si>
    <t># Shares</t>
  </si>
  <si>
    <t>Value should be a demand, even though the initializer method sets a share (see: https://github.com/quintel/etsource/issues/1358)</t>
  </si>
  <si>
    <t>Note: Tagged out (#) because of bug (?) with setting shares in yml</t>
  </si>
  <si>
    <t>Geschaald NL</t>
  </si>
  <si>
    <t>Kleine correctie van heating naar cooling. Doordat kolen en olie op 0 is gezet, komen er anders teveel wko's bij ruimteverwarming. Ruimteverwarming telt mee voor duurzaam, koeling niet dus om te voorkomen dat duurzame ambient heat overgerepresenteerd is, is er een kleine correctie aangebracht.</t>
  </si>
  <si>
    <t>Geen warmtenet, wel een paar biogas chp's van bedrijven die zelf warmte gebruiken. Daarom zetten we ze op het warmtenet.</t>
  </si>
  <si>
    <t># Preset Demands</t>
  </si>
  <si>
    <t>https://klimaatmonitor.databank.nl/Jive?workspace_guid=0260472e-5a67-45b9-9097-f3173bf02a73</t>
  </si>
  <si>
    <t>http://statline.cbs.nl/Statweb/publication/?VW=T&amp;DM=SLNL&amp;PA=83220ned&amp;D1=1,3,34,37,41,46,54,64,66,70,75,77,90,97,100,104&amp;D2=90,169,174&amp;HD=180109-0953&amp;HDR=T&amp;STB=G1</t>
  </si>
  <si>
    <t>Nieuw-West</t>
  </si>
  <si>
    <t>Registered companies Reitdiep</t>
  </si>
  <si>
    <t>CBS - gevestigde bedrijven</t>
  </si>
  <si>
    <t>Registered companies Nieuw-West</t>
  </si>
  <si>
    <t>(Commercial) buildings NL</t>
  </si>
  <si>
    <t>Klimaatmonitor (vermogen geregistreerde PV-panelen) (62% toegekend aan residences, 38% aan services)</t>
  </si>
  <si>
    <t>Klimaatmonitor, Geschaald Wijk Nieuw-West + zon PV (zie tabblad Notes)</t>
  </si>
  <si>
    <t>Klimaatmonitor, Geschaald Wijk Nieuw-West</t>
  </si>
  <si>
    <t>Geen geothermie</t>
  </si>
  <si>
    <t>Electricity use services Nieuw-West (wijk)</t>
  </si>
  <si>
    <t>Electricity use services Reitdiep</t>
  </si>
  <si>
    <t>Dashboard</t>
  </si>
  <si>
    <t>h</t>
  </si>
  <si>
    <t>Full load hours PV</t>
  </si>
  <si>
    <t xml:space="preserve">Installed capacity Solar PV </t>
  </si>
  <si>
    <t xml:space="preserve">Value </t>
  </si>
  <si>
    <t>Klimaatmonitor: https://klimaatmonitor.databank.nl/Jive?workspace_guid=0260472e-5a67-45b9-9097-f3173bf02a73</t>
  </si>
  <si>
    <t xml:space="preserve">Electricity demand services </t>
  </si>
  <si>
    <t>Geschaald Nieuw-West + 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</si>
</sst>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%"/>
    <numFmt numFmtId="166" formatCode="0.0000"/>
    <numFmt numFmtId="167" formatCode="#,##0.00000000"/>
    <numFmt numFmtId="168" formatCode="#,##0.0000000"/>
    <numFmt numFmtId="169" formatCode="#,##0.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164" fontId="11" fillId="6" borderId="11">
      <alignment horizontal="right" vertical="center"/>
    </xf>
    <xf numFmtId="0" fontId="12" fillId="0" borderId="0" applyNumberFormat="0" applyFont="0" applyFill="0" applyBorder="0" applyAlignment="0" applyProtection="0"/>
    <xf numFmtId="9" fontId="12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205">
    <xf numFmtId="0" fontId="0" fillId="0" borderId="0" xfId="0"/>
    <xf numFmtId="0" fontId="0" fillId="4" borderId="0" xfId="0" applyFill="1"/>
    <xf numFmtId="0" fontId="0" fillId="4" borderId="6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0" fillId="4" borderId="12" xfId="0" applyFill="1" applyBorder="1"/>
    <xf numFmtId="0" fontId="7" fillId="4" borderId="0" xfId="0" applyFont="1" applyFill="1" applyBorder="1"/>
    <xf numFmtId="0" fontId="7" fillId="4" borderId="14" xfId="0" applyFont="1" applyFill="1" applyBorder="1"/>
    <xf numFmtId="0" fontId="0" fillId="4" borderId="15" xfId="0" applyFont="1" applyFill="1" applyBorder="1"/>
    <xf numFmtId="0" fontId="0" fillId="4" borderId="1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right"/>
    </xf>
    <xf numFmtId="0" fontId="0" fillId="4" borderId="15" xfId="0" applyFill="1" applyBorder="1"/>
    <xf numFmtId="0" fontId="0" fillId="4" borderId="16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7" fillId="4" borderId="16" xfId="0" applyFont="1" applyFill="1" applyBorder="1"/>
    <xf numFmtId="0" fontId="7" fillId="4" borderId="6" xfId="0" applyFont="1" applyFill="1" applyBorder="1"/>
    <xf numFmtId="0" fontId="17" fillId="4" borderId="16" xfId="0" applyFont="1" applyFill="1" applyBorder="1"/>
    <xf numFmtId="0" fontId="0" fillId="4" borderId="16" xfId="0" applyFill="1" applyBorder="1"/>
    <xf numFmtId="0" fontId="0" fillId="4" borderId="18" xfId="0" applyFont="1" applyFill="1" applyBorder="1" applyAlignment="1">
      <alignment horizontal="center"/>
    </xf>
    <xf numFmtId="9" fontId="2" fillId="4" borderId="0" xfId="1" applyFont="1" applyFill="1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18" fillId="4" borderId="0" xfId="1" applyNumberFormat="1" applyFont="1" applyFill="1" applyBorder="1" applyAlignment="1">
      <alignment horizontal="right"/>
    </xf>
    <xf numFmtId="0" fontId="17" fillId="4" borderId="17" xfId="0" applyFont="1" applyFill="1" applyBorder="1"/>
    <xf numFmtId="0" fontId="0" fillId="4" borderId="6" xfId="0" applyFont="1" applyFill="1" applyBorder="1"/>
    <xf numFmtId="0" fontId="0" fillId="4" borderId="19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9" fontId="0" fillId="4" borderId="3" xfId="1" applyFont="1" applyFill="1" applyBorder="1" applyAlignment="1">
      <alignment horizontal="right"/>
    </xf>
    <xf numFmtId="9" fontId="0" fillId="4" borderId="0" xfId="1" applyFont="1" applyFill="1" applyBorder="1" applyAlignment="1">
      <alignment horizontal="right"/>
    </xf>
    <xf numFmtId="10" fontId="8" fillId="4" borderId="6" xfId="1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left"/>
    </xf>
    <xf numFmtId="10" fontId="8" fillId="4" borderId="0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0" fillId="4" borderId="8" xfId="0" applyFont="1" applyFill="1" applyBorder="1"/>
    <xf numFmtId="0" fontId="0" fillId="4" borderId="8" xfId="0" applyFill="1" applyBorder="1" applyAlignment="1">
      <alignment horizontal="left"/>
    </xf>
    <xf numFmtId="0" fontId="0" fillId="4" borderId="8" xfId="0" applyFill="1" applyBorder="1"/>
    <xf numFmtId="0" fontId="16" fillId="5" borderId="17" xfId="0" applyFont="1" applyFill="1" applyBorder="1"/>
    <xf numFmtId="0" fontId="16" fillId="4" borderId="6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12" xfId="0" applyNumberFormat="1" applyFont="1" applyFill="1" applyBorder="1" applyAlignment="1">
      <alignment horizontal="right"/>
    </xf>
    <xf numFmtId="0" fontId="0" fillId="4" borderId="18" xfId="0" applyFill="1" applyBorder="1"/>
    <xf numFmtId="10" fontId="0" fillId="4" borderId="12" xfId="1" applyNumberFormat="1" applyFont="1" applyFill="1" applyBorder="1"/>
    <xf numFmtId="10" fontId="0" fillId="4" borderId="0" xfId="1" applyNumberFormat="1" applyFont="1" applyFill="1" applyBorder="1"/>
    <xf numFmtId="0" fontId="9" fillId="4" borderId="20" xfId="0" applyFont="1" applyFill="1" applyBorder="1"/>
    <xf numFmtId="0" fontId="9" fillId="4" borderId="12" xfId="0" applyFont="1" applyFill="1" applyBorder="1"/>
    <xf numFmtId="0" fontId="9" fillId="4" borderId="0" xfId="0" applyFont="1" applyFill="1" applyBorder="1" applyAlignment="1">
      <alignment horizontal="left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0" fontId="16" fillId="4" borderId="26" xfId="0" applyFont="1" applyFill="1" applyBorder="1"/>
    <xf numFmtId="0" fontId="7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10" fillId="4" borderId="0" xfId="0" applyFont="1" applyFill="1" applyBorder="1"/>
    <xf numFmtId="0" fontId="7" fillId="4" borderId="17" xfId="0" applyFont="1" applyFill="1" applyBorder="1" applyAlignment="1">
      <alignment vertical="top" wrapText="1"/>
    </xf>
    <xf numFmtId="0" fontId="7" fillId="4" borderId="6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20" fillId="4" borderId="16" xfId="0" applyFont="1" applyFill="1" applyBorder="1"/>
    <xf numFmtId="0" fontId="7" fillId="4" borderId="3" xfId="0" applyFont="1" applyFill="1" applyBorder="1" applyAlignment="1">
      <alignment vertical="top" wrapText="1"/>
    </xf>
    <xf numFmtId="3" fontId="7" fillId="4" borderId="0" xfId="0" applyNumberFormat="1" applyFont="1" applyFill="1" applyBorder="1" applyAlignment="1">
      <alignment vertical="top" wrapText="1"/>
    </xf>
    <xf numFmtId="4" fontId="0" fillId="4" borderId="0" xfId="0" applyNumberFormat="1" applyFont="1" applyFill="1" applyBorder="1" applyAlignment="1">
      <alignment vertical="top" wrapText="1"/>
    </xf>
    <xf numFmtId="0" fontId="0" fillId="4" borderId="25" xfId="0" applyFont="1" applyFill="1" applyBorder="1"/>
    <xf numFmtId="0" fontId="0" fillId="4" borderId="0" xfId="0" applyFont="1" applyFill="1"/>
    <xf numFmtId="0" fontId="15" fillId="4" borderId="16" xfId="0" applyFont="1" applyFill="1" applyBorder="1"/>
    <xf numFmtId="4" fontId="7" fillId="4" borderId="0" xfId="0" applyNumberFormat="1" applyFont="1" applyFill="1" applyBorder="1" applyAlignment="1">
      <alignment vertical="top" wrapText="1"/>
    </xf>
    <xf numFmtId="4" fontId="7" fillId="4" borderId="6" xfId="0" applyNumberFormat="1" applyFont="1" applyFill="1" applyBorder="1"/>
    <xf numFmtId="4" fontId="7" fillId="4" borderId="0" xfId="0" applyNumberFormat="1" applyFont="1" applyFill="1" applyBorder="1"/>
    <xf numFmtId="0" fontId="20" fillId="4" borderId="6" xfId="0" applyFont="1" applyFill="1" applyBorder="1"/>
    <xf numFmtId="4" fontId="5" fillId="4" borderId="0" xfId="2" applyNumberFormat="1" applyFill="1" applyBorder="1"/>
    <xf numFmtId="4" fontId="15" fillId="4" borderId="16" xfId="0" applyNumberFormat="1" applyFont="1" applyFill="1" applyBorder="1" applyAlignment="1">
      <alignment horizontal="left"/>
    </xf>
    <xf numFmtId="11" fontId="0" fillId="4" borderId="0" xfId="0" applyNumberFormat="1" applyFill="1"/>
    <xf numFmtId="0" fontId="18" fillId="4" borderId="0" xfId="0" applyFont="1" applyFill="1" applyBorder="1"/>
    <xf numFmtId="10" fontId="20" fillId="4" borderId="0" xfId="0" applyNumberFormat="1" applyFont="1" applyFill="1" applyBorder="1"/>
    <xf numFmtId="4" fontId="7" fillId="4" borderId="3" xfId="0" applyNumberFormat="1" applyFont="1" applyFill="1" applyBorder="1"/>
    <xf numFmtId="0" fontId="20" fillId="4" borderId="17" xfId="0" applyFont="1" applyFill="1" applyBorder="1"/>
    <xf numFmtId="0" fontId="18" fillId="4" borderId="6" xfId="0" applyFont="1" applyFill="1" applyBorder="1"/>
    <xf numFmtId="4" fontId="0" fillId="4" borderId="6" xfId="0" applyNumberFormat="1" applyFont="1" applyFill="1" applyBorder="1"/>
    <xf numFmtId="4" fontId="0" fillId="4" borderId="29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1" fillId="4" borderId="0" xfId="0" applyFont="1" applyFill="1" applyBorder="1"/>
    <xf numFmtId="0" fontId="21" fillId="4" borderId="0" xfId="0" applyFont="1" applyFill="1"/>
    <xf numFmtId="0" fontId="20" fillId="4" borderId="0" xfId="0" applyFont="1" applyFill="1" applyBorder="1"/>
    <xf numFmtId="4" fontId="20" fillId="4" borderId="0" xfId="0" applyNumberFormat="1" applyFont="1" applyFill="1" applyBorder="1"/>
    <xf numFmtId="4" fontId="20" fillId="4" borderId="6" xfId="0" applyNumberFormat="1" applyFont="1" applyFill="1" applyBorder="1"/>
    <xf numFmtId="4" fontId="0" fillId="4" borderId="29" xfId="0" applyNumberFormat="1" applyFill="1" applyBorder="1"/>
    <xf numFmtId="4" fontId="0" fillId="4" borderId="6" xfId="0" applyNumberFormat="1" applyFill="1" applyBorder="1"/>
    <xf numFmtId="0" fontId="22" fillId="4" borderId="16" xfId="0" applyFont="1" applyFill="1" applyBorder="1"/>
    <xf numFmtId="4" fontId="7" fillId="4" borderId="30" xfId="0" applyNumberFormat="1" applyFont="1" applyFill="1" applyBorder="1"/>
    <xf numFmtId="0" fontId="7" fillId="4" borderId="3" xfId="0" applyFont="1" applyFill="1" applyBorder="1" applyAlignment="1"/>
    <xf numFmtId="4" fontId="7" fillId="0" borderId="9" xfId="0" applyNumberFormat="1" applyFont="1" applyFill="1" applyBorder="1"/>
    <xf numFmtId="4" fontId="7" fillId="0" borderId="0" xfId="0" applyNumberFormat="1" applyFont="1" applyFill="1" applyBorder="1"/>
    <xf numFmtId="0" fontId="7" fillId="4" borderId="0" xfId="0" applyFont="1" applyFill="1" applyBorder="1" applyAlignment="1"/>
    <xf numFmtId="9" fontId="7" fillId="0" borderId="0" xfId="1" applyNumberFormat="1" applyFont="1" applyFill="1" applyBorder="1"/>
    <xf numFmtId="0" fontId="0" fillId="4" borderId="23" xfId="0" applyFill="1" applyBorder="1"/>
    <xf numFmtId="0" fontId="6" fillId="4" borderId="1" xfId="3" applyFill="1"/>
    <xf numFmtId="0" fontId="6" fillId="4" borderId="0" xfId="3" applyFill="1" applyBorder="1"/>
    <xf numFmtId="166" fontId="14" fillId="4" borderId="0" xfId="9" applyNumberFormat="1" applyFill="1" applyBorder="1"/>
    <xf numFmtId="165" fontId="2" fillId="4" borderId="25" xfId="1" applyNumberFormat="1" applyFont="1" applyFill="1" applyBorder="1"/>
    <xf numFmtId="0" fontId="2" fillId="4" borderId="25" xfId="0" applyFont="1" applyFill="1" applyBorder="1"/>
    <xf numFmtId="4" fontId="0" fillId="4" borderId="0" xfId="0" applyNumberFormat="1" applyFill="1" applyBorder="1"/>
    <xf numFmtId="9" fontId="7" fillId="4" borderId="0" xfId="1" applyNumberFormat="1" applyFont="1" applyFill="1" applyBorder="1"/>
    <xf numFmtId="0" fontId="0" fillId="4" borderId="0" xfId="0" applyFill="1" applyBorder="1" applyAlignment="1">
      <alignment horizontal="left" indent="2"/>
    </xf>
    <xf numFmtId="2" fontId="0" fillId="0" borderId="0" xfId="0" applyNumberFormat="1"/>
    <xf numFmtId="3" fontId="0" fillId="4" borderId="18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5" xfId="0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3" fontId="0" fillId="4" borderId="25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4" borderId="0" xfId="0" applyFont="1" applyFill="1" applyBorder="1"/>
    <xf numFmtId="1" fontId="7" fillId="4" borderId="0" xfId="1" applyNumberFormat="1" applyFont="1" applyFill="1" applyBorder="1" applyAlignment="1">
      <alignment vertical="top" wrapText="1"/>
    </xf>
    <xf numFmtId="4" fontId="23" fillId="4" borderId="0" xfId="0" applyNumberFormat="1" applyFont="1" applyFill="1" applyBorder="1"/>
    <xf numFmtId="10" fontId="0" fillId="4" borderId="22" xfId="1" applyNumberFormat="1" applyFont="1" applyFill="1" applyBorder="1"/>
    <xf numFmtId="4" fontId="19" fillId="4" borderId="0" xfId="0" applyNumberFormat="1" applyFont="1" applyFill="1" applyBorder="1"/>
    <xf numFmtId="0" fontId="0" fillId="0" borderId="0" xfId="0" applyNumberFormat="1"/>
    <xf numFmtId="0" fontId="20" fillId="4" borderId="21" xfId="0" applyFont="1" applyFill="1" applyBorder="1"/>
    <xf numFmtId="0" fontId="20" fillId="4" borderId="32" xfId="0" applyFont="1" applyFill="1" applyBorder="1"/>
    <xf numFmtId="4" fontId="7" fillId="4" borderId="32" xfId="0" applyNumberFormat="1" applyFont="1" applyFill="1" applyBorder="1"/>
    <xf numFmtId="0" fontId="17" fillId="4" borderId="23" xfId="0" applyFont="1" applyFill="1" applyBorder="1"/>
    <xf numFmtId="0" fontId="0" fillId="4" borderId="33" xfId="0" applyFont="1" applyFill="1" applyBorder="1" applyAlignment="1">
      <alignment horizontal="center"/>
    </xf>
    <xf numFmtId="0" fontId="0" fillId="4" borderId="19" xfId="0" applyFill="1" applyBorder="1"/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7" fillId="4" borderId="6" xfId="0" applyFont="1" applyFill="1" applyBorder="1" applyAlignment="1">
      <alignment vertical="top"/>
    </xf>
    <xf numFmtId="0" fontId="7" fillId="4" borderId="26" xfId="0" applyFont="1" applyFill="1" applyBorder="1" applyAlignment="1">
      <alignment vertical="top" wrapText="1"/>
    </xf>
    <xf numFmtId="0" fontId="7" fillId="4" borderId="0" xfId="0" applyFont="1" applyFill="1" applyBorder="1" applyAlignment="1">
      <alignment wrapText="1"/>
    </xf>
    <xf numFmtId="10" fontId="5" fillId="4" borderId="0" xfId="2" applyNumberFormat="1" applyFill="1" applyBorder="1"/>
    <xf numFmtId="0" fontId="7" fillId="0" borderId="7" xfId="0" applyFont="1" applyFill="1" applyBorder="1" applyAlignment="1">
      <alignment vertical="top" wrapText="1"/>
    </xf>
    <xf numFmtId="1" fontId="7" fillId="4" borderId="10" xfId="1" applyNumberFormat="1" applyFont="1" applyFill="1" applyBorder="1" applyAlignment="1">
      <alignment vertical="top" wrapText="1"/>
    </xf>
    <xf numFmtId="4" fontId="7" fillId="4" borderId="7" xfId="0" applyNumberFormat="1" applyFont="1" applyFill="1" applyBorder="1"/>
    <xf numFmtId="4" fontId="7" fillId="4" borderId="35" xfId="0" applyNumberFormat="1" applyFont="1" applyFill="1" applyBorder="1"/>
    <xf numFmtId="4" fontId="7" fillId="4" borderId="10" xfId="0" applyNumberFormat="1" applyFont="1" applyFill="1" applyBorder="1"/>
    <xf numFmtId="4" fontId="7" fillId="4" borderId="4" xfId="0" applyNumberFormat="1" applyFont="1" applyFill="1" applyBorder="1"/>
    <xf numFmtId="4" fontId="0" fillId="4" borderId="7" xfId="0" applyNumberFormat="1" applyFont="1" applyFill="1" applyBorder="1"/>
    <xf numFmtId="4" fontId="0" fillId="4" borderId="10" xfId="0" applyNumberFormat="1" applyFont="1" applyFill="1" applyBorder="1"/>
    <xf numFmtId="4" fontId="20" fillId="4" borderId="10" xfId="0" applyNumberFormat="1" applyFont="1" applyFill="1" applyBorder="1"/>
    <xf numFmtId="4" fontId="20" fillId="4" borderId="7" xfId="0" applyNumberFormat="1" applyFont="1" applyFill="1" applyBorder="1"/>
    <xf numFmtId="4" fontId="23" fillId="4" borderId="10" xfId="0" applyNumberFormat="1" applyFont="1" applyFill="1" applyBorder="1"/>
    <xf numFmtId="0" fontId="20" fillId="4" borderId="10" xfId="0" applyFont="1" applyFill="1" applyBorder="1"/>
    <xf numFmtId="4" fontId="0" fillId="4" borderId="7" xfId="0" applyNumberFormat="1" applyFill="1" applyBorder="1"/>
    <xf numFmtId="4" fontId="7" fillId="0" borderId="10" xfId="0" applyNumberFormat="1" applyFont="1" applyFill="1" applyBorder="1"/>
    <xf numFmtId="9" fontId="7" fillId="0" borderId="10" xfId="1" applyNumberFormat="1" applyFont="1" applyFill="1" applyBorder="1"/>
    <xf numFmtId="0" fontId="0" fillId="4" borderId="34" xfId="0" applyFill="1" applyBorder="1"/>
    <xf numFmtId="4" fontId="5" fillId="7" borderId="3" xfId="2" applyNumberFormat="1" applyFill="1" applyBorder="1"/>
    <xf numFmtId="4" fontId="5" fillId="7" borderId="4" xfId="2" applyNumberFormat="1" applyFill="1" applyBorder="1"/>
    <xf numFmtId="4" fontId="5" fillId="7" borderId="0" xfId="2" applyNumberFormat="1" applyFill="1" applyBorder="1"/>
    <xf numFmtId="4" fontId="5" fillId="7" borderId="10" xfId="2" applyNumberFormat="1" applyFill="1" applyBorder="1"/>
    <xf numFmtId="4" fontId="5" fillId="7" borderId="6" xfId="2" applyNumberFormat="1" applyFill="1" applyBorder="1"/>
    <xf numFmtId="4" fontId="5" fillId="7" borderId="7" xfId="2" applyNumberFormat="1" applyFill="1" applyBorder="1"/>
    <xf numFmtId="4" fontId="7" fillId="4" borderId="2" xfId="0" applyNumberFormat="1" applyFont="1" applyFill="1" applyBorder="1"/>
    <xf numFmtId="4" fontId="5" fillId="4" borderId="2" xfId="2" applyNumberFormat="1" applyFill="1" applyBorder="1"/>
    <xf numFmtId="0" fontId="2" fillId="4" borderId="27" xfId="0" applyFont="1" applyFill="1" applyBorder="1"/>
    <xf numFmtId="2" fontId="0" fillId="4" borderId="3" xfId="0" applyNumberFormat="1" applyFill="1" applyBorder="1"/>
    <xf numFmtId="0" fontId="17" fillId="4" borderId="0" xfId="0" applyFont="1" applyFill="1" applyBorder="1"/>
    <xf numFmtId="0" fontId="0" fillId="4" borderId="8" xfId="0" applyFont="1" applyFill="1" applyBorder="1" applyAlignment="1">
      <alignment horizontal="right"/>
    </xf>
    <xf numFmtId="10" fontId="0" fillId="4" borderId="8" xfId="1" applyNumberFormat="1" applyFont="1" applyFill="1" applyBorder="1" applyAlignment="1">
      <alignment horizontal="right"/>
    </xf>
    <xf numFmtId="3" fontId="0" fillId="4" borderId="0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left"/>
    </xf>
    <xf numFmtId="0" fontId="9" fillId="4" borderId="8" xfId="0" applyFont="1" applyFill="1" applyBorder="1"/>
    <xf numFmtId="0" fontId="17" fillId="4" borderId="14" xfId="0" applyFont="1" applyFill="1" applyBorder="1"/>
    <xf numFmtId="0" fontId="0" fillId="4" borderId="15" xfId="0" applyFill="1" applyBorder="1" applyAlignment="1">
      <alignment horizontal="left"/>
    </xf>
    <xf numFmtId="0" fontId="7" fillId="4" borderId="24" xfId="0" applyFont="1" applyFill="1" applyBorder="1"/>
    <xf numFmtId="10" fontId="0" fillId="4" borderId="12" xfId="1" applyNumberFormat="1" applyFont="1" applyFill="1" applyBorder="1" applyAlignment="1">
      <alignment horizontal="right"/>
    </xf>
    <xf numFmtId="10" fontId="0" fillId="4" borderId="20" xfId="1" applyNumberFormat="1" applyFont="1" applyFill="1" applyBorder="1" applyAlignment="1">
      <alignment horizontal="right"/>
    </xf>
    <xf numFmtId="0" fontId="0" fillId="4" borderId="31" xfId="0" applyFill="1" applyBorder="1"/>
    <xf numFmtId="10" fontId="0" fillId="4" borderId="12" xfId="0" applyNumberFormat="1" applyFill="1" applyBorder="1"/>
    <xf numFmtId="10" fontId="0" fillId="4" borderId="8" xfId="0" applyNumberFormat="1" applyFill="1" applyBorder="1"/>
    <xf numFmtId="0" fontId="24" fillId="4" borderId="0" xfId="10" applyFill="1" applyBorder="1"/>
    <xf numFmtId="0" fontId="25" fillId="0" borderId="0" xfId="0" applyFont="1"/>
    <xf numFmtId="167" fontId="0" fillId="4" borderId="12" xfId="0" applyNumberFormat="1" applyFont="1" applyFill="1" applyBorder="1" applyAlignment="1">
      <alignment horizontal="right"/>
    </xf>
    <xf numFmtId="168" fontId="0" fillId="4" borderId="12" xfId="0" applyNumberFormat="1" applyFont="1" applyFill="1" applyBorder="1" applyAlignment="1">
      <alignment horizontal="right"/>
    </xf>
    <xf numFmtId="0" fontId="7" fillId="0" borderId="0" xfId="0" applyFont="1"/>
    <xf numFmtId="10" fontId="0" fillId="4" borderId="12" xfId="0" applyNumberFormat="1" applyFont="1" applyFill="1" applyBorder="1" applyAlignment="1">
      <alignment horizontal="right"/>
    </xf>
    <xf numFmtId="0" fontId="25" fillId="0" borderId="0" xfId="0" applyFont="1" applyFill="1"/>
    <xf numFmtId="10" fontId="0" fillId="0" borderId="12" xfId="1" applyNumberFormat="1" applyFont="1" applyFill="1" applyBorder="1"/>
    <xf numFmtId="2" fontId="7" fillId="4" borderId="0" xfId="1" applyNumberFormat="1" applyFont="1" applyFill="1" applyBorder="1" applyAlignment="1">
      <alignment vertical="top" wrapText="1"/>
    </xf>
    <xf numFmtId="0" fontId="24" fillId="0" borderId="0" xfId="10"/>
    <xf numFmtId="0" fontId="0" fillId="4" borderId="12" xfId="0" applyFill="1" applyBorder="1" applyAlignment="1">
      <alignment wrapText="1"/>
    </xf>
    <xf numFmtId="9" fontId="1" fillId="4" borderId="0" xfId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/>
    </xf>
    <xf numFmtId="169" fontId="0" fillId="0" borderId="20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left"/>
    </xf>
    <xf numFmtId="3" fontId="0" fillId="0" borderId="0" xfId="0" applyNumberFormat="1"/>
  </cellXfs>
  <cellStyles count="11">
    <cellStyle name="Good" xfId="2" builtinId="26"/>
    <cellStyle name="Hyperlink" xfId="10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line.cbs.nl/Statweb/publication/?VW=T&amp;DM=SLNL&amp;PA=83220ned&amp;D1=1,3,34,37,41,46,54,64,66,70,75,77,90,97,100,104&amp;D2=90,169,174&amp;HD=180109-0953&amp;HDR=T&amp;STB=G1" TargetMode="External"/><Relationship Id="rId2" Type="http://schemas.openxmlformats.org/officeDocument/2006/relationships/hyperlink" Target="https://klimaatmonitor.databank.nl/Jive?workspace_guid=0260472e-5a67-45b9-9097-f3173bf02a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17"/>
  <sheetViews>
    <sheetView workbookViewId="0">
      <selection activeCell="H10" sqref="H10"/>
    </sheetView>
  </sheetViews>
  <sheetFormatPr baseColWidth="10" defaultRowHeight="16" x14ac:dyDescent="0.2"/>
  <cols>
    <col min="2" max="2" width="41.83203125" bestFit="1" customWidth="1"/>
    <col min="3" max="3" width="52.5" customWidth="1"/>
    <col min="4" max="4" width="6.83203125" bestFit="1" customWidth="1"/>
    <col min="5" max="5" width="13.33203125" style="128" customWidth="1"/>
    <col min="6" max="6" width="14.6640625" customWidth="1"/>
    <col min="8" max="8" width="131.5" customWidth="1"/>
  </cols>
  <sheetData>
    <row r="1" spans="1:10" x14ac:dyDescent="0.2">
      <c r="A1" s="1"/>
      <c r="B1" s="1"/>
      <c r="C1" s="1"/>
      <c r="D1" s="1"/>
      <c r="E1" s="118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18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18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18"/>
      <c r="F4" s="1"/>
      <c r="G4" s="1"/>
      <c r="H4" s="1"/>
      <c r="I4" s="1"/>
      <c r="J4" s="1"/>
    </row>
    <row r="5" spans="1:10" x14ac:dyDescent="0.2">
      <c r="A5" s="1"/>
      <c r="B5" s="10" t="s">
        <v>40</v>
      </c>
      <c r="C5" s="11"/>
      <c r="D5" s="12"/>
      <c r="E5" s="119"/>
      <c r="F5" s="13"/>
      <c r="G5" s="14"/>
      <c r="H5" s="14"/>
      <c r="I5" s="56"/>
      <c r="J5" s="1"/>
    </row>
    <row r="6" spans="1:10" x14ac:dyDescent="0.2">
      <c r="A6" s="1"/>
      <c r="B6" s="15"/>
      <c r="C6" s="16"/>
      <c r="D6" s="17"/>
      <c r="E6" s="46"/>
      <c r="F6" s="18"/>
      <c r="G6" s="4"/>
      <c r="H6" s="4"/>
      <c r="I6" s="57"/>
      <c r="J6" s="1"/>
    </row>
    <row r="7" spans="1:10" x14ac:dyDescent="0.2">
      <c r="A7" s="1"/>
      <c r="B7" s="44" t="s">
        <v>0</v>
      </c>
      <c r="C7" s="45"/>
      <c r="D7" s="45" t="s">
        <v>1</v>
      </c>
      <c r="E7" s="120" t="s">
        <v>147</v>
      </c>
      <c r="F7" s="45" t="s">
        <v>2</v>
      </c>
      <c r="G7" s="45" t="s">
        <v>166</v>
      </c>
      <c r="H7" s="45" t="s">
        <v>3</v>
      </c>
      <c r="I7" s="58"/>
      <c r="J7" s="1"/>
    </row>
    <row r="8" spans="1:10" x14ac:dyDescent="0.2">
      <c r="A8" s="1"/>
      <c r="B8" s="23" t="s">
        <v>38</v>
      </c>
      <c r="C8" s="9"/>
      <c r="D8" s="19"/>
      <c r="E8" s="121"/>
      <c r="F8" s="20"/>
      <c r="G8" s="9"/>
      <c r="H8" s="9"/>
      <c r="I8" s="59"/>
      <c r="J8" s="1"/>
    </row>
    <row r="9" spans="1:10" x14ac:dyDescent="0.2">
      <c r="A9" s="1"/>
      <c r="B9" s="23"/>
      <c r="C9" s="9"/>
      <c r="D9" s="19"/>
      <c r="E9" s="121"/>
      <c r="F9" s="20"/>
      <c r="G9" s="9"/>
      <c r="H9" s="9" t="s">
        <v>108</v>
      </c>
      <c r="I9" s="59"/>
      <c r="J9" s="1"/>
    </row>
    <row r="10" spans="1:10" x14ac:dyDescent="0.2">
      <c r="A10" s="1"/>
      <c r="B10" s="23"/>
      <c r="C10" s="9"/>
      <c r="D10" s="19"/>
      <c r="E10" s="121"/>
      <c r="F10" s="20"/>
      <c r="G10" s="9"/>
      <c r="H10" s="198" t="s">
        <v>164</v>
      </c>
      <c r="I10" s="59"/>
      <c r="J10" s="1"/>
    </row>
    <row r="11" spans="1:10" x14ac:dyDescent="0.2">
      <c r="A11" s="1"/>
      <c r="B11" s="23"/>
      <c r="C11" s="9"/>
      <c r="D11" s="19"/>
      <c r="E11" s="121"/>
      <c r="F11" s="20"/>
      <c r="G11" s="9"/>
      <c r="H11" s="189"/>
      <c r="I11" s="59"/>
      <c r="J11" s="1"/>
    </row>
    <row r="12" spans="1:10" ht="17" customHeight="1" x14ac:dyDescent="0.2">
      <c r="A12" s="1"/>
      <c r="B12" s="23"/>
      <c r="C12" s="9"/>
      <c r="D12" s="19"/>
      <c r="E12" s="121"/>
      <c r="F12" s="20"/>
      <c r="G12" s="9"/>
      <c r="H12" s="9" t="s">
        <v>109</v>
      </c>
      <c r="I12" s="59"/>
      <c r="J12" s="1"/>
    </row>
    <row r="13" spans="1:10" x14ac:dyDescent="0.2">
      <c r="A13" s="1"/>
      <c r="B13" s="23"/>
      <c r="C13" s="9"/>
      <c r="D13" s="19"/>
      <c r="E13" s="121"/>
      <c r="F13" s="20"/>
      <c r="G13" s="9"/>
      <c r="H13" s="198" t="s">
        <v>165</v>
      </c>
      <c r="I13" s="59"/>
      <c r="J13" s="1"/>
    </row>
    <row r="14" spans="1:10" ht="17" thickBot="1" x14ac:dyDescent="0.25">
      <c r="A14" s="1"/>
      <c r="B14" s="23"/>
      <c r="C14" s="9"/>
      <c r="D14" s="19"/>
      <c r="E14" s="121"/>
      <c r="F14" s="20"/>
      <c r="G14" s="9"/>
      <c r="H14" s="198"/>
      <c r="I14" s="59"/>
      <c r="J14" s="1"/>
    </row>
    <row r="15" spans="1:10" ht="17" thickBot="1" x14ac:dyDescent="0.25">
      <c r="A15" s="1"/>
      <c r="B15" s="23"/>
      <c r="C15" s="16" t="s">
        <v>167</v>
      </c>
      <c r="D15" s="19" t="s">
        <v>63</v>
      </c>
      <c r="E15" s="121"/>
      <c r="F15" s="48">
        <v>160</v>
      </c>
      <c r="G15" s="9"/>
      <c r="H15" s="199" t="s">
        <v>168</v>
      </c>
      <c r="I15" s="59"/>
      <c r="J15" s="1"/>
    </row>
    <row r="16" spans="1:10" ht="17" thickBot="1" x14ac:dyDescent="0.25">
      <c r="A16" s="1"/>
      <c r="B16" s="23"/>
      <c r="C16" s="16" t="s">
        <v>169</v>
      </c>
      <c r="D16" s="19" t="s">
        <v>63</v>
      </c>
      <c r="E16" s="121"/>
      <c r="F16" s="48">
        <v>790</v>
      </c>
      <c r="G16" s="9"/>
      <c r="H16" s="8" t="s">
        <v>168</v>
      </c>
      <c r="I16" s="59"/>
      <c r="J16" s="1"/>
    </row>
    <row r="17" spans="1:10" ht="17" thickBot="1" x14ac:dyDescent="0.25">
      <c r="A17" s="1"/>
      <c r="B17" s="23"/>
      <c r="C17" s="16" t="s">
        <v>170</v>
      </c>
      <c r="D17" s="19" t="s">
        <v>63</v>
      </c>
      <c r="E17" s="121"/>
      <c r="F17" s="48">
        <v>1418820</v>
      </c>
      <c r="G17" s="9"/>
      <c r="H17" s="8" t="s">
        <v>168</v>
      </c>
      <c r="I17" s="59"/>
      <c r="J17" s="1"/>
    </row>
    <row r="18" spans="1:10" ht="17" thickBot="1" x14ac:dyDescent="0.25">
      <c r="A18" s="1"/>
      <c r="B18" s="23"/>
      <c r="C18" s="16" t="s">
        <v>104</v>
      </c>
      <c r="D18" s="17" t="s">
        <v>152</v>
      </c>
      <c r="E18" s="121"/>
      <c r="F18" s="48">
        <f>(308)*0.38</f>
        <v>117.04</v>
      </c>
      <c r="G18" s="9"/>
      <c r="H18" s="8" t="s">
        <v>171</v>
      </c>
      <c r="I18" s="59"/>
      <c r="J18" s="1"/>
    </row>
    <row r="19" spans="1:10" x14ac:dyDescent="0.2">
      <c r="A19" s="1"/>
      <c r="B19" s="23"/>
      <c r="C19" s="16"/>
      <c r="D19" s="19"/>
      <c r="E19" s="121"/>
      <c r="F19" s="177"/>
      <c r="G19" s="9"/>
      <c r="H19" s="4"/>
      <c r="I19" s="59"/>
      <c r="J19" s="1"/>
    </row>
    <row r="20" spans="1:10" x14ac:dyDescent="0.2">
      <c r="A20" s="1"/>
      <c r="B20" s="23"/>
      <c r="C20" s="16"/>
      <c r="D20" s="25"/>
      <c r="E20" s="46"/>
      <c r="F20" s="26"/>
      <c r="G20" s="27"/>
      <c r="H20" s="4"/>
      <c r="I20" s="57"/>
      <c r="J20" s="1"/>
    </row>
    <row r="21" spans="1:10" ht="17" thickBot="1" x14ac:dyDescent="0.25">
      <c r="A21" s="1"/>
      <c r="B21" s="23"/>
      <c r="C21" s="46" t="s">
        <v>59</v>
      </c>
      <c r="D21" s="25"/>
      <c r="E21" s="46"/>
      <c r="F21" s="200"/>
      <c r="G21" s="27"/>
      <c r="H21" s="4"/>
      <c r="I21" s="57"/>
      <c r="J21" s="1"/>
    </row>
    <row r="22" spans="1:10" ht="17" thickBot="1" x14ac:dyDescent="0.25">
      <c r="A22" s="1"/>
      <c r="B22" s="23"/>
      <c r="C22" s="47" t="s">
        <v>30</v>
      </c>
      <c r="D22" s="116" t="s">
        <v>21</v>
      </c>
      <c r="E22" s="122"/>
      <c r="F22" s="48">
        <f>Notes!D11</f>
        <v>4461980.0091139236</v>
      </c>
      <c r="G22" s="201"/>
      <c r="H22" s="8" t="s">
        <v>172</v>
      </c>
      <c r="I22" s="57"/>
      <c r="J22" s="1"/>
    </row>
    <row r="23" spans="1:10" ht="17" thickBot="1" x14ac:dyDescent="0.25">
      <c r="A23" s="1"/>
      <c r="B23" s="23"/>
      <c r="C23" s="47" t="s">
        <v>7</v>
      </c>
      <c r="D23" s="116" t="s">
        <v>23</v>
      </c>
      <c r="E23" s="122"/>
      <c r="F23" s="48">
        <f xml:space="preserve"> G23 * (F15/F16)</f>
        <v>717772.15189873416</v>
      </c>
      <c r="G23" s="201">
        <v>3544000</v>
      </c>
      <c r="H23" s="8" t="s">
        <v>173</v>
      </c>
      <c r="I23" s="57"/>
      <c r="J23" s="1"/>
    </row>
    <row r="24" spans="1:10" ht="17" thickBot="1" x14ac:dyDescent="0.25">
      <c r="A24" s="1"/>
      <c r="B24" s="23"/>
      <c r="C24" s="47" t="s">
        <v>46</v>
      </c>
      <c r="D24" s="116" t="s">
        <v>60</v>
      </c>
      <c r="E24" s="123">
        <v>591.89</v>
      </c>
      <c r="F24" s="202">
        <f>(F$16/F$17)*E24</f>
        <v>0.32956477918270111</v>
      </c>
      <c r="G24" s="27"/>
      <c r="H24" s="8" t="s">
        <v>160</v>
      </c>
      <c r="I24" s="57"/>
      <c r="J24" s="1"/>
    </row>
    <row r="25" spans="1:10" ht="17" thickBot="1" x14ac:dyDescent="0.25">
      <c r="A25" s="1"/>
      <c r="B25" s="23"/>
      <c r="C25" s="47" t="s">
        <v>47</v>
      </c>
      <c r="D25" s="115" t="s">
        <v>60</v>
      </c>
      <c r="E25" s="128">
        <v>7805</v>
      </c>
      <c r="F25" s="202">
        <v>0</v>
      </c>
      <c r="G25" s="27"/>
      <c r="H25" s="8" t="s">
        <v>174</v>
      </c>
      <c r="I25" s="57"/>
      <c r="J25" s="1"/>
    </row>
    <row r="26" spans="1:10" ht="17" thickBot="1" x14ac:dyDescent="0.25">
      <c r="A26" s="1"/>
      <c r="B26" s="23"/>
      <c r="C26" s="47" t="s">
        <v>31</v>
      </c>
      <c r="D26" s="25" t="s">
        <v>60</v>
      </c>
      <c r="E26" s="46">
        <v>227</v>
      </c>
      <c r="F26" s="202">
        <f>(F$16/F$17)*E26</f>
        <v>0.12639376383191667</v>
      </c>
      <c r="G26" s="28"/>
      <c r="H26" s="8" t="s">
        <v>160</v>
      </c>
      <c r="I26" s="57"/>
      <c r="J26" s="1"/>
    </row>
    <row r="27" spans="1:10" ht="17" thickBot="1" x14ac:dyDescent="0.25">
      <c r="A27" s="1"/>
      <c r="B27" s="23"/>
      <c r="C27" s="47" t="s">
        <v>33</v>
      </c>
      <c r="D27" s="25" t="s">
        <v>60</v>
      </c>
      <c r="E27" s="203">
        <v>6652</v>
      </c>
      <c r="F27" s="202">
        <f>(F$15/F$17)*E27</f>
        <v>0.75014448626323282</v>
      </c>
      <c r="G27" s="28"/>
      <c r="H27" s="8" t="s">
        <v>160</v>
      </c>
      <c r="I27" s="57"/>
      <c r="J27" s="1"/>
    </row>
    <row r="28" spans="1:10" ht="17" thickBot="1" x14ac:dyDescent="0.25">
      <c r="A28" s="1"/>
      <c r="B28" s="23"/>
      <c r="C28" s="47" t="s">
        <v>32</v>
      </c>
      <c r="D28" s="25" t="s">
        <v>60</v>
      </c>
      <c r="E28" s="46">
        <v>40</v>
      </c>
      <c r="F28" s="202">
        <f>(F$16/F$17)*E28</f>
        <v>2.2272028869060205E-2</v>
      </c>
      <c r="G28" s="28"/>
      <c r="H28" s="8" t="s">
        <v>160</v>
      </c>
      <c r="I28" s="57"/>
      <c r="J28" s="1"/>
    </row>
    <row r="29" spans="1:10" x14ac:dyDescent="0.2">
      <c r="A29" s="1"/>
      <c r="B29" s="23"/>
      <c r="C29" s="16"/>
      <c r="D29" s="25"/>
      <c r="E29" s="46"/>
      <c r="F29" s="29"/>
      <c r="G29" s="28"/>
      <c r="H29" s="4"/>
      <c r="I29" s="57"/>
      <c r="J29" s="1"/>
    </row>
    <row r="30" spans="1:10" ht="17" thickBot="1" x14ac:dyDescent="0.25">
      <c r="A30" s="1"/>
      <c r="B30" s="138"/>
      <c r="C30" s="41"/>
      <c r="D30" s="139"/>
      <c r="E30" s="127"/>
      <c r="F30" s="175"/>
      <c r="G30" s="42"/>
      <c r="H30" s="43"/>
      <c r="I30" s="62"/>
      <c r="J30" s="1"/>
    </row>
    <row r="31" spans="1:10" ht="17" thickBot="1" x14ac:dyDescent="0.25">
      <c r="A31" s="1"/>
      <c r="B31" s="174"/>
      <c r="C31" s="16"/>
      <c r="D31" s="17"/>
      <c r="E31" s="46"/>
      <c r="F31" s="18"/>
      <c r="G31" s="28"/>
      <c r="H31" s="4"/>
      <c r="I31" s="4"/>
      <c r="J31" s="1"/>
    </row>
    <row r="32" spans="1:10" x14ac:dyDescent="0.2">
      <c r="A32" s="1"/>
      <c r="B32" s="10" t="s">
        <v>102</v>
      </c>
      <c r="C32" s="11"/>
      <c r="D32" s="12"/>
      <c r="E32" s="119"/>
      <c r="F32" s="13"/>
      <c r="G32" s="14"/>
      <c r="H32" s="14"/>
      <c r="I32" s="56"/>
      <c r="J32" s="1"/>
    </row>
    <row r="33" spans="1:10" x14ac:dyDescent="0.2">
      <c r="A33" s="1"/>
      <c r="B33" s="15"/>
      <c r="C33" s="16"/>
      <c r="D33" s="17"/>
      <c r="E33" s="46"/>
      <c r="F33" s="18"/>
      <c r="G33" s="4"/>
      <c r="H33" s="4"/>
      <c r="I33" s="57"/>
      <c r="J33" s="1"/>
    </row>
    <row r="34" spans="1:10" x14ac:dyDescent="0.2">
      <c r="A34" s="1"/>
      <c r="B34" s="44" t="s">
        <v>0</v>
      </c>
      <c r="C34" s="45"/>
      <c r="D34" s="45" t="s">
        <v>1</v>
      </c>
      <c r="E34" s="120" t="s">
        <v>70</v>
      </c>
      <c r="F34" s="45" t="s">
        <v>2</v>
      </c>
      <c r="G34" s="45"/>
      <c r="H34" s="45" t="s">
        <v>3</v>
      </c>
      <c r="I34" s="58"/>
      <c r="J34" s="1"/>
    </row>
    <row r="35" spans="1:10" x14ac:dyDescent="0.2">
      <c r="A35" s="1"/>
      <c r="B35" s="23" t="s">
        <v>41</v>
      </c>
      <c r="C35" s="16"/>
      <c r="D35" s="25"/>
      <c r="E35" s="46"/>
      <c r="F35" s="35"/>
      <c r="G35" s="28"/>
      <c r="H35" s="4"/>
      <c r="I35" s="57"/>
      <c r="J35" s="1"/>
    </row>
    <row r="36" spans="1:10" ht="17" thickBot="1" x14ac:dyDescent="0.25">
      <c r="A36" s="1"/>
      <c r="B36" s="23"/>
      <c r="C36" s="46" t="s">
        <v>61</v>
      </c>
      <c r="D36" s="25"/>
      <c r="E36" s="46"/>
      <c r="F36" s="35"/>
      <c r="G36" s="28"/>
      <c r="H36" s="4"/>
      <c r="I36" s="57"/>
      <c r="J36" s="1"/>
    </row>
    <row r="37" spans="1:10" ht="17" thickBot="1" x14ac:dyDescent="0.25">
      <c r="A37" s="1"/>
      <c r="B37" s="23"/>
      <c r="C37" s="47" t="s">
        <v>43</v>
      </c>
      <c r="D37" s="4"/>
      <c r="E37" s="125">
        <v>0.97</v>
      </c>
      <c r="F37" s="50">
        <f>E37</f>
        <v>0.97</v>
      </c>
      <c r="G37" s="28"/>
      <c r="H37" s="8" t="s">
        <v>94</v>
      </c>
      <c r="I37" s="57"/>
      <c r="J37" s="1"/>
    </row>
    <row r="38" spans="1:10" ht="17" thickBot="1" x14ac:dyDescent="0.25">
      <c r="A38" s="1"/>
      <c r="B38" s="23"/>
      <c r="C38" s="47" t="s">
        <v>44</v>
      </c>
      <c r="D38" s="4"/>
      <c r="E38" s="125">
        <v>0</v>
      </c>
      <c r="F38" s="50">
        <v>0</v>
      </c>
      <c r="G38" s="28"/>
      <c r="H38" s="8" t="s">
        <v>94</v>
      </c>
      <c r="I38" s="57"/>
      <c r="J38" s="1"/>
    </row>
    <row r="39" spans="1:10" ht="17" thickBot="1" x14ac:dyDescent="0.25">
      <c r="A39" s="1"/>
      <c r="B39" s="23"/>
      <c r="C39" s="47" t="s">
        <v>45</v>
      </c>
      <c r="D39" s="4"/>
      <c r="E39" s="125">
        <v>0.03</v>
      </c>
      <c r="F39" s="50">
        <f t="shared" ref="F39" si="0">E39</f>
        <v>0.03</v>
      </c>
      <c r="G39" s="28"/>
      <c r="H39" s="8" t="s">
        <v>94</v>
      </c>
      <c r="I39" s="57"/>
      <c r="J39" s="1"/>
    </row>
    <row r="40" spans="1:10" x14ac:dyDescent="0.2">
      <c r="A40" s="1"/>
      <c r="B40" s="30"/>
      <c r="C40" s="31"/>
      <c r="D40" s="32"/>
      <c r="E40" s="124"/>
      <c r="F40" s="36"/>
      <c r="G40" s="37"/>
      <c r="H40" s="2"/>
      <c r="I40" s="60"/>
      <c r="J40" s="1"/>
    </row>
    <row r="41" spans="1:10" x14ac:dyDescent="0.2">
      <c r="A41" s="1"/>
      <c r="B41" s="23" t="s">
        <v>92</v>
      </c>
      <c r="C41" s="16"/>
      <c r="D41" s="25"/>
      <c r="E41" s="46"/>
      <c r="F41" s="34"/>
      <c r="G41" s="28"/>
      <c r="H41" s="4"/>
      <c r="I41" s="57"/>
      <c r="J41" s="1"/>
    </row>
    <row r="42" spans="1:10" ht="17" thickBot="1" x14ac:dyDescent="0.25">
      <c r="A42" s="1"/>
      <c r="B42" s="23"/>
      <c r="C42" s="46" t="s">
        <v>61</v>
      </c>
      <c r="D42" s="25"/>
      <c r="E42" s="46"/>
      <c r="F42" s="35"/>
      <c r="G42" s="28"/>
      <c r="H42" s="4"/>
      <c r="I42" s="57"/>
      <c r="J42" s="1"/>
    </row>
    <row r="43" spans="1:10" ht="17" thickBot="1" x14ac:dyDescent="0.25">
      <c r="A43" s="1"/>
      <c r="B43" s="23"/>
      <c r="C43" s="47" t="s">
        <v>43</v>
      </c>
      <c r="D43" s="4"/>
      <c r="E43" s="125">
        <v>0</v>
      </c>
      <c r="F43" s="50">
        <f>E43</f>
        <v>0</v>
      </c>
      <c r="G43" s="28"/>
      <c r="H43" s="8" t="s">
        <v>94</v>
      </c>
      <c r="I43" s="57"/>
      <c r="J43" s="1"/>
    </row>
    <row r="44" spans="1:10" ht="17" thickBot="1" x14ac:dyDescent="0.25">
      <c r="A44" s="1"/>
      <c r="B44" s="23"/>
      <c r="C44" s="47" t="s">
        <v>45</v>
      </c>
      <c r="D44" s="4"/>
      <c r="E44" s="125">
        <v>1</v>
      </c>
      <c r="F44" s="50">
        <f t="shared" ref="F44" si="1">E44</f>
        <v>1</v>
      </c>
      <c r="G44" s="28"/>
      <c r="H44" s="8" t="s">
        <v>94</v>
      </c>
      <c r="I44" s="57"/>
      <c r="J44" s="1"/>
    </row>
    <row r="45" spans="1:10" x14ac:dyDescent="0.2">
      <c r="A45" s="1"/>
      <c r="B45" s="30"/>
      <c r="C45" s="31"/>
      <c r="D45" s="32"/>
      <c r="E45" s="124"/>
      <c r="F45" s="36"/>
      <c r="G45" s="37"/>
      <c r="H45" s="2"/>
      <c r="I45" s="60"/>
      <c r="J45" s="1"/>
    </row>
    <row r="46" spans="1:10" x14ac:dyDescent="0.2">
      <c r="A46" s="1"/>
      <c r="B46" s="23" t="s">
        <v>93</v>
      </c>
      <c r="C46" s="16"/>
      <c r="D46" s="25"/>
      <c r="E46" s="46"/>
      <c r="F46" s="34"/>
      <c r="G46" s="28"/>
      <c r="H46" s="4"/>
      <c r="I46" s="57"/>
      <c r="J46" s="1"/>
    </row>
    <row r="47" spans="1:10" ht="17" thickBot="1" x14ac:dyDescent="0.25">
      <c r="A47" s="1"/>
      <c r="B47" s="23"/>
      <c r="C47" s="46" t="s">
        <v>61</v>
      </c>
      <c r="D47" s="25"/>
      <c r="E47" s="46"/>
      <c r="F47" s="35"/>
      <c r="G47" s="28"/>
      <c r="H47" s="4"/>
      <c r="I47" s="57"/>
      <c r="J47" s="1"/>
    </row>
    <row r="48" spans="1:10" ht="17" thickBot="1" x14ac:dyDescent="0.25">
      <c r="A48" s="1"/>
      <c r="B48" s="23"/>
      <c r="C48" s="47" t="s">
        <v>43</v>
      </c>
      <c r="D48" s="4"/>
      <c r="E48" s="125">
        <v>0</v>
      </c>
      <c r="F48" s="50">
        <f>E48</f>
        <v>0</v>
      </c>
      <c r="G48" s="28"/>
      <c r="H48" s="8" t="s">
        <v>94</v>
      </c>
      <c r="I48" s="57"/>
      <c r="J48" s="1"/>
    </row>
    <row r="49" spans="1:10" ht="17" thickBot="1" x14ac:dyDescent="0.25">
      <c r="A49" s="1"/>
      <c r="B49" s="23"/>
      <c r="C49" s="47" t="s">
        <v>45</v>
      </c>
      <c r="D49" s="4"/>
      <c r="E49" s="125">
        <v>1</v>
      </c>
      <c r="F49" s="50">
        <f t="shared" ref="F49" si="2">E49</f>
        <v>1</v>
      </c>
      <c r="G49" s="28"/>
      <c r="H49" s="8" t="s">
        <v>94</v>
      </c>
      <c r="I49" s="57"/>
      <c r="J49" s="1"/>
    </row>
    <row r="50" spans="1:10" x14ac:dyDescent="0.2">
      <c r="A50" s="1"/>
      <c r="B50" s="30"/>
      <c r="C50" s="31"/>
      <c r="D50" s="32"/>
      <c r="E50" s="124"/>
      <c r="F50" s="36"/>
      <c r="G50" s="37"/>
      <c r="H50" s="2"/>
      <c r="I50" s="60"/>
      <c r="J50" s="1"/>
    </row>
    <row r="51" spans="1:10" x14ac:dyDescent="0.2">
      <c r="A51" s="1"/>
      <c r="B51" s="23" t="s">
        <v>98</v>
      </c>
      <c r="C51" s="16"/>
      <c r="D51" s="25"/>
      <c r="E51" s="46"/>
      <c r="F51" s="34"/>
      <c r="G51" s="28"/>
      <c r="H51" s="4"/>
      <c r="I51" s="57"/>
      <c r="J51" s="1"/>
    </row>
    <row r="52" spans="1:10" ht="17" thickBot="1" x14ac:dyDescent="0.25">
      <c r="A52" s="1"/>
      <c r="B52" s="23"/>
      <c r="C52" s="46" t="s">
        <v>61</v>
      </c>
      <c r="D52" s="25"/>
      <c r="E52" s="46"/>
      <c r="F52" s="35"/>
      <c r="G52" s="28"/>
      <c r="H52" s="4"/>
      <c r="I52" s="57"/>
      <c r="J52" s="1"/>
    </row>
    <row r="53" spans="1:10" ht="17" thickBot="1" x14ac:dyDescent="0.25">
      <c r="A53" s="1"/>
      <c r="B53" s="23"/>
      <c r="C53" s="47" t="s">
        <v>43</v>
      </c>
      <c r="D53" s="4"/>
      <c r="E53" s="125">
        <v>1</v>
      </c>
      <c r="F53" s="196">
        <v>1</v>
      </c>
      <c r="G53" s="28"/>
      <c r="H53" s="8" t="s">
        <v>94</v>
      </c>
      <c r="I53" s="57"/>
      <c r="J53" s="1"/>
    </row>
    <row r="54" spans="1:10" ht="17" thickBot="1" x14ac:dyDescent="0.25">
      <c r="A54" s="1"/>
      <c r="B54" s="23"/>
      <c r="C54" s="47" t="s">
        <v>45</v>
      </c>
      <c r="D54" s="4"/>
      <c r="E54" s="125">
        <v>0</v>
      </c>
      <c r="F54" s="50">
        <f t="shared" ref="F54" si="3">E54</f>
        <v>0</v>
      </c>
      <c r="G54" s="28"/>
      <c r="H54" s="8" t="s">
        <v>94</v>
      </c>
      <c r="I54" s="57"/>
      <c r="J54" s="1"/>
    </row>
    <row r="55" spans="1:10" x14ac:dyDescent="0.2">
      <c r="A55" s="1"/>
      <c r="B55" s="30"/>
      <c r="C55" s="31"/>
      <c r="D55" s="32"/>
      <c r="E55" s="124"/>
      <c r="F55" s="36"/>
      <c r="G55" s="37"/>
      <c r="H55" s="2"/>
      <c r="I55" s="60"/>
      <c r="J55" s="1"/>
    </row>
    <row r="56" spans="1:10" x14ac:dyDescent="0.2">
      <c r="A56" s="1"/>
      <c r="B56" s="23" t="s">
        <v>42</v>
      </c>
      <c r="C56" s="16"/>
      <c r="D56" s="25"/>
      <c r="E56" s="46"/>
      <c r="F56" s="38"/>
      <c r="G56" s="28"/>
      <c r="H56" s="4"/>
      <c r="I56" s="57"/>
      <c r="J56" s="1"/>
    </row>
    <row r="57" spans="1:10" ht="17" thickBot="1" x14ac:dyDescent="0.25">
      <c r="A57" s="1"/>
      <c r="B57" s="23"/>
      <c r="C57" s="46" t="s">
        <v>62</v>
      </c>
      <c r="D57" s="25"/>
      <c r="E57" s="46"/>
      <c r="F57" s="38"/>
      <c r="G57" s="28"/>
      <c r="H57" s="4"/>
      <c r="I57" s="57"/>
      <c r="J57" s="1"/>
    </row>
    <row r="58" spans="1:10" ht="17" thickBot="1" x14ac:dyDescent="0.25">
      <c r="A58" s="1"/>
      <c r="B58" s="23"/>
      <c r="C58" s="47" t="s">
        <v>43</v>
      </c>
      <c r="D58" s="49"/>
      <c r="E58" s="125">
        <v>8.9999999999999993E-3</v>
      </c>
      <c r="F58" s="50">
        <v>3.2000000000000002E-3</v>
      </c>
      <c r="G58" s="28"/>
      <c r="H58" s="8" t="s">
        <v>161</v>
      </c>
      <c r="I58" s="57"/>
      <c r="J58" s="1"/>
    </row>
    <row r="59" spans="1:10" ht="17" thickBot="1" x14ac:dyDescent="0.25">
      <c r="A59" s="1"/>
      <c r="B59" s="23"/>
      <c r="C59" s="113" t="s">
        <v>44</v>
      </c>
      <c r="D59" s="49"/>
      <c r="E59" s="125">
        <v>0.16</v>
      </c>
      <c r="F59" s="50">
        <v>0.1658</v>
      </c>
      <c r="G59" s="28"/>
      <c r="H59" s="8" t="s">
        <v>94</v>
      </c>
      <c r="I59" s="57"/>
      <c r="J59" s="1"/>
    </row>
    <row r="60" spans="1:10" ht="17" thickBot="1" x14ac:dyDescent="0.25">
      <c r="A60" s="1"/>
      <c r="B60" s="23"/>
      <c r="C60" s="113" t="s">
        <v>6</v>
      </c>
      <c r="D60" s="49"/>
      <c r="E60" s="125">
        <v>0.35699999999999998</v>
      </c>
      <c r="F60" s="50">
        <f t="shared" ref="F60:F61" si="4">E60</f>
        <v>0.35699999999999998</v>
      </c>
      <c r="G60" s="28"/>
      <c r="H60" s="8" t="s">
        <v>94</v>
      </c>
      <c r="I60" s="57"/>
      <c r="J60" s="1"/>
    </row>
    <row r="61" spans="1:10" ht="17" thickBot="1" x14ac:dyDescent="0.25">
      <c r="A61" s="1"/>
      <c r="B61" s="23"/>
      <c r="C61" s="113" t="s">
        <v>45</v>
      </c>
      <c r="D61" s="49"/>
      <c r="E61" s="125">
        <v>0.47399999999999998</v>
      </c>
      <c r="F61" s="50">
        <f t="shared" si="4"/>
        <v>0.47399999999999998</v>
      </c>
      <c r="G61" s="28"/>
      <c r="H61" s="8" t="s">
        <v>94</v>
      </c>
      <c r="I61" s="57"/>
      <c r="J61" s="1"/>
    </row>
    <row r="62" spans="1:10" x14ac:dyDescent="0.2">
      <c r="A62" s="1"/>
      <c r="B62" s="30"/>
      <c r="C62" s="31"/>
      <c r="D62" s="32"/>
      <c r="E62" s="124"/>
      <c r="F62" s="39"/>
      <c r="G62" s="33"/>
      <c r="H62" s="2"/>
      <c r="I62" s="60"/>
      <c r="J62" s="1"/>
    </row>
    <row r="63" spans="1:10" x14ac:dyDescent="0.2">
      <c r="A63" s="1"/>
      <c r="B63" s="23" t="s">
        <v>53</v>
      </c>
      <c r="C63" s="16"/>
      <c r="D63" s="25"/>
      <c r="E63" s="46"/>
      <c r="F63" s="40"/>
      <c r="G63" s="28"/>
      <c r="H63" s="4"/>
      <c r="I63" s="57"/>
      <c r="J63" s="1"/>
    </row>
    <row r="64" spans="1:10" ht="17" thickBot="1" x14ac:dyDescent="0.25">
      <c r="A64" s="1"/>
      <c r="B64" s="23"/>
      <c r="C64" s="4" t="s">
        <v>58</v>
      </c>
      <c r="D64" s="25"/>
      <c r="E64" s="46"/>
      <c r="F64" s="40"/>
      <c r="G64" s="28"/>
      <c r="H64" s="4"/>
      <c r="I64" s="57"/>
      <c r="J64" s="1"/>
    </row>
    <row r="65" spans="1:10" ht="17" thickBot="1" x14ac:dyDescent="0.25">
      <c r="A65" s="1"/>
      <c r="B65" s="23"/>
      <c r="C65" s="113" t="s">
        <v>82</v>
      </c>
      <c r="D65" s="49"/>
      <c r="E65" s="125">
        <v>2.8999999999999998E-3</v>
      </c>
      <c r="F65" s="50">
        <v>1</v>
      </c>
      <c r="G65" s="28"/>
      <c r="H65" s="8" t="s">
        <v>162</v>
      </c>
      <c r="I65" s="57"/>
      <c r="J65" s="1"/>
    </row>
    <row r="66" spans="1:10" ht="17" thickBot="1" x14ac:dyDescent="0.25">
      <c r="A66" s="1"/>
      <c r="B66" s="23"/>
      <c r="C66" s="113" t="s">
        <v>54</v>
      </c>
      <c r="D66" s="49"/>
      <c r="E66" s="125">
        <v>0</v>
      </c>
      <c r="F66" s="50">
        <v>0</v>
      </c>
      <c r="G66" s="28"/>
      <c r="H66" s="8" t="s">
        <v>94</v>
      </c>
      <c r="I66" s="57"/>
      <c r="J66" s="1"/>
    </row>
    <row r="67" spans="1:10" ht="17" thickBot="1" x14ac:dyDescent="0.25">
      <c r="A67" s="1"/>
      <c r="B67" s="23"/>
      <c r="C67" s="113" t="s">
        <v>55</v>
      </c>
      <c r="D67" s="49"/>
      <c r="E67" s="125">
        <v>0</v>
      </c>
      <c r="F67" s="50">
        <v>0</v>
      </c>
      <c r="G67" s="28"/>
      <c r="H67" s="8" t="s">
        <v>94</v>
      </c>
      <c r="I67" s="57"/>
      <c r="J67" s="1"/>
    </row>
    <row r="68" spans="1:10" ht="17" thickBot="1" x14ac:dyDescent="0.25">
      <c r="A68" s="1"/>
      <c r="B68" s="23"/>
      <c r="C68" s="113" t="s">
        <v>56</v>
      </c>
      <c r="D68" s="49"/>
      <c r="E68" s="125">
        <v>0</v>
      </c>
      <c r="F68" s="50">
        <v>0</v>
      </c>
      <c r="G68" s="28"/>
      <c r="H68" s="8" t="s">
        <v>94</v>
      </c>
      <c r="I68" s="57"/>
      <c r="J68" s="1"/>
    </row>
    <row r="69" spans="1:10" ht="17" thickBot="1" x14ac:dyDescent="0.25">
      <c r="A69" s="1"/>
      <c r="B69" s="23"/>
      <c r="C69" s="113" t="s">
        <v>57</v>
      </c>
      <c r="D69" s="49"/>
      <c r="E69" s="125">
        <v>0.99709999999999999</v>
      </c>
      <c r="F69" s="50">
        <v>0</v>
      </c>
      <c r="G69" s="28"/>
      <c r="H69" s="8" t="s">
        <v>94</v>
      </c>
      <c r="I69" s="57"/>
      <c r="J69" s="1"/>
    </row>
    <row r="70" spans="1:10" ht="17" thickBot="1" x14ac:dyDescent="0.25">
      <c r="A70" s="1"/>
      <c r="B70" s="138"/>
      <c r="C70" s="41"/>
      <c r="D70" s="139"/>
      <c r="E70" s="127"/>
      <c r="F70" s="176"/>
      <c r="G70" s="42"/>
      <c r="H70" s="43"/>
      <c r="I70" s="62"/>
      <c r="J70" s="1"/>
    </row>
    <row r="71" spans="1:10" x14ac:dyDescent="0.2">
      <c r="A71" s="1"/>
      <c r="B71" s="174"/>
      <c r="C71" s="16"/>
      <c r="D71" s="17"/>
      <c r="E71" s="46"/>
      <c r="F71" s="40"/>
      <c r="G71" s="28"/>
      <c r="H71" s="4"/>
      <c r="I71" s="4"/>
      <c r="J71" s="1"/>
    </row>
    <row r="72" spans="1:10" x14ac:dyDescent="0.2">
      <c r="A72" s="1"/>
      <c r="B72" s="1"/>
      <c r="C72" s="1"/>
      <c r="D72" s="1"/>
      <c r="E72" s="118"/>
      <c r="F72" s="1"/>
      <c r="G72" s="1"/>
      <c r="H72" s="1"/>
      <c r="I72" s="1"/>
      <c r="J72" s="1"/>
    </row>
    <row r="73" spans="1:10" ht="17" thickBot="1" x14ac:dyDescent="0.25">
      <c r="A73" s="1"/>
      <c r="B73" s="1"/>
      <c r="C73" s="1"/>
      <c r="D73" s="1"/>
      <c r="E73" s="118"/>
      <c r="F73" s="1"/>
      <c r="G73" s="1"/>
      <c r="H73" s="1"/>
      <c r="I73" s="1"/>
      <c r="J73" s="1"/>
    </row>
    <row r="74" spans="1:10" x14ac:dyDescent="0.2">
      <c r="A74" s="1"/>
      <c r="B74" s="10" t="s">
        <v>103</v>
      </c>
      <c r="C74" s="11"/>
      <c r="D74" s="12"/>
      <c r="E74" s="119"/>
      <c r="F74" s="13"/>
      <c r="G74" s="14"/>
      <c r="H74" s="14"/>
      <c r="I74" s="56"/>
      <c r="J74" s="1"/>
    </row>
    <row r="75" spans="1:10" x14ac:dyDescent="0.2">
      <c r="A75" s="1"/>
      <c r="B75" s="15"/>
      <c r="C75" s="16"/>
      <c r="D75" s="17"/>
      <c r="E75" s="46"/>
      <c r="F75" s="18"/>
      <c r="G75" s="4"/>
      <c r="H75" s="4"/>
      <c r="I75" s="57"/>
      <c r="J75" s="1"/>
    </row>
    <row r="76" spans="1:10" x14ac:dyDescent="0.2">
      <c r="A76" s="1"/>
      <c r="B76" s="44" t="s">
        <v>0</v>
      </c>
      <c r="C76" s="45"/>
      <c r="D76" s="45" t="s">
        <v>1</v>
      </c>
      <c r="E76" s="120" t="s">
        <v>70</v>
      </c>
      <c r="F76" s="45" t="s">
        <v>2</v>
      </c>
      <c r="G76" s="45"/>
      <c r="H76" s="45" t="s">
        <v>3</v>
      </c>
      <c r="I76" s="58"/>
      <c r="J76" s="1"/>
    </row>
    <row r="77" spans="1:10" x14ac:dyDescent="0.2">
      <c r="A77" s="1"/>
      <c r="B77" s="23" t="s">
        <v>52</v>
      </c>
      <c r="C77" s="16"/>
      <c r="D77" s="25"/>
      <c r="E77" s="46"/>
      <c r="F77" s="40"/>
      <c r="G77" s="28"/>
      <c r="H77" s="4"/>
      <c r="I77" s="57"/>
      <c r="J77" s="1"/>
    </row>
    <row r="78" spans="1:10" ht="17" thickBot="1" x14ac:dyDescent="0.25">
      <c r="A78" s="1"/>
      <c r="B78" s="23"/>
      <c r="C78" s="16" t="s">
        <v>71</v>
      </c>
      <c r="D78" s="25"/>
      <c r="E78" s="46"/>
      <c r="F78" s="40"/>
      <c r="G78" s="28"/>
      <c r="H78" s="4"/>
      <c r="I78" s="57"/>
      <c r="J78" s="1"/>
    </row>
    <row r="79" spans="1:10" ht="17" thickBot="1" x14ac:dyDescent="0.25">
      <c r="A79" s="1"/>
      <c r="B79" s="24"/>
      <c r="C79" s="47" t="s">
        <v>83</v>
      </c>
      <c r="D79" s="49"/>
      <c r="E79" s="126">
        <v>1.9800000000000002E-2</v>
      </c>
      <c r="F79" s="132">
        <f>E79/SUM(E$79:E$80)</f>
        <v>1</v>
      </c>
      <c r="G79" s="28"/>
      <c r="H79" s="55" t="s">
        <v>74</v>
      </c>
      <c r="I79" s="57"/>
      <c r="J79" s="1"/>
    </row>
    <row r="80" spans="1:10" ht="17" thickBot="1" x14ac:dyDescent="0.25">
      <c r="A80" s="1"/>
      <c r="B80" s="24"/>
      <c r="C80" s="47" t="s">
        <v>49</v>
      </c>
      <c r="D80" s="49"/>
      <c r="E80" s="126">
        <v>0</v>
      </c>
      <c r="F80" s="50">
        <f>E80/SUM(E$79:E$80)</f>
        <v>0</v>
      </c>
      <c r="G80" s="28"/>
      <c r="H80" s="8" t="s">
        <v>74</v>
      </c>
      <c r="I80" s="57"/>
      <c r="J80" s="1"/>
    </row>
    <row r="81" spans="1:10" ht="17" thickBot="1" x14ac:dyDescent="0.25">
      <c r="A81" s="1"/>
      <c r="B81" s="24"/>
      <c r="C81" s="47"/>
      <c r="D81" s="49"/>
      <c r="E81" s="126"/>
      <c r="F81" s="51"/>
      <c r="G81" s="28"/>
      <c r="H81" s="4"/>
      <c r="I81" s="57"/>
      <c r="J81" s="1"/>
    </row>
    <row r="82" spans="1:10" ht="17" thickBot="1" x14ac:dyDescent="0.25">
      <c r="A82" s="1"/>
      <c r="B82" s="23"/>
      <c r="C82" s="113" t="s">
        <v>84</v>
      </c>
      <c r="D82" s="49"/>
      <c r="E82" s="126">
        <v>0</v>
      </c>
      <c r="F82" s="50">
        <f>E82/SUM(E$82:E$83)</f>
        <v>0</v>
      </c>
      <c r="G82" s="28"/>
      <c r="H82" s="8" t="s">
        <v>74</v>
      </c>
      <c r="I82" s="57"/>
      <c r="J82" s="1"/>
    </row>
    <row r="83" spans="1:10" ht="17" thickBot="1" x14ac:dyDescent="0.25">
      <c r="A83" s="1"/>
      <c r="B83" s="24"/>
      <c r="C83" s="47" t="s">
        <v>77</v>
      </c>
      <c r="D83" s="49"/>
      <c r="E83" s="125">
        <v>0.87980000000000003</v>
      </c>
      <c r="F83" s="50">
        <f>E83/SUM(E$82:E$83)</f>
        <v>1</v>
      </c>
      <c r="G83" s="28"/>
      <c r="H83" s="8" t="s">
        <v>74</v>
      </c>
      <c r="I83" s="57"/>
      <c r="J83" s="1"/>
    </row>
    <row r="84" spans="1:10" ht="17" thickBot="1" x14ac:dyDescent="0.25">
      <c r="A84" s="1"/>
      <c r="B84" s="23"/>
      <c r="C84" s="4"/>
      <c r="D84" s="49"/>
      <c r="E84" s="125"/>
      <c r="F84" s="51"/>
      <c r="G84" s="28"/>
      <c r="H84" s="4"/>
      <c r="I84" s="57"/>
      <c r="J84" s="1"/>
    </row>
    <row r="85" spans="1:10" ht="17" thickBot="1" x14ac:dyDescent="0.25">
      <c r="A85" s="1"/>
      <c r="B85" s="24"/>
      <c r="C85" s="47" t="s">
        <v>51</v>
      </c>
      <c r="D85" s="49"/>
      <c r="E85" s="125">
        <v>0</v>
      </c>
      <c r="F85" s="50">
        <v>1</v>
      </c>
      <c r="G85" s="28"/>
      <c r="H85" s="8" t="s">
        <v>72</v>
      </c>
      <c r="I85" s="57"/>
      <c r="J85" s="1"/>
    </row>
    <row r="86" spans="1:10" ht="17" thickBot="1" x14ac:dyDescent="0.25">
      <c r="A86" s="1"/>
      <c r="B86" s="23"/>
      <c r="C86" s="4"/>
      <c r="D86" s="49"/>
      <c r="E86" s="125"/>
      <c r="F86" s="51"/>
      <c r="G86" s="28"/>
      <c r="H86" s="4"/>
      <c r="I86" s="57"/>
      <c r="J86" s="1"/>
    </row>
    <row r="87" spans="1:10" ht="17" thickBot="1" x14ac:dyDescent="0.25">
      <c r="A87" s="1"/>
      <c r="B87" s="24"/>
      <c r="C87" s="47" t="s">
        <v>50</v>
      </c>
      <c r="D87" s="49"/>
      <c r="E87" s="125">
        <v>0</v>
      </c>
      <c r="F87" s="50">
        <v>1</v>
      </c>
      <c r="G87" s="28"/>
      <c r="H87" s="8" t="s">
        <v>88</v>
      </c>
      <c r="I87" s="57"/>
      <c r="J87" s="1"/>
    </row>
    <row r="88" spans="1:10" ht="17" thickBot="1" x14ac:dyDescent="0.25">
      <c r="A88" s="1"/>
      <c r="B88" s="23"/>
      <c r="C88" s="4"/>
      <c r="D88" s="49"/>
      <c r="E88" s="125"/>
      <c r="F88" s="51"/>
      <c r="G88" s="28"/>
      <c r="H88" s="4"/>
      <c r="I88" s="57"/>
      <c r="J88" s="1"/>
    </row>
    <row r="89" spans="1:10" ht="17" thickBot="1" x14ac:dyDescent="0.25">
      <c r="A89" s="1"/>
      <c r="B89" s="23"/>
      <c r="C89" s="47" t="s">
        <v>48</v>
      </c>
      <c r="D89" s="49"/>
      <c r="E89" s="125">
        <v>9.74E-2</v>
      </c>
      <c r="F89" s="50">
        <v>1</v>
      </c>
      <c r="G89" s="28"/>
      <c r="H89" s="8" t="s">
        <v>89</v>
      </c>
      <c r="I89" s="57"/>
      <c r="J89" s="1"/>
    </row>
    <row r="90" spans="1:10" ht="17" thickBot="1" x14ac:dyDescent="0.25">
      <c r="A90" s="1"/>
      <c r="B90" s="23"/>
      <c r="C90" s="4"/>
      <c r="D90" s="49"/>
      <c r="E90" s="125"/>
      <c r="F90" s="51"/>
      <c r="G90" s="28"/>
      <c r="H90" s="4"/>
      <c r="I90" s="57"/>
      <c r="J90" s="1"/>
    </row>
    <row r="91" spans="1:10" ht="17" thickBot="1" x14ac:dyDescent="0.25">
      <c r="A91" s="1"/>
      <c r="B91" s="23"/>
      <c r="C91" s="47" t="s">
        <v>145</v>
      </c>
      <c r="D91" s="49"/>
      <c r="E91" s="125">
        <v>6.9999999999999999E-4</v>
      </c>
      <c r="F91" s="50">
        <v>1</v>
      </c>
      <c r="G91" s="28"/>
      <c r="H91" s="8" t="s">
        <v>80</v>
      </c>
      <c r="I91" s="57"/>
      <c r="J91" s="1"/>
    </row>
    <row r="92" spans="1:10" ht="17" thickBot="1" x14ac:dyDescent="0.25">
      <c r="A92" s="1"/>
      <c r="B92" s="23"/>
      <c r="C92" s="4"/>
      <c r="D92" s="49"/>
      <c r="E92" s="125"/>
      <c r="F92" s="51"/>
      <c r="G92" s="28"/>
      <c r="H92" s="4"/>
      <c r="I92" s="57"/>
      <c r="J92" s="1"/>
    </row>
    <row r="93" spans="1:10" ht="17" thickBot="1" x14ac:dyDescent="0.25">
      <c r="A93" s="1"/>
      <c r="B93" s="23"/>
      <c r="C93" s="47" t="s">
        <v>146</v>
      </c>
      <c r="D93" s="49"/>
      <c r="E93" s="125">
        <v>2.3E-3</v>
      </c>
      <c r="F93" s="50">
        <v>1</v>
      </c>
      <c r="G93" s="28"/>
      <c r="H93" s="8" t="s">
        <v>81</v>
      </c>
      <c r="I93" s="57"/>
      <c r="J93" s="1"/>
    </row>
    <row r="94" spans="1:10" x14ac:dyDescent="0.2">
      <c r="A94" s="1"/>
      <c r="B94" s="30"/>
      <c r="C94" s="31"/>
      <c r="D94" s="140"/>
      <c r="E94" s="33"/>
      <c r="F94" s="39"/>
      <c r="G94" s="33"/>
      <c r="H94" s="2"/>
      <c r="I94" s="60"/>
      <c r="J94" s="1"/>
    </row>
    <row r="95" spans="1:10" x14ac:dyDescent="0.2">
      <c r="A95" s="1"/>
      <c r="B95" s="23" t="s">
        <v>64</v>
      </c>
      <c r="C95" s="4"/>
      <c r="D95" s="4"/>
      <c r="E95" s="28"/>
      <c r="F95" s="117"/>
      <c r="G95" s="4"/>
      <c r="H95" s="4"/>
      <c r="I95" s="57"/>
      <c r="J95" s="1"/>
    </row>
    <row r="96" spans="1:10" ht="17" thickBot="1" x14ac:dyDescent="0.25">
      <c r="A96" s="1"/>
      <c r="B96" s="24"/>
      <c r="C96" s="46" t="s">
        <v>65</v>
      </c>
      <c r="D96" s="25"/>
      <c r="E96" s="126"/>
      <c r="F96" s="40"/>
      <c r="G96" s="4"/>
      <c r="H96" s="129"/>
      <c r="I96" s="57"/>
      <c r="J96" s="1"/>
    </row>
    <row r="97" spans="1:10" ht="17" thickBot="1" x14ac:dyDescent="0.25">
      <c r="A97" s="1"/>
      <c r="B97" s="23"/>
      <c r="C97" s="113" t="s">
        <v>84</v>
      </c>
      <c r="D97" s="25"/>
      <c r="E97" s="126">
        <v>0</v>
      </c>
      <c r="F97" s="184">
        <f>E97</f>
        <v>0</v>
      </c>
      <c r="G97" s="28"/>
      <c r="H97" s="53" t="s">
        <v>66</v>
      </c>
      <c r="I97" s="57"/>
      <c r="J97" s="1"/>
    </row>
    <row r="98" spans="1:10" ht="17" thickBot="1" x14ac:dyDescent="0.25">
      <c r="A98" s="1"/>
      <c r="B98" s="23"/>
      <c r="C98" s="113"/>
      <c r="D98" s="25"/>
      <c r="E98" s="126"/>
      <c r="F98" s="40"/>
      <c r="G98" s="28"/>
      <c r="H98" s="129"/>
      <c r="I98" s="57"/>
      <c r="J98" s="1"/>
    </row>
    <row r="99" spans="1:10" ht="17" thickBot="1" x14ac:dyDescent="0.25">
      <c r="A99" s="1"/>
      <c r="B99" s="23"/>
      <c r="C99" s="113" t="s">
        <v>90</v>
      </c>
      <c r="D99" s="25"/>
      <c r="E99" s="126">
        <v>6.4000000000000001E-2</v>
      </c>
      <c r="F99" s="184">
        <f>E99</f>
        <v>6.4000000000000001E-2</v>
      </c>
      <c r="G99" s="54"/>
      <c r="H99" s="53" t="s">
        <v>66</v>
      </c>
      <c r="I99" s="57"/>
      <c r="J99" s="1"/>
    </row>
    <row r="100" spans="1:10" ht="17" thickBot="1" x14ac:dyDescent="0.25">
      <c r="A100" s="1"/>
      <c r="B100" s="23"/>
      <c r="C100" s="113" t="s">
        <v>91</v>
      </c>
      <c r="D100" s="25"/>
      <c r="E100" s="126">
        <v>0.93600000000000005</v>
      </c>
      <c r="F100" s="185">
        <f>E100</f>
        <v>0.93600000000000005</v>
      </c>
      <c r="G100" s="54"/>
      <c r="H100" s="52" t="s">
        <v>66</v>
      </c>
      <c r="I100" s="57"/>
      <c r="J100" s="1"/>
    </row>
    <row r="101" spans="1:10" x14ac:dyDescent="0.2">
      <c r="A101" s="1"/>
      <c r="B101" s="30"/>
      <c r="C101" s="186"/>
      <c r="D101" s="32"/>
      <c r="E101" s="124"/>
      <c r="F101" s="39"/>
      <c r="G101" s="33"/>
      <c r="H101" s="2"/>
      <c r="I101" s="60"/>
      <c r="J101" s="1"/>
    </row>
    <row r="102" spans="1:10" x14ac:dyDescent="0.2">
      <c r="A102" s="1"/>
      <c r="B102" s="23" t="s">
        <v>6</v>
      </c>
      <c r="C102" s="16"/>
      <c r="D102" s="25"/>
      <c r="E102" s="46"/>
      <c r="F102" s="40"/>
      <c r="G102" s="28"/>
      <c r="H102" s="4"/>
      <c r="I102" s="57"/>
      <c r="J102" s="1"/>
    </row>
    <row r="103" spans="1:10" ht="17" thickBot="1" x14ac:dyDescent="0.25">
      <c r="A103" s="1"/>
      <c r="B103" s="23"/>
      <c r="C103" s="46" t="s">
        <v>75</v>
      </c>
      <c r="D103" s="25"/>
      <c r="E103" s="46"/>
      <c r="F103" s="40"/>
      <c r="G103" s="28"/>
      <c r="H103" s="4"/>
      <c r="I103" s="57"/>
      <c r="J103" s="1"/>
    </row>
    <row r="104" spans="1:10" ht="17" thickBot="1" x14ac:dyDescent="0.25">
      <c r="A104" s="1"/>
      <c r="B104" s="24"/>
      <c r="C104" s="113" t="s">
        <v>86</v>
      </c>
      <c r="D104" s="4"/>
      <c r="E104" s="126">
        <v>6.5000000000000002E-2</v>
      </c>
      <c r="F104" s="187">
        <f>E104</f>
        <v>6.5000000000000002E-2</v>
      </c>
      <c r="G104" s="54"/>
      <c r="H104" s="53" t="s">
        <v>66</v>
      </c>
      <c r="I104" s="57"/>
      <c r="J104" s="1"/>
    </row>
    <row r="105" spans="1:10" ht="17" thickBot="1" x14ac:dyDescent="0.25">
      <c r="A105" s="1"/>
      <c r="B105" s="24"/>
      <c r="C105" s="113" t="s">
        <v>87</v>
      </c>
      <c r="D105" s="4"/>
      <c r="E105" s="126">
        <v>1.6E-2</v>
      </c>
      <c r="F105" s="187">
        <f t="shared" ref="F105:F106" si="5">E105</f>
        <v>1.6E-2</v>
      </c>
      <c r="G105" s="28"/>
      <c r="H105" s="53" t="s">
        <v>66</v>
      </c>
      <c r="I105" s="57"/>
      <c r="J105" s="1"/>
    </row>
    <row r="106" spans="1:10" ht="17" thickBot="1" x14ac:dyDescent="0.25">
      <c r="A106" s="1"/>
      <c r="B106" s="24"/>
      <c r="C106" s="113" t="s">
        <v>85</v>
      </c>
      <c r="D106" s="4"/>
      <c r="E106" s="126">
        <v>0.91900000000000004</v>
      </c>
      <c r="F106" s="187">
        <f t="shared" si="5"/>
        <v>0.91900000000000004</v>
      </c>
      <c r="G106" s="28"/>
      <c r="H106" s="53" t="s">
        <v>66</v>
      </c>
      <c r="I106" s="57"/>
      <c r="J106" s="1"/>
    </row>
    <row r="107" spans="1:10" ht="17" thickBot="1" x14ac:dyDescent="0.25">
      <c r="A107" s="1"/>
      <c r="B107" s="138"/>
      <c r="C107" s="43"/>
      <c r="D107" s="178"/>
      <c r="E107" s="179"/>
      <c r="F107" s="188"/>
      <c r="G107" s="42"/>
      <c r="H107" s="180"/>
      <c r="I107" s="62"/>
      <c r="J107" s="1"/>
    </row>
    <row r="108" spans="1:10" ht="17" thickBot="1" x14ac:dyDescent="0.25">
      <c r="A108" s="1"/>
      <c r="B108" s="174"/>
      <c r="C108" s="4"/>
      <c r="D108" s="17"/>
      <c r="E108" s="126"/>
      <c r="F108" s="117"/>
      <c r="G108" s="28"/>
      <c r="H108" s="129"/>
      <c r="I108" s="4"/>
      <c r="J108" s="1"/>
    </row>
    <row r="109" spans="1:10" ht="17" thickBot="1" x14ac:dyDescent="0.25">
      <c r="A109" s="1"/>
      <c r="B109" s="181" t="s">
        <v>107</v>
      </c>
      <c r="C109" s="14"/>
      <c r="D109" s="14"/>
      <c r="E109" s="182"/>
      <c r="F109" s="14"/>
      <c r="G109" s="14"/>
      <c r="H109" s="14"/>
      <c r="I109" s="183"/>
      <c r="J109" s="1"/>
    </row>
    <row r="110" spans="1:10" ht="17" thickBot="1" x14ac:dyDescent="0.25">
      <c r="A110" s="1"/>
      <c r="B110" s="15"/>
      <c r="C110" s="16" t="s">
        <v>105</v>
      </c>
      <c r="D110" s="17" t="s">
        <v>156</v>
      </c>
      <c r="E110" s="121"/>
      <c r="F110" s="48">
        <v>160</v>
      </c>
      <c r="G110" s="9"/>
      <c r="H110" s="8" t="s">
        <v>106</v>
      </c>
      <c r="I110" s="57"/>
      <c r="J110" s="1"/>
    </row>
    <row r="111" spans="1:10" ht="17" thickBot="1" x14ac:dyDescent="0.25">
      <c r="A111" s="1"/>
      <c r="B111" s="15"/>
      <c r="C111" s="16" t="s">
        <v>148</v>
      </c>
      <c r="D111" s="17" t="s">
        <v>149</v>
      </c>
      <c r="E111" s="121"/>
      <c r="F111" s="48">
        <v>867</v>
      </c>
      <c r="G111" s="9"/>
      <c r="H111" s="8" t="s">
        <v>150</v>
      </c>
      <c r="I111" s="57"/>
      <c r="J111" s="1"/>
    </row>
    <row r="112" spans="1:10" ht="17" thickBot="1" x14ac:dyDescent="0.25">
      <c r="A112" s="1"/>
      <c r="B112" s="15"/>
      <c r="C112" s="16" t="s">
        <v>153</v>
      </c>
      <c r="D112" s="17" t="s">
        <v>154</v>
      </c>
      <c r="E112" s="121"/>
      <c r="F112" s="194">
        <v>0.16</v>
      </c>
      <c r="G112" s="9"/>
      <c r="H112" s="8" t="s">
        <v>150</v>
      </c>
      <c r="I112" s="57"/>
      <c r="J112" s="1"/>
    </row>
    <row r="113" spans="1:10" x14ac:dyDescent="0.2">
      <c r="A113" s="1"/>
      <c r="B113" s="15"/>
      <c r="C113" s="16"/>
      <c r="D113" s="17"/>
      <c r="E113" s="121"/>
      <c r="F113" s="177"/>
      <c r="G113" s="9"/>
      <c r="H113" s="4"/>
      <c r="I113" s="57"/>
      <c r="J113" s="1"/>
    </row>
    <row r="114" spans="1:10" ht="17" thickBot="1" x14ac:dyDescent="0.25">
      <c r="A114" s="1"/>
      <c r="B114" s="23" t="s">
        <v>139</v>
      </c>
      <c r="C114" s="16"/>
      <c r="D114" s="17"/>
      <c r="E114" s="121"/>
      <c r="F114" s="121"/>
      <c r="G114" s="121"/>
      <c r="H114" s="121"/>
      <c r="I114" s="57"/>
      <c r="J114" s="1"/>
    </row>
    <row r="115" spans="1:10" ht="17" thickBot="1" x14ac:dyDescent="0.25">
      <c r="A115" s="1"/>
      <c r="B115" s="23"/>
      <c r="C115" s="16" t="s">
        <v>142</v>
      </c>
      <c r="D115" s="17"/>
      <c r="E115" s="121"/>
      <c r="F115" s="191">
        <f>31.65/10^6</f>
        <v>3.1649999999999997E-5</v>
      </c>
      <c r="G115" s="9"/>
      <c r="H115" s="8" t="s">
        <v>140</v>
      </c>
      <c r="I115" s="57"/>
      <c r="J115" s="1"/>
    </row>
    <row r="116" spans="1:10" ht="17" thickBot="1" x14ac:dyDescent="0.25">
      <c r="A116" s="1"/>
      <c r="B116" s="23"/>
      <c r="C116" s="16" t="s">
        <v>143</v>
      </c>
      <c r="D116" s="17"/>
      <c r="E116" s="121"/>
      <c r="F116" s="192">
        <f>3600/10^9</f>
        <v>3.5999999999999998E-6</v>
      </c>
      <c r="G116" s="9"/>
      <c r="H116" s="8" t="s">
        <v>141</v>
      </c>
      <c r="I116" s="57"/>
      <c r="J116" s="1"/>
    </row>
    <row r="117" spans="1:10" ht="17" thickBot="1" x14ac:dyDescent="0.25">
      <c r="A117" s="1"/>
      <c r="B117" s="138"/>
      <c r="C117" s="43"/>
      <c r="D117" s="178"/>
      <c r="E117" s="179"/>
      <c r="F117" s="188"/>
      <c r="G117" s="42"/>
      <c r="H117" s="180"/>
      <c r="I117" s="62"/>
      <c r="J117" s="1"/>
    </row>
  </sheetData>
  <dataValidations count="2">
    <dataValidation type="decimal" operator="greaterThanOrEqual" showInputMessage="1" showErrorMessage="1" errorTitle="Number Range" error="You may only add positive numbers. _x000d_" sqref="E96:E100 E79:E82 F96:F103 F37:F40 F43:F45 F48:F50 E104:E108 F77:F94 F53:F64 F70:F71">
      <formula1>0</formula1>
    </dataValidation>
    <dataValidation type="decimal" operator="greaterThanOrEqual" allowBlank="1" showInputMessage="1" showErrorMessage="1" errorTitle="Number Range" error="You may only enter positive numbers here. " sqref="F110:F116 F15:F19 F22:F23">
      <formula1>0</formula1>
    </dataValidation>
  </dataValidations>
  <hyperlinks>
    <hyperlink ref="H13" r:id="rId1"/>
    <hyperlink ref="H10" r:id="rId2" tooltip="Link naar de opgeslagen presentatie (Opent in nieuw venster)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I18" sqref="I18"/>
    </sheetView>
  </sheetViews>
  <sheetFormatPr baseColWidth="10" defaultRowHeight="16" x14ac:dyDescent="0.2"/>
  <cols>
    <col min="1" max="1" width="38.83203125" customWidth="1"/>
  </cols>
  <sheetData>
    <row r="2" spans="1:8" x14ac:dyDescent="0.2">
      <c r="A2" s="193" t="s">
        <v>183</v>
      </c>
    </row>
    <row r="3" spans="1:8" x14ac:dyDescent="0.2">
      <c r="B3" s="193" t="s">
        <v>1</v>
      </c>
      <c r="D3" s="193" t="s">
        <v>181</v>
      </c>
      <c r="F3" s="193" t="s">
        <v>3</v>
      </c>
    </row>
    <row r="4" spans="1:8" x14ac:dyDescent="0.2">
      <c r="A4" t="s">
        <v>175</v>
      </c>
      <c r="B4" t="s">
        <v>21</v>
      </c>
      <c r="D4">
        <v>21530000</v>
      </c>
      <c r="F4" t="s">
        <v>182</v>
      </c>
    </row>
    <row r="5" spans="1:8" x14ac:dyDescent="0.2">
      <c r="A5" t="s">
        <v>180</v>
      </c>
      <c r="B5" t="s">
        <v>152</v>
      </c>
      <c r="D5" s="204">
        <f>Dashboard!F18</f>
        <v>117.04</v>
      </c>
      <c r="F5" t="s">
        <v>177</v>
      </c>
    </row>
    <row r="6" spans="1:8" x14ac:dyDescent="0.2">
      <c r="A6" t="s">
        <v>179</v>
      </c>
      <c r="B6" t="s">
        <v>178</v>
      </c>
      <c r="D6">
        <f>D5*Dashboard!F111</f>
        <v>101473.68000000001</v>
      </c>
      <c r="F6" t="s">
        <v>150</v>
      </c>
    </row>
    <row r="8" spans="1:8" x14ac:dyDescent="0.2">
      <c r="A8" t="s">
        <v>167</v>
      </c>
      <c r="B8" t="s">
        <v>63</v>
      </c>
      <c r="D8" s="204">
        <v>160</v>
      </c>
      <c r="F8" t="s">
        <v>168</v>
      </c>
    </row>
    <row r="9" spans="1:8" x14ac:dyDescent="0.2">
      <c r="A9" t="s">
        <v>169</v>
      </c>
      <c r="B9" t="s">
        <v>63</v>
      </c>
      <c r="D9" s="204">
        <v>790</v>
      </c>
      <c r="F9" t="s">
        <v>168</v>
      </c>
    </row>
    <row r="11" spans="1:8" x14ac:dyDescent="0.2">
      <c r="A11" s="193" t="s">
        <v>176</v>
      </c>
      <c r="B11" s="193" t="s">
        <v>21</v>
      </c>
      <c r="C11" s="193"/>
      <c r="D11" s="193">
        <f>D4 * (D8/D9) +D6</f>
        <v>4461980.0091139236</v>
      </c>
      <c r="E11" s="193"/>
      <c r="F11" s="193" t="s">
        <v>184</v>
      </c>
      <c r="G11" s="193"/>
      <c r="H11" s="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T75"/>
  <sheetViews>
    <sheetView topLeftCell="B1" workbookViewId="0">
      <selection activeCell="E42" sqref="E42"/>
    </sheetView>
  </sheetViews>
  <sheetFormatPr baseColWidth="10" defaultRowHeight="16" x14ac:dyDescent="0.2"/>
  <cols>
    <col min="2" max="2" width="48.6640625" customWidth="1"/>
    <col min="3" max="3" width="37.33203125" customWidth="1"/>
    <col min="4" max="4" width="20.1640625" customWidth="1"/>
    <col min="5" max="5" width="24.1640625" customWidth="1"/>
    <col min="6" max="10" width="20.1640625" customWidth="1"/>
    <col min="11" max="11" width="9.1640625" bestFit="1" customWidth="1"/>
    <col min="12" max="12" width="9.83203125" bestFit="1" customWidth="1"/>
    <col min="13" max="13" width="17" bestFit="1" customWidth="1"/>
    <col min="14" max="14" width="10.33203125" bestFit="1" customWidth="1"/>
    <col min="15" max="15" width="24" bestFit="1" customWidth="1"/>
    <col min="16" max="16" width="53.83203125" bestFit="1" customWidth="1"/>
    <col min="17" max="17" width="21.1640625" bestFit="1" customWidth="1"/>
    <col min="18" max="18" width="8.1640625" bestFit="1" customWidth="1"/>
    <col min="19" max="19" width="11.1640625" bestFit="1" customWidth="1"/>
    <col min="20" max="20" width="7.1640625" bestFit="1" customWidth="1"/>
  </cols>
  <sheetData>
    <row r="1" spans="1:20" ht="21" x14ac:dyDescent="0.25">
      <c r="A1" s="1"/>
      <c r="B1" s="63" t="s">
        <v>8</v>
      </c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4"/>
      <c r="P1" s="1"/>
      <c r="Q1" s="1"/>
      <c r="R1" s="1"/>
      <c r="S1" s="1"/>
      <c r="T1" s="1"/>
    </row>
    <row r="2" spans="1:20" x14ac:dyDescent="0.2">
      <c r="A2" s="1"/>
      <c r="B2" s="1"/>
      <c r="C2" s="1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/>
      <c r="B3" s="7" t="s">
        <v>9</v>
      </c>
      <c r="C3" s="6"/>
      <c r="D3" s="6"/>
      <c r="E3" s="6"/>
      <c r="F3" s="5"/>
      <c r="G3" s="4"/>
      <c r="H3" s="4"/>
      <c r="I3" s="4"/>
      <c r="J3" s="4"/>
      <c r="K3" s="4"/>
      <c r="L3" s="1"/>
      <c r="M3" s="1"/>
      <c r="N3" s="1"/>
      <c r="O3" s="6"/>
      <c r="P3" s="1"/>
      <c r="Q3" s="1"/>
      <c r="R3" s="1"/>
      <c r="S3" s="1"/>
      <c r="T3" s="1"/>
    </row>
    <row r="4" spans="1:20" ht="16" customHeight="1" x14ac:dyDescent="0.2">
      <c r="A4" s="1"/>
      <c r="B4" s="141" t="s">
        <v>69</v>
      </c>
      <c r="C4" s="142"/>
      <c r="D4" s="142"/>
      <c r="E4" s="142"/>
      <c r="F4" s="143"/>
      <c r="G4" s="4"/>
      <c r="H4" s="4"/>
      <c r="I4" s="4"/>
      <c r="J4" s="4"/>
      <c r="K4" s="4"/>
      <c r="L4" s="1"/>
      <c r="M4" s="1"/>
      <c r="N4" s="1"/>
      <c r="O4" s="142"/>
      <c r="P4" s="1"/>
      <c r="Q4" s="1"/>
      <c r="R4" s="4"/>
      <c r="S4" s="1"/>
      <c r="T4" s="1"/>
    </row>
    <row r="5" spans="1:20" ht="17" thickBo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4"/>
      <c r="P5" s="1"/>
      <c r="Q5" s="1"/>
      <c r="R5" s="4"/>
      <c r="S5" s="1"/>
      <c r="T5" s="1"/>
    </row>
    <row r="6" spans="1:20" x14ac:dyDescent="0.2">
      <c r="A6" s="1"/>
      <c r="B6" s="10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56"/>
      <c r="O6" s="4"/>
      <c r="P6" s="1"/>
      <c r="Q6" s="1"/>
      <c r="R6" s="107"/>
      <c r="S6" s="1"/>
      <c r="T6" s="1"/>
    </row>
    <row r="7" spans="1:20" x14ac:dyDescent="0.2">
      <c r="A7" s="1"/>
      <c r="B7" s="2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7"/>
      <c r="O7" s="4"/>
      <c r="P7" s="1"/>
      <c r="Q7" s="1"/>
      <c r="R7" s="107"/>
      <c r="S7" s="1"/>
      <c r="T7" s="1"/>
    </row>
    <row r="8" spans="1:20" ht="80" x14ac:dyDescent="0.2">
      <c r="A8" s="1"/>
      <c r="B8" s="64" t="s">
        <v>10</v>
      </c>
      <c r="C8" s="65" t="s">
        <v>11</v>
      </c>
      <c r="D8" s="66" t="s">
        <v>12</v>
      </c>
      <c r="E8" s="66" t="s">
        <v>13</v>
      </c>
      <c r="F8" s="66" t="s">
        <v>14</v>
      </c>
      <c r="G8" s="66" t="s">
        <v>15</v>
      </c>
      <c r="H8" s="66" t="s">
        <v>16</v>
      </c>
      <c r="I8" s="66" t="s">
        <v>17</v>
      </c>
      <c r="J8" s="148" t="s">
        <v>18</v>
      </c>
      <c r="K8" s="65" t="s">
        <v>99</v>
      </c>
      <c r="L8" s="65" t="s">
        <v>100</v>
      </c>
      <c r="M8" s="144" t="s">
        <v>19</v>
      </c>
      <c r="N8" s="145" t="s">
        <v>20</v>
      </c>
      <c r="O8" s="66" t="s">
        <v>101</v>
      </c>
      <c r="P8" s="1"/>
      <c r="Q8" s="1"/>
      <c r="R8" s="108"/>
      <c r="S8" s="1"/>
      <c r="T8" s="1"/>
    </row>
    <row r="9" spans="1:20" x14ac:dyDescent="0.2">
      <c r="A9" s="1"/>
      <c r="B9" s="68"/>
      <c r="C9" s="69"/>
      <c r="D9" s="4"/>
      <c r="E9" s="4"/>
      <c r="F9" s="4"/>
      <c r="G9" s="4"/>
      <c r="H9" s="4"/>
      <c r="I9" s="4"/>
      <c r="J9" s="3"/>
      <c r="K9" s="70"/>
      <c r="L9" s="4"/>
      <c r="M9" s="4"/>
      <c r="N9" s="57"/>
      <c r="O9" s="4"/>
      <c r="P9" s="1"/>
      <c r="Q9" s="1"/>
      <c r="R9" s="4"/>
      <c r="S9" s="1"/>
      <c r="T9" s="1"/>
    </row>
    <row r="10" spans="1:20" x14ac:dyDescent="0.2">
      <c r="A10" s="1"/>
      <c r="B10" s="15"/>
      <c r="C10" s="4"/>
      <c r="D10" s="4"/>
      <c r="E10" s="4"/>
      <c r="F10" s="4"/>
      <c r="G10" s="4"/>
      <c r="H10" s="4"/>
      <c r="I10" s="4"/>
      <c r="J10" s="3"/>
      <c r="K10" s="71"/>
      <c r="L10" s="16"/>
      <c r="M10" s="16"/>
      <c r="N10" s="72"/>
      <c r="O10" s="4"/>
      <c r="P10" s="73"/>
      <c r="Q10" s="16"/>
      <c r="R10" s="16"/>
      <c r="S10" s="73"/>
      <c r="T10" s="73"/>
    </row>
    <row r="11" spans="1:20" x14ac:dyDescent="0.2">
      <c r="A11" s="1"/>
      <c r="B11" s="74"/>
      <c r="C11" s="67"/>
      <c r="D11" s="130">
        <f>Dashboard!F23*Dashboard!F115</f>
        <v>22.717488607594934</v>
      </c>
      <c r="E11" s="130">
        <f>Dashboard!F22*Dashboard!F116</f>
        <v>16.063128032810123</v>
      </c>
      <c r="F11" s="130">
        <f>Dashboard!F26</f>
        <v>0.12639376383191667</v>
      </c>
      <c r="G11" s="197">
        <f>Dashboard!F28</f>
        <v>2.2272028869060205E-2</v>
      </c>
      <c r="H11" s="130">
        <f>Dashboard!F27</f>
        <v>0.75014448626323282</v>
      </c>
      <c r="I11" s="130">
        <f>Dashboard!F24</f>
        <v>0.32956477918270111</v>
      </c>
      <c r="J11" s="149">
        <f>Dashboard!F25</f>
        <v>0</v>
      </c>
      <c r="K11" s="75"/>
      <c r="L11" s="4"/>
      <c r="M11" s="4"/>
      <c r="N11" s="57"/>
      <c r="O11" s="67"/>
      <c r="P11" s="1"/>
      <c r="Q11" s="4"/>
      <c r="R11" s="4"/>
      <c r="S11" s="1"/>
      <c r="T11" s="1"/>
    </row>
    <row r="12" spans="1:20" x14ac:dyDescent="0.2">
      <c r="A12" s="1"/>
      <c r="B12" s="64"/>
      <c r="C12" s="2"/>
      <c r="D12" s="76"/>
      <c r="E12" s="76"/>
      <c r="F12" s="76"/>
      <c r="G12" s="76"/>
      <c r="H12" s="76"/>
      <c r="I12" s="76"/>
      <c r="J12" s="150"/>
      <c r="K12" s="77"/>
      <c r="L12" s="4"/>
      <c r="M12" s="4"/>
      <c r="N12" s="57"/>
      <c r="O12" s="4"/>
      <c r="P12" s="1"/>
      <c r="Q12" s="4"/>
      <c r="R12" s="4"/>
      <c r="S12" s="1"/>
      <c r="T12" s="1"/>
    </row>
    <row r="13" spans="1:20" x14ac:dyDescent="0.2">
      <c r="A13" s="1"/>
      <c r="B13" s="135" t="s">
        <v>4</v>
      </c>
      <c r="C13" s="136"/>
      <c r="D13" s="137"/>
      <c r="E13" s="137"/>
      <c r="F13" s="137"/>
      <c r="G13" s="137"/>
      <c r="H13" s="137"/>
      <c r="I13" s="137"/>
      <c r="J13" s="151"/>
      <c r="K13" s="77"/>
      <c r="L13" s="4"/>
      <c r="M13" s="4"/>
      <c r="N13" s="57"/>
      <c r="O13" s="4"/>
      <c r="P13" s="1"/>
      <c r="Q13" s="4"/>
      <c r="R13" s="4"/>
      <c r="S13" s="1"/>
      <c r="T13" s="1"/>
    </row>
    <row r="14" spans="1:20" x14ac:dyDescent="0.2">
      <c r="A14" s="1"/>
      <c r="B14" s="68"/>
      <c r="C14" s="82" t="s">
        <v>67</v>
      </c>
      <c r="D14" s="77">
        <f>D11*Dashboard!F37</f>
        <v>22.035963949367087</v>
      </c>
      <c r="E14" s="77">
        <f>E11*Dashboard!F58</f>
        <v>5.1402009704992396E-2</v>
      </c>
      <c r="F14" s="77">
        <f>F11</f>
        <v>0.12639376383191667</v>
      </c>
      <c r="G14" s="77">
        <f>G11*Dashboard!F43</f>
        <v>0</v>
      </c>
      <c r="H14" s="77">
        <f>H11*Dashboard!F48</f>
        <v>0</v>
      </c>
      <c r="I14" s="77">
        <f>I11*Dashboard!F53</f>
        <v>0.32956477918270111</v>
      </c>
      <c r="J14" s="152">
        <f>J11</f>
        <v>0</v>
      </c>
      <c r="K14" s="170"/>
      <c r="L14" s="6"/>
      <c r="M14" s="6">
        <f>SUM(M17:M25)</f>
        <v>24.365308815889751</v>
      </c>
      <c r="N14" s="61"/>
      <c r="O14" s="4"/>
      <c r="P14" s="1"/>
      <c r="Q14" s="4"/>
      <c r="R14" s="4"/>
      <c r="S14" s="1"/>
      <c r="T14" s="1"/>
    </row>
    <row r="15" spans="1:20" x14ac:dyDescent="0.2">
      <c r="A15" s="1"/>
      <c r="B15" s="68"/>
      <c r="C15" s="82"/>
      <c r="D15" s="77"/>
      <c r="E15" s="77"/>
      <c r="F15" s="77"/>
      <c r="G15" s="77"/>
      <c r="H15" s="77"/>
      <c r="I15" s="77"/>
      <c r="J15" s="152"/>
      <c r="K15" s="77"/>
      <c r="L15" s="4"/>
      <c r="M15" s="4"/>
      <c r="N15" s="57"/>
      <c r="O15" s="4"/>
      <c r="P15" s="1"/>
      <c r="Q15" s="4"/>
      <c r="R15" s="4"/>
      <c r="S15" s="1"/>
      <c r="T15" s="1"/>
    </row>
    <row r="16" spans="1:20" x14ac:dyDescent="0.2">
      <c r="A16" s="1"/>
      <c r="B16" s="68"/>
      <c r="C16" s="93"/>
      <c r="D16" s="77"/>
      <c r="E16" s="77"/>
      <c r="F16" s="77"/>
      <c r="G16" s="77"/>
      <c r="H16" s="77"/>
      <c r="I16" s="77"/>
      <c r="J16" s="152"/>
      <c r="K16" s="77"/>
      <c r="L16" s="4"/>
      <c r="M16" s="4"/>
      <c r="N16" s="57"/>
      <c r="O16" s="4"/>
      <c r="P16" s="1"/>
      <c r="Q16" s="4"/>
      <c r="R16" s="4"/>
      <c r="S16" s="1"/>
      <c r="T16" s="1"/>
    </row>
    <row r="17" spans="1:20" x14ac:dyDescent="0.2">
      <c r="A17" s="1"/>
      <c r="B17" s="24"/>
      <c r="C17" s="82" t="s">
        <v>27</v>
      </c>
      <c r="D17" s="164"/>
      <c r="E17" s="164"/>
      <c r="F17" s="164"/>
      <c r="G17" s="164">
        <f>G14</f>
        <v>0</v>
      </c>
      <c r="H17" s="164"/>
      <c r="I17" s="164"/>
      <c r="J17" s="165"/>
      <c r="K17" s="79">
        <f>SUM(D17:J17)</f>
        <v>0</v>
      </c>
      <c r="L17">
        <v>0.8</v>
      </c>
      <c r="M17" s="4">
        <f>L17*SUM(D17:J17)</f>
        <v>0</v>
      </c>
      <c r="N17" s="109">
        <f t="shared" ref="N17:N25" si="0">M17/SUM($M$17:$M$25)</f>
        <v>0</v>
      </c>
      <c r="O17" s="147">
        <f t="shared" ref="O17:O25" si="1">SUM(D17:J17)/SUM($D$17:$J$25)</f>
        <v>0</v>
      </c>
      <c r="P17" s="1"/>
      <c r="Q17" s="1"/>
      <c r="R17" s="4"/>
      <c r="S17" s="1"/>
      <c r="T17" s="1"/>
    </row>
    <row r="18" spans="1:20" x14ac:dyDescent="0.2">
      <c r="A18" s="1"/>
      <c r="B18" s="24"/>
      <c r="C18" s="82" t="s">
        <v>95</v>
      </c>
      <c r="D18" s="166"/>
      <c r="E18" s="166">
        <f>(Dashboard!F79/L18)/(Dashboard!F$79/L$18+Dashboard!F$80/L$21)*E$14</f>
        <v>5.1402009704992396E-2</v>
      </c>
      <c r="F18" s="166"/>
      <c r="G18" s="166"/>
      <c r="H18" s="166"/>
      <c r="I18" s="166"/>
      <c r="J18" s="167"/>
      <c r="K18" s="79">
        <f t="shared" ref="K18:K52" si="2">SUM(D18:J18)</f>
        <v>5.1402009704992396E-2</v>
      </c>
      <c r="L18">
        <v>9</v>
      </c>
      <c r="M18" s="4">
        <f>L18*SUM(D18:J18)</f>
        <v>0.46261808734493159</v>
      </c>
      <c r="N18" s="109">
        <f t="shared" si="0"/>
        <v>1.8986752470103594E-2</v>
      </c>
      <c r="O18" s="147">
        <f t="shared" si="1"/>
        <v>2.2801432725787375E-3</v>
      </c>
      <c r="P18" s="1"/>
      <c r="Q18" s="1"/>
      <c r="R18" s="4"/>
      <c r="S18" s="1"/>
      <c r="T18" s="1"/>
    </row>
    <row r="19" spans="1:20" x14ac:dyDescent="0.2">
      <c r="A19" s="1"/>
      <c r="B19" s="24"/>
      <c r="C19" s="82" t="s">
        <v>26</v>
      </c>
      <c r="D19" s="166"/>
      <c r="E19" s="166"/>
      <c r="F19" s="166"/>
      <c r="G19" s="166"/>
      <c r="H19" s="166">
        <f>H14</f>
        <v>0</v>
      </c>
      <c r="I19" s="166"/>
      <c r="J19" s="167"/>
      <c r="K19" s="79">
        <f t="shared" si="2"/>
        <v>0</v>
      </c>
      <c r="L19">
        <v>0.85</v>
      </c>
      <c r="M19" s="4">
        <f t="shared" ref="M19:M33" si="3">L19*SUM(D19:J19)</f>
        <v>0</v>
      </c>
      <c r="N19" s="109">
        <f t="shared" si="0"/>
        <v>0</v>
      </c>
      <c r="O19" s="147">
        <f t="shared" si="1"/>
        <v>0</v>
      </c>
      <c r="P19" s="1"/>
      <c r="Q19" s="1"/>
      <c r="R19" s="4"/>
      <c r="S19" s="1"/>
      <c r="T19" s="1"/>
    </row>
    <row r="20" spans="1:20" x14ac:dyDescent="0.2">
      <c r="A20" s="1"/>
      <c r="B20" s="24"/>
      <c r="C20" s="82" t="s">
        <v>22</v>
      </c>
      <c r="D20" s="166"/>
      <c r="E20" s="166"/>
      <c r="F20" s="166"/>
      <c r="G20" s="166"/>
      <c r="H20" s="166"/>
      <c r="I20" s="166"/>
      <c r="J20" s="167">
        <f>J14</f>
        <v>0</v>
      </c>
      <c r="K20" s="79">
        <f t="shared" si="2"/>
        <v>0</v>
      </c>
      <c r="L20">
        <v>1</v>
      </c>
      <c r="M20" s="4">
        <f t="shared" si="3"/>
        <v>0</v>
      </c>
      <c r="N20" s="109">
        <f t="shared" si="0"/>
        <v>0</v>
      </c>
      <c r="O20" s="147">
        <f t="shared" si="1"/>
        <v>0</v>
      </c>
      <c r="P20" s="1"/>
      <c r="Q20" s="1"/>
      <c r="R20" s="1"/>
      <c r="S20" s="81"/>
      <c r="T20" s="1"/>
    </row>
    <row r="21" spans="1:20" x14ac:dyDescent="0.2">
      <c r="A21" s="1"/>
      <c r="B21" s="24"/>
      <c r="C21" s="82" t="s">
        <v>24</v>
      </c>
      <c r="D21" s="166"/>
      <c r="E21" s="166">
        <f>(Dashboard!F80/L21)/(Dashboard!F$79/L$18+Dashboard!F$80/L$21)*E$14</f>
        <v>0</v>
      </c>
      <c r="F21" s="166"/>
      <c r="G21" s="166"/>
      <c r="H21" s="166"/>
      <c r="I21" s="166"/>
      <c r="J21" s="167"/>
      <c r="K21" s="79">
        <f t="shared" si="2"/>
        <v>0</v>
      </c>
      <c r="L21">
        <v>1</v>
      </c>
      <c r="M21" s="4">
        <f t="shared" si="3"/>
        <v>0</v>
      </c>
      <c r="N21" s="109">
        <f t="shared" si="0"/>
        <v>0</v>
      </c>
      <c r="O21" s="147">
        <f t="shared" si="1"/>
        <v>0</v>
      </c>
      <c r="P21" s="1"/>
      <c r="Q21" s="1"/>
      <c r="R21" s="1"/>
      <c r="S21" s="1"/>
      <c r="T21" s="1"/>
    </row>
    <row r="22" spans="1:20" x14ac:dyDescent="0.2">
      <c r="A22" s="1"/>
      <c r="B22" s="24"/>
      <c r="C22" s="82" t="s">
        <v>96</v>
      </c>
      <c r="D22" s="166">
        <f>(Dashboard!F82/L22)/(Dashboard!F$82/L$22+Dashboard!F$83/L$23)*D$14</f>
        <v>0</v>
      </c>
      <c r="E22" s="166"/>
      <c r="F22" s="166"/>
      <c r="G22" s="166"/>
      <c r="H22" s="166"/>
      <c r="I22" s="166"/>
      <c r="J22" s="167"/>
      <c r="K22" s="79">
        <f t="shared" si="2"/>
        <v>0</v>
      </c>
      <c r="L22">
        <v>2</v>
      </c>
      <c r="M22" s="4">
        <f t="shared" si="3"/>
        <v>0</v>
      </c>
      <c r="N22" s="109">
        <f t="shared" si="0"/>
        <v>0</v>
      </c>
      <c r="O22" s="147">
        <f t="shared" si="1"/>
        <v>0</v>
      </c>
      <c r="P22" s="1"/>
      <c r="Q22" s="1"/>
      <c r="R22" s="1"/>
      <c r="S22" s="1"/>
      <c r="T22" s="1"/>
    </row>
    <row r="23" spans="1:20" x14ac:dyDescent="0.2">
      <c r="A23" s="1"/>
      <c r="B23" s="24"/>
      <c r="C23" s="82" t="s">
        <v>25</v>
      </c>
      <c r="D23" s="166">
        <f>(Dashboard!F83/L23)/(Dashboard!F$82/L$22+Dashboard!F$83/L$23)*D$14</f>
        <v>22.035963949367087</v>
      </c>
      <c r="E23" s="166"/>
      <c r="F23" s="166"/>
      <c r="G23" s="166"/>
      <c r="H23" s="166"/>
      <c r="I23" s="166"/>
      <c r="J23" s="167"/>
      <c r="K23" s="79">
        <f t="shared" si="2"/>
        <v>22.035963949367087</v>
      </c>
      <c r="L23">
        <v>1.0669999999999999</v>
      </c>
      <c r="M23" s="4">
        <f t="shared" si="3"/>
        <v>23.512373533974682</v>
      </c>
      <c r="N23" s="109">
        <f t="shared" si="0"/>
        <v>0.96499386532056464</v>
      </c>
      <c r="O23" s="147">
        <f t="shared" si="1"/>
        <v>0.97749397819861716</v>
      </c>
      <c r="P23" s="1"/>
      <c r="Q23" s="1"/>
      <c r="R23" s="1"/>
      <c r="S23" s="81"/>
      <c r="T23" s="1"/>
    </row>
    <row r="24" spans="1:20" x14ac:dyDescent="0.2">
      <c r="A24" s="1"/>
      <c r="B24" s="24"/>
      <c r="C24" s="82" t="s">
        <v>31</v>
      </c>
      <c r="D24" s="166"/>
      <c r="E24" s="166"/>
      <c r="F24" s="166">
        <f>F14</f>
        <v>0.12639376383191667</v>
      </c>
      <c r="G24" s="166"/>
      <c r="H24" s="166"/>
      <c r="I24" s="166"/>
      <c r="J24" s="167"/>
      <c r="K24" s="79">
        <f t="shared" si="2"/>
        <v>0.12639376383191667</v>
      </c>
      <c r="L24">
        <v>0.95</v>
      </c>
      <c r="M24" s="4">
        <f t="shared" si="3"/>
        <v>0.12007407564032083</v>
      </c>
      <c r="N24" s="109">
        <f t="shared" si="0"/>
        <v>4.9280752625640821E-3</v>
      </c>
      <c r="O24" s="147">
        <f t="shared" si="1"/>
        <v>5.6067047174083468E-3</v>
      </c>
      <c r="P24" s="1"/>
      <c r="Q24" s="1"/>
      <c r="R24" s="1"/>
      <c r="S24" s="1"/>
      <c r="T24" s="1"/>
    </row>
    <row r="25" spans="1:20" x14ac:dyDescent="0.2">
      <c r="A25" s="1"/>
      <c r="B25" s="24"/>
      <c r="C25" s="82" t="s">
        <v>97</v>
      </c>
      <c r="D25" s="166"/>
      <c r="E25" s="168"/>
      <c r="F25" s="166"/>
      <c r="G25" s="166"/>
      <c r="H25" s="166"/>
      <c r="I25" s="166">
        <f>I14</f>
        <v>0.32956477918270111</v>
      </c>
      <c r="J25" s="167"/>
      <c r="K25" s="79">
        <f t="shared" si="2"/>
        <v>0.32956477918270111</v>
      </c>
      <c r="L25">
        <v>0.82</v>
      </c>
      <c r="M25" s="4">
        <f t="shared" si="3"/>
        <v>0.2702431189298149</v>
      </c>
      <c r="N25" s="109">
        <f t="shared" si="0"/>
        <v>1.1091306946767561E-2</v>
      </c>
      <c r="O25" s="147">
        <f t="shared" si="1"/>
        <v>1.461917381139571E-2</v>
      </c>
      <c r="P25" s="1"/>
      <c r="Q25" s="1"/>
      <c r="R25" s="1"/>
      <c r="S25" s="1"/>
      <c r="T25" s="1"/>
    </row>
    <row r="26" spans="1:20" x14ac:dyDescent="0.2">
      <c r="A26" s="1"/>
      <c r="B26" s="68"/>
      <c r="C26" s="82"/>
      <c r="D26" s="84"/>
      <c r="E26" s="77"/>
      <c r="F26" s="84"/>
      <c r="G26" s="84"/>
      <c r="H26" s="84"/>
      <c r="I26" s="84"/>
      <c r="J26" s="153"/>
      <c r="K26" s="79"/>
      <c r="L26" s="4"/>
      <c r="M26" s="4"/>
      <c r="N26" s="110"/>
      <c r="O26" s="83"/>
      <c r="P26" s="1"/>
      <c r="Q26" s="4"/>
      <c r="R26" s="1"/>
      <c r="S26" s="1"/>
      <c r="T26" s="1"/>
    </row>
    <row r="27" spans="1:20" x14ac:dyDescent="0.2">
      <c r="A27" s="1"/>
      <c r="B27" s="85"/>
      <c r="C27" s="86"/>
      <c r="D27" s="76"/>
      <c r="E27" s="76"/>
      <c r="F27" s="76"/>
      <c r="G27" s="76"/>
      <c r="H27" s="76"/>
      <c r="I27" s="76"/>
      <c r="J27" s="150"/>
      <c r="K27" s="79"/>
      <c r="L27" s="4"/>
      <c r="M27" s="4"/>
      <c r="N27" s="110"/>
      <c r="O27" s="83"/>
      <c r="P27" s="1"/>
      <c r="Q27" s="1"/>
      <c r="R27" s="1"/>
      <c r="S27" s="1"/>
      <c r="T27" s="1"/>
    </row>
    <row r="28" spans="1:20" x14ac:dyDescent="0.2">
      <c r="A28" s="1"/>
      <c r="B28" s="68" t="s">
        <v>5</v>
      </c>
      <c r="C28" s="86"/>
      <c r="D28" s="88"/>
      <c r="E28" s="87"/>
      <c r="F28" s="87"/>
      <c r="G28" s="87"/>
      <c r="H28" s="87"/>
      <c r="I28" s="87"/>
      <c r="J28" s="154"/>
      <c r="K28" s="79"/>
      <c r="L28" s="4"/>
      <c r="M28" s="4"/>
      <c r="N28" s="110"/>
      <c r="O28" s="83"/>
      <c r="P28" s="1"/>
      <c r="Q28" s="1"/>
      <c r="R28" s="1"/>
      <c r="S28" s="1"/>
      <c r="T28" s="1"/>
    </row>
    <row r="29" spans="1:20" x14ac:dyDescent="0.2">
      <c r="A29" s="1"/>
      <c r="B29" s="68"/>
      <c r="C29" s="82" t="s">
        <v>68</v>
      </c>
      <c r="D29" s="77">
        <f>D11*Dashboard!F38</f>
        <v>0</v>
      </c>
      <c r="E29" s="77">
        <f>E11*Dashboard!F59</f>
        <v>2.6632666278399184</v>
      </c>
      <c r="F29" s="77"/>
      <c r="G29" s="77"/>
      <c r="H29" s="77"/>
      <c r="I29" s="77"/>
      <c r="J29" s="152"/>
      <c r="K29" s="171"/>
      <c r="L29" s="6"/>
      <c r="M29" s="6">
        <f>SUM(M31:M33)</f>
        <v>11.219970272496331</v>
      </c>
      <c r="N29" s="172"/>
      <c r="O29" s="83"/>
      <c r="P29" s="1"/>
      <c r="Q29" s="1"/>
      <c r="R29" s="1"/>
      <c r="S29" s="1"/>
      <c r="T29" s="1"/>
    </row>
    <row r="30" spans="1:20" x14ac:dyDescent="0.2">
      <c r="A30" s="1"/>
      <c r="B30" s="68"/>
      <c r="C30" s="82"/>
      <c r="D30" s="89"/>
      <c r="E30" s="89"/>
      <c r="F30" s="89"/>
      <c r="G30" s="89"/>
      <c r="H30" s="89"/>
      <c r="I30" s="89"/>
      <c r="J30" s="155"/>
      <c r="K30" s="79"/>
      <c r="L30" s="4"/>
      <c r="M30" s="4"/>
      <c r="N30" s="110"/>
      <c r="O30" s="83"/>
      <c r="P30" s="1"/>
      <c r="Q30" s="1"/>
      <c r="R30" s="1"/>
      <c r="S30" s="1"/>
      <c r="T30" s="1"/>
    </row>
    <row r="31" spans="1:20" x14ac:dyDescent="0.2">
      <c r="A31" s="1"/>
      <c r="B31" s="74"/>
      <c r="C31" s="113" t="s">
        <v>84</v>
      </c>
      <c r="D31" s="164">
        <f>D29</f>
        <v>0</v>
      </c>
      <c r="E31" s="164"/>
      <c r="F31" s="164"/>
      <c r="G31" s="164"/>
      <c r="H31" s="164"/>
      <c r="I31" s="164"/>
      <c r="J31" s="165"/>
      <c r="K31" s="79">
        <f t="shared" si="2"/>
        <v>0</v>
      </c>
      <c r="L31">
        <v>17</v>
      </c>
      <c r="M31" s="4">
        <f t="shared" si="3"/>
        <v>0</v>
      </c>
      <c r="N31" s="109">
        <f>M31/SUM($M$31:$M$33)</f>
        <v>0</v>
      </c>
      <c r="O31" s="147">
        <f>SUM(D31:J31)/SUM($D$31:$J$33)</f>
        <v>0</v>
      </c>
      <c r="P31" s="1"/>
      <c r="Q31" s="1"/>
      <c r="R31" s="1"/>
      <c r="S31" s="1"/>
      <c r="T31" s="1"/>
    </row>
    <row r="32" spans="1:20" x14ac:dyDescent="0.2">
      <c r="A32" s="1"/>
      <c r="B32" s="80"/>
      <c r="C32" s="113" t="s">
        <v>90</v>
      </c>
      <c r="D32" s="166"/>
      <c r="E32" s="166">
        <f>(Dashboard!F99/L32)/(Dashboard!F$99/L$32+Dashboard!F$100/L$33)*E$29</f>
        <v>3.7793584075777112E-2</v>
      </c>
      <c r="F32" s="166"/>
      <c r="G32" s="166"/>
      <c r="H32" s="166"/>
      <c r="I32" s="166"/>
      <c r="J32" s="167"/>
      <c r="K32" s="79">
        <f t="shared" si="2"/>
        <v>3.7793584075777112E-2</v>
      </c>
      <c r="L32">
        <v>19</v>
      </c>
      <c r="M32" s="4">
        <f t="shared" si="3"/>
        <v>0.71807809743976514</v>
      </c>
      <c r="N32" s="109">
        <f>M32/SUM($M$31:$M$33)</f>
        <v>6.4000000000000001E-2</v>
      </c>
      <c r="O32" s="147">
        <f>SUM(D32:J32)/SUM($D$31:$J$33)</f>
        <v>1.4190687361419065E-2</v>
      </c>
      <c r="P32" s="1"/>
      <c r="Q32" s="1"/>
      <c r="R32" s="1"/>
      <c r="S32" s="1"/>
      <c r="T32" s="1"/>
    </row>
    <row r="33" spans="1:20" x14ac:dyDescent="0.2">
      <c r="A33" s="1"/>
      <c r="B33" s="68"/>
      <c r="C33" s="113" t="s">
        <v>91</v>
      </c>
      <c r="D33" s="168"/>
      <c r="E33" s="168">
        <f>(Dashboard!F100/L33)/(Dashboard!F$99/L$32+Dashboard!F$100/L$33)*E$29</f>
        <v>2.6254730437641416</v>
      </c>
      <c r="F33" s="168"/>
      <c r="G33" s="168"/>
      <c r="H33" s="168"/>
      <c r="I33" s="168"/>
      <c r="J33" s="169"/>
      <c r="K33" s="79">
        <f t="shared" si="2"/>
        <v>2.6254730437641416</v>
      </c>
      <c r="L33" s="4">
        <v>4</v>
      </c>
      <c r="M33" s="4">
        <f t="shared" si="3"/>
        <v>10.501892175056566</v>
      </c>
      <c r="N33" s="109">
        <f>M33/SUM($M$31:$M$33)</f>
        <v>0.93600000000000005</v>
      </c>
      <c r="O33" s="147">
        <f>SUM(D33:J33)/SUM($D$31:$J$33)</f>
        <v>0.98580931263858085</v>
      </c>
      <c r="P33" s="1"/>
      <c r="Q33" s="1"/>
      <c r="R33" s="1"/>
      <c r="S33" s="1"/>
      <c r="T33" s="106"/>
    </row>
    <row r="34" spans="1:20" x14ac:dyDescent="0.2">
      <c r="A34" s="1"/>
      <c r="B34" s="68"/>
      <c r="C34" s="82"/>
      <c r="D34" s="89"/>
      <c r="E34" s="89"/>
      <c r="F34" s="89"/>
      <c r="G34" s="89"/>
      <c r="H34" s="89"/>
      <c r="I34" s="89"/>
      <c r="J34" s="155"/>
      <c r="K34" s="79"/>
      <c r="L34" s="4"/>
      <c r="M34" s="4"/>
      <c r="N34" s="110"/>
      <c r="O34" s="83"/>
      <c r="P34" s="1"/>
      <c r="Q34" s="1"/>
      <c r="R34" s="1"/>
      <c r="S34" s="1"/>
      <c r="T34" s="106"/>
    </row>
    <row r="35" spans="1:20" x14ac:dyDescent="0.2">
      <c r="A35" s="1"/>
      <c r="B35" s="85"/>
      <c r="C35" s="86"/>
      <c r="D35" s="87"/>
      <c r="E35" s="87"/>
      <c r="F35" s="87"/>
      <c r="G35" s="87"/>
      <c r="H35" s="87"/>
      <c r="I35" s="87"/>
      <c r="J35" s="154"/>
      <c r="K35" s="79"/>
      <c r="L35" s="4"/>
      <c r="M35" s="4"/>
      <c r="N35" s="110"/>
      <c r="O35" s="83"/>
      <c r="P35" s="1"/>
      <c r="Q35" s="1"/>
      <c r="R35" s="1"/>
      <c r="S35" s="1"/>
      <c r="T35" s="1"/>
    </row>
    <row r="36" spans="1:20" x14ac:dyDescent="0.2">
      <c r="A36" s="1"/>
      <c r="B36" s="85"/>
      <c r="C36" s="86"/>
      <c r="D36" s="87"/>
      <c r="E36" s="87"/>
      <c r="F36" s="87"/>
      <c r="G36" s="87"/>
      <c r="H36" s="87"/>
      <c r="I36" s="87"/>
      <c r="J36" s="154"/>
      <c r="K36" s="79"/>
      <c r="L36" s="4"/>
      <c r="M36" s="4"/>
      <c r="N36" s="110"/>
      <c r="O36" s="83"/>
      <c r="P36" s="1"/>
      <c r="Q36" s="1"/>
      <c r="R36" s="1"/>
      <c r="S36" s="1"/>
      <c r="T36" s="1"/>
    </row>
    <row r="37" spans="1:20" x14ac:dyDescent="0.2">
      <c r="A37" s="1"/>
      <c r="B37" s="68" t="s">
        <v>6</v>
      </c>
      <c r="C37" s="86"/>
      <c r="D37" s="88"/>
      <c r="E37" s="87"/>
      <c r="F37" s="87"/>
      <c r="G37" s="87"/>
      <c r="H37" s="87"/>
      <c r="I37" s="87"/>
      <c r="J37" s="154"/>
      <c r="K37" s="79"/>
      <c r="L37" s="4"/>
      <c r="M37" s="4"/>
      <c r="N37" s="110"/>
      <c r="O37" s="83"/>
      <c r="P37" s="1"/>
      <c r="Q37" s="1"/>
      <c r="R37" s="1"/>
      <c r="S37" s="1"/>
      <c r="T37" s="1"/>
    </row>
    <row r="38" spans="1:20" x14ac:dyDescent="0.2">
      <c r="A38" s="1"/>
      <c r="B38" s="68"/>
      <c r="C38" s="82" t="s">
        <v>67</v>
      </c>
      <c r="D38" s="77"/>
      <c r="E38" s="77">
        <f>E11*Dashboard!F60</f>
        <v>5.7345367077132137</v>
      </c>
      <c r="F38" s="77"/>
      <c r="G38" s="77"/>
      <c r="H38" s="77"/>
      <c r="I38" s="77"/>
      <c r="J38" s="152"/>
      <c r="K38" s="171"/>
      <c r="L38" s="6"/>
      <c r="M38" s="173">
        <f>SUM(M40:M42)</f>
        <v>1.032259066345715</v>
      </c>
      <c r="N38" s="172"/>
      <c r="O38" s="83"/>
      <c r="P38" s="1"/>
      <c r="Q38" s="1"/>
      <c r="R38" s="1"/>
      <c r="S38" s="1"/>
      <c r="T38" s="1"/>
    </row>
    <row r="39" spans="1:20" x14ac:dyDescent="0.2">
      <c r="A39" s="1"/>
      <c r="B39" s="68"/>
      <c r="C39" s="82"/>
      <c r="D39" s="89"/>
      <c r="E39" s="89"/>
      <c r="F39" s="89"/>
      <c r="G39" s="89"/>
      <c r="H39" s="89"/>
      <c r="I39" s="89"/>
      <c r="J39" s="155"/>
      <c r="K39" s="79"/>
      <c r="L39" s="4"/>
      <c r="M39" s="4"/>
      <c r="N39" s="110"/>
      <c r="O39" s="83"/>
      <c r="P39" s="1"/>
      <c r="Q39" s="1"/>
      <c r="R39" s="1"/>
      <c r="S39" s="1"/>
      <c r="T39" s="1"/>
    </row>
    <row r="40" spans="1:20" x14ac:dyDescent="0.2">
      <c r="A40" s="1"/>
      <c r="B40" s="74"/>
      <c r="C40" s="113" t="s">
        <v>86</v>
      </c>
      <c r="D40" s="164"/>
      <c r="E40" s="164">
        <f>(Dashboard!F104/L40)/(Dashboard!F$104/L$40+Dashboard!F$105/L$41+Dashboard!F$106/L$42)*E$38/0.961/0.947</f>
        <v>0.33548419656235734</v>
      </c>
      <c r="F40" s="164"/>
      <c r="G40" s="164"/>
      <c r="H40" s="164"/>
      <c r="I40" s="164"/>
      <c r="J40" s="165"/>
      <c r="K40" s="79">
        <f t="shared" si="2"/>
        <v>0.33548419656235734</v>
      </c>
      <c r="L40" s="1">
        <v>0.2</v>
      </c>
      <c r="M40" s="90">
        <f>L40*SUM(D40:J40)</f>
        <v>6.7096839312471471E-2</v>
      </c>
      <c r="N40" s="109">
        <f>M40/SUM($M$40:$M$42)</f>
        <v>6.5000000000000002E-2</v>
      </c>
      <c r="O40" s="147">
        <f>E40/SUM($D$40:$J$42)</f>
        <v>5.3241109417305636E-2</v>
      </c>
      <c r="P40" s="73"/>
      <c r="Q40" s="91"/>
      <c r="R40" s="1"/>
      <c r="S40" s="1"/>
      <c r="T40" s="1"/>
    </row>
    <row r="41" spans="1:20" x14ac:dyDescent="0.2">
      <c r="A41" s="1"/>
      <c r="B41" s="80"/>
      <c r="C41" s="113" t="s">
        <v>87</v>
      </c>
      <c r="D41" s="166"/>
      <c r="E41" s="166">
        <f>(Dashboard!F105/L41)/(Dashboard!F$104/L$40+Dashboard!F$105/L$41+Dashboard!F$106/L$42)*E$38/0.961/0.947</f>
        <v>3.6702544581180968E-2</v>
      </c>
      <c r="F41" s="166"/>
      <c r="G41" s="166"/>
      <c r="H41" s="166"/>
      <c r="I41" s="166"/>
      <c r="J41" s="167"/>
      <c r="K41" s="79">
        <f t="shared" si="2"/>
        <v>3.6702544581180968E-2</v>
      </c>
      <c r="L41" s="1">
        <v>0.45</v>
      </c>
      <c r="M41" s="90">
        <f>L41*SUM(D41:J41)</f>
        <v>1.6516145061531436E-2</v>
      </c>
      <c r="N41" s="109">
        <f t="shared" ref="N41:N42" si="4">M41/SUM($M$40:$M$42)</f>
        <v>1.5999999999999997E-2</v>
      </c>
      <c r="O41" s="147">
        <f>E41/SUM($D$40:$J$42)</f>
        <v>5.8246683806966841E-3</v>
      </c>
      <c r="P41" s="92"/>
      <c r="Q41" s="91"/>
      <c r="R41" s="1"/>
      <c r="S41" s="1"/>
      <c r="T41" s="1"/>
    </row>
    <row r="42" spans="1:20" x14ac:dyDescent="0.2">
      <c r="A42" s="1"/>
      <c r="B42" s="68"/>
      <c r="C42" s="113" t="s">
        <v>85</v>
      </c>
      <c r="D42" s="168"/>
      <c r="E42" s="168">
        <f>(Dashboard!F106/L42)/(Dashboard!F$104/L$40+Dashboard!F$105/L$41+Dashboard!F$106/L$42)*E$38/0.961/0.947</f>
        <v>5.9290380123231996</v>
      </c>
      <c r="F42" s="168"/>
      <c r="G42" s="168"/>
      <c r="H42" s="168"/>
      <c r="I42" s="168"/>
      <c r="J42" s="169"/>
      <c r="K42" s="79">
        <f t="shared" si="2"/>
        <v>5.9290380123231996</v>
      </c>
      <c r="L42" s="1">
        <v>0.16</v>
      </c>
      <c r="M42" s="90">
        <f>L42*SUM(D42:J42)</f>
        <v>0.94864608197171196</v>
      </c>
      <c r="N42" s="109">
        <f t="shared" si="4"/>
        <v>0.91899999999999993</v>
      </c>
      <c r="O42" s="147">
        <f>E42/SUM($D$40:$J$42)</f>
        <v>0.94093422220199763</v>
      </c>
      <c r="P42" s="1"/>
      <c r="Q42" s="91"/>
      <c r="R42" s="1"/>
      <c r="S42" s="1"/>
      <c r="T42" s="1"/>
    </row>
    <row r="43" spans="1:20" x14ac:dyDescent="0.2">
      <c r="A43" s="1"/>
      <c r="B43" s="68"/>
      <c r="C43" s="93"/>
      <c r="D43" s="94"/>
      <c r="E43" s="94"/>
      <c r="F43" s="94"/>
      <c r="G43" s="94"/>
      <c r="H43" s="94"/>
      <c r="I43" s="94"/>
      <c r="J43" s="156"/>
      <c r="K43" s="79"/>
      <c r="L43" s="4"/>
      <c r="M43" s="90"/>
      <c r="N43" s="110"/>
      <c r="O43" s="83"/>
      <c r="P43" s="1"/>
      <c r="Q43" s="1"/>
      <c r="R43" s="1"/>
      <c r="S43" s="1"/>
      <c r="T43" s="1"/>
    </row>
    <row r="44" spans="1:20" x14ac:dyDescent="0.2">
      <c r="A44" s="1"/>
      <c r="B44" s="85"/>
      <c r="C44" s="78"/>
      <c r="D44" s="95"/>
      <c r="E44" s="95"/>
      <c r="F44" s="95"/>
      <c r="G44" s="95"/>
      <c r="H44" s="95"/>
      <c r="I44" s="95"/>
      <c r="J44" s="157"/>
      <c r="K44" s="79"/>
      <c r="L44" s="4"/>
      <c r="M44" s="90"/>
      <c r="N44" s="110"/>
      <c r="O44" s="83"/>
      <c r="P44" s="1"/>
      <c r="Q44" s="1"/>
      <c r="R44" s="1"/>
      <c r="S44" s="1"/>
      <c r="T44" s="1"/>
    </row>
    <row r="45" spans="1:20" x14ac:dyDescent="0.2">
      <c r="A45" s="1"/>
      <c r="B45" s="68" t="s">
        <v>45</v>
      </c>
      <c r="C45" s="78"/>
      <c r="D45" s="95"/>
      <c r="E45" s="95"/>
      <c r="F45" s="95"/>
      <c r="G45" s="95"/>
      <c r="H45" s="95"/>
      <c r="I45" s="95"/>
      <c r="J45" s="157"/>
      <c r="K45" s="79"/>
      <c r="L45" s="4"/>
      <c r="M45" s="90"/>
      <c r="N45" s="110"/>
      <c r="O45" s="83"/>
      <c r="P45" s="1"/>
      <c r="Q45" s="1"/>
      <c r="R45" s="1"/>
      <c r="S45" s="1"/>
      <c r="T45" s="1"/>
    </row>
    <row r="46" spans="1:20" x14ac:dyDescent="0.2">
      <c r="A46" s="1"/>
      <c r="B46" s="68"/>
      <c r="C46" s="82" t="s">
        <v>68</v>
      </c>
      <c r="D46" s="133">
        <f>D11*Dashboard!F39</f>
        <v>0.68152465822784802</v>
      </c>
      <c r="E46" s="133">
        <f>E11*Dashboard!F61</f>
        <v>7.6139226875519981</v>
      </c>
      <c r="F46" s="131"/>
      <c r="G46" s="133">
        <f>G11*Dashboard!F44</f>
        <v>2.2272028869060205E-2</v>
      </c>
      <c r="H46" s="133">
        <f>H11*Dashboard!F49</f>
        <v>0.75014448626323282</v>
      </c>
      <c r="I46" s="133">
        <f>I11</f>
        <v>0.32956477918270111</v>
      </c>
      <c r="J46" s="158"/>
      <c r="K46" s="171"/>
      <c r="L46" s="6"/>
      <c r="M46" s="173">
        <f>SUM(M48:M52)</f>
        <v>9.0678638609121389</v>
      </c>
      <c r="N46" s="172"/>
      <c r="O46" s="83"/>
      <c r="P46" s="1"/>
      <c r="Q46" s="1"/>
      <c r="R46" s="1"/>
      <c r="S46" s="1"/>
      <c r="T46" s="1"/>
    </row>
    <row r="47" spans="1:20" x14ac:dyDescent="0.2">
      <c r="A47" s="1"/>
      <c r="B47" s="68"/>
      <c r="C47" s="93"/>
      <c r="D47" s="94"/>
      <c r="E47" s="94"/>
      <c r="F47" s="94"/>
      <c r="G47" s="94"/>
      <c r="H47" s="94"/>
      <c r="I47" s="94"/>
      <c r="J47" s="156"/>
      <c r="K47" s="79"/>
      <c r="L47" s="4"/>
      <c r="M47" s="90"/>
      <c r="N47" s="110"/>
      <c r="O47" s="83"/>
      <c r="P47" s="1"/>
      <c r="Q47" s="1"/>
      <c r="R47" s="1"/>
      <c r="S47" s="1"/>
      <c r="T47" s="1"/>
    </row>
    <row r="48" spans="1:20" x14ac:dyDescent="0.2">
      <c r="A48" s="1"/>
      <c r="B48" s="74"/>
      <c r="C48" s="47" t="s">
        <v>32</v>
      </c>
      <c r="D48" s="164"/>
      <c r="E48" s="164"/>
      <c r="F48" s="164"/>
      <c r="G48" s="164">
        <f>G46</f>
        <v>2.2272028869060205E-2</v>
      </c>
      <c r="H48" s="164"/>
      <c r="I48" s="164"/>
      <c r="J48" s="165"/>
      <c r="K48" s="79">
        <f t="shared" si="2"/>
        <v>2.2272028869060205E-2</v>
      </c>
      <c r="L48" s="4">
        <v>1</v>
      </c>
      <c r="M48" s="90">
        <f t="shared" ref="M48:M52" si="5">L48*SUM(D48:J48)</f>
        <v>2.2272028869060205E-2</v>
      </c>
      <c r="N48" s="109">
        <f>M48/SUM($M$48:$M$52)</f>
        <v>2.4561494537942759E-3</v>
      </c>
      <c r="O48" s="147">
        <f>E48/SUM($D$48:$J$52)</f>
        <v>0</v>
      </c>
      <c r="P48" s="1"/>
      <c r="Q48" s="1"/>
      <c r="R48" s="1"/>
      <c r="S48" s="1"/>
      <c r="T48" s="1"/>
    </row>
    <row r="49" spans="1:20" x14ac:dyDescent="0.2">
      <c r="A49" s="1"/>
      <c r="B49" s="80"/>
      <c r="C49" s="47" t="s">
        <v>78</v>
      </c>
      <c r="D49" s="166"/>
      <c r="E49" s="166"/>
      <c r="F49" s="166"/>
      <c r="G49" s="166"/>
      <c r="H49" s="166">
        <f>H46</f>
        <v>0.75014448626323282</v>
      </c>
      <c r="I49" s="166"/>
      <c r="J49" s="167"/>
      <c r="K49" s="79">
        <f t="shared" si="2"/>
        <v>0.75014448626323282</v>
      </c>
      <c r="L49" s="4">
        <v>1</v>
      </c>
      <c r="M49" s="90">
        <f t="shared" si="5"/>
        <v>0.75014448626323282</v>
      </c>
      <c r="N49" s="109">
        <f>M49/SUM($M$48:$M$52)</f>
        <v>8.2725600843744432E-2</v>
      </c>
      <c r="O49" s="147">
        <f>E49/SUM($D$48:$J$52)</f>
        <v>0</v>
      </c>
      <c r="P49" s="1"/>
      <c r="Q49" s="1"/>
      <c r="R49" s="1"/>
      <c r="S49" s="1"/>
      <c r="T49" s="1"/>
    </row>
    <row r="50" spans="1:20" x14ac:dyDescent="0.2">
      <c r="A50" s="1"/>
      <c r="B50" s="15"/>
      <c r="C50" s="47" t="s">
        <v>30</v>
      </c>
      <c r="D50" s="166"/>
      <c r="E50" s="166">
        <f>E46</f>
        <v>7.6139226875519981</v>
      </c>
      <c r="F50" s="166"/>
      <c r="G50" s="166"/>
      <c r="H50" s="166"/>
      <c r="I50" s="166"/>
      <c r="J50" s="167"/>
      <c r="K50" s="79">
        <f t="shared" si="2"/>
        <v>7.6139226875519981</v>
      </c>
      <c r="L50" s="4">
        <v>1</v>
      </c>
      <c r="M50" s="90">
        <f t="shared" si="5"/>
        <v>7.6139226875519981</v>
      </c>
      <c r="N50" s="109">
        <f>M50/SUM($M$48:$M$52)</f>
        <v>0.8396600130238514</v>
      </c>
      <c r="O50" s="147">
        <f>E50/SUM($D$48:$J$52)</f>
        <v>0.8396600130238514</v>
      </c>
      <c r="P50" s="1"/>
      <c r="Q50" s="1"/>
      <c r="R50" s="1"/>
      <c r="S50" s="1"/>
      <c r="T50" s="1"/>
    </row>
    <row r="51" spans="1:20" x14ac:dyDescent="0.2">
      <c r="A51" s="1"/>
      <c r="B51" s="15"/>
      <c r="C51" s="47" t="s">
        <v>73</v>
      </c>
      <c r="D51" s="166">
        <f>D46</f>
        <v>0.68152465822784802</v>
      </c>
      <c r="E51" s="166"/>
      <c r="F51" s="166"/>
      <c r="G51" s="166"/>
      <c r="H51" s="166"/>
      <c r="I51" s="166"/>
      <c r="J51" s="167"/>
      <c r="K51" s="79">
        <f t="shared" si="2"/>
        <v>0.68152465822784802</v>
      </c>
      <c r="L51" s="4">
        <v>1</v>
      </c>
      <c r="M51" s="90">
        <f t="shared" si="5"/>
        <v>0.68152465822784802</v>
      </c>
      <c r="N51" s="109">
        <f>M51/SUM($M$48:$M$52)</f>
        <v>7.5158236678609908E-2</v>
      </c>
      <c r="O51" s="147">
        <f>E51/SUM($D$48:$J$52)</f>
        <v>0</v>
      </c>
      <c r="P51" s="1"/>
      <c r="Q51" s="1"/>
      <c r="R51" s="1"/>
      <c r="S51" s="1"/>
      <c r="T51" s="1"/>
    </row>
    <row r="52" spans="1:20" x14ac:dyDescent="0.2">
      <c r="A52" s="1"/>
      <c r="B52" s="15"/>
      <c r="C52" s="47" t="s">
        <v>79</v>
      </c>
      <c r="D52" s="168"/>
      <c r="E52" s="168"/>
      <c r="F52" s="168"/>
      <c r="G52" s="168"/>
      <c r="H52" s="168"/>
      <c r="I52" s="168">
        <f>Dashboard!F24*Dashboard!F54</f>
        <v>0</v>
      </c>
      <c r="J52" s="169"/>
      <c r="K52" s="79">
        <f t="shared" si="2"/>
        <v>0</v>
      </c>
      <c r="L52" s="4">
        <v>1</v>
      </c>
      <c r="M52" s="90">
        <f t="shared" si="5"/>
        <v>0</v>
      </c>
      <c r="N52" s="109">
        <f>M52/SUM($M$48:$M$52)</f>
        <v>0</v>
      </c>
      <c r="O52" s="147">
        <f>E52/SUM($D$48:$J$52)</f>
        <v>0</v>
      </c>
      <c r="P52" s="1"/>
      <c r="Q52" s="1"/>
      <c r="R52" s="1"/>
      <c r="S52" s="1"/>
      <c r="T52" s="1"/>
    </row>
    <row r="53" spans="1:20" x14ac:dyDescent="0.2">
      <c r="A53" s="1"/>
      <c r="B53" s="15"/>
      <c r="C53" s="47"/>
      <c r="D53" s="166"/>
      <c r="E53" s="166"/>
      <c r="F53" s="166"/>
      <c r="G53" s="166"/>
      <c r="H53" s="166"/>
      <c r="I53" s="166"/>
      <c r="J53" s="167"/>
      <c r="K53" s="79"/>
      <c r="L53" s="4"/>
      <c r="M53" s="90"/>
      <c r="N53" s="109"/>
      <c r="O53" s="147"/>
      <c r="P53" s="1"/>
      <c r="Q53" s="1"/>
      <c r="R53" s="1"/>
      <c r="S53" s="1"/>
      <c r="T53" s="1"/>
    </row>
    <row r="54" spans="1:20" x14ac:dyDescent="0.2">
      <c r="A54" s="1"/>
      <c r="B54" s="68" t="s">
        <v>107</v>
      </c>
      <c r="C54" s="93"/>
      <c r="D54" s="93"/>
      <c r="E54" s="93"/>
      <c r="F54" s="93"/>
      <c r="G54" s="93"/>
      <c r="H54" s="93"/>
      <c r="I54" s="93"/>
      <c r="J54" s="159"/>
      <c r="K54" s="79"/>
      <c r="L54" s="4"/>
      <c r="M54" s="4"/>
      <c r="N54" s="57"/>
      <c r="O54" s="93"/>
      <c r="P54" s="1"/>
      <c r="Q54" s="1"/>
      <c r="R54" s="1"/>
      <c r="S54" s="1"/>
      <c r="T54" s="1"/>
    </row>
    <row r="55" spans="1:20" x14ac:dyDescent="0.2">
      <c r="A55" s="1"/>
      <c r="B55" s="68"/>
      <c r="C55" s="82" t="s">
        <v>151</v>
      </c>
      <c r="D55" s="93"/>
      <c r="E55" s="82">
        <f>Dashboard!F18*Dashboard!F111*Dashboard!F116</f>
        <v>0.36530524800000003</v>
      </c>
      <c r="F55" s="93"/>
      <c r="G55" s="93"/>
      <c r="H55" s="93"/>
      <c r="I55" s="93"/>
      <c r="J55" s="159"/>
      <c r="K55" s="79"/>
      <c r="L55" s="4"/>
      <c r="M55" s="4">
        <f>E55/Dashboard!F112</f>
        <v>2.2831578000000001</v>
      </c>
      <c r="N55" s="57"/>
      <c r="O55" s="93"/>
      <c r="P55" s="1"/>
      <c r="Q55" s="1"/>
      <c r="R55" s="1"/>
      <c r="S55" s="1"/>
      <c r="T55" s="1"/>
    </row>
    <row r="56" spans="1:20" x14ac:dyDescent="0.2">
      <c r="A56" s="1"/>
      <c r="B56" s="85"/>
      <c r="C56" s="2"/>
      <c r="D56" s="96"/>
      <c r="E56" s="97"/>
      <c r="F56" s="97"/>
      <c r="G56" s="97"/>
      <c r="H56" s="97"/>
      <c r="I56" s="97"/>
      <c r="J56" s="160"/>
      <c r="K56" s="111"/>
      <c r="L56" s="4"/>
      <c r="M56" s="4"/>
      <c r="N56" s="57"/>
      <c r="O56" s="4"/>
      <c r="P56" s="1"/>
      <c r="Q56" s="1"/>
      <c r="R56" s="1"/>
      <c r="S56" s="1"/>
      <c r="T56" s="1"/>
    </row>
    <row r="57" spans="1:20" x14ac:dyDescent="0.2">
      <c r="A57" s="1"/>
      <c r="B57" s="98" t="s">
        <v>28</v>
      </c>
      <c r="C57" s="22"/>
      <c r="D57" s="99" t="s">
        <v>29</v>
      </c>
      <c r="E57" s="76" t="s">
        <v>30</v>
      </c>
      <c r="F57" s="76" t="s">
        <v>31</v>
      </c>
      <c r="G57" s="76" t="s">
        <v>32</v>
      </c>
      <c r="H57" s="76" t="s">
        <v>33</v>
      </c>
      <c r="I57" s="76" t="s">
        <v>34</v>
      </c>
      <c r="J57" s="150" t="s">
        <v>35</v>
      </c>
      <c r="K57" s="77"/>
      <c r="L57" s="4"/>
      <c r="M57" s="4"/>
      <c r="N57" s="57"/>
      <c r="O57" s="9"/>
      <c r="P57" s="1"/>
      <c r="Q57" s="1"/>
      <c r="R57" s="1"/>
      <c r="S57" s="1"/>
      <c r="T57" s="1"/>
    </row>
    <row r="58" spans="1:20" x14ac:dyDescent="0.2">
      <c r="A58" s="1"/>
      <c r="B58" s="21"/>
      <c r="C58" s="100" t="s">
        <v>36</v>
      </c>
      <c r="D58" s="101">
        <f t="shared" ref="D58:J58" si="6">SUM(D17:D54)</f>
        <v>23.399013265822781</v>
      </c>
      <c r="E58" s="102">
        <f t="shared" si="6"/>
        <v>32.641542101668776</v>
      </c>
      <c r="F58" s="102">
        <f t="shared" si="6"/>
        <v>0.12639376383191667</v>
      </c>
      <c r="G58" s="102">
        <f t="shared" si="6"/>
        <v>4.454405773812041E-2</v>
      </c>
      <c r="H58" s="102">
        <f t="shared" si="6"/>
        <v>1.5002889725264656</v>
      </c>
      <c r="I58" s="102">
        <f t="shared" si="6"/>
        <v>0.65912955836540221</v>
      </c>
      <c r="J58" s="161">
        <f t="shared" si="6"/>
        <v>0</v>
      </c>
      <c r="K58" s="77"/>
      <c r="L58" s="4"/>
      <c r="M58" s="4"/>
      <c r="N58" s="57"/>
      <c r="O58" s="103"/>
      <c r="P58" s="1"/>
      <c r="Q58" s="1"/>
      <c r="R58" s="1"/>
      <c r="S58" s="1"/>
      <c r="T58" s="1"/>
    </row>
    <row r="59" spans="1:20" x14ac:dyDescent="0.2">
      <c r="A59" s="1"/>
      <c r="B59" s="21"/>
      <c r="C59" s="103" t="s">
        <v>37</v>
      </c>
      <c r="D59" s="101">
        <f t="shared" ref="D59:J59" si="7">D10-D58</f>
        <v>-23.399013265822781</v>
      </c>
      <c r="E59" s="102">
        <f t="shared" si="7"/>
        <v>-32.641542101668776</v>
      </c>
      <c r="F59" s="102">
        <f t="shared" si="7"/>
        <v>-0.12639376383191667</v>
      </c>
      <c r="G59" s="102">
        <f t="shared" si="7"/>
        <v>-4.454405773812041E-2</v>
      </c>
      <c r="H59" s="102">
        <f t="shared" si="7"/>
        <v>-1.5002889725264656</v>
      </c>
      <c r="I59" s="102">
        <f t="shared" si="7"/>
        <v>-0.65912955836540221</v>
      </c>
      <c r="J59" s="161">
        <f t="shared" si="7"/>
        <v>0</v>
      </c>
      <c r="K59" s="77"/>
      <c r="L59" s="4"/>
      <c r="M59" s="4"/>
      <c r="N59" s="57"/>
      <c r="O59" s="146"/>
      <c r="P59" s="1"/>
      <c r="Q59" s="1"/>
      <c r="R59" s="1"/>
      <c r="S59" s="1"/>
      <c r="T59" s="1"/>
    </row>
    <row r="60" spans="1:20" x14ac:dyDescent="0.2">
      <c r="A60" s="1"/>
      <c r="B60" s="21"/>
      <c r="C60" s="103"/>
      <c r="D60" s="104"/>
      <c r="E60" s="104"/>
      <c r="F60" s="104"/>
      <c r="G60" s="104"/>
      <c r="H60" s="104"/>
      <c r="I60" s="104"/>
      <c r="J60" s="162"/>
      <c r="K60" s="112"/>
      <c r="L60" s="4"/>
      <c r="M60" s="4"/>
      <c r="N60" s="57"/>
      <c r="O60" s="103"/>
      <c r="P60" s="1"/>
      <c r="Q60" s="1"/>
      <c r="R60" s="1"/>
      <c r="S60" s="1"/>
      <c r="T60" s="1"/>
    </row>
    <row r="61" spans="1:20" ht="17" thickBot="1" x14ac:dyDescent="0.25">
      <c r="A61" s="1"/>
      <c r="B61" s="105"/>
      <c r="C61" s="43"/>
      <c r="D61" s="43"/>
      <c r="E61" s="43"/>
      <c r="F61" s="43"/>
      <c r="G61" s="43"/>
      <c r="H61" s="43"/>
      <c r="I61" s="43"/>
      <c r="J61" s="163"/>
      <c r="K61" s="43"/>
      <c r="L61" s="43"/>
      <c r="M61" s="43"/>
      <c r="N61" s="62"/>
      <c r="O61" s="4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</sheetData>
  <conditionalFormatting sqref="I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36"/>
  <sheetViews>
    <sheetView tabSelected="1" workbookViewId="0">
      <selection activeCell="A40" sqref="A40"/>
    </sheetView>
  </sheetViews>
  <sheetFormatPr baseColWidth="10" defaultRowHeight="16" x14ac:dyDescent="0.2"/>
  <cols>
    <col min="1" max="1" width="130.33203125" customWidth="1"/>
    <col min="2" max="3" width="18.5" customWidth="1"/>
    <col min="4" max="4" width="79.33203125" customWidth="1"/>
    <col min="5" max="5" width="59.1640625" customWidth="1"/>
  </cols>
  <sheetData>
    <row r="1" spans="1:4" x14ac:dyDescent="0.2">
      <c r="A1" s="193" t="s">
        <v>144</v>
      </c>
    </row>
    <row r="2" spans="1:4" x14ac:dyDescent="0.2">
      <c r="B2" t="s">
        <v>2</v>
      </c>
      <c r="C2" t="s">
        <v>139</v>
      </c>
      <c r="D2" t="s">
        <v>39</v>
      </c>
    </row>
    <row r="3" spans="1:4" x14ac:dyDescent="0.2">
      <c r="A3" t="s">
        <v>157</v>
      </c>
    </row>
    <row r="4" spans="1:4" x14ac:dyDescent="0.2">
      <c r="A4" t="s">
        <v>76</v>
      </c>
    </row>
    <row r="5" spans="1:4" x14ac:dyDescent="0.2">
      <c r="A5" s="190" t="s">
        <v>110</v>
      </c>
      <c r="B5">
        <f>Analyse!N48</f>
        <v>2.4561494537942759E-3</v>
      </c>
      <c r="C5">
        <v>1</v>
      </c>
      <c r="D5" t="str">
        <f>"  " &amp;A5 &amp; B5*C5</f>
        <v xml:space="preserve">  :"buildings_appliances_coal-buildings_useful_demand_for_appliances@not_defined": 0.00245614945379428</v>
      </c>
    </row>
    <row r="6" spans="1:4" x14ac:dyDescent="0.2">
      <c r="A6" s="190" t="s">
        <v>111</v>
      </c>
      <c r="B6">
        <f>Analyse!N49</f>
        <v>8.2725600843744432E-2</v>
      </c>
      <c r="C6">
        <v>1</v>
      </c>
      <c r="D6" t="str">
        <f t="shared" ref="D6:D9" si="0">"  " &amp;A6 &amp; B6*C6</f>
        <v xml:space="preserve">  :"buildings_appliances_crude_oil-buildings_useful_demand_for_appliances@not_defined": 0.0827256008437444</v>
      </c>
    </row>
    <row r="7" spans="1:4" x14ac:dyDescent="0.2">
      <c r="A7" s="190" t="s">
        <v>112</v>
      </c>
      <c r="B7">
        <f>Analyse!N50</f>
        <v>0.8396600130238514</v>
      </c>
      <c r="C7">
        <v>1</v>
      </c>
      <c r="D7" t="str">
        <f t="shared" si="0"/>
        <v xml:space="preserve">  :"buildings_appliances_electricity-buildings_useful_demand_for_appliances@not_defined": 0.839660013023851</v>
      </c>
    </row>
    <row r="8" spans="1:4" x14ac:dyDescent="0.2">
      <c r="A8" s="190" t="s">
        <v>113</v>
      </c>
      <c r="B8">
        <f>Analyse!N51</f>
        <v>7.5158236678609908E-2</v>
      </c>
      <c r="C8">
        <v>1</v>
      </c>
      <c r="D8" t="str">
        <f t="shared" si="0"/>
        <v xml:space="preserve">  :"buildings_appliances_network_gas-buildings_useful_demand_for_appliances@not_defined": 0.0751582366786099</v>
      </c>
    </row>
    <row r="9" spans="1:4" x14ac:dyDescent="0.2">
      <c r="A9" s="190" t="s">
        <v>114</v>
      </c>
      <c r="B9">
        <f>Analyse!N52</f>
        <v>0</v>
      </c>
      <c r="C9">
        <v>1</v>
      </c>
      <c r="D9" t="str">
        <f t="shared" si="0"/>
        <v xml:space="preserve">  :"buildings_appliances_wood_pellets-buildings_useful_demand_for_appliances@not_defined": 0</v>
      </c>
    </row>
    <row r="10" spans="1:4" x14ac:dyDescent="0.2">
      <c r="A10" s="190" t="s">
        <v>115</v>
      </c>
      <c r="B10">
        <f>Analyse!N33</f>
        <v>0.93600000000000005</v>
      </c>
      <c r="C10">
        <v>1</v>
      </c>
      <c r="D10" t="str">
        <f>"  " &amp;A10 &amp; B10*C10</f>
        <v xml:space="preserve">  :"buildings_cooling_airconditioning_electricity-buildings_useful_demand_after_insulation_cooling@cooling": 0.936</v>
      </c>
    </row>
    <row r="11" spans="1:4" x14ac:dyDescent="0.2">
      <c r="A11" s="190" t="s">
        <v>116</v>
      </c>
      <c r="B11">
        <f>Analyse!N32</f>
        <v>6.4000000000000001E-2</v>
      </c>
      <c r="C11">
        <v>1</v>
      </c>
      <c r="D11" t="str">
        <f t="shared" ref="D11:D12" si="1">"  " &amp;A11 &amp; B11*C11</f>
        <v xml:space="preserve">  :"buildings_cooling_collective_heatpump_water_water_ts_electricity-buildings_useful_demand_after_insulation_cooling@cooling": 0.064</v>
      </c>
    </row>
    <row r="12" spans="1:4" x14ac:dyDescent="0.2">
      <c r="A12" s="190" t="s">
        <v>117</v>
      </c>
      <c r="B12">
        <f>Analyse!N31</f>
        <v>0</v>
      </c>
      <c r="C12">
        <v>1</v>
      </c>
      <c r="D12" t="str">
        <f t="shared" si="1"/>
        <v xml:space="preserve">  :"buildings_cooling_heatpump_air_water_network_gas-buildings_useful_demand_after_insulation_cooling@cooling": 0</v>
      </c>
    </row>
    <row r="13" spans="1:4" x14ac:dyDescent="0.2">
      <c r="A13" s="190" t="s">
        <v>118</v>
      </c>
      <c r="B13" s="134">
        <f>Dashboard!F65</f>
        <v>1</v>
      </c>
      <c r="C13" s="134">
        <v>1</v>
      </c>
      <c r="D13" t="str">
        <f>"  " &amp;A13 &amp; B13*C13</f>
        <v xml:space="preserve">  :"buildings_chp_engine_biogas-buildings_final_demand_steam_hot_water@steam_hot_water": 1</v>
      </c>
    </row>
    <row r="14" spans="1:4" x14ac:dyDescent="0.2">
      <c r="A14" s="190" t="s">
        <v>119</v>
      </c>
      <c r="B14" s="134">
        <f>Dashboard!F66</f>
        <v>0</v>
      </c>
      <c r="C14" s="134">
        <v>1</v>
      </c>
      <c r="D14" t="str">
        <f t="shared" ref="D14:D16" si="2">"  " &amp;A14 &amp; B14*C14</f>
        <v xml:space="preserve">  :"buildings_collective_chp_network_gas-buildings_final_demand_steam_hot_water@steam_hot_water": 0</v>
      </c>
    </row>
    <row r="15" spans="1:4" x14ac:dyDescent="0.2">
      <c r="A15" s="190" t="s">
        <v>120</v>
      </c>
      <c r="B15" s="134">
        <f>Dashboard!F67</f>
        <v>0</v>
      </c>
      <c r="C15" s="134">
        <v>1</v>
      </c>
      <c r="D15" t="str">
        <f t="shared" si="2"/>
        <v xml:space="preserve">  :"buildings_collective_chp_wood_pellets-buildings_final_demand_steam_hot_water@steam_hot_water": 0</v>
      </c>
    </row>
    <row r="16" spans="1:4" x14ac:dyDescent="0.2">
      <c r="A16" s="190" t="s">
        <v>121</v>
      </c>
      <c r="B16" s="134">
        <f>Dashboard!F68</f>
        <v>0</v>
      </c>
      <c r="C16" s="134">
        <v>1</v>
      </c>
      <c r="D16" t="str">
        <f t="shared" si="2"/>
        <v xml:space="preserve">  :"buildings_collective_geothermal-buildings_final_demand_steam_hot_water@steam_hot_water": 0</v>
      </c>
    </row>
    <row r="17" spans="1:6" x14ac:dyDescent="0.2">
      <c r="A17" s="190" t="s">
        <v>122</v>
      </c>
      <c r="B17" s="134">
        <f>Dashboard!F69</f>
        <v>0</v>
      </c>
      <c r="C17" s="134">
        <v>1</v>
      </c>
      <c r="D17" t="str">
        <f>"#  " &amp;A17 &amp; B17*C17</f>
        <v>#  :"buildings_heat_network_connection_steam_hot_water-buildings_final_demand_steam_hot_water@steam_hot_water": 0</v>
      </c>
      <c r="F17" s="193" t="s">
        <v>159</v>
      </c>
    </row>
    <row r="18" spans="1:6" x14ac:dyDescent="0.2">
      <c r="A18" s="190" t="s">
        <v>123</v>
      </c>
      <c r="B18">
        <f>Analyse!N17</f>
        <v>0</v>
      </c>
      <c r="C18">
        <v>1</v>
      </c>
      <c r="D18" t="str">
        <f>"  " &amp;A18 &amp; B18*C18</f>
        <v xml:space="preserve">  :"buildings_space_heater_coal-buildings_useful_demand_for_space_heating_after_insulation@useable_heat": 0</v>
      </c>
    </row>
    <row r="19" spans="1:6" x14ac:dyDescent="0.2">
      <c r="A19" s="190" t="s">
        <v>124</v>
      </c>
      <c r="B19">
        <f>Analyse!N18</f>
        <v>1.8986752470103594E-2</v>
      </c>
      <c r="C19">
        <v>1</v>
      </c>
      <c r="D19" t="str">
        <f t="shared" ref="D19:D26" si="3">"  " &amp;A19 &amp; B19*C19</f>
        <v xml:space="preserve">  :"buildings_space_heater_collective_heatpump_water_water_ts_electricity-buildings_useful_demand_for_space_heating_after_insulation@useable_heat": 0.0189867524701036</v>
      </c>
    </row>
    <row r="20" spans="1:6" x14ac:dyDescent="0.2">
      <c r="A20" s="190" t="s">
        <v>125</v>
      </c>
      <c r="B20">
        <f>Analyse!N19</f>
        <v>0</v>
      </c>
      <c r="C20">
        <v>1</v>
      </c>
      <c r="D20" t="str">
        <f t="shared" si="3"/>
        <v xml:space="preserve">  :"buildings_space_heater_crude_oil-buildings_useful_demand_for_space_heating_after_insulation@useable_heat": 0</v>
      </c>
    </row>
    <row r="21" spans="1:6" x14ac:dyDescent="0.2">
      <c r="A21" s="190" t="s">
        <v>126</v>
      </c>
      <c r="B21">
        <f>Analyse!N20</f>
        <v>0</v>
      </c>
      <c r="C21">
        <v>1</v>
      </c>
      <c r="D21" t="str">
        <f t="shared" si="3"/>
        <v xml:space="preserve">  :"buildings_space_heater_district_heating_steam_hot_water-buildings_useful_demand_for_space_heating_after_insulation@useable_heat": 0</v>
      </c>
    </row>
    <row r="22" spans="1:6" x14ac:dyDescent="0.2">
      <c r="A22" s="190" t="s">
        <v>127</v>
      </c>
      <c r="B22">
        <f>Analyse!N21</f>
        <v>0</v>
      </c>
      <c r="C22">
        <v>1</v>
      </c>
      <c r="D22" t="str">
        <f t="shared" si="3"/>
        <v xml:space="preserve">  :"buildings_space_heater_electricity-buildings_useful_demand_for_space_heating_after_insulation@useable_heat": 0</v>
      </c>
    </row>
    <row r="23" spans="1:6" x14ac:dyDescent="0.2">
      <c r="A23" s="190" t="s">
        <v>128</v>
      </c>
      <c r="B23">
        <f>Analyse!N22</f>
        <v>0</v>
      </c>
      <c r="C23">
        <v>1</v>
      </c>
      <c r="D23" t="str">
        <f t="shared" si="3"/>
        <v xml:space="preserve">  :"buildings_space_heater_heatpump_air_water_network_gas-buildings_useful_demand_for_space_heating_after_insulation@useable_heat": 0</v>
      </c>
    </row>
    <row r="24" spans="1:6" x14ac:dyDescent="0.2">
      <c r="A24" s="190" t="s">
        <v>129</v>
      </c>
      <c r="B24">
        <f>Analyse!N23</f>
        <v>0.96499386532056464</v>
      </c>
      <c r="C24">
        <v>1</v>
      </c>
      <c r="D24" t="str">
        <f t="shared" si="3"/>
        <v xml:space="preserve">  :"buildings_space_heater_network_gas-buildings_useful_demand_for_space_heating_after_insulation@useable_heat": 0.964993865320565</v>
      </c>
    </row>
    <row r="25" spans="1:6" x14ac:dyDescent="0.2">
      <c r="A25" s="190" t="s">
        <v>130</v>
      </c>
      <c r="B25">
        <f>Analyse!N24</f>
        <v>4.9280752625640821E-3</v>
      </c>
      <c r="C25">
        <v>1</v>
      </c>
      <c r="D25" t="str">
        <f t="shared" si="3"/>
        <v xml:space="preserve">  :"buildings_space_heater_solar_thermal-buildings_useful_demand_for_space_heating_after_insulation@useable_heat": 0.00492807526256408</v>
      </c>
    </row>
    <row r="26" spans="1:6" x14ac:dyDescent="0.2">
      <c r="A26" s="190" t="s">
        <v>131</v>
      </c>
      <c r="B26">
        <f>Analyse!N25</f>
        <v>1.1091306946767561E-2</v>
      </c>
      <c r="C26">
        <v>1</v>
      </c>
      <c r="D26" t="str">
        <f t="shared" si="3"/>
        <v xml:space="preserve">  :"buildings_space_heater_wood_pellets-buildings_useful_demand_for_space_heating_after_insulation@useable_heat": 0.0110913069467676</v>
      </c>
    </row>
    <row r="27" spans="1:6" x14ac:dyDescent="0.2">
      <c r="A27" s="190" t="s">
        <v>132</v>
      </c>
      <c r="B27">
        <f>Analyse!N40</f>
        <v>6.5000000000000002E-2</v>
      </c>
      <c r="C27">
        <v>1</v>
      </c>
      <c r="D27" t="str">
        <f>"  " &amp;A27 &amp; B27*C27</f>
        <v xml:space="preserve">  :"buildings_lighting_efficient_fluorescent_electricity-buildings_useful_demand_after_motion_detection_daylight_control_light@light": 0.065</v>
      </c>
    </row>
    <row r="28" spans="1:6" x14ac:dyDescent="0.2">
      <c r="A28" s="190" t="s">
        <v>133</v>
      </c>
      <c r="B28">
        <f>Analyse!N41</f>
        <v>1.5999999999999997E-2</v>
      </c>
      <c r="C28">
        <v>1</v>
      </c>
      <c r="D28" t="str">
        <f t="shared" ref="D28:D29" si="4">"  " &amp;A28 &amp; B28*C28</f>
        <v xml:space="preserve">  :"buildings_lighting_led_electricity-buildings_useful_demand_after_motion_detection_daylight_control_light@light": 0.016</v>
      </c>
    </row>
    <row r="29" spans="1:6" x14ac:dyDescent="0.2">
      <c r="A29" s="190" t="s">
        <v>134</v>
      </c>
      <c r="B29">
        <f>Analyse!N42</f>
        <v>0.91899999999999993</v>
      </c>
      <c r="C29">
        <v>1</v>
      </c>
      <c r="D29" t="str">
        <f t="shared" si="4"/>
        <v xml:space="preserve">  :"buildings_lighting_standard_fluorescent_electricity-buildings_useful_demand_after_motion_detection_daylight_control_light@light": 0.919</v>
      </c>
    </row>
    <row r="30" spans="1:6" x14ac:dyDescent="0.2">
      <c r="A30" s="195" t="s">
        <v>155</v>
      </c>
      <c r="B30">
        <f>Analyse!E55</f>
        <v>0.36530524800000003</v>
      </c>
      <c r="C30">
        <v>1000000</v>
      </c>
      <c r="D30" t="str">
        <f>"  " &amp;A30 &amp; B30*C30</f>
        <v xml:space="preserve">  :"buildings_solar_pv_solar_radiation-buildings_local_production_electricity@electricity":  365305.248</v>
      </c>
      <c r="E30" s="193" t="s">
        <v>158</v>
      </c>
    </row>
    <row r="31" spans="1:6" x14ac:dyDescent="0.2">
      <c r="A31" s="195"/>
      <c r="E31" s="193"/>
    </row>
    <row r="32" spans="1:6" x14ac:dyDescent="0.2">
      <c r="A32" s="195" t="s">
        <v>163</v>
      </c>
      <c r="E32" s="193"/>
    </row>
    <row r="33" spans="1:4" x14ac:dyDescent="0.2">
      <c r="A33" s="190" t="s">
        <v>135</v>
      </c>
      <c r="B33">
        <f>Analyse!M29</f>
        <v>11.219970272496331</v>
      </c>
      <c r="C33">
        <v>1000000</v>
      </c>
      <c r="D33" t="str">
        <f t="shared" ref="D33:D36" si="5">"  " &amp;A33 &amp; B33*C33</f>
        <v xml:space="preserve">  buildings_useful_demand_cooling: 11219970.2724963</v>
      </c>
    </row>
    <row r="34" spans="1:4" x14ac:dyDescent="0.2">
      <c r="A34" s="190" t="s">
        <v>136</v>
      </c>
      <c r="B34" s="114">
        <f>Analyse!M46</f>
        <v>9.0678638609121389</v>
      </c>
      <c r="C34">
        <v>1000000</v>
      </c>
      <c r="D34" t="str">
        <f t="shared" si="5"/>
        <v xml:space="preserve">  buildings_useful_demand_for_appliances: 9067863.86091214</v>
      </c>
    </row>
    <row r="35" spans="1:4" x14ac:dyDescent="0.2">
      <c r="A35" s="190" t="s">
        <v>137</v>
      </c>
      <c r="B35">
        <f>Analyse!M14</f>
        <v>24.365308815889751</v>
      </c>
      <c r="C35">
        <v>1000000</v>
      </c>
      <c r="D35" t="str">
        <f t="shared" si="5"/>
        <v xml:space="preserve">  buildings_useful_demand_for_space_heating: 24365308.8158897</v>
      </c>
    </row>
    <row r="36" spans="1:4" x14ac:dyDescent="0.2">
      <c r="A36" s="190" t="s">
        <v>138</v>
      </c>
      <c r="B36" s="114">
        <f>Analyse!M38</f>
        <v>1.032259066345715</v>
      </c>
      <c r="C36">
        <v>1000000</v>
      </c>
      <c r="D36" t="str">
        <f t="shared" si="5"/>
        <v xml:space="preserve">  buildings_useful_demand_light: 1032259.06634571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Notes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2018-01-15T11:09:42Z</dcterms:modified>
</cp:coreProperties>
</file>