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tlubben/Dropbox (Quintel)/Quintel/Projects/201606_ETMoses voor Groningen/Reitdiep/Dataset Reitdiep/"/>
    </mc:Choice>
  </mc:AlternateContent>
  <bookViews>
    <workbookView xWindow="28800" yWindow="-10360" windowWidth="51200" windowHeight="28360" tabRatio="500"/>
  </bookViews>
  <sheets>
    <sheet name="Dashboard" sheetId="3" r:id="rId1"/>
    <sheet name="Jachthaven Reitdiep" sheetId="5" r:id="rId2"/>
    <sheet name="Analyse" sheetId="4" r:id="rId3"/>
    <sheet name=".yml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" i="2" l="1"/>
  <c r="F26" i="3"/>
  <c r="P64" i="4"/>
  <c r="J26" i="3"/>
  <c r="B44" i="2"/>
  <c r="F30" i="3"/>
  <c r="D21" i="5"/>
  <c r="D22" i="5"/>
  <c r="D23" i="5"/>
  <c r="D24" i="5"/>
  <c r="D25" i="5"/>
  <c r="B28" i="5"/>
  <c r="B29" i="5"/>
  <c r="B33" i="5"/>
  <c r="D26" i="5"/>
  <c r="B7" i="5"/>
  <c r="B10" i="5"/>
  <c r="H21" i="3"/>
  <c r="F21" i="3"/>
  <c r="F20" i="3"/>
  <c r="H19" i="3"/>
  <c r="F19" i="3"/>
  <c r="F18" i="3"/>
  <c r="H17" i="3"/>
  <c r="F17" i="3"/>
  <c r="G17" i="3"/>
  <c r="H16" i="3"/>
  <c r="F16" i="3"/>
  <c r="G16" i="3"/>
  <c r="E85" i="3"/>
  <c r="F85" i="3"/>
  <c r="B59" i="2"/>
  <c r="F84" i="3"/>
  <c r="B58" i="2"/>
  <c r="E82" i="3"/>
  <c r="F82" i="3"/>
  <c r="B57" i="2"/>
  <c r="F81" i="3"/>
  <c r="B56" i="2"/>
  <c r="H67" i="4"/>
  <c r="H71" i="4"/>
  <c r="P71" i="4"/>
  <c r="E67" i="4"/>
  <c r="E70" i="4"/>
  <c r="P70" i="4"/>
  <c r="Q71" i="4"/>
  <c r="B45" i="2"/>
  <c r="Q70" i="4"/>
  <c r="F102" i="3"/>
  <c r="F89" i="4"/>
  <c r="P89" i="4"/>
  <c r="E88" i="4"/>
  <c r="P88" i="4"/>
  <c r="Q89" i="4"/>
  <c r="D43" i="2"/>
  <c r="Q88" i="4"/>
  <c r="D42" i="2"/>
  <c r="F63" i="4"/>
  <c r="P63" i="4"/>
  <c r="Q64" i="4"/>
  <c r="B41" i="2"/>
  <c r="D41" i="2"/>
  <c r="Q63" i="4"/>
  <c r="B40" i="2"/>
  <c r="D40" i="2"/>
  <c r="D57" i="4"/>
  <c r="P57" i="4"/>
  <c r="F56" i="4"/>
  <c r="P56" i="4"/>
  <c r="Q57" i="4"/>
  <c r="B39" i="2"/>
  <c r="D39" i="2"/>
  <c r="Q56" i="4"/>
  <c r="B38" i="2"/>
  <c r="D38" i="2"/>
  <c r="K96" i="4"/>
  <c r="P96" i="4"/>
  <c r="D95" i="4"/>
  <c r="P95" i="4"/>
  <c r="Q96" i="4"/>
  <c r="D37" i="2"/>
  <c r="Q95" i="4"/>
  <c r="D36" i="2"/>
  <c r="Q94" i="4"/>
  <c r="D35" i="2"/>
  <c r="F101" i="3"/>
  <c r="F80" i="4"/>
  <c r="P80" i="4"/>
  <c r="E79" i="4"/>
  <c r="P79" i="4"/>
  <c r="Q80" i="4"/>
  <c r="D34" i="2"/>
  <c r="Q79" i="4"/>
  <c r="D33" i="2"/>
  <c r="Q78" i="4"/>
  <c r="D32" i="2"/>
  <c r="H50" i="4"/>
  <c r="P50" i="4"/>
  <c r="I45" i="4"/>
  <c r="P45" i="4"/>
  <c r="E46" i="4"/>
  <c r="P46" i="4"/>
  <c r="F47" i="4"/>
  <c r="P47" i="4"/>
  <c r="D48" i="4"/>
  <c r="P48" i="4"/>
  <c r="J14" i="4"/>
  <c r="J49" i="4"/>
  <c r="P49" i="4"/>
  <c r="Q50" i="4"/>
  <c r="B31" i="2"/>
  <c r="D31" i="2"/>
  <c r="Q49" i="4"/>
  <c r="B30" i="2"/>
  <c r="D30" i="2"/>
  <c r="Q48" i="4"/>
  <c r="B29" i="2"/>
  <c r="D29" i="2"/>
  <c r="Q47" i="4"/>
  <c r="B28" i="2"/>
  <c r="D28" i="2"/>
  <c r="Q46" i="4"/>
  <c r="B27" i="2"/>
  <c r="D27" i="2"/>
  <c r="Q45" i="4"/>
  <c r="B26" i="2"/>
  <c r="D26" i="2"/>
  <c r="E29" i="4"/>
  <c r="P29" i="4"/>
  <c r="I28" i="4"/>
  <c r="P28" i="4"/>
  <c r="F30" i="4"/>
  <c r="P30" i="4"/>
  <c r="D31" i="4"/>
  <c r="P31" i="4"/>
  <c r="J32" i="4"/>
  <c r="P32" i="4"/>
  <c r="H33" i="4"/>
  <c r="P33" i="4"/>
  <c r="Q29" i="4"/>
  <c r="B21" i="2"/>
  <c r="D21" i="2"/>
  <c r="Q30" i="4"/>
  <c r="B22" i="2"/>
  <c r="D22" i="2"/>
  <c r="Q31" i="4"/>
  <c r="B23" i="2"/>
  <c r="D23" i="2"/>
  <c r="Q32" i="4"/>
  <c r="B24" i="2"/>
  <c r="D24" i="2"/>
  <c r="Q33" i="4"/>
  <c r="B25" i="2"/>
  <c r="D25" i="2"/>
  <c r="Q28" i="4"/>
  <c r="B20" i="2"/>
  <c r="D20" i="2"/>
  <c r="G14" i="4"/>
  <c r="G22" i="4"/>
  <c r="P22" i="4"/>
  <c r="I14" i="4"/>
  <c r="I17" i="4"/>
  <c r="P17" i="4"/>
  <c r="E14" i="4"/>
  <c r="E18" i="4"/>
  <c r="P18" i="4"/>
  <c r="F14" i="4"/>
  <c r="F19" i="4"/>
  <c r="P19" i="4"/>
  <c r="D14" i="4"/>
  <c r="D20" i="4"/>
  <c r="P20" i="4"/>
  <c r="J21" i="4"/>
  <c r="P21" i="4"/>
  <c r="Q22" i="4"/>
  <c r="B19" i="2"/>
  <c r="D19" i="2"/>
  <c r="Q21" i="4"/>
  <c r="B18" i="2"/>
  <c r="D18" i="2"/>
  <c r="Q20" i="4"/>
  <c r="B17" i="2"/>
  <c r="D17" i="2"/>
  <c r="Q19" i="4"/>
  <c r="B16" i="2"/>
  <c r="D16" i="2"/>
  <c r="Q18" i="4"/>
  <c r="B15" i="2"/>
  <c r="D15" i="2"/>
  <c r="Q17" i="4"/>
  <c r="B14" i="2"/>
  <c r="D14" i="2"/>
  <c r="P85" i="4"/>
  <c r="N28" i="4"/>
  <c r="N29" i="4"/>
  <c r="N30" i="4"/>
  <c r="N31" i="4"/>
  <c r="N32" i="4"/>
  <c r="N33" i="4"/>
  <c r="R28" i="4"/>
  <c r="I34" i="4"/>
  <c r="P34" i="4"/>
  <c r="R29" i="4"/>
  <c r="E35" i="4"/>
  <c r="P35" i="4"/>
  <c r="R30" i="4"/>
  <c r="F36" i="4"/>
  <c r="P36" i="4"/>
  <c r="R31" i="4"/>
  <c r="D37" i="4"/>
  <c r="P37" i="4"/>
  <c r="R32" i="4"/>
  <c r="J38" i="4"/>
  <c r="P38" i="4"/>
  <c r="R33" i="4"/>
  <c r="H39" i="4"/>
  <c r="P39" i="4"/>
  <c r="P25" i="4"/>
  <c r="P67" i="4"/>
  <c r="P11" i="4"/>
  <c r="R85" i="4"/>
  <c r="B13" i="2"/>
  <c r="D13" i="2"/>
  <c r="R67" i="4"/>
  <c r="B12" i="2"/>
  <c r="D12" i="2"/>
  <c r="R25" i="4"/>
  <c r="B11" i="2"/>
  <c r="D11" i="2"/>
  <c r="P53" i="4"/>
  <c r="P14" i="4"/>
  <c r="P42" i="4"/>
  <c r="P60" i="4"/>
  <c r="P75" i="4"/>
  <c r="P92" i="4"/>
  <c r="F82" i="4"/>
  <c r="P82" i="4"/>
  <c r="P10" i="4"/>
  <c r="R53" i="4"/>
  <c r="B5" i="2"/>
  <c r="R42" i="4"/>
  <c r="B8" i="2"/>
  <c r="R92" i="4"/>
  <c r="R82" i="4"/>
  <c r="B10" i="2"/>
  <c r="R75" i="4"/>
  <c r="B9" i="2"/>
  <c r="B7" i="2"/>
  <c r="R60" i="4"/>
  <c r="B6" i="2"/>
  <c r="R14" i="4"/>
  <c r="B4" i="2"/>
  <c r="D10" i="2"/>
  <c r="B51" i="2"/>
  <c r="B50" i="2"/>
  <c r="D25" i="4"/>
  <c r="E25" i="4"/>
  <c r="F25" i="4"/>
  <c r="G25" i="4"/>
  <c r="H25" i="4"/>
  <c r="I25" i="4"/>
  <c r="J25" i="4"/>
  <c r="R95" i="4"/>
  <c r="R96" i="4"/>
  <c r="F85" i="4"/>
  <c r="P78" i="4"/>
  <c r="N89" i="4"/>
  <c r="N88" i="4"/>
  <c r="E85" i="4"/>
  <c r="P94" i="4"/>
  <c r="K92" i="4"/>
  <c r="M94" i="4"/>
  <c r="D92" i="4"/>
  <c r="N82" i="4"/>
  <c r="L78" i="4"/>
  <c r="E75" i="4"/>
  <c r="N34" i="4"/>
  <c r="N35" i="4"/>
  <c r="N36" i="4"/>
  <c r="N37" i="4"/>
  <c r="N38" i="4"/>
  <c r="N39" i="4"/>
  <c r="N63" i="4"/>
  <c r="J60" i="4"/>
  <c r="I60" i="4"/>
  <c r="H60" i="4"/>
  <c r="G60" i="4"/>
  <c r="F60" i="4"/>
  <c r="E60" i="4"/>
  <c r="D60" i="4"/>
  <c r="N57" i="4"/>
  <c r="N56" i="4"/>
  <c r="J53" i="4"/>
  <c r="I53" i="4"/>
  <c r="H53" i="4"/>
  <c r="G53" i="4"/>
  <c r="F53" i="4"/>
  <c r="E53" i="4"/>
  <c r="D53" i="4"/>
  <c r="J42" i="4"/>
  <c r="I42" i="4"/>
  <c r="H42" i="4"/>
  <c r="G42" i="4"/>
  <c r="D42" i="4"/>
  <c r="F42" i="4"/>
  <c r="E42" i="4"/>
  <c r="N50" i="4"/>
  <c r="N49" i="4"/>
  <c r="N48" i="4"/>
  <c r="N47" i="4"/>
  <c r="N46" i="4"/>
  <c r="N45" i="4"/>
  <c r="H14" i="4"/>
  <c r="D51" i="2"/>
  <c r="D45" i="2"/>
  <c r="D44" i="2"/>
  <c r="D59" i="2"/>
  <c r="D58" i="2"/>
  <c r="D57" i="2"/>
  <c r="D56" i="2"/>
  <c r="D5" i="2"/>
  <c r="D6" i="2"/>
  <c r="D7" i="2"/>
  <c r="D8" i="2"/>
  <c r="D9" i="2"/>
  <c r="D4" i="2"/>
  <c r="N96" i="4"/>
  <c r="N95" i="4"/>
  <c r="N79" i="4"/>
  <c r="N78" i="4"/>
  <c r="N71" i="4"/>
  <c r="N70" i="4"/>
  <c r="N17" i="4"/>
  <c r="N18" i="4"/>
  <c r="N19" i="4"/>
  <c r="N20" i="4"/>
  <c r="N21" i="4"/>
  <c r="N22" i="4"/>
  <c r="F75" i="4"/>
  <c r="N80" i="4"/>
</calcChain>
</file>

<file path=xl/sharedStrings.xml><?xml version="1.0" encoding="utf-8"?>
<sst xmlns="http://schemas.openxmlformats.org/spreadsheetml/2006/main" count="372" uniqueCount="255">
  <si>
    <t>Diesel</t>
  </si>
  <si>
    <t>TJ</t>
  </si>
  <si>
    <t>LNG</t>
  </si>
  <si>
    <t>CNG</t>
  </si>
  <si>
    <t>LPG</t>
  </si>
  <si>
    <t>Electricity</t>
  </si>
  <si>
    <t>./transport/transport_diesel_road:</t>
  </si>
  <si>
    <t>Assumptions</t>
  </si>
  <si>
    <t>Sector</t>
  </si>
  <si>
    <t>Unit</t>
  </si>
  <si>
    <t>Value</t>
  </si>
  <si>
    <t>Road Transport</t>
  </si>
  <si>
    <t>Percentage of gasoline mix delivered to cars</t>
  </si>
  <si>
    <t>Percentage of gasoline mix delivered to trucks</t>
  </si>
  <si>
    <t>Percentage of diesel mix delivered to cars</t>
  </si>
  <si>
    <t>Percentage of diesel mix delivered to trucks</t>
  </si>
  <si>
    <t>Percentage of electricity delivered to cars</t>
  </si>
  <si>
    <t>Percentage of electricity delivered to trucks</t>
  </si>
  <si>
    <t>Number of</t>
  </si>
  <si>
    <t>Number of cars</t>
  </si>
  <si>
    <t>Gasoline</t>
  </si>
  <si>
    <t>Hydrogen</t>
  </si>
  <si>
    <t>Final demand road transport</t>
  </si>
  <si>
    <t>Final demand rail transport</t>
  </si>
  <si>
    <t>Final demand domestic aviation</t>
  </si>
  <si>
    <t>l</t>
  </si>
  <si>
    <t>Klimaatmonitor (incl snelwegen)</t>
  </si>
  <si>
    <t>Final demand per energy carrier</t>
  </si>
  <si>
    <t>Notes</t>
  </si>
  <si>
    <t>In this sheet an overview is presented of the allocation of energy carriers over the different technologies and applications. In the next sheet, the initializer inputs are determined</t>
  </si>
  <si>
    <t>Application</t>
  </si>
  <si>
    <t>Technology used</t>
  </si>
  <si>
    <t>Final demand for electricity (TJ)</t>
  </si>
  <si>
    <t>Share of useful demand within application</t>
  </si>
  <si>
    <t xml:space="preserve">Total </t>
  </si>
  <si>
    <t>Final demand for gasoline (TJ)</t>
  </si>
  <si>
    <t>Final demand for diesel (TJ)</t>
  </si>
  <si>
    <t>Final demand for LPG (TJ)</t>
  </si>
  <si>
    <t>Final demand for LNG (TJ)</t>
  </si>
  <si>
    <t>Final demand for CNG (TJ)</t>
  </si>
  <si>
    <t>Final demand for hydrogen (TJ)</t>
  </si>
  <si>
    <t>Car using compressed natural gas</t>
  </si>
  <si>
    <t xml:space="preserve">Car using electricity  </t>
  </si>
  <si>
    <t xml:space="preserve">Car using hydrogen  </t>
  </si>
  <si>
    <t xml:space="preserve">Car using lpg  </t>
  </si>
  <si>
    <t>Truck using compressed natural gas</t>
  </si>
  <si>
    <t xml:space="preserve">Truck using electricity  </t>
  </si>
  <si>
    <t xml:space="preserve">Car using diesel   </t>
  </si>
  <si>
    <t xml:space="preserve">Car using gasoline   </t>
  </si>
  <si>
    <t xml:space="preserve">Truck using diesel   </t>
  </si>
  <si>
    <t xml:space="preserve">Truck using gasoline   </t>
  </si>
  <si>
    <t xml:space="preserve">Truck using lng  </t>
  </si>
  <si>
    <t>Total final demand</t>
  </si>
  <si>
    <t>Ships</t>
  </si>
  <si>
    <t>Kerosene</t>
  </si>
  <si>
    <t>Bio-ethanol</t>
  </si>
  <si>
    <t>Coal</t>
  </si>
  <si>
    <t>From national dataset</t>
  </si>
  <si>
    <t>Truck using hydrogen</t>
  </si>
  <si>
    <t>Road mixer</t>
  </si>
  <si>
    <t>Biodiesel</t>
  </si>
  <si>
    <t>File input</t>
  </si>
  <si>
    <t>Road transport: cars</t>
  </si>
  <si>
    <t>Road transport: trucks</t>
  </si>
  <si>
    <t>Final demand navigation</t>
  </si>
  <si>
    <t>Planes</t>
  </si>
  <si>
    <t>Final demand for kerosene (TJ)</t>
  </si>
  <si>
    <t>National dataset</t>
  </si>
  <si>
    <t>Source/remarks</t>
  </si>
  <si>
    <t>Klimaatmonitor (personenauto's): careful, this is set through the area analysis, not here</t>
  </si>
  <si>
    <t xml:space="preserve">:"transport_road_mixer_diesel@biodiesel": </t>
  </si>
  <si>
    <t xml:space="preserve">:"transport_road_mixer_diesel@diesel": </t>
  </si>
  <si>
    <t xml:space="preserve">:"transport_road_mixer_gasoline@bio_ethanol": </t>
  </si>
  <si>
    <t xml:space="preserve">:"transport_road_mixer_gasoline@gasoline": </t>
  </si>
  <si>
    <t xml:space="preserve">Gegevens klimaatmonitor: </t>
  </si>
  <si>
    <t>NL total CO2 trains</t>
  </si>
  <si>
    <t>kg</t>
  </si>
  <si>
    <t>CO2 trains</t>
  </si>
  <si>
    <t>Conversion</t>
  </si>
  <si>
    <t>Note: Conversion to change TJ to MJ; for shares no conversion needed</t>
  </si>
  <si>
    <t>Carrier energy density (TJ/l)</t>
  </si>
  <si>
    <t>CO2 aviation</t>
  </si>
  <si>
    <t>NL total CO2 aviation</t>
  </si>
  <si>
    <t># Shares</t>
  </si>
  <si>
    <t>#Conversion setter</t>
  </si>
  <si>
    <t>Mobiele werktuigen</t>
  </si>
  <si>
    <t>Mobiele werktuigen - biobrandstoffen</t>
  </si>
  <si>
    <t>Mobiele werktuig using compressed natural gas</t>
  </si>
  <si>
    <t xml:space="preserve">Mobiele werktuig using diesel </t>
  </si>
  <si>
    <t xml:space="preserve">Mobiele werktuig using electricity </t>
  </si>
  <si>
    <t xml:space="preserve">Mobiele werktuig using gasoline </t>
  </si>
  <si>
    <t>Mobiele werktuig using hydrogen</t>
  </si>
  <si>
    <t xml:space="preserve">Mobiele werktuig using lng </t>
  </si>
  <si>
    <t># Preset Demands</t>
  </si>
  <si>
    <t>Share</t>
  </si>
  <si>
    <t>Percentage of gasoline mix delivered to busses</t>
  </si>
  <si>
    <t>Percentage of gasoline mix delivered to motorcycles</t>
  </si>
  <si>
    <t>Percentage of diesel mix delivered to busses</t>
  </si>
  <si>
    <t>Percentage of electricity delivered to busses</t>
  </si>
  <si>
    <t>Percentage of electricity delivered to motorcycles</t>
  </si>
  <si>
    <t>Percentage of electricity delivered to bicycles</t>
  </si>
  <si>
    <t xml:space="preserve">Percentage of natural gas that is liquefied natural gas </t>
  </si>
  <si>
    <t xml:space="preserve">Percentage of natural gas that is compressed natural gas </t>
  </si>
  <si>
    <t>Percentage of lng that is delivered to trucks</t>
  </si>
  <si>
    <t>Percentage of lng that is delivered to busses</t>
  </si>
  <si>
    <t>Percentage of compressed network gas delivered to cars</t>
  </si>
  <si>
    <t>Percentage of compressed network gas delivered to trucks</t>
  </si>
  <si>
    <t>Percentage of compressed network gas delivered to busses</t>
  </si>
  <si>
    <t>Biogases in road transport</t>
  </si>
  <si>
    <t xml:space="preserve">Percentage of bio lng </t>
  </si>
  <si>
    <t>Percentage of bio cng</t>
  </si>
  <si>
    <t>Domestic navigation transport</t>
  </si>
  <si>
    <t>LNG shipping</t>
  </si>
  <si>
    <t>Percentage of lng for shipping to (pure) lng ship</t>
  </si>
  <si>
    <t>Percentage of lng for shipping to hybrid diesel ship</t>
  </si>
  <si>
    <t>Bio LNG shipping</t>
  </si>
  <si>
    <t>Percentage of bio lng for shipping to (pure) lng ship</t>
  </si>
  <si>
    <t>Percentage of bio lng for shipping to hybrid diesel ship</t>
  </si>
  <si>
    <t>Rail transport</t>
  </si>
  <si>
    <t>Electricity rail</t>
  </si>
  <si>
    <t>Percentage of electricity delivered to trams/metro</t>
  </si>
  <si>
    <t>Percentage of electricity delivered to passenger trains</t>
  </si>
  <si>
    <t>Percentage of electricity delivered to freight trains</t>
  </si>
  <si>
    <t>Diesel rail</t>
  </si>
  <si>
    <t>Percentage of diesel delivered to passenger trains</t>
  </si>
  <si>
    <t>Percentage of diesel delivered to freight trains</t>
  </si>
  <si>
    <t>Nationaal 2015</t>
  </si>
  <si>
    <t>Geen trams in Groningen</t>
  </si>
  <si>
    <t>Nationaal, opgehoogd ivm ontbreken trams</t>
  </si>
  <si>
    <t>Percentage of lng that is delivered to cars</t>
  </si>
  <si>
    <t>Road transport: busses</t>
  </si>
  <si>
    <t>Bus using compressed natural gas</t>
  </si>
  <si>
    <t xml:space="preserve">Bus using diesel   </t>
  </si>
  <si>
    <t xml:space="preserve">Bus using electricity  </t>
  </si>
  <si>
    <t xml:space="preserve">Bus using gasoline   </t>
  </si>
  <si>
    <t>Bususing hydrogen</t>
  </si>
  <si>
    <t xml:space="preserve">Bus using lng  </t>
  </si>
  <si>
    <t>Road transport: motorcycles</t>
  </si>
  <si>
    <t xml:space="preserve">Motor using electricity  </t>
  </si>
  <si>
    <t xml:space="preserve"> Motor using gasoline   </t>
  </si>
  <si>
    <t>Road transport: bicycles</t>
  </si>
  <si>
    <t>Effective efficiency (pkm / mj or tkm / mj)</t>
  </si>
  <si>
    <t>E-bike</t>
  </si>
  <si>
    <t>Bike</t>
  </si>
  <si>
    <t>Reizigerskilometers - fiets</t>
  </si>
  <si>
    <t>pkm</t>
  </si>
  <si>
    <t>pkms:</t>
  </si>
  <si>
    <t>tkms:</t>
  </si>
  <si>
    <t>Electricity trains</t>
  </si>
  <si>
    <t>Electricity trams</t>
  </si>
  <si>
    <t>Final demand for coal (TJ)</t>
  </si>
  <si>
    <t>Passenger trains/trams</t>
  </si>
  <si>
    <t>Electricity used for trains</t>
  </si>
  <si>
    <t>Electricity used for trams</t>
  </si>
  <si>
    <t>Final demand for bio-ethanol (TJ)</t>
  </si>
  <si>
    <t>Freight trains</t>
  </si>
  <si>
    <t>Passenger / freight kms (in mln)</t>
  </si>
  <si>
    <t>Hard-coded 100% as there are no other techs</t>
  </si>
  <si>
    <t>Percentage of final demand (used for calculating mobiele werktuigen carrier distribution</t>
  </si>
  <si>
    <t>Percentage application pkms/tkms of total pkms/tkms</t>
  </si>
  <si>
    <t xml:space="preserve">transport_useful_demand_passenger_kms: </t>
  </si>
  <si>
    <t xml:space="preserve">transport_useful_demand_freight_tonne_kms: </t>
  </si>
  <si>
    <t xml:space="preserve">:"transport_useful_demand_cars-transport_useful_demand_passenger_kms@passenger_kms": </t>
  </si>
  <si>
    <t xml:space="preserve">:"transport_useful_demand_motorcycles-transport_useful_demand_passenger_kms@passenger_kms": </t>
  </si>
  <si>
    <t xml:space="preserve">:"transport_useful_demand_bicycles-transport_useful_demand_passenger_kms@passenger_kms": </t>
  </si>
  <si>
    <t xml:space="preserve">:"transport_useful_demand_planes-transport_useful_demand_passenger_kms@passenger_kms": </t>
  </si>
  <si>
    <t xml:space="preserve">:"transport_useful_demand_busses-transport_useful_demand_passenger_kms@passenger_kms": </t>
  </si>
  <si>
    <t xml:space="preserve">:"transport_useful_demand_passenger_trains-transport_useful_demand_passenger_kms@passenger_kms": </t>
  </si>
  <si>
    <t xml:space="preserve">:"transport_useful_demand_trams-transport_useful_demand_passenger_kms@passenger_kms": </t>
  </si>
  <si>
    <t xml:space="preserve">:"transport_useful_demand_trucks-transport_useful_demand_freight_tonne_kms@freight_tonne_kms": </t>
  </si>
  <si>
    <t xml:space="preserve">:"transport_useful_demand_ships-transport_useful_demand_freight_tonne_kms@freight_tonne_kms": </t>
  </si>
  <si>
    <t xml:space="preserve">:"transport_useful_demand_freight_trains-transport_useful_demand_freight_tonne_kms@freight_tonne_kms": </t>
  </si>
  <si>
    <t xml:space="preserve">:"transport_car_using_compressed_natural_gas-transport_useful_demand_cars@passenger_kms": </t>
  </si>
  <si>
    <t xml:space="preserve">:"transport_car_using_diesel_mix-transport_useful_demand_cars@passenger_kms": </t>
  </si>
  <si>
    <t xml:space="preserve">:"transport_car_using_electricity-transport_useful_demand_cars@passenger_kms": </t>
  </si>
  <si>
    <t xml:space="preserve">:"transport_car_using_gasoline_mix-transport_useful_demand_cars@passenger_kms": </t>
  </si>
  <si>
    <t xml:space="preserve">:"transport_car_using_hydrogen-transport_useful_demand_cars@passenger_kms": </t>
  </si>
  <si>
    <t xml:space="preserve">:"transport_car_using_lpg-transport_useful_demand_cars@passenger_kms": </t>
  </si>
  <si>
    <t xml:space="preserve">:"transport_truck_using_compressed_natural_gas-transport_useful_demand_trucks@freight_tonne_kms": </t>
  </si>
  <si>
    <t xml:space="preserve">:"transport_truck_using_diesel_mix-transport_useful_demand_trucks@freight_tonne_kms": </t>
  </si>
  <si>
    <t xml:space="preserve">:"transport_truck_using_electricity-transport_useful_demand_trucks@freight_tonne_kms": </t>
  </si>
  <si>
    <t xml:space="preserve">:"transport_truck_using_gasoline_mix-transport_useful_demand_trucks@freight_tonne_kms": </t>
  </si>
  <si>
    <t xml:space="preserve">:"transport_truck_using_hydrogen-transport_useful_demand_trucks@freight_tonne_kms": </t>
  </si>
  <si>
    <t xml:space="preserve">:"transport_truck_using_lng_mix-transport_useful_demand_trucks@freight_tonne_kms": </t>
  </si>
  <si>
    <t xml:space="preserve">:"transport_bus_using_compressed_natural_gas-transport_useful_demand_busses@passenger_kms": </t>
  </si>
  <si>
    <t xml:space="preserve">:"transport_bus_using_diesel_mix-transport_useful_demand_busses@passenger_kms": </t>
  </si>
  <si>
    <t xml:space="preserve">:"transport_bus_using_electricity-transport_useful_demand_busses@passenger_kms": </t>
  </si>
  <si>
    <t xml:space="preserve">:"transport_bus_using_gasoline_mix-transport_useful_demand_busses@passenger_kms": </t>
  </si>
  <si>
    <t xml:space="preserve">:"transport_bus_using_hydrogen-transport_useful_demand_busses@passenger_kms": </t>
  </si>
  <si>
    <t xml:space="preserve">:"transport_bus_using_lng_mix-transport_useful_demand_busses@passenger_kms": </t>
  </si>
  <si>
    <t xml:space="preserve">:"transport_plane_using_bio_ethanol-transport_useful_demand_planes@passenger_kms": </t>
  </si>
  <si>
    <t xml:space="preserve">:"transport_plane_using_gasoline-transport_useful_demand_planes@passenger_kms": </t>
  </si>
  <si>
    <t xml:space="preserve">:"transport_plane_using_kerosene-transport_useful_demand_planes@passenger_kms": </t>
  </si>
  <si>
    <t xml:space="preserve">:"transport_motorcycle_using_electricity-transport_useful_demand_motorcycles@passenger_kms": </t>
  </si>
  <si>
    <t xml:space="preserve">:"transport_motorcycle_using_gasoline_mix-transport_useful_demand_motorcycles@passenger_kms": </t>
  </si>
  <si>
    <t xml:space="preserve">:"transport_bicycle_using_electricity-transport_useful_demand_bicycles@passenger_kms": </t>
  </si>
  <si>
    <t xml:space="preserve">:"transport_bicycle_using_human_energy-transport_useful_demand_bicycles@passenger_kms": </t>
  </si>
  <si>
    <t xml:space="preserve">:"transport_freight_train_using_diesel_mix-transport_useful_demand_freight_trains@freight_tonne_kms": </t>
  </si>
  <si>
    <t xml:space="preserve">:"transport_passenger_train_using_coal-transport_useful_demand_passenger_trains@passenger_kms": </t>
  </si>
  <si>
    <t xml:space="preserve">:"transport_passenger_train_using_diesel_mix-transport_useful_demand_passenger_trains@passenger_kms": </t>
  </si>
  <si>
    <t xml:space="preserve">:"transport_passenger_train_using_electricity-transport_useful_demand_passenger_trains@passenger_kms": </t>
  </si>
  <si>
    <t xml:space="preserve">:"transport_freight_train_using_electricity-transport_useful_demand_freight_trains@freight_tonne_kms": </t>
  </si>
  <si>
    <t>NL 2015</t>
  </si>
  <si>
    <t xml:space="preserve">:"transport_ship_using_diesel_mix-transport_useful_demand_ships@freight_tonne_kms": </t>
  </si>
  <si>
    <t xml:space="preserve">:"transport_ship_using_lng_mix-transport_useful_demand_ships@freight_tonne_kms": </t>
  </si>
  <si>
    <t>https://klimaatmonitor.databank.nl/Jive?sel_guid=931708d4-501c-4cea-9b39-02c67fe2ec3c</t>
  </si>
  <si>
    <t>https://klimaatmonitor.databank.nl/Jive?sel_guid=dbc2a6bf-3e81-4d13-9ad0-c3b8ca10d4db</t>
  </si>
  <si>
    <t>Number of cars Gemeente Groningen</t>
  </si>
  <si>
    <t xml:space="preserve">Klimaatmonitor (personenauto's): </t>
  </si>
  <si>
    <t>Scaled by # EV's from klimaatmonitor. Klimaatmonitor: lokaal in Groningen 49 FEVs  en 460 PHEVS. TNO-rapport Monitoring van plug-in hybride voertuigen (PHEVS) april 2012 tm maart 2016 geeft aan dat PHEVs in 2015 gemiddeld 30% van het aantal kilometers elektrisch reed</t>
  </si>
  <si>
    <t>Dataset 2015 geschaald naar CNG voertuigen (geen cijfers over LNG) Borsele/Nl vervolgens op aantal auto's cars Baarland/Borsele</t>
  </si>
  <si>
    <t>Dataset 2015 geschaald naar aantal voertuigen uit klimaatmonitor (259 op 10716 Gemeente Groningen vs NL), daarna geschaald op auto's Reitdiep/Groningen.</t>
  </si>
  <si>
    <t>Buiten de scope, ook niet meegenomen bij dataset Paddelpoel.</t>
  </si>
  <si>
    <t>Geen dieseltrein in Reitdiep</t>
  </si>
  <si>
    <t>Geen kolentrein in Reitdiep</t>
  </si>
  <si>
    <t>Geen trein in Reitdiep</t>
  </si>
  <si>
    <t>Geen tram in Reitdiep</t>
  </si>
  <si>
    <t>Aaname is dat de haven van Reitdiep vooral door recreatievaart wordt gebruikt.</t>
  </si>
  <si>
    <t>Jachthaven</t>
  </si>
  <si>
    <t>aantal ligplaatsen</t>
  </si>
  <si>
    <t>Source</t>
  </si>
  <si>
    <t>Reitdiep</t>
  </si>
  <si>
    <t>http://www.reitdiephaven.nl/ligplaatsen/capaciteit-en-plattegrond</t>
  </si>
  <si>
    <t>Jachthaven Groningen Motorclub</t>
  </si>
  <si>
    <t>Schatting maps: https://www.google.nl/maps/place/Jachthaven+Groninger+Motorboot+Club+(GMC)/@53.2224274,6.593564,219m/data=!3m1!1e3!4m5!3m4!1s0x47c9d2bb0150c57d:0x994c07855395e85f!8m2!3d53.2222036!4d6.5942403</t>
  </si>
  <si>
    <t>Jachthaven Oosterhaven</t>
  </si>
  <si>
    <t>schatting maps: https://www.google.nl/maps/place/Oosterhaven,+Groningen/@53.2163168,6.5769403,351m/data=!3m1!1e3!4m5!3m4!1s0x47c9d2a90f528a15:0x89473f6a78d446a8!8m2!3d53.2165754!4d6.5796486</t>
  </si>
  <si>
    <t>Zuiderhaven</t>
  </si>
  <si>
    <t>Schatting zuiderhaven: https://www.google.nl/maps/place/Zuiderhaven/@53.2135751,6.5582781,286m/data=!3m1!1e3!4m5!3m4!1s0x47c9cd52814400c9:0xa8d7df448a3f1867!8m2!3d53.2125281!4d6.5619689</t>
  </si>
  <si>
    <t>Voermanhaven</t>
  </si>
  <si>
    <t>Schatting Voermanhaven: https://www.google.nl/maps/place/Voermanhaven,+9742+VR+Groningen/@53.2241831,6.5389844,205m/data=!3m1!1e3!4m5!3m4!1s0x47c9cd3a536e76e7:0xb7e3bbccb3506cba!8m2!3d53.2248035!4d6.5394862</t>
  </si>
  <si>
    <t>Totaal</t>
  </si>
  <si>
    <t>Totaal diesel &amp; bezinegebruik binnen- recreatievaart Gemeente Groningen</t>
  </si>
  <si>
    <t>Klimaatmonitor</t>
  </si>
  <si>
    <t>Deel van energie geschaald op ligplaatsen Reitdiep t.o.v. gemeente Groningen</t>
  </si>
  <si>
    <t xml:space="preserve">Boottype </t>
  </si>
  <si>
    <t>source: http://www.emissieregistratie.nl/erpubliek/documenten/Water/Factsheets/Nederlands/Motoremissies%20uit%20de%20recreatievaart.pdf</t>
  </si>
  <si>
    <t>Motoruren (uur/jaar)</t>
  </si>
  <si>
    <t>Gebruik (kg/uur)</t>
  </si>
  <si>
    <t xml:space="preserve">Verdeling </t>
  </si>
  <si>
    <t>Open zeilboot</t>
  </si>
  <si>
    <t>Open motorboot</t>
  </si>
  <si>
    <t>Snelle open motorboot</t>
  </si>
  <si>
    <t>Kajuitzeilboot</t>
  </si>
  <si>
    <t>Kajuitmotorboot</t>
  </si>
  <si>
    <t>Aantal boten Reitdiep</t>
  </si>
  <si>
    <t>Som brandstofgebruik (kg)</t>
  </si>
  <si>
    <t>MJ/kg van Diesel</t>
  </si>
  <si>
    <t>https://www.engineeringtoolbox.com/fuels-higher-calorific-values-d_169.html</t>
  </si>
  <si>
    <t>MJ in TJ</t>
  </si>
  <si>
    <t>TJ brandstofgebruik - Diesel</t>
  </si>
  <si>
    <t>Totale energievraag recreatievaart. Berekend vanuit aantal ligplaatsen 220 en 5 boottypes, meer informatie zie Tabblad Jachthaven Reitdiep</t>
  </si>
  <si>
    <t>Nederlands gemiddelde, geschaald op inwoners Reitdiep 2595/ inwoners NL 16900726 . CBS 2015</t>
  </si>
  <si>
    <t>inwoners NL</t>
  </si>
  <si>
    <t>inwoners Reitdiep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</si>
</sst>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000"/>
    <numFmt numFmtId="166" formatCode="#,##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rgb="FFFFFFFF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84">
    <xf numFmtId="0" fontId="0" fillId="0" borderId="0" xfId="0"/>
    <xf numFmtId="0" fontId="0" fillId="2" borderId="0" xfId="0" applyFill="1"/>
    <xf numFmtId="0" fontId="0" fillId="2" borderId="0" xfId="0" applyFill="1" applyBorder="1"/>
    <xf numFmtId="0" fontId="6" fillId="2" borderId="11" xfId="0" applyFont="1" applyFill="1" applyBorder="1"/>
    <xf numFmtId="0" fontId="0" fillId="2" borderId="12" xfId="0" applyFill="1" applyBorder="1"/>
    <xf numFmtId="0" fontId="6" fillId="2" borderId="13" xfId="0" applyFont="1" applyFill="1" applyBorder="1"/>
    <xf numFmtId="0" fontId="7" fillId="2" borderId="13" xfId="0" applyFont="1" applyFill="1" applyBorder="1"/>
    <xf numFmtId="0" fontId="0" fillId="2" borderId="0" xfId="0" applyFont="1" applyFill="1" applyBorder="1"/>
    <xf numFmtId="0" fontId="9" fillId="5" borderId="0" xfId="0" applyFont="1" applyFill="1" applyBorder="1"/>
    <xf numFmtId="3" fontId="9" fillId="5" borderId="15" xfId="0" applyNumberFormat="1" applyFont="1" applyFill="1" applyBorder="1" applyAlignment="1">
      <alignment horizontal="center"/>
    </xf>
    <xf numFmtId="3" fontId="9" fillId="2" borderId="0" xfId="0" applyNumberFormat="1" applyFont="1" applyFill="1" applyBorder="1"/>
    <xf numFmtId="0" fontId="9" fillId="5" borderId="15" xfId="0" applyFont="1" applyFill="1" applyBorder="1" applyAlignment="1">
      <alignment horizontal="center"/>
    </xf>
    <xf numFmtId="0" fontId="9" fillId="2" borderId="0" xfId="0" applyFont="1" applyFill="1" applyBorder="1"/>
    <xf numFmtId="0" fontId="0" fillId="2" borderId="14" xfId="0" applyFill="1" applyBorder="1"/>
    <xf numFmtId="0" fontId="0" fillId="2" borderId="5" xfId="0" applyFill="1" applyBorder="1"/>
    <xf numFmtId="9" fontId="0" fillId="2" borderId="0" xfId="2" applyFont="1" applyFill="1" applyBorder="1"/>
    <xf numFmtId="0" fontId="0" fillId="2" borderId="13" xfId="0" applyFill="1" applyBorder="1"/>
    <xf numFmtId="0" fontId="12" fillId="5" borderId="14" xfId="0" applyFont="1" applyFill="1" applyBorder="1"/>
    <xf numFmtId="0" fontId="12" fillId="2" borderId="5" xfId="0" applyFont="1" applyFill="1" applyBorder="1"/>
    <xf numFmtId="0" fontId="12" fillId="2" borderId="5" xfId="0" applyFont="1" applyFill="1" applyBorder="1" applyAlignment="1">
      <alignment horizontal="left"/>
    </xf>
    <xf numFmtId="0" fontId="12" fillId="5" borderId="13" xfId="0" applyFont="1" applyFill="1" applyBorder="1"/>
    <xf numFmtId="0" fontId="12" fillId="2" borderId="0" xfId="0" applyFont="1" applyFill="1" applyBorder="1"/>
    <xf numFmtId="0" fontId="12" fillId="2" borderId="0" xfId="0" applyFont="1" applyFill="1" applyBorder="1" applyAlignment="1">
      <alignment horizontal="left"/>
    </xf>
    <xf numFmtId="3" fontId="0" fillId="2" borderId="0" xfId="0" applyNumberFormat="1" applyFill="1" applyBorder="1"/>
    <xf numFmtId="3" fontId="9" fillId="2" borderId="16" xfId="0" applyNumberFormat="1" applyFont="1" applyFill="1" applyBorder="1"/>
    <xf numFmtId="0" fontId="0" fillId="2" borderId="2" xfId="0" applyFill="1" applyBorder="1"/>
    <xf numFmtId="0" fontId="7" fillId="2" borderId="17" xfId="0" applyFont="1" applyFill="1" applyBorder="1"/>
    <xf numFmtId="0" fontId="0" fillId="2" borderId="0" xfId="0" applyFill="1" applyBorder="1" applyAlignment="1">
      <alignment horizontal="left"/>
    </xf>
    <xf numFmtId="0" fontId="13" fillId="2" borderId="0" xfId="0" applyFont="1" applyFill="1" applyBorder="1"/>
    <xf numFmtId="0" fontId="6" fillId="2" borderId="1" xfId="0" applyFont="1" applyFill="1" applyBorder="1"/>
    <xf numFmtId="0" fontId="0" fillId="2" borderId="3" xfId="0" applyFill="1" applyBorder="1"/>
    <xf numFmtId="0" fontId="0" fillId="2" borderId="18" xfId="0" applyFill="1" applyBorder="1"/>
    <xf numFmtId="0" fontId="0" fillId="2" borderId="9" xfId="0" applyFill="1" applyBorder="1"/>
    <xf numFmtId="0" fontId="6" fillId="2" borderId="1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14" fillId="2" borderId="13" xfId="0" applyFont="1" applyFill="1" applyBorder="1"/>
    <xf numFmtId="0" fontId="6" fillId="2" borderId="2" xfId="0" applyFont="1" applyFill="1" applyBorder="1" applyAlignment="1">
      <alignment vertical="top" wrapText="1"/>
    </xf>
    <xf numFmtId="0" fontId="0" fillId="2" borderId="13" xfId="0" applyFont="1" applyFill="1" applyBorder="1"/>
    <xf numFmtId="4" fontId="0" fillId="2" borderId="0" xfId="0" applyNumberFormat="1" applyFont="1" applyFill="1" applyBorder="1" applyAlignment="1">
      <alignment vertical="top" wrapText="1"/>
    </xf>
    <xf numFmtId="0" fontId="5" fillId="2" borderId="13" xfId="0" applyFont="1" applyFill="1" applyBorder="1"/>
    <xf numFmtId="1" fontId="6" fillId="2" borderId="0" xfId="2" applyNumberFormat="1" applyFont="1" applyFill="1" applyBorder="1" applyAlignment="1">
      <alignment vertical="top" wrapText="1"/>
    </xf>
    <xf numFmtId="4" fontId="6" fillId="2" borderId="0" xfId="0" applyNumberFormat="1" applyFont="1" applyFill="1" applyBorder="1" applyAlignment="1">
      <alignment vertical="top" wrapText="1"/>
    </xf>
    <xf numFmtId="4" fontId="6" fillId="2" borderId="5" xfId="0" applyNumberFormat="1" applyFont="1" applyFill="1" applyBorder="1"/>
    <xf numFmtId="4" fontId="6" fillId="2" borderId="0" xfId="0" applyNumberFormat="1" applyFont="1" applyFill="1" applyBorder="1"/>
    <xf numFmtId="0" fontId="11" fillId="2" borderId="0" xfId="0" applyFont="1" applyFill="1" applyBorder="1"/>
    <xf numFmtId="0" fontId="14" fillId="2" borderId="17" xfId="0" applyFont="1" applyFill="1" applyBorder="1"/>
    <xf numFmtId="0" fontId="14" fillId="2" borderId="20" xfId="0" applyFont="1" applyFill="1" applyBorder="1"/>
    <xf numFmtId="4" fontId="6" fillId="2" borderId="20" xfId="0" applyNumberFormat="1" applyFont="1" applyFill="1" applyBorder="1"/>
    <xf numFmtId="0" fontId="14" fillId="2" borderId="0" xfId="0" applyFont="1" applyFill="1" applyBorder="1"/>
    <xf numFmtId="4" fontId="3" fillId="2" borderId="0" xfId="3" applyNumberFormat="1" applyFill="1" applyBorder="1"/>
    <xf numFmtId="4" fontId="6" fillId="2" borderId="2" xfId="0" applyNumberFormat="1" applyFont="1" applyFill="1" applyBorder="1"/>
    <xf numFmtId="0" fontId="7" fillId="2" borderId="13" xfId="0" applyFont="1" applyFill="1" applyBorder="1" applyAlignment="1">
      <alignment horizontal="left" indent="2"/>
    </xf>
    <xf numFmtId="0" fontId="0" fillId="2" borderId="13" xfId="0" applyFont="1" applyFill="1" applyBorder="1" applyAlignment="1">
      <alignment horizontal="left" indent="2"/>
    </xf>
    <xf numFmtId="0" fontId="14" fillId="2" borderId="22" xfId="0" applyFont="1" applyFill="1" applyBorder="1"/>
    <xf numFmtId="0" fontId="11" fillId="2" borderId="7" xfId="0" applyFont="1" applyFill="1" applyBorder="1"/>
    <xf numFmtId="4" fontId="6" fillId="2" borderId="7" xfId="0" applyNumberFormat="1" applyFont="1" applyFill="1" applyBorder="1"/>
    <xf numFmtId="0" fontId="0" fillId="2" borderId="22" xfId="0" applyFill="1" applyBorder="1"/>
    <xf numFmtId="0" fontId="0" fillId="2" borderId="7" xfId="0" applyFill="1" applyBorder="1"/>
    <xf numFmtId="0" fontId="0" fillId="0" borderId="0" xfId="0" applyBorder="1"/>
    <xf numFmtId="0" fontId="0" fillId="2" borderId="23" xfId="0" applyFill="1" applyBorder="1"/>
    <xf numFmtId="4" fontId="3" fillId="6" borderId="1" xfId="3" applyNumberFormat="1" applyFill="1" applyBorder="1"/>
    <xf numFmtId="4" fontId="3" fillId="6" borderId="2" xfId="3" applyNumberFormat="1" applyFill="1" applyBorder="1"/>
    <xf numFmtId="4" fontId="3" fillId="6" borderId="8" xfId="3" applyNumberFormat="1" applyFill="1" applyBorder="1"/>
    <xf numFmtId="4" fontId="3" fillId="6" borderId="0" xfId="3" applyNumberFormat="1" applyFill="1" applyBorder="1"/>
    <xf numFmtId="4" fontId="3" fillId="6" borderId="5" xfId="3" applyNumberFormat="1" applyFill="1" applyBorder="1"/>
    <xf numFmtId="164" fontId="1" fillId="2" borderId="0" xfId="2" applyNumberFormat="1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10" fontId="3" fillId="6" borderId="9" xfId="3" applyNumberFormat="1" applyFill="1" applyBorder="1"/>
    <xf numFmtId="10" fontId="14" fillId="2" borderId="9" xfId="0" applyNumberFormat="1" applyFont="1" applyFill="1" applyBorder="1"/>
    <xf numFmtId="4" fontId="3" fillId="2" borderId="7" xfId="3" applyNumberFormat="1" applyFill="1" applyBorder="1"/>
    <xf numFmtId="10" fontId="14" fillId="2" borderId="23" xfId="0" applyNumberFormat="1" applyFont="1" applyFill="1" applyBorder="1"/>
    <xf numFmtId="3" fontId="6" fillId="2" borderId="2" xfId="0" applyNumberFormat="1" applyFont="1" applyFill="1" applyBorder="1" applyAlignment="1">
      <alignment vertical="top" wrapText="1"/>
    </xf>
    <xf numFmtId="0" fontId="0" fillId="2" borderId="21" xfId="0" applyFill="1" applyBorder="1"/>
    <xf numFmtId="0" fontId="6" fillId="0" borderId="5" xfId="0" applyFont="1" applyFill="1" applyBorder="1" applyAlignment="1">
      <alignment vertical="top"/>
    </xf>
    <xf numFmtId="0" fontId="8" fillId="5" borderId="17" xfId="0" applyFont="1" applyFill="1" applyBorder="1"/>
    <xf numFmtId="0" fontId="9" fillId="5" borderId="2" xfId="0" applyFont="1" applyFill="1" applyBorder="1" applyAlignment="1">
      <alignment horizontal="center"/>
    </xf>
    <xf numFmtId="9" fontId="9" fillId="5" borderId="2" xfId="0" applyNumberFormat="1" applyFont="1" applyFill="1" applyBorder="1" applyAlignment="1">
      <alignment horizontal="right"/>
    </xf>
    <xf numFmtId="0" fontId="9" fillId="5" borderId="13" xfId="0" applyFont="1" applyFill="1" applyBorder="1"/>
    <xf numFmtId="3" fontId="9" fillId="5" borderId="0" xfId="0" applyNumberFormat="1" applyFont="1" applyFill="1" applyBorder="1" applyAlignment="1">
      <alignment horizontal="center"/>
    </xf>
    <xf numFmtId="4" fontId="3" fillId="6" borderId="4" xfId="3" applyNumberFormat="1" applyFill="1" applyBorder="1"/>
    <xf numFmtId="0" fontId="0" fillId="2" borderId="0" xfId="0" applyFill="1" applyBorder="1" applyAlignment="1">
      <alignment vertical="top" wrapText="1"/>
    </xf>
    <xf numFmtId="0" fontId="12" fillId="2" borderId="5" xfId="0" applyFont="1" applyFill="1" applyBorder="1" applyAlignment="1">
      <alignment wrapText="1"/>
    </xf>
    <xf numFmtId="10" fontId="3" fillId="2" borderId="9" xfId="3" applyNumberFormat="1" applyFill="1" applyBorder="1"/>
    <xf numFmtId="4" fontId="3" fillId="2" borderId="2" xfId="3" applyNumberFormat="1" applyFill="1" applyBorder="1"/>
    <xf numFmtId="0" fontId="11" fillId="2" borderId="2" xfId="0" applyFont="1" applyFill="1" applyBorder="1"/>
    <xf numFmtId="164" fontId="1" fillId="2" borderId="2" xfId="2" applyNumberFormat="1" applyFont="1" applyFill="1" applyBorder="1"/>
    <xf numFmtId="10" fontId="3" fillId="2" borderId="21" xfId="3" applyNumberFormat="1" applyFill="1" applyBorder="1"/>
    <xf numFmtId="0" fontId="7" fillId="2" borderId="17" xfId="0" applyFont="1" applyFill="1" applyBorder="1" applyAlignment="1">
      <alignment horizontal="left" vertical="top"/>
    </xf>
    <xf numFmtId="10" fontId="0" fillId="2" borderId="0" xfId="0" applyNumberFormat="1" applyFill="1" applyBorder="1"/>
    <xf numFmtId="10" fontId="0" fillId="2" borderId="7" xfId="0" applyNumberFormat="1" applyFill="1" applyBorder="1"/>
    <xf numFmtId="10" fontId="0" fillId="2" borderId="16" xfId="0" applyNumberFormat="1" applyFill="1" applyBorder="1"/>
    <xf numFmtId="10" fontId="0" fillId="2" borderId="0" xfId="0" applyNumberFormat="1" applyFill="1" applyBorder="1" applyAlignment="1">
      <alignment horizontal="left"/>
    </xf>
    <xf numFmtId="10" fontId="9" fillId="2" borderId="16" xfId="0" applyNumberFormat="1" applyFont="1" applyFill="1" applyBorder="1"/>
    <xf numFmtId="10" fontId="0" fillId="0" borderId="0" xfId="0" applyNumberFormat="1"/>
    <xf numFmtId="0" fontId="6" fillId="0" borderId="19" xfId="0" applyFont="1" applyFill="1" applyBorder="1" applyAlignment="1">
      <alignment wrapText="1"/>
    </xf>
    <xf numFmtId="3" fontId="0" fillId="2" borderId="0" xfId="0" applyNumberFormat="1" applyFill="1" applyBorder="1" applyAlignment="1">
      <alignment horizontal="left"/>
    </xf>
    <xf numFmtId="2" fontId="9" fillId="2" borderId="0" xfId="0" applyNumberFormat="1" applyFont="1" applyFill="1" applyBorder="1"/>
    <xf numFmtId="2" fontId="9" fillId="5" borderId="0" xfId="0" applyNumberFormat="1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left"/>
    </xf>
    <xf numFmtId="2" fontId="0" fillId="2" borderId="0" xfId="0" applyNumberForma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2" fillId="2" borderId="0" xfId="0" applyFont="1" applyFill="1" applyBorder="1" applyAlignment="1">
      <alignment wrapText="1"/>
    </xf>
    <xf numFmtId="3" fontId="9" fillId="2" borderId="16" xfId="0" applyNumberFormat="1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9" fontId="0" fillId="2" borderId="16" xfId="2" applyFont="1" applyFill="1" applyBorder="1" applyAlignment="1">
      <alignment wrapText="1"/>
    </xf>
    <xf numFmtId="9" fontId="11" fillId="2" borderId="16" xfId="4" applyNumberFormat="1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9" fontId="11" fillId="2" borderId="24" xfId="4" applyNumberFormat="1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165" fontId="0" fillId="0" borderId="0" xfId="0" applyNumberFormat="1"/>
    <xf numFmtId="0" fontId="6" fillId="2" borderId="0" xfId="0" applyFont="1" applyFill="1" applyBorder="1"/>
    <xf numFmtId="3" fontId="9" fillId="0" borderId="16" xfId="0" applyNumberFormat="1" applyFont="1" applyFill="1" applyBorder="1"/>
    <xf numFmtId="0" fontId="9" fillId="0" borderId="0" xfId="0" applyFont="1"/>
    <xf numFmtId="3" fontId="0" fillId="0" borderId="0" xfId="0" applyNumberFormat="1"/>
    <xf numFmtId="0" fontId="6" fillId="0" borderId="0" xfId="0" applyFont="1"/>
    <xf numFmtId="165" fontId="9" fillId="2" borderId="16" xfId="0" applyNumberFormat="1" applyFont="1" applyFill="1" applyBorder="1"/>
    <xf numFmtId="0" fontId="0" fillId="2" borderId="0" xfId="0" applyFill="1" applyBorder="1" applyAlignment="1">
      <alignment horizontal="center"/>
    </xf>
    <xf numFmtId="0" fontId="0" fillId="2" borderId="25" xfId="2" applyNumberFormat="1" applyFont="1" applyFill="1" applyBorder="1"/>
    <xf numFmtId="0" fontId="0" fillId="2" borderId="8" xfId="0" applyFill="1" applyBorder="1"/>
    <xf numFmtId="9" fontId="0" fillId="0" borderId="16" xfId="2" applyFont="1" applyBorder="1"/>
    <xf numFmtId="9" fontId="0" fillId="0" borderId="0" xfId="2" applyFont="1" applyBorder="1"/>
    <xf numFmtId="0" fontId="0" fillId="2" borderId="16" xfId="0" applyFill="1" applyBorder="1"/>
    <xf numFmtId="164" fontId="11" fillId="2" borderId="8" xfId="2" applyNumberFormat="1" applyFont="1" applyFill="1" applyBorder="1" applyAlignment="1">
      <alignment wrapText="1"/>
    </xf>
    <xf numFmtId="9" fontId="11" fillId="2" borderId="16" xfId="4" applyNumberFormat="1" applyFont="1" applyFill="1" applyBorder="1"/>
    <xf numFmtId="9" fontId="11" fillId="2" borderId="0" xfId="4" applyNumberFormat="1" applyFont="1" applyFill="1" applyBorder="1"/>
    <xf numFmtId="0" fontId="0" fillId="2" borderId="25" xfId="0" applyFill="1" applyBorder="1"/>
    <xf numFmtId="2" fontId="0" fillId="0" borderId="0" xfId="2" applyNumberFormat="1" applyFont="1" applyBorder="1"/>
    <xf numFmtId="0" fontId="0" fillId="2" borderId="26" xfId="0" applyFill="1" applyBorder="1"/>
    <xf numFmtId="0" fontId="0" fillId="2" borderId="4" xfId="0" applyFill="1" applyBorder="1"/>
    <xf numFmtId="0" fontId="0" fillId="2" borderId="19" xfId="0" applyFill="1" applyBorder="1"/>
    <xf numFmtId="0" fontId="0" fillId="0" borderId="16" xfId="2" applyNumberFormat="1" applyFont="1" applyBorder="1"/>
    <xf numFmtId="9" fontId="0" fillId="0" borderId="16" xfId="2" applyNumberFormat="1" applyFont="1" applyBorder="1"/>
    <xf numFmtId="0" fontId="0" fillId="2" borderId="27" xfId="0" applyFill="1" applyBorder="1"/>
    <xf numFmtId="9" fontId="0" fillId="2" borderId="16" xfId="0" applyNumberFormat="1" applyFill="1" applyBorder="1"/>
    <xf numFmtId="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9" fontId="0" fillId="2" borderId="0" xfId="2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1" fillId="2" borderId="0" xfId="0" applyNumberFormat="1" applyFont="1" applyFill="1" applyBorder="1"/>
    <xf numFmtId="3" fontId="0" fillId="2" borderId="0" xfId="0" applyNumberFormat="1" applyFont="1" applyFill="1" applyBorder="1"/>
    <xf numFmtId="164" fontId="11" fillId="2" borderId="0" xfId="2" applyNumberFormat="1" applyFont="1" applyFill="1" applyBorder="1" applyAlignment="1">
      <alignment wrapText="1"/>
    </xf>
    <xf numFmtId="0" fontId="16" fillId="0" borderId="0" xfId="5"/>
    <xf numFmtId="0" fontId="16" fillId="2" borderId="0" xfId="5" applyFill="1" applyBorder="1" applyAlignment="1">
      <alignment wrapText="1"/>
    </xf>
    <xf numFmtId="3" fontId="9" fillId="2" borderId="0" xfId="0" applyNumberFormat="1" applyFont="1" applyFill="1" applyBorder="1" applyAlignment="1">
      <alignment wrapText="1"/>
    </xf>
    <xf numFmtId="9" fontId="12" fillId="5" borderId="2" xfId="0" applyNumberFormat="1" applyFont="1" applyFill="1" applyBorder="1" applyAlignment="1">
      <alignment horizontal="right"/>
    </xf>
    <xf numFmtId="2" fontId="9" fillId="2" borderId="16" xfId="0" applyNumberFormat="1" applyFont="1" applyFill="1" applyBorder="1"/>
    <xf numFmtId="9" fontId="11" fillId="2" borderId="0" xfId="4" applyNumberFormat="1" applyFont="1" applyFill="1" applyBorder="1" applyAlignment="1">
      <alignment wrapText="1"/>
    </xf>
    <xf numFmtId="0" fontId="9" fillId="2" borderId="5" xfId="0" applyFont="1" applyFill="1" applyBorder="1"/>
    <xf numFmtId="3" fontId="9" fillId="5" borderId="5" xfId="0" applyNumberFormat="1" applyFont="1" applyFill="1" applyBorder="1" applyAlignment="1">
      <alignment horizontal="center"/>
    </xf>
    <xf numFmtId="2" fontId="0" fillId="2" borderId="5" xfId="0" applyNumberFormat="1" applyFill="1" applyBorder="1"/>
    <xf numFmtId="3" fontId="9" fillId="2" borderId="5" xfId="0" applyNumberFormat="1" applyFont="1" applyFill="1" applyBorder="1"/>
    <xf numFmtId="9" fontId="11" fillId="2" borderId="5" xfId="4" applyNumberFormat="1" applyFont="1" applyFill="1" applyBorder="1" applyAlignment="1">
      <alignment wrapText="1"/>
    </xf>
    <xf numFmtId="166" fontId="9" fillId="0" borderId="16" xfId="0" applyNumberFormat="1" applyFont="1" applyFill="1" applyBorder="1"/>
    <xf numFmtId="0" fontId="8" fillId="7" borderId="17" xfId="0" applyFont="1" applyFill="1" applyBorder="1"/>
    <xf numFmtId="0" fontId="8" fillId="7" borderId="2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wrapText="1"/>
    </xf>
    <xf numFmtId="0" fontId="8" fillId="7" borderId="13" xfId="0" applyFont="1" applyFill="1" applyBorder="1"/>
    <xf numFmtId="0" fontId="9" fillId="7" borderId="0" xfId="0" applyFont="1" applyFill="1"/>
    <xf numFmtId="0" fontId="9" fillId="7" borderId="0" xfId="0" applyFont="1" applyFill="1" applyAlignment="1">
      <alignment horizontal="center"/>
    </xf>
    <xf numFmtId="2" fontId="9" fillId="0" borderId="16" xfId="0" applyNumberFormat="1" applyFont="1" applyBorder="1"/>
    <xf numFmtId="9" fontId="11" fillId="7" borderId="16" xfId="0" applyNumberFormat="1" applyFont="1" applyFill="1" applyBorder="1" applyAlignment="1">
      <alignment wrapText="1"/>
    </xf>
    <xf numFmtId="2" fontId="9" fillId="0" borderId="28" xfId="0" applyNumberFormat="1" applyFont="1" applyBorder="1"/>
    <xf numFmtId="9" fontId="11" fillId="7" borderId="28" xfId="0" applyNumberFormat="1" applyFont="1" applyFill="1" applyBorder="1" applyAlignment="1">
      <alignment wrapText="1"/>
    </xf>
    <xf numFmtId="0" fontId="9" fillId="7" borderId="13" xfId="0" applyFont="1" applyFill="1" applyBorder="1"/>
    <xf numFmtId="3" fontId="9" fillId="7" borderId="15" xfId="0" applyNumberFormat="1" applyFont="1" applyFill="1" applyBorder="1" applyAlignment="1">
      <alignment horizontal="center"/>
    </xf>
    <xf numFmtId="3" fontId="9" fillId="7" borderId="0" xfId="0" applyNumberFormat="1" applyFont="1" applyFill="1" applyAlignment="1">
      <alignment horizontal="left"/>
    </xf>
    <xf numFmtId="3" fontId="9" fillId="7" borderId="0" xfId="0" applyNumberFormat="1" applyFont="1" applyFill="1"/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1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Good" xfId="3" builtinId="26"/>
    <cellStyle name="Hyperlink" xfId="5" builtinId="8"/>
    <cellStyle name="Normal" xfId="0" builtinId="0"/>
    <cellStyle name="Normal 2_Sheet3" xfId="1"/>
    <cellStyle name="Output" xfId="4" builtinId="21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limaatmonitor.databank.nl/Jive?sel_guid=dbc2a6bf-3e81-4d13-9ad0-c3b8ca10d4db" TargetMode="External"/><Relationship Id="rId2" Type="http://schemas.openxmlformats.org/officeDocument/2006/relationships/hyperlink" Target="https://klimaatmonitor.databank.nl/Jive?sel_guid=931708d4-501c-4cea-9b39-02c67fe2ec3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fuels-higher-calorific-values-d_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Y117"/>
  <sheetViews>
    <sheetView tabSelected="1" workbookViewId="0">
      <selection activeCell="S24" sqref="S24"/>
    </sheetView>
  </sheetViews>
  <sheetFormatPr baseColWidth="10" defaultRowHeight="16" x14ac:dyDescent="0.2"/>
  <cols>
    <col min="2" max="2" width="25.83203125" bestFit="1" customWidth="1"/>
    <col min="3" max="3" width="48.6640625" bestFit="1" customWidth="1"/>
    <col min="4" max="4" width="15.5" customWidth="1"/>
    <col min="5" max="5" width="16.1640625" customWidth="1"/>
    <col min="6" max="8" width="13.5" customWidth="1"/>
    <col min="9" max="9" width="77.5" style="116" customWidth="1"/>
    <col min="10" max="10" width="13.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05"/>
      <c r="J1" s="1"/>
      <c r="K1" s="1"/>
      <c r="L1" s="1"/>
    </row>
    <row r="2" spans="1:12" ht="17" thickBot="1" x14ac:dyDescent="0.25">
      <c r="A2" s="1"/>
      <c r="B2" s="1"/>
      <c r="C2" s="1"/>
      <c r="D2" s="1"/>
      <c r="E2" s="1"/>
      <c r="F2" s="1"/>
      <c r="G2" s="1"/>
      <c r="H2" s="1"/>
      <c r="I2" s="105"/>
      <c r="J2" s="1"/>
      <c r="K2" s="1"/>
      <c r="L2" s="1"/>
    </row>
    <row r="3" spans="1:12" x14ac:dyDescent="0.2">
      <c r="A3" s="1"/>
      <c r="B3" s="3" t="s">
        <v>7</v>
      </c>
      <c r="C3" s="4"/>
      <c r="D3" s="4"/>
      <c r="E3" s="4"/>
      <c r="F3" s="4"/>
      <c r="G3" s="4"/>
      <c r="H3" s="4"/>
      <c r="I3" s="106"/>
      <c r="J3" s="4"/>
      <c r="K3" s="31"/>
      <c r="L3" s="1"/>
    </row>
    <row r="4" spans="1:12" x14ac:dyDescent="0.2">
      <c r="A4" s="1"/>
      <c r="B4" s="5"/>
      <c r="C4" s="2"/>
      <c r="D4" s="2"/>
      <c r="E4" s="2"/>
      <c r="F4" s="2"/>
      <c r="G4" s="2"/>
      <c r="H4" s="2"/>
      <c r="I4" s="107">
        <v>0.36469886535219698</v>
      </c>
      <c r="J4" s="2"/>
      <c r="K4" s="32"/>
      <c r="L4" s="1"/>
    </row>
    <row r="5" spans="1:12" ht="32" x14ac:dyDescent="0.2">
      <c r="A5" s="1"/>
      <c r="B5" s="17" t="s">
        <v>8</v>
      </c>
      <c r="C5" s="18"/>
      <c r="D5" s="18" t="s">
        <v>9</v>
      </c>
      <c r="E5" s="19" t="s">
        <v>67</v>
      </c>
      <c r="F5" s="18" t="s">
        <v>10</v>
      </c>
      <c r="G5" s="18"/>
      <c r="H5" s="85" t="s">
        <v>80</v>
      </c>
      <c r="I5" s="85" t="s">
        <v>68</v>
      </c>
      <c r="J5" s="2"/>
      <c r="K5" s="32"/>
      <c r="L5" s="1"/>
    </row>
    <row r="6" spans="1:12" x14ac:dyDescent="0.2">
      <c r="A6" s="1"/>
      <c r="B6" s="20"/>
      <c r="C6" s="21"/>
      <c r="D6" s="21"/>
      <c r="E6" s="22"/>
      <c r="F6" s="21"/>
      <c r="G6" s="21"/>
      <c r="H6" s="108"/>
      <c r="I6" s="119" t="s">
        <v>74</v>
      </c>
      <c r="J6" s="2"/>
      <c r="K6" s="32"/>
      <c r="L6" s="1"/>
    </row>
    <row r="7" spans="1:12" x14ac:dyDescent="0.2">
      <c r="A7" s="1"/>
      <c r="B7" s="20"/>
      <c r="C7" s="21"/>
      <c r="D7" s="21"/>
      <c r="E7" s="22"/>
      <c r="F7" s="21"/>
      <c r="G7" s="21"/>
      <c r="H7" s="108"/>
      <c r="I7" s="154" t="s">
        <v>205</v>
      </c>
      <c r="J7" s="2"/>
      <c r="K7" s="32"/>
      <c r="L7" s="1"/>
    </row>
    <row r="8" spans="1:12" x14ac:dyDescent="0.2">
      <c r="A8" s="1"/>
      <c r="B8" s="20"/>
      <c r="C8" s="21"/>
      <c r="D8" s="21"/>
      <c r="E8" s="22"/>
      <c r="F8" s="21"/>
      <c r="G8" s="21"/>
      <c r="H8" s="108"/>
      <c r="I8" s="154" t="s">
        <v>206</v>
      </c>
      <c r="J8" s="2"/>
      <c r="K8" s="32"/>
      <c r="L8" s="1"/>
    </row>
    <row r="9" spans="1:12" x14ac:dyDescent="0.2">
      <c r="A9" s="1"/>
      <c r="B9" s="20"/>
      <c r="C9" s="21"/>
      <c r="D9" s="21"/>
      <c r="E9" s="22"/>
      <c r="F9" s="21"/>
      <c r="G9" s="21"/>
      <c r="H9" s="108"/>
      <c r="I9" s="119"/>
      <c r="J9" s="2"/>
      <c r="K9" s="32"/>
      <c r="L9" s="1"/>
    </row>
    <row r="10" spans="1:12" x14ac:dyDescent="0.2">
      <c r="A10" s="1"/>
      <c r="B10" s="20"/>
      <c r="C10" s="21"/>
      <c r="D10" s="21"/>
      <c r="E10" s="22"/>
      <c r="F10" s="21"/>
      <c r="G10" s="21"/>
      <c r="H10" s="108"/>
      <c r="I10" s="155"/>
      <c r="J10" s="2"/>
      <c r="K10" s="32"/>
      <c r="L10" s="1"/>
    </row>
    <row r="11" spans="1:12" ht="17" thickBot="1" x14ac:dyDescent="0.25">
      <c r="A11" s="1"/>
      <c r="B11" s="20" t="s">
        <v>18</v>
      </c>
      <c r="C11" s="21"/>
      <c r="D11" s="21"/>
      <c r="E11" s="22"/>
      <c r="F11" s="21"/>
      <c r="G11" s="21"/>
      <c r="H11" s="21"/>
      <c r="I11" s="108"/>
      <c r="J11" s="2"/>
      <c r="K11" s="32"/>
      <c r="L11" s="1"/>
    </row>
    <row r="12" spans="1:12" ht="17" thickBot="1" x14ac:dyDescent="0.25">
      <c r="A12" s="1"/>
      <c r="B12" s="20"/>
      <c r="C12" s="12" t="s">
        <v>19</v>
      </c>
      <c r="D12" s="21"/>
      <c r="E12" s="22"/>
      <c r="F12" s="24">
        <v>1070</v>
      </c>
      <c r="G12" s="10"/>
      <c r="H12" s="21"/>
      <c r="I12" s="109" t="s">
        <v>69</v>
      </c>
      <c r="J12" s="2"/>
      <c r="K12" s="32"/>
      <c r="L12" s="1"/>
    </row>
    <row r="13" spans="1:12" ht="17" thickBot="1" x14ac:dyDescent="0.25">
      <c r="A13" s="1"/>
      <c r="B13" s="20"/>
      <c r="C13" s="12" t="s">
        <v>207</v>
      </c>
      <c r="D13" s="21"/>
      <c r="E13" s="22"/>
      <c r="F13" s="24">
        <v>70987</v>
      </c>
      <c r="G13" s="10"/>
      <c r="H13" s="21"/>
      <c r="I13" s="109" t="s">
        <v>208</v>
      </c>
      <c r="J13" s="2"/>
      <c r="K13" s="32"/>
      <c r="L13" s="1"/>
    </row>
    <row r="14" spans="1:12" x14ac:dyDescent="0.2">
      <c r="A14" s="1"/>
      <c r="B14" s="20"/>
      <c r="C14" s="12"/>
      <c r="D14" s="21"/>
      <c r="E14" s="22"/>
      <c r="F14" s="10"/>
      <c r="G14" s="10"/>
      <c r="H14" s="21"/>
      <c r="I14" s="156"/>
      <c r="J14" s="2"/>
      <c r="K14" s="32"/>
      <c r="L14" s="1"/>
    </row>
    <row r="15" spans="1:12" ht="17" thickBot="1" x14ac:dyDescent="0.25">
      <c r="A15" s="1"/>
      <c r="B15" s="78" t="s">
        <v>22</v>
      </c>
      <c r="C15" s="25"/>
      <c r="D15" s="79"/>
      <c r="E15" s="80"/>
      <c r="F15" s="80"/>
      <c r="G15" s="157" t="s">
        <v>1</v>
      </c>
      <c r="H15" s="25"/>
      <c r="I15" s="110"/>
      <c r="J15" s="2"/>
      <c r="K15" s="32"/>
      <c r="L15" s="1"/>
    </row>
    <row r="16" spans="1:12" ht="17" thickBot="1" x14ac:dyDescent="0.25">
      <c r="A16" s="1"/>
      <c r="B16" s="81"/>
      <c r="C16" s="8" t="s">
        <v>20</v>
      </c>
      <c r="D16" s="9" t="s">
        <v>25</v>
      </c>
      <c r="E16" s="100"/>
      <c r="F16" s="24">
        <f xml:space="preserve"> 46542118 *(F12/F13)</f>
        <v>701537.83453308349</v>
      </c>
      <c r="G16" s="10">
        <f>F16*H16</f>
        <v>22.578293666612762</v>
      </c>
      <c r="H16" s="2">
        <f>43.2*0.745/10^6</f>
        <v>3.2184000000000002E-5</v>
      </c>
      <c r="I16" s="111" t="s">
        <v>26</v>
      </c>
      <c r="J16" s="2"/>
      <c r="K16" s="32"/>
      <c r="L16" s="1"/>
    </row>
    <row r="17" spans="1:12" ht="17" thickBot="1" x14ac:dyDescent="0.25">
      <c r="A17" s="1"/>
      <c r="B17" s="81"/>
      <c r="C17" s="8" t="s">
        <v>0</v>
      </c>
      <c r="D17" s="11" t="s">
        <v>25</v>
      </c>
      <c r="E17" s="101"/>
      <c r="F17" s="24">
        <f>37386260 *(F12/F13)</f>
        <v>563529.91674531961</v>
      </c>
      <c r="G17" s="10">
        <f>F17*H17</f>
        <v>20.207731990553768</v>
      </c>
      <c r="H17" s="2">
        <f>43.1*0.832/10^6</f>
        <v>3.5859200000000004E-5</v>
      </c>
      <c r="I17" s="111" t="s">
        <v>26</v>
      </c>
      <c r="J17" s="2"/>
      <c r="K17" s="32"/>
      <c r="L17" s="1"/>
    </row>
    <row r="18" spans="1:12" ht="49" thickBot="1" x14ac:dyDescent="0.25">
      <c r="A18" s="1"/>
      <c r="B18" s="81"/>
      <c r="C18" s="12" t="s">
        <v>5</v>
      </c>
      <c r="D18" s="9" t="s">
        <v>1</v>
      </c>
      <c r="E18" s="102">
        <v>115.22</v>
      </c>
      <c r="F18" s="124">
        <f xml:space="preserve"> 187/18840 *E18 * (F12/F13)</f>
        <v>1.7238264253222762E-2</v>
      </c>
      <c r="G18" s="10"/>
      <c r="H18" s="2"/>
      <c r="I18" s="111" t="s">
        <v>209</v>
      </c>
      <c r="J18" s="2"/>
      <c r="K18" s="32"/>
      <c r="L18" s="1"/>
    </row>
    <row r="19" spans="1:12" ht="17" thickBot="1" x14ac:dyDescent="0.25">
      <c r="A19" s="1"/>
      <c r="B19" s="81"/>
      <c r="C19" s="12" t="s">
        <v>4</v>
      </c>
      <c r="D19" s="9" t="s">
        <v>25</v>
      </c>
      <c r="E19" s="103"/>
      <c r="F19" s="24">
        <f>559453* (F12/F13)</f>
        <v>8432.7371208812874</v>
      </c>
      <c r="G19" s="10"/>
      <c r="H19" s="2">
        <f>46*0.524/10^6</f>
        <v>2.4103999999999998E-5</v>
      </c>
      <c r="I19" s="111" t="s">
        <v>26</v>
      </c>
      <c r="J19" s="2"/>
      <c r="K19" s="32"/>
      <c r="L19" s="1"/>
    </row>
    <row r="20" spans="1:12" ht="33" thickBot="1" x14ac:dyDescent="0.25">
      <c r="A20" s="1"/>
      <c r="B20" s="81"/>
      <c r="C20" s="2" t="s">
        <v>2</v>
      </c>
      <c r="D20" s="9" t="s">
        <v>1</v>
      </c>
      <c r="E20" s="104">
        <v>160.86000000000001</v>
      </c>
      <c r="F20" s="158">
        <f xml:space="preserve"> E20*(207/10978) *(F12/F13)</f>
        <v>4.571935958047102E-2</v>
      </c>
      <c r="G20" s="10"/>
      <c r="H20" s="2"/>
      <c r="I20" s="111" t="s">
        <v>210</v>
      </c>
      <c r="J20" s="2"/>
      <c r="K20" s="32"/>
      <c r="L20" s="1"/>
    </row>
    <row r="21" spans="1:12" ht="33" thickBot="1" x14ac:dyDescent="0.25">
      <c r="A21" s="1"/>
      <c r="B21" s="81"/>
      <c r="C21" s="2" t="s">
        <v>3</v>
      </c>
      <c r="D21" s="9" t="s">
        <v>1</v>
      </c>
      <c r="E21" s="102">
        <v>694.8</v>
      </c>
      <c r="F21" s="158">
        <f xml:space="preserve"> E21*(207/10978) *(F12/F13)</f>
        <v>0.19747489143672298</v>
      </c>
      <c r="G21" s="10"/>
      <c r="H21" s="2">
        <f>187 *F12/F13</f>
        <v>2.8186851113584179</v>
      </c>
      <c r="I21" s="111" t="s">
        <v>211</v>
      </c>
      <c r="J21" s="2"/>
      <c r="K21" s="32"/>
      <c r="L21" s="1"/>
    </row>
    <row r="22" spans="1:12" ht="17" thickBot="1" x14ac:dyDescent="0.25">
      <c r="A22" s="1"/>
      <c r="B22" s="81"/>
      <c r="C22" s="12" t="s">
        <v>21</v>
      </c>
      <c r="D22" s="9" t="s">
        <v>1</v>
      </c>
      <c r="E22" s="103"/>
      <c r="F22" s="24">
        <v>0</v>
      </c>
      <c r="G22" s="10"/>
      <c r="H22" s="2"/>
      <c r="I22" s="112" t="s">
        <v>57</v>
      </c>
      <c r="J22" s="2"/>
      <c r="K22" s="32"/>
      <c r="L22" s="1"/>
    </row>
    <row r="23" spans="1:12" ht="17" thickBot="1" x14ac:dyDescent="0.25">
      <c r="A23" s="1"/>
      <c r="B23" s="81"/>
      <c r="C23" s="12" t="s">
        <v>85</v>
      </c>
      <c r="D23" s="82" t="s">
        <v>1</v>
      </c>
      <c r="E23" s="103"/>
      <c r="F23" s="24">
        <v>0</v>
      </c>
      <c r="G23" s="10"/>
      <c r="H23" s="2"/>
      <c r="I23" s="112" t="s">
        <v>212</v>
      </c>
      <c r="J23" s="2"/>
      <c r="K23" s="32"/>
      <c r="L23" s="1"/>
    </row>
    <row r="24" spans="1:12" ht="17" thickBot="1" x14ac:dyDescent="0.25">
      <c r="A24" s="1"/>
      <c r="B24" s="81"/>
      <c r="C24" s="12" t="s">
        <v>86</v>
      </c>
      <c r="D24" s="82" t="s">
        <v>1</v>
      </c>
      <c r="E24" s="103"/>
      <c r="F24" s="24">
        <v>0</v>
      </c>
      <c r="G24" s="10"/>
      <c r="H24" s="2"/>
      <c r="I24" s="112" t="s">
        <v>212</v>
      </c>
      <c r="J24" s="2"/>
      <c r="K24" s="32"/>
      <c r="L24" s="1"/>
    </row>
    <row r="25" spans="1:12" ht="17" thickBot="1" x14ac:dyDescent="0.25">
      <c r="A25" s="1"/>
      <c r="B25" s="81"/>
      <c r="C25" s="12"/>
      <c r="D25" s="82"/>
      <c r="E25" s="103"/>
      <c r="F25" s="103"/>
      <c r="G25" s="10" t="s">
        <v>253</v>
      </c>
      <c r="H25" s="2" t="s">
        <v>254</v>
      </c>
      <c r="I25" s="159"/>
      <c r="J25" s="2"/>
      <c r="K25" s="32"/>
      <c r="L25" s="1"/>
    </row>
    <row r="26" spans="1:12" ht="33" thickBot="1" x14ac:dyDescent="0.25">
      <c r="A26" s="1"/>
      <c r="B26" s="81"/>
      <c r="C26" s="12" t="s">
        <v>144</v>
      </c>
      <c r="D26" s="82" t="s">
        <v>145</v>
      </c>
      <c r="E26" s="103">
        <v>15000000000</v>
      </c>
      <c r="F26" s="24">
        <f>E26*(H26/G26)</f>
        <v>2303155.4975803997</v>
      </c>
      <c r="G26" s="2">
        <v>16900726</v>
      </c>
      <c r="H26" s="103">
        <v>2595</v>
      </c>
      <c r="I26" s="112" t="s">
        <v>252</v>
      </c>
      <c r="J26" s="2">
        <f>E26/G26</f>
        <v>887.5358372178805</v>
      </c>
      <c r="K26" s="32"/>
      <c r="L26" s="1"/>
    </row>
    <row r="27" spans="1:12" x14ac:dyDescent="0.2">
      <c r="A27" s="1"/>
      <c r="B27" s="13"/>
      <c r="C27" s="160"/>
      <c r="D27" s="161"/>
      <c r="E27" s="162"/>
      <c r="F27" s="163"/>
      <c r="G27" s="14"/>
      <c r="H27" s="162"/>
      <c r="I27" s="164"/>
      <c r="J27" s="14"/>
      <c r="K27" s="138"/>
      <c r="L27" s="1"/>
    </row>
    <row r="28" spans="1:12" x14ac:dyDescent="0.2">
      <c r="A28" s="1"/>
      <c r="B28" s="16"/>
      <c r="C28" s="12"/>
      <c r="D28" s="82"/>
      <c r="E28" s="103"/>
      <c r="F28" s="10"/>
      <c r="G28" s="2"/>
      <c r="H28" s="103"/>
      <c r="I28" s="159"/>
      <c r="J28" s="2"/>
      <c r="K28" s="32"/>
      <c r="L28" s="1"/>
    </row>
    <row r="29" spans="1:12" ht="17" thickBot="1" x14ac:dyDescent="0.25">
      <c r="A29" s="1"/>
      <c r="B29" s="6" t="s">
        <v>64</v>
      </c>
      <c r="C29" s="2"/>
      <c r="D29" s="2"/>
      <c r="E29" s="2"/>
      <c r="F29" s="2"/>
      <c r="G29" s="2"/>
      <c r="H29" s="2"/>
      <c r="I29" s="107"/>
      <c r="J29" s="2"/>
      <c r="K29" s="32"/>
      <c r="L29" s="1"/>
    </row>
    <row r="30" spans="1:12" ht="33" thickBot="1" x14ac:dyDescent="0.25">
      <c r="A30" s="1"/>
      <c r="B30" s="16"/>
      <c r="C30" s="2" t="s">
        <v>0</v>
      </c>
      <c r="D30" s="9" t="s">
        <v>1</v>
      </c>
      <c r="F30" s="24">
        <f>'Jachthaven Reitdiep'!B33</f>
        <v>2.0980523519999998</v>
      </c>
      <c r="H30" s="2"/>
      <c r="I30" s="111" t="s">
        <v>251</v>
      </c>
      <c r="J30" s="16"/>
      <c r="K30" s="32"/>
      <c r="L30" s="1"/>
    </row>
    <row r="31" spans="1:12" ht="17" thickBot="1" x14ac:dyDescent="0.25">
      <c r="A31" s="1"/>
      <c r="B31" s="16"/>
      <c r="C31" s="2" t="s">
        <v>2</v>
      </c>
      <c r="D31" s="9" t="s">
        <v>1</v>
      </c>
      <c r="E31" s="23"/>
      <c r="F31" s="24">
        <v>0</v>
      </c>
      <c r="G31" s="2"/>
      <c r="H31" s="2"/>
      <c r="I31" s="112" t="s">
        <v>217</v>
      </c>
      <c r="J31" s="2"/>
      <c r="K31" s="32"/>
      <c r="L31" s="1"/>
    </row>
    <row r="32" spans="1:12" x14ac:dyDescent="0.2">
      <c r="A32" s="1"/>
      <c r="B32" s="16"/>
      <c r="C32" s="2"/>
      <c r="D32" s="2"/>
      <c r="E32" s="2"/>
      <c r="F32" s="2"/>
      <c r="G32" s="2"/>
      <c r="H32" s="2"/>
      <c r="I32" s="107"/>
      <c r="J32" s="2"/>
      <c r="K32" s="32"/>
      <c r="L32" s="1"/>
    </row>
    <row r="33" spans="1:51" ht="17" thickBot="1" x14ac:dyDescent="0.25">
      <c r="A33" s="1"/>
      <c r="B33" s="26" t="s">
        <v>23</v>
      </c>
      <c r="C33" s="25"/>
      <c r="D33" s="25"/>
      <c r="E33" s="25"/>
      <c r="F33" s="25"/>
      <c r="G33" s="25"/>
      <c r="H33" s="25"/>
      <c r="I33" s="113"/>
      <c r="J33" s="2"/>
      <c r="K33" s="32"/>
      <c r="L33" s="1"/>
    </row>
    <row r="34" spans="1:51" ht="17" thickBot="1" x14ac:dyDescent="0.25">
      <c r="A34" s="1"/>
      <c r="B34" s="16"/>
      <c r="C34" s="2" t="s">
        <v>77</v>
      </c>
      <c r="D34" s="9" t="s">
        <v>76</v>
      </c>
      <c r="E34" s="99"/>
      <c r="F34" s="120">
        <v>0</v>
      </c>
      <c r="G34" s="10"/>
      <c r="H34" s="2"/>
      <c r="I34" s="112" t="s">
        <v>212</v>
      </c>
      <c r="J34" s="2"/>
      <c r="K34" s="32"/>
      <c r="L34" s="1"/>
    </row>
    <row r="35" spans="1:51" ht="17" thickBot="1" x14ac:dyDescent="0.25">
      <c r="A35" s="1"/>
      <c r="B35" s="16"/>
      <c r="C35" s="2" t="s">
        <v>75</v>
      </c>
      <c r="D35" s="9" t="s">
        <v>76</v>
      </c>
      <c r="E35" s="99"/>
      <c r="F35" s="120">
        <v>0</v>
      </c>
      <c r="G35" s="10"/>
      <c r="H35" s="2"/>
      <c r="I35" s="112" t="s">
        <v>212</v>
      </c>
      <c r="J35" s="2"/>
      <c r="K35" s="32"/>
      <c r="L35" s="1"/>
    </row>
    <row r="36" spans="1:51" ht="17" thickBot="1" x14ac:dyDescent="0.25">
      <c r="A36" s="1"/>
      <c r="B36" s="16"/>
      <c r="C36" s="2" t="s">
        <v>0</v>
      </c>
      <c r="D36" s="9" t="s">
        <v>1</v>
      </c>
      <c r="E36" s="99">
        <v>1108</v>
      </c>
      <c r="F36" s="165">
        <v>0</v>
      </c>
      <c r="G36" s="10"/>
      <c r="H36" s="2"/>
      <c r="I36" s="111" t="s">
        <v>213</v>
      </c>
      <c r="J36" s="2"/>
      <c r="K36" s="32"/>
      <c r="L36" s="1"/>
    </row>
    <row r="37" spans="1:51" ht="17" thickBot="1" x14ac:dyDescent="0.25">
      <c r="A37" s="1"/>
      <c r="B37" s="16"/>
      <c r="C37" s="2" t="s">
        <v>56</v>
      </c>
      <c r="D37" s="9" t="s">
        <v>1</v>
      </c>
      <c r="E37" s="99">
        <v>0</v>
      </c>
      <c r="F37" s="24">
        <v>0</v>
      </c>
      <c r="G37" s="10"/>
      <c r="H37" s="2"/>
      <c r="I37" s="112" t="s">
        <v>214</v>
      </c>
      <c r="J37" s="2"/>
      <c r="K37" s="32"/>
      <c r="L37" s="1"/>
    </row>
    <row r="38" spans="1:51" ht="17" thickBot="1" x14ac:dyDescent="0.25">
      <c r="A38" s="1"/>
      <c r="B38" s="16"/>
      <c r="C38" s="2" t="s">
        <v>152</v>
      </c>
      <c r="D38" s="9" t="s">
        <v>1</v>
      </c>
      <c r="E38" s="99">
        <v>6175</v>
      </c>
      <c r="F38" s="24">
        <v>0</v>
      </c>
      <c r="G38" s="10"/>
      <c r="H38" s="2"/>
      <c r="I38" s="111" t="s">
        <v>215</v>
      </c>
      <c r="J38" s="2"/>
      <c r="K38" s="32"/>
      <c r="L38" s="1"/>
    </row>
    <row r="39" spans="1:51" ht="17" thickBot="1" x14ac:dyDescent="0.25">
      <c r="A39" s="1"/>
      <c r="B39" s="16"/>
      <c r="C39" s="2" t="s">
        <v>153</v>
      </c>
      <c r="D39" s="82" t="s">
        <v>1</v>
      </c>
      <c r="E39" s="99"/>
      <c r="F39" s="24">
        <v>0</v>
      </c>
      <c r="G39" s="10"/>
      <c r="H39" s="2"/>
      <c r="I39" s="111" t="s">
        <v>216</v>
      </c>
      <c r="J39" s="2"/>
      <c r="K39" s="32"/>
      <c r="L39" s="1"/>
    </row>
    <row r="40" spans="1:51" x14ac:dyDescent="0.2">
      <c r="A40" s="1"/>
      <c r="B40" s="16"/>
      <c r="C40" s="2"/>
      <c r="D40" s="2"/>
      <c r="E40" s="2"/>
      <c r="F40" s="2"/>
      <c r="G40" s="2"/>
      <c r="H40" s="2"/>
      <c r="I40" s="107"/>
      <c r="J40" s="2"/>
      <c r="K40" s="32"/>
      <c r="L40" s="1"/>
    </row>
    <row r="41" spans="1:51" ht="17" thickBot="1" x14ac:dyDescent="0.25">
      <c r="A41" s="1"/>
      <c r="B41" s="166" t="s">
        <v>24</v>
      </c>
      <c r="C41" s="167"/>
      <c r="D41" s="168"/>
      <c r="E41" s="168"/>
      <c r="F41" s="168"/>
      <c r="G41" s="168"/>
      <c r="H41" s="168"/>
      <c r="I41" s="169"/>
      <c r="J41" s="2"/>
      <c r="K41" s="32"/>
      <c r="L41" s="1"/>
    </row>
    <row r="42" spans="1:51" ht="17" thickBot="1" x14ac:dyDescent="0.25">
      <c r="A42" s="1"/>
      <c r="B42" s="170"/>
      <c r="C42" s="171" t="s">
        <v>81</v>
      </c>
      <c r="D42" s="172" t="s">
        <v>76</v>
      </c>
      <c r="E42" s="171"/>
      <c r="F42" s="173">
        <v>0</v>
      </c>
      <c r="G42" s="171"/>
      <c r="H42" s="171"/>
      <c r="I42" s="174" t="s">
        <v>212</v>
      </c>
      <c r="J42" s="2"/>
      <c r="K42" s="32"/>
      <c r="L42" s="1"/>
    </row>
    <row r="43" spans="1:51" ht="17" thickBot="1" x14ac:dyDescent="0.25">
      <c r="A43" s="1"/>
      <c r="B43" s="170"/>
      <c r="C43" s="171" t="s">
        <v>82</v>
      </c>
      <c r="D43" s="172" t="s">
        <v>76</v>
      </c>
      <c r="E43" s="171"/>
      <c r="F43" s="175">
        <v>0</v>
      </c>
      <c r="G43" s="171"/>
      <c r="H43" s="171"/>
      <c r="I43" s="176" t="s">
        <v>212</v>
      </c>
      <c r="J43" s="2"/>
      <c r="K43" s="32"/>
      <c r="L43" s="1"/>
    </row>
    <row r="44" spans="1:51" ht="17" thickBot="1" x14ac:dyDescent="0.25">
      <c r="A44" s="1"/>
      <c r="B44" s="170"/>
      <c r="C44" s="171" t="s">
        <v>55</v>
      </c>
      <c r="D44" s="172" t="s">
        <v>1</v>
      </c>
      <c r="E44" s="171"/>
      <c r="F44" s="175">
        <v>0</v>
      </c>
      <c r="G44" s="171"/>
      <c r="H44" s="171"/>
      <c r="I44" s="176" t="s">
        <v>212</v>
      </c>
      <c r="J44" s="2"/>
      <c r="K44" s="32"/>
      <c r="L44" s="1"/>
    </row>
    <row r="45" spans="1:51" ht="17" thickBot="1" x14ac:dyDescent="0.25">
      <c r="A45" s="1"/>
      <c r="B45" s="177"/>
      <c r="C45" s="171" t="s">
        <v>20</v>
      </c>
      <c r="D45" s="178" t="s">
        <v>1</v>
      </c>
      <c r="E45" s="179">
        <v>44</v>
      </c>
      <c r="F45" s="175">
        <v>0</v>
      </c>
      <c r="G45" s="180"/>
      <c r="H45" s="171"/>
      <c r="I45" s="176" t="s">
        <v>212</v>
      </c>
      <c r="J45" s="2"/>
      <c r="K45" s="32"/>
      <c r="L45" s="1"/>
    </row>
    <row r="46" spans="1:51" ht="17" thickBot="1" x14ac:dyDescent="0.25">
      <c r="A46" s="1"/>
      <c r="B46" s="177"/>
      <c r="C46" s="171" t="s">
        <v>54</v>
      </c>
      <c r="D46" s="178" t="s">
        <v>1</v>
      </c>
      <c r="E46" s="179">
        <v>1806</v>
      </c>
      <c r="F46" s="175">
        <v>0</v>
      </c>
      <c r="G46" s="180"/>
      <c r="H46" s="171"/>
      <c r="I46" s="176" t="s">
        <v>212</v>
      </c>
      <c r="J46" s="2"/>
      <c r="K46" s="32"/>
      <c r="L46" s="1"/>
    </row>
    <row r="47" spans="1:51" x14ac:dyDescent="0.2">
      <c r="A47" s="1"/>
      <c r="B47" s="26"/>
      <c r="C47" s="25"/>
      <c r="D47" s="25"/>
      <c r="E47" s="25"/>
      <c r="F47" s="25"/>
      <c r="G47" s="25"/>
      <c r="H47" s="25"/>
      <c r="I47" s="113"/>
      <c r="J47" s="2"/>
      <c r="K47" s="32"/>
      <c r="L47" s="1"/>
    </row>
    <row r="48" spans="1:51" s="1" customFormat="1" ht="17" thickBot="1" x14ac:dyDescent="0.25">
      <c r="B48" s="6" t="s">
        <v>11</v>
      </c>
      <c r="C48" s="2"/>
      <c r="D48" s="15"/>
      <c r="E48" s="2"/>
      <c r="F48" s="2"/>
      <c r="G48" s="2"/>
      <c r="H48" s="2"/>
      <c r="I48" s="2"/>
      <c r="J48" s="2"/>
      <c r="K48" s="32"/>
      <c r="L48" s="127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2:51" s="1" customFormat="1" ht="17" thickBot="1" x14ac:dyDescent="0.25">
      <c r="B49" s="16"/>
      <c r="C49" s="2" t="s">
        <v>12</v>
      </c>
      <c r="D49" s="125" t="s">
        <v>94</v>
      </c>
      <c r="E49" s="143">
        <v>0.96</v>
      </c>
      <c r="F49" s="128">
        <v>0.95689342378371101</v>
      </c>
      <c r="G49" s="2"/>
      <c r="H49" s="2"/>
      <c r="I49" s="130" t="s">
        <v>126</v>
      </c>
      <c r="J49" s="2"/>
      <c r="K49" s="32"/>
      <c r="L49" s="127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2:51" s="1" customFormat="1" ht="17" thickBot="1" x14ac:dyDescent="0.25">
      <c r="B50" s="16"/>
      <c r="C50" s="2" t="s">
        <v>13</v>
      </c>
      <c r="D50" s="125" t="s">
        <v>94</v>
      </c>
      <c r="E50" s="143">
        <v>0.01</v>
      </c>
      <c r="F50" s="132">
        <v>9.6642055631511199E-3</v>
      </c>
      <c r="G50" s="2"/>
      <c r="H50" s="2"/>
      <c r="I50" s="130" t="s">
        <v>126</v>
      </c>
      <c r="J50" s="2"/>
      <c r="K50" s="32"/>
      <c r="L50" s="127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2:51" s="1" customFormat="1" ht="17" thickBot="1" x14ac:dyDescent="0.25">
      <c r="B51" s="16"/>
      <c r="C51" s="2" t="s">
        <v>95</v>
      </c>
      <c r="D51" s="125" t="s">
        <v>94</v>
      </c>
      <c r="E51" s="143">
        <v>0</v>
      </c>
      <c r="F51" s="132">
        <v>1.0424867056087E-4</v>
      </c>
      <c r="G51" s="2"/>
      <c r="H51" s="2"/>
      <c r="I51" s="130" t="s">
        <v>126</v>
      </c>
      <c r="J51" s="2"/>
      <c r="K51" s="32"/>
      <c r="L51" s="127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2:51" s="1" customFormat="1" ht="17" thickBot="1" x14ac:dyDescent="0.25">
      <c r="B52" s="16"/>
      <c r="C52" s="2" t="s">
        <v>96</v>
      </c>
      <c r="D52" s="125" t="s">
        <v>94</v>
      </c>
      <c r="E52" s="143">
        <v>0.03</v>
      </c>
      <c r="F52" s="132">
        <v>3.3338121982577303E-2</v>
      </c>
      <c r="G52" s="2"/>
      <c r="H52" s="2"/>
      <c r="I52" s="130" t="s">
        <v>126</v>
      </c>
      <c r="J52" s="2"/>
      <c r="K52" s="32"/>
      <c r="L52" s="127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2:51" s="1" customFormat="1" ht="17" thickBot="1" x14ac:dyDescent="0.25">
      <c r="B53" s="16"/>
      <c r="C53" s="2"/>
      <c r="D53" s="125"/>
      <c r="E53" s="144"/>
      <c r="F53" s="2"/>
      <c r="G53" s="2"/>
      <c r="H53" s="2"/>
      <c r="I53" s="2"/>
      <c r="J53" s="2"/>
      <c r="K53" s="32"/>
      <c r="L53" s="127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2:51" s="1" customFormat="1" ht="17" thickBot="1" x14ac:dyDescent="0.25">
      <c r="B54" s="16"/>
      <c r="C54" s="2" t="s">
        <v>14</v>
      </c>
      <c r="D54" s="125" t="s">
        <v>94</v>
      </c>
      <c r="E54" s="143">
        <v>0.21</v>
      </c>
      <c r="F54" s="128">
        <v>0.210976980050888</v>
      </c>
      <c r="G54" s="2"/>
      <c r="H54" s="2"/>
      <c r="I54" s="130" t="s">
        <v>126</v>
      </c>
      <c r="J54" s="2"/>
      <c r="K54" s="32"/>
      <c r="L54" s="127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2:51" s="1" customFormat="1" ht="17" thickBot="1" x14ac:dyDescent="0.25">
      <c r="B55" s="16"/>
      <c r="C55" s="2" t="s">
        <v>15</v>
      </c>
      <c r="D55" s="125" t="s">
        <v>94</v>
      </c>
      <c r="E55" s="143">
        <v>0.75</v>
      </c>
      <c r="F55" s="132">
        <v>0.74657215646161401</v>
      </c>
      <c r="G55" s="2"/>
      <c r="H55" s="2"/>
      <c r="I55" s="130" t="s">
        <v>126</v>
      </c>
      <c r="J55" s="2"/>
      <c r="K55" s="32"/>
      <c r="L55" s="127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2:51" s="1" customFormat="1" ht="17" thickBot="1" x14ac:dyDescent="0.25">
      <c r="B56" s="16"/>
      <c r="C56" s="2" t="s">
        <v>97</v>
      </c>
      <c r="D56" s="125" t="s">
        <v>94</v>
      </c>
      <c r="E56" s="143">
        <v>0.04</v>
      </c>
      <c r="F56" s="132">
        <v>4.2450863487497999E-2</v>
      </c>
      <c r="G56" s="2"/>
      <c r="H56" s="2"/>
      <c r="I56" s="130" t="s">
        <v>126</v>
      </c>
      <c r="J56" s="2"/>
      <c r="K56" s="32"/>
      <c r="L56" s="127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2:51" s="1" customFormat="1" ht="17" thickBot="1" x14ac:dyDescent="0.25">
      <c r="B57" s="16"/>
      <c r="C57" s="2"/>
      <c r="D57" s="125"/>
      <c r="E57" s="144"/>
      <c r="F57" s="2"/>
      <c r="G57" s="2"/>
      <c r="H57" s="2"/>
      <c r="I57" s="2"/>
      <c r="J57" s="2"/>
      <c r="K57" s="32"/>
      <c r="L57" s="12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2:51" s="1" customFormat="1" ht="17" thickBot="1" x14ac:dyDescent="0.25">
      <c r="B58" s="16"/>
      <c r="C58" s="2" t="s">
        <v>16</v>
      </c>
      <c r="D58" s="125" t="s">
        <v>94</v>
      </c>
      <c r="E58" s="143">
        <v>0.93</v>
      </c>
      <c r="F58" s="128">
        <v>0.93297138085711395</v>
      </c>
      <c r="G58" s="2"/>
      <c r="H58" s="2"/>
      <c r="I58" s="130" t="s">
        <v>126</v>
      </c>
      <c r="J58" s="2"/>
      <c r="K58" s="32"/>
      <c r="L58" s="127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2:51" s="1" customFormat="1" ht="17" thickBot="1" x14ac:dyDescent="0.25">
      <c r="B59" s="16"/>
      <c r="C59" s="2" t="s">
        <v>17</v>
      </c>
      <c r="D59" s="125" t="s">
        <v>94</v>
      </c>
      <c r="E59" s="143">
        <v>0.02</v>
      </c>
      <c r="F59" s="128">
        <v>1.9323151605444198E-2</v>
      </c>
      <c r="G59" s="2"/>
      <c r="H59" s="2"/>
      <c r="I59" s="130" t="s">
        <v>126</v>
      </c>
      <c r="J59" s="2"/>
      <c r="K59" s="32"/>
      <c r="L59" s="127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2:51" s="1" customFormat="1" ht="17" thickBot="1" x14ac:dyDescent="0.25">
      <c r="B60" s="16"/>
      <c r="C60" s="2" t="s">
        <v>98</v>
      </c>
      <c r="D60" s="125" t="s">
        <v>94</v>
      </c>
      <c r="E60" s="143">
        <v>0.02</v>
      </c>
      <c r="F60" s="132">
        <v>2.4275954360230299E-2</v>
      </c>
      <c r="G60" s="2"/>
      <c r="H60" s="2"/>
      <c r="I60" s="130" t="s">
        <v>126</v>
      </c>
      <c r="J60" s="2"/>
      <c r="K60" s="32"/>
      <c r="L60" s="127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2:51" s="1" customFormat="1" ht="17" thickBot="1" x14ac:dyDescent="0.25">
      <c r="B61" s="16"/>
      <c r="C61" s="2" t="s">
        <v>99</v>
      </c>
      <c r="D61" s="125" t="s">
        <v>94</v>
      </c>
      <c r="E61" s="143">
        <v>0</v>
      </c>
      <c r="F61" s="132">
        <v>1.78130659462489E-3</v>
      </c>
      <c r="G61" s="2"/>
      <c r="H61" s="2"/>
      <c r="I61" s="130" t="s">
        <v>126</v>
      </c>
      <c r="J61" s="2"/>
      <c r="K61" s="32"/>
      <c r="L61" s="127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2:51" s="1" customFormat="1" ht="17" thickBot="1" x14ac:dyDescent="0.25">
      <c r="B62" s="16"/>
      <c r="C62" s="2" t="s">
        <v>100</v>
      </c>
      <c r="D62" s="125" t="s">
        <v>94</v>
      </c>
      <c r="E62" s="143">
        <v>0.02</v>
      </c>
      <c r="F62" s="132">
        <v>2.1648206582586101E-2</v>
      </c>
      <c r="G62" s="2"/>
      <c r="H62" s="2"/>
      <c r="I62" s="130" t="s">
        <v>126</v>
      </c>
      <c r="J62" s="2"/>
      <c r="K62" s="32"/>
      <c r="L62" s="127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spans="2:51" s="1" customFormat="1" ht="17" thickBot="1" x14ac:dyDescent="0.25">
      <c r="B63" s="16"/>
      <c r="C63" s="2"/>
      <c r="D63" s="125"/>
      <c r="E63" s="144"/>
      <c r="F63" s="2"/>
      <c r="G63" s="15"/>
      <c r="H63" s="2"/>
      <c r="I63" s="2"/>
      <c r="J63" s="2"/>
      <c r="K63" s="32"/>
      <c r="L63" s="127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2:51" s="1" customFormat="1" ht="17" thickBot="1" x14ac:dyDescent="0.25">
      <c r="B64" s="16"/>
      <c r="C64" s="2" t="s">
        <v>101</v>
      </c>
      <c r="D64" s="125" t="s">
        <v>94</v>
      </c>
      <c r="E64" s="143">
        <v>0.19</v>
      </c>
      <c r="F64" s="128">
        <v>0.18798173297020199</v>
      </c>
      <c r="G64" s="2"/>
      <c r="H64" s="2"/>
      <c r="I64" s="130" t="s">
        <v>126</v>
      </c>
      <c r="J64" s="2"/>
      <c r="K64" s="32"/>
      <c r="L64" s="2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1:51" s="1" customFormat="1" ht="17" thickBot="1" x14ac:dyDescent="0.25">
      <c r="B65" s="16"/>
      <c r="C65" s="2" t="s">
        <v>102</v>
      </c>
      <c r="D65" s="125" t="s">
        <v>94</v>
      </c>
      <c r="E65" s="143">
        <v>0.81</v>
      </c>
      <c r="F65" s="128">
        <v>0.81201826702979796</v>
      </c>
      <c r="G65" s="2"/>
      <c r="H65" s="2"/>
      <c r="I65" s="130" t="s">
        <v>126</v>
      </c>
      <c r="J65" s="2"/>
      <c r="K65" s="32"/>
      <c r="L65" s="2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1:51" s="1" customFormat="1" ht="17" thickBot="1" x14ac:dyDescent="0.25">
      <c r="B66" s="16"/>
      <c r="C66" s="2"/>
      <c r="D66" s="125"/>
      <c r="E66" s="144"/>
      <c r="F66" s="2"/>
      <c r="G66" s="2"/>
      <c r="H66" s="2"/>
      <c r="I66" s="2"/>
      <c r="J66" s="2"/>
      <c r="K66" s="32"/>
      <c r="L66" s="2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1:51" s="1" customFormat="1" ht="17" thickBot="1" x14ac:dyDescent="0.25">
      <c r="B67" s="16"/>
      <c r="C67" s="2" t="s">
        <v>129</v>
      </c>
      <c r="D67" s="125" t="s">
        <v>94</v>
      </c>
      <c r="E67" s="143">
        <v>0</v>
      </c>
      <c r="F67" s="132">
        <v>0</v>
      </c>
      <c r="G67" s="2"/>
      <c r="H67" s="2"/>
      <c r="I67" s="130" t="s">
        <v>126</v>
      </c>
      <c r="J67" s="2"/>
      <c r="K67" s="32"/>
      <c r="L67" s="2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1:51" s="1" customFormat="1" ht="17" thickBot="1" x14ac:dyDescent="0.25">
      <c r="B68" s="16"/>
      <c r="C68" s="2" t="s">
        <v>103</v>
      </c>
      <c r="D68" s="125" t="s">
        <v>94</v>
      </c>
      <c r="E68" s="143">
        <v>1</v>
      </c>
      <c r="F68" s="132">
        <v>1</v>
      </c>
      <c r="G68" s="2"/>
      <c r="H68" s="2"/>
      <c r="I68" s="130" t="s">
        <v>126</v>
      </c>
      <c r="J68" s="2"/>
      <c r="K68" s="32"/>
      <c r="L68" s="127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 spans="1:51" s="1" customFormat="1" ht="17" thickBot="1" x14ac:dyDescent="0.25">
      <c r="B69" s="16"/>
      <c r="C69" s="2" t="s">
        <v>104</v>
      </c>
      <c r="D69" s="125" t="s">
        <v>94</v>
      </c>
      <c r="E69" s="143">
        <v>0</v>
      </c>
      <c r="F69" s="132">
        <v>0</v>
      </c>
      <c r="G69" s="2"/>
      <c r="H69" s="2"/>
      <c r="I69" s="130" t="s">
        <v>126</v>
      </c>
      <c r="J69" s="2"/>
      <c r="K69" s="32"/>
      <c r="L69" s="127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spans="1:51" s="1" customFormat="1" ht="17" thickBot="1" x14ac:dyDescent="0.25">
      <c r="B70" s="16"/>
      <c r="C70" s="2"/>
      <c r="D70" s="125"/>
      <c r="E70" s="144"/>
      <c r="F70" s="2"/>
      <c r="G70" s="15"/>
      <c r="H70" s="2"/>
      <c r="I70" s="2"/>
      <c r="J70" s="2"/>
      <c r="K70" s="32"/>
      <c r="L70" s="127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spans="1:51" s="1" customFormat="1" ht="17" thickBot="1" x14ac:dyDescent="0.25">
      <c r="B71" s="16"/>
      <c r="C71" s="2" t="s">
        <v>105</v>
      </c>
      <c r="D71" s="125" t="s">
        <v>94</v>
      </c>
      <c r="E71" s="143">
        <v>0.21</v>
      </c>
      <c r="F71" s="128">
        <v>0.214206400711135</v>
      </c>
      <c r="G71" s="2"/>
      <c r="H71" s="2"/>
      <c r="I71" s="130" t="s">
        <v>126</v>
      </c>
      <c r="J71" s="2"/>
      <c r="K71" s="32"/>
      <c r="L71" s="127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spans="1:51" s="1" customFormat="1" ht="17" thickBot="1" x14ac:dyDescent="0.25">
      <c r="B72" s="16"/>
      <c r="C72" s="2" t="s">
        <v>106</v>
      </c>
      <c r="D72" s="125" t="s">
        <v>94</v>
      </c>
      <c r="E72" s="143">
        <v>0.25</v>
      </c>
      <c r="F72" s="128">
        <v>0.247191922156101</v>
      </c>
      <c r="G72" s="2"/>
      <c r="H72" s="2"/>
      <c r="I72" s="130" t="s">
        <v>126</v>
      </c>
      <c r="J72" s="2"/>
      <c r="K72" s="32"/>
      <c r="L72" s="127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spans="1:51" s="1" customFormat="1" ht="17" thickBot="1" x14ac:dyDescent="0.25">
      <c r="B73" s="16"/>
      <c r="C73" s="2" t="s">
        <v>107</v>
      </c>
      <c r="D73" s="125" t="s">
        <v>94</v>
      </c>
      <c r="E73" s="143">
        <v>0.54</v>
      </c>
      <c r="F73" s="132">
        <v>0.53860167713276397</v>
      </c>
      <c r="G73" s="2"/>
      <c r="H73" s="2"/>
      <c r="I73" s="130" t="s">
        <v>126</v>
      </c>
      <c r="J73" s="2"/>
      <c r="K73" s="32"/>
      <c r="L73" s="127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spans="1:51" s="1" customFormat="1" x14ac:dyDescent="0.2">
      <c r="B74" s="16"/>
      <c r="C74" s="2"/>
      <c r="D74" s="147"/>
      <c r="E74" s="27"/>
      <c r="F74" s="133"/>
      <c r="G74" s="2"/>
      <c r="H74" s="2"/>
      <c r="I74" s="2"/>
      <c r="J74" s="2"/>
      <c r="K74" s="32"/>
      <c r="L74" s="2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spans="1:51" s="1" customFormat="1" ht="17" thickBot="1" x14ac:dyDescent="0.25">
      <c r="B75" s="16"/>
      <c r="C75" s="2" t="s">
        <v>108</v>
      </c>
      <c r="D75" s="125"/>
      <c r="E75" s="144"/>
      <c r="F75" s="135"/>
      <c r="G75" s="15"/>
      <c r="H75" s="2"/>
      <c r="I75" s="2"/>
      <c r="J75" s="2"/>
      <c r="K75" s="32"/>
      <c r="L75" s="127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spans="1:51" s="1" customFormat="1" ht="17" thickBot="1" x14ac:dyDescent="0.25">
      <c r="B76" s="16"/>
      <c r="C76" s="2" t="s">
        <v>109</v>
      </c>
      <c r="D76" s="125" t="s">
        <v>94</v>
      </c>
      <c r="E76" s="144"/>
      <c r="F76" s="128">
        <v>0</v>
      </c>
      <c r="G76" s="2"/>
      <c r="H76" s="2"/>
      <c r="I76" s="130" t="s">
        <v>126</v>
      </c>
      <c r="J76" s="2"/>
      <c r="K76" s="32"/>
      <c r="L76" s="127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spans="1:51" s="1" customFormat="1" ht="17" thickBot="1" x14ac:dyDescent="0.25">
      <c r="B77" s="16"/>
      <c r="C77" s="2" t="s">
        <v>110</v>
      </c>
      <c r="D77" s="125" t="s">
        <v>94</v>
      </c>
      <c r="E77" s="144"/>
      <c r="F77" s="128">
        <v>1</v>
      </c>
      <c r="G77" s="2"/>
      <c r="H77" s="2"/>
      <c r="I77" s="130" t="s">
        <v>126</v>
      </c>
      <c r="J77" s="2"/>
      <c r="K77" s="32"/>
      <c r="L77" s="12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spans="1:51" s="1" customFormat="1" x14ac:dyDescent="0.2">
      <c r="B78" s="16"/>
      <c r="C78" s="2"/>
      <c r="D78" s="125"/>
      <c r="E78" s="144"/>
      <c r="F78" s="129"/>
      <c r="G78" s="2"/>
      <c r="H78" s="2"/>
      <c r="I78" s="2"/>
      <c r="J78" s="2"/>
      <c r="K78" s="32"/>
      <c r="L78" s="127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spans="1:51" s="1" customFormat="1" x14ac:dyDescent="0.2">
      <c r="B79" s="16"/>
      <c r="C79" s="2"/>
      <c r="D79" s="125"/>
      <c r="E79" s="144"/>
      <c r="F79" s="2"/>
      <c r="G79" s="2"/>
      <c r="H79" s="2"/>
      <c r="I79" s="2"/>
      <c r="J79" s="2"/>
      <c r="K79" s="153"/>
      <c r="L79" s="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 spans="1:51" ht="17" thickBot="1" x14ac:dyDescent="0.25">
      <c r="A80" s="1"/>
      <c r="B80" s="26" t="s">
        <v>59</v>
      </c>
      <c r="C80" s="25"/>
      <c r="D80" s="25"/>
      <c r="E80" s="25"/>
      <c r="F80" s="25"/>
      <c r="G80" s="25"/>
      <c r="H80" s="25"/>
      <c r="I80" s="113"/>
      <c r="J80" s="25"/>
      <c r="K80" s="76"/>
      <c r="L80" s="1"/>
    </row>
    <row r="81" spans="1:51" ht="17" thickBot="1" x14ac:dyDescent="0.25">
      <c r="A81" s="1"/>
      <c r="B81" s="16"/>
      <c r="C81" s="2" t="s">
        <v>60</v>
      </c>
      <c r="D81" s="9"/>
      <c r="E81" s="95">
        <v>2.8278196309640999E-2</v>
      </c>
      <c r="F81" s="96">
        <f>E81</f>
        <v>2.8278196309640999E-2</v>
      </c>
      <c r="G81" s="10"/>
      <c r="H81" s="2"/>
      <c r="I81" s="111" t="s">
        <v>202</v>
      </c>
      <c r="J81" s="2"/>
      <c r="K81" s="32"/>
      <c r="L81" s="1"/>
    </row>
    <row r="82" spans="1:51" ht="17" thickBot="1" x14ac:dyDescent="0.25">
      <c r="A82" s="1"/>
      <c r="B82" s="16"/>
      <c r="C82" s="2" t="s">
        <v>0</v>
      </c>
      <c r="D82" s="9"/>
      <c r="E82" s="95">
        <f>1-E81</f>
        <v>0.97172180369035899</v>
      </c>
      <c r="F82" s="96">
        <f>E82</f>
        <v>0.97172180369035899</v>
      </c>
      <c r="G82" s="10"/>
      <c r="H82" s="2"/>
      <c r="I82" s="111" t="s">
        <v>202</v>
      </c>
      <c r="J82" s="2"/>
      <c r="K82" s="32"/>
      <c r="L82" s="1"/>
    </row>
    <row r="83" spans="1:51" ht="17" thickBot="1" x14ac:dyDescent="0.25">
      <c r="A83" s="1"/>
      <c r="B83" s="16"/>
      <c r="D83" s="82"/>
      <c r="E83" s="95"/>
      <c r="F83" s="10"/>
      <c r="G83" s="10"/>
      <c r="H83" s="2"/>
      <c r="I83" s="114"/>
      <c r="J83" s="2"/>
      <c r="K83" s="32"/>
      <c r="L83" s="1"/>
    </row>
    <row r="84" spans="1:51" ht="17" thickBot="1" x14ac:dyDescent="0.25">
      <c r="A84" s="1"/>
      <c r="B84" s="16"/>
      <c r="C84" s="2" t="s">
        <v>55</v>
      </c>
      <c r="D84" s="9"/>
      <c r="E84" s="95">
        <v>3.5433070866142002E-2</v>
      </c>
      <c r="F84" s="94">
        <f>E84</f>
        <v>3.5433070866142002E-2</v>
      </c>
      <c r="G84" s="2"/>
      <c r="H84" s="2"/>
      <c r="I84" s="111" t="s">
        <v>202</v>
      </c>
      <c r="J84" s="2"/>
      <c r="K84" s="32"/>
      <c r="L84" s="1"/>
    </row>
    <row r="85" spans="1:51" ht="17" thickBot="1" x14ac:dyDescent="0.25">
      <c r="A85" s="1"/>
      <c r="B85" s="16"/>
      <c r="C85" s="2" t="s">
        <v>20</v>
      </c>
      <c r="D85" s="9"/>
      <c r="E85" s="95">
        <f>1-E84</f>
        <v>0.964566929133858</v>
      </c>
      <c r="F85" s="94">
        <f>E85</f>
        <v>0.964566929133858</v>
      </c>
      <c r="G85" s="2"/>
      <c r="H85" s="2"/>
      <c r="I85" s="111" t="s">
        <v>202</v>
      </c>
      <c r="J85" s="2"/>
      <c r="K85" s="32"/>
      <c r="L85" s="1"/>
    </row>
    <row r="86" spans="1:51" x14ac:dyDescent="0.2">
      <c r="A86" s="1"/>
      <c r="B86" s="16"/>
      <c r="D86" s="2"/>
      <c r="E86" s="92"/>
      <c r="F86" s="2"/>
      <c r="G86" s="2"/>
      <c r="H86" s="2"/>
      <c r="I86" s="107"/>
      <c r="J86" s="2"/>
      <c r="K86" s="32"/>
      <c r="L86" s="1"/>
    </row>
    <row r="87" spans="1:51" s="1" customFormat="1" x14ac:dyDescent="0.2">
      <c r="B87" s="13"/>
      <c r="C87" s="14"/>
      <c r="D87" s="148"/>
      <c r="E87" s="145"/>
      <c r="F87" s="14"/>
      <c r="G87" s="14"/>
      <c r="H87" s="14"/>
      <c r="I87" s="14"/>
      <c r="J87" s="14"/>
      <c r="K87" s="136"/>
      <c r="L87" s="13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1:51" s="1" customFormat="1" x14ac:dyDescent="0.2">
      <c r="B88" s="6" t="s">
        <v>111</v>
      </c>
      <c r="C88" s="2"/>
      <c r="D88" s="149"/>
      <c r="E88" s="27"/>
      <c r="F88" s="2"/>
      <c r="G88" s="2"/>
      <c r="H88" s="2"/>
      <c r="I88" s="2"/>
      <c r="J88" s="2"/>
      <c r="K88" s="126"/>
      <c r="L88" s="127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</row>
    <row r="89" spans="1:51" s="1" customFormat="1" x14ac:dyDescent="0.2">
      <c r="B89" s="16"/>
      <c r="C89" s="2"/>
      <c r="D89" s="125"/>
      <c r="E89" s="27"/>
      <c r="F89" s="133"/>
      <c r="G89" s="2"/>
      <c r="H89" s="2"/>
      <c r="I89" s="2"/>
      <c r="J89" s="2"/>
      <c r="K89" s="126"/>
      <c r="L89" s="127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</row>
    <row r="90" spans="1:51" s="1" customFormat="1" ht="17" thickBot="1" x14ac:dyDescent="0.25">
      <c r="B90" s="16"/>
      <c r="C90" s="2" t="s">
        <v>112</v>
      </c>
      <c r="D90" s="125"/>
      <c r="E90" s="144"/>
      <c r="F90" s="23"/>
      <c r="G90" s="2"/>
      <c r="H90" s="2"/>
      <c r="I90" s="2"/>
      <c r="J90" s="2"/>
      <c r="K90" s="134"/>
      <c r="L90" s="127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spans="1:51" s="1" customFormat="1" ht="17" thickBot="1" x14ac:dyDescent="0.25">
      <c r="B91" s="16"/>
      <c r="C91" s="2" t="s">
        <v>113</v>
      </c>
      <c r="D91" s="125" t="s">
        <v>94</v>
      </c>
      <c r="E91" s="143">
        <v>0</v>
      </c>
      <c r="F91" s="132">
        <v>0</v>
      </c>
      <c r="G91" s="2"/>
      <c r="H91" s="2"/>
      <c r="I91" s="130" t="s">
        <v>126</v>
      </c>
      <c r="J91" s="2"/>
      <c r="K91" s="131"/>
      <c r="L91" s="127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 spans="1:51" s="1" customFormat="1" ht="17" thickBot="1" x14ac:dyDescent="0.25">
      <c r="B92" s="16"/>
      <c r="C92" s="2" t="s">
        <v>114</v>
      </c>
      <c r="D92" s="125" t="s">
        <v>94</v>
      </c>
      <c r="E92" s="143">
        <v>1</v>
      </c>
      <c r="F92" s="132">
        <v>1</v>
      </c>
      <c r="G92" s="2"/>
      <c r="H92" s="2"/>
      <c r="I92" s="130" t="s">
        <v>126</v>
      </c>
      <c r="J92" s="2"/>
      <c r="K92" s="126"/>
      <c r="L92" s="127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</row>
    <row r="93" spans="1:51" s="1" customFormat="1" x14ac:dyDescent="0.2">
      <c r="B93" s="16"/>
      <c r="C93" s="2"/>
      <c r="D93" s="125"/>
      <c r="E93" s="144"/>
      <c r="F93" s="2"/>
      <c r="G93" s="2"/>
      <c r="H93" s="2"/>
      <c r="I93" s="2"/>
      <c r="J93" s="2"/>
      <c r="K93" s="126"/>
      <c r="L93" s="127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</row>
    <row r="94" spans="1:51" s="1" customFormat="1" ht="17" thickBot="1" x14ac:dyDescent="0.25">
      <c r="B94" s="16"/>
      <c r="C94" s="2" t="s">
        <v>115</v>
      </c>
      <c r="D94" s="125"/>
      <c r="E94" s="144"/>
      <c r="F94" s="23"/>
      <c r="G94" s="2"/>
      <c r="H94" s="2"/>
      <c r="I94" s="2"/>
      <c r="J94" s="2"/>
      <c r="K94" s="134"/>
      <c r="L94" s="127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1:51" s="1" customFormat="1" ht="17" thickBot="1" x14ac:dyDescent="0.25">
      <c r="B95" s="16"/>
      <c r="C95" s="2" t="s">
        <v>116</v>
      </c>
      <c r="D95" s="125" t="s">
        <v>94</v>
      </c>
      <c r="E95" s="144">
        <v>0</v>
      </c>
      <c r="F95" s="139">
        <v>0</v>
      </c>
      <c r="G95" s="2"/>
      <c r="H95" s="2"/>
      <c r="I95" s="130" t="s">
        <v>126</v>
      </c>
      <c r="J95" s="2"/>
      <c r="K95" s="131"/>
      <c r="L95" s="127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1:51" s="1" customFormat="1" ht="17" thickBot="1" x14ac:dyDescent="0.25">
      <c r="B96" s="16"/>
      <c r="C96" s="2" t="s">
        <v>117</v>
      </c>
      <c r="D96" s="125" t="s">
        <v>94</v>
      </c>
      <c r="E96" s="143">
        <v>1</v>
      </c>
      <c r="F96" s="140">
        <v>1</v>
      </c>
      <c r="G96" s="2"/>
      <c r="H96" s="2"/>
      <c r="I96" s="130" t="s">
        <v>126</v>
      </c>
      <c r="J96" s="2"/>
      <c r="K96" s="126"/>
      <c r="L96" s="127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</row>
    <row r="97" spans="1:51" s="1" customFormat="1" x14ac:dyDescent="0.2">
      <c r="B97" s="16"/>
      <c r="C97" s="2"/>
      <c r="D97" s="125"/>
      <c r="E97" s="27"/>
      <c r="F97" s="2"/>
      <c r="G97" s="2"/>
      <c r="H97" s="2"/>
      <c r="I97" s="2"/>
      <c r="J97" s="2"/>
      <c r="K97" s="126"/>
      <c r="L97" s="12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</row>
    <row r="98" spans="1:51" s="25" customFormat="1" x14ac:dyDescent="0.2">
      <c r="A98" s="1"/>
      <c r="B98" s="26" t="s">
        <v>118</v>
      </c>
      <c r="D98" s="150"/>
      <c r="E98" s="146"/>
      <c r="K98" s="141"/>
      <c r="L98" s="141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</row>
    <row r="99" spans="1:51" s="1" customFormat="1" ht="17" thickBot="1" x14ac:dyDescent="0.25">
      <c r="B99" s="16"/>
      <c r="C99" s="2" t="s">
        <v>119</v>
      </c>
      <c r="D99" s="125"/>
      <c r="E99" s="144"/>
      <c r="F99" s="23"/>
      <c r="G99" s="2"/>
      <c r="H99" s="2"/>
      <c r="I99" s="2"/>
      <c r="J99" s="2"/>
      <c r="K99" s="134"/>
      <c r="L99" s="134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</row>
    <row r="100" spans="1:51" s="1" customFormat="1" ht="17" thickBot="1" x14ac:dyDescent="0.25">
      <c r="B100" s="16"/>
      <c r="C100" s="2" t="s">
        <v>120</v>
      </c>
      <c r="D100" s="125" t="s">
        <v>94</v>
      </c>
      <c r="E100" s="143">
        <v>0.1</v>
      </c>
      <c r="F100" s="142">
        <v>0</v>
      </c>
      <c r="G100" s="2"/>
      <c r="H100" s="2"/>
      <c r="I100" s="130" t="s">
        <v>127</v>
      </c>
      <c r="J100" s="2"/>
      <c r="K100" s="134"/>
      <c r="L100" s="134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 spans="1:51" s="1" customFormat="1" ht="17" thickBot="1" x14ac:dyDescent="0.25">
      <c r="B101" s="16"/>
      <c r="C101" s="2" t="s">
        <v>121</v>
      </c>
      <c r="D101" s="125" t="s">
        <v>94</v>
      </c>
      <c r="E101" s="143">
        <v>0.76</v>
      </c>
      <c r="F101" s="142">
        <f>E101/(E102+E101)</f>
        <v>0.84444444444444444</v>
      </c>
      <c r="G101" s="2"/>
      <c r="H101" s="2"/>
      <c r="I101" s="130" t="s">
        <v>128</v>
      </c>
      <c r="J101" s="2"/>
      <c r="K101" s="134"/>
      <c r="L101" s="134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spans="1:51" s="1" customFormat="1" ht="17" thickBot="1" x14ac:dyDescent="0.25">
      <c r="B102" s="16"/>
      <c r="C102" s="2" t="s">
        <v>122</v>
      </c>
      <c r="D102" s="125" t="s">
        <v>94</v>
      </c>
      <c r="E102" s="143">
        <v>0.14000000000000001</v>
      </c>
      <c r="F102" s="142">
        <f>E102/(E101+E102)</f>
        <v>0.15555555555555556</v>
      </c>
      <c r="G102" s="2"/>
      <c r="H102" s="2"/>
      <c r="I102" s="130" t="s">
        <v>128</v>
      </c>
      <c r="J102" s="2"/>
      <c r="K102" s="134"/>
      <c r="L102" s="134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1:51" s="1" customFormat="1" x14ac:dyDescent="0.2">
      <c r="B103" s="16"/>
      <c r="C103" s="2"/>
      <c r="D103" s="125"/>
      <c r="E103" s="144"/>
      <c r="F103" s="2"/>
      <c r="G103" s="2"/>
      <c r="H103" s="2"/>
      <c r="I103" s="2"/>
      <c r="J103" s="2"/>
      <c r="K103" s="134"/>
      <c r="L103" s="134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 spans="1:51" s="1" customFormat="1" ht="17" thickBot="1" x14ac:dyDescent="0.25">
      <c r="B104" s="16"/>
      <c r="C104" s="2" t="s">
        <v>123</v>
      </c>
      <c r="D104" s="125"/>
      <c r="E104" s="144">
        <v>0</v>
      </c>
      <c r="F104" s="23"/>
      <c r="G104" s="2"/>
      <c r="H104" s="2"/>
      <c r="I104" s="2"/>
      <c r="J104" s="2"/>
      <c r="K104" s="134"/>
      <c r="L104" s="13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 spans="1:51" s="1" customFormat="1" ht="17" thickBot="1" x14ac:dyDescent="0.25">
      <c r="B105" s="16"/>
      <c r="C105" s="2" t="s">
        <v>124</v>
      </c>
      <c r="D105" s="125" t="s">
        <v>94</v>
      </c>
      <c r="E105" s="143">
        <v>0.52</v>
      </c>
      <c r="F105" s="142">
        <v>0.52068819287269297</v>
      </c>
      <c r="G105" s="2"/>
      <c r="H105" s="2"/>
      <c r="I105" s="130" t="s">
        <v>126</v>
      </c>
      <c r="J105" s="2"/>
      <c r="K105" s="134"/>
      <c r="L105" s="134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1:51" s="1" customFormat="1" ht="17" thickBot="1" x14ac:dyDescent="0.25">
      <c r="B106" s="16"/>
      <c r="C106" s="2" t="s">
        <v>125</v>
      </c>
      <c r="D106" s="125" t="s">
        <v>94</v>
      </c>
      <c r="E106" s="143">
        <v>0.48</v>
      </c>
      <c r="F106" s="142">
        <v>0.47931180712730698</v>
      </c>
      <c r="G106" s="2"/>
      <c r="H106" s="2"/>
      <c r="I106" s="130" t="s">
        <v>126</v>
      </c>
      <c r="J106" s="2"/>
      <c r="K106" s="134"/>
      <c r="L106" s="134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1:51" s="1" customFormat="1" x14ac:dyDescent="0.2">
      <c r="B107" s="16"/>
      <c r="C107" s="2"/>
      <c r="D107" s="125"/>
      <c r="E107" s="144"/>
      <c r="F107" s="2"/>
      <c r="G107" s="2"/>
      <c r="H107" s="2"/>
      <c r="I107" s="2"/>
      <c r="J107" s="2"/>
      <c r="K107" s="134"/>
      <c r="L107" s="134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 spans="1:51" x14ac:dyDescent="0.2">
      <c r="A108" s="1"/>
      <c r="B108" s="16"/>
      <c r="D108" s="2"/>
      <c r="E108" s="92"/>
      <c r="F108" s="2"/>
      <c r="G108" s="2"/>
      <c r="H108" s="2"/>
      <c r="I108" s="107"/>
      <c r="J108" s="2"/>
      <c r="K108" s="32"/>
      <c r="L108" s="1"/>
    </row>
    <row r="109" spans="1:51" ht="17" thickBot="1" x14ac:dyDescent="0.25">
      <c r="A109" s="1"/>
      <c r="B109" s="59"/>
      <c r="C109" s="60"/>
      <c r="D109" s="60"/>
      <c r="E109" s="93"/>
      <c r="F109" s="60"/>
      <c r="G109" s="60"/>
      <c r="H109" s="60"/>
      <c r="I109" s="115"/>
      <c r="J109" s="60"/>
      <c r="K109" s="62"/>
      <c r="L109" s="1"/>
    </row>
    <row r="110" spans="1:51" s="1" customFormat="1" x14ac:dyDescent="0.2">
      <c r="I110" s="105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spans="1:51" s="1" customFormat="1" x14ac:dyDescent="0.2">
      <c r="I111" s="105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 spans="1:51" s="1" customFormat="1" x14ac:dyDescent="0.2">
      <c r="I112" s="105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 spans="9:51" s="1" customFormat="1" x14ac:dyDescent="0.2">
      <c r="I113" s="105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9:51" s="1" customFormat="1" x14ac:dyDescent="0.2">
      <c r="I114" s="105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9:51" s="1" customFormat="1" x14ac:dyDescent="0.2">
      <c r="I115" s="10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9:51" s="1" customFormat="1" x14ac:dyDescent="0.2">
      <c r="I116" s="105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 spans="9:51" s="1" customFormat="1" x14ac:dyDescent="0.2">
      <c r="I117" s="105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</sheetData>
  <dataValidations count="1">
    <dataValidation type="decimal" allowBlank="1" showInputMessage="1" showErrorMessage="1" errorTitle="Number Range" error="This cell can only contain a number between 0% and 100%" sqref="F49 F53:F54 F57:F59 F63:F65 F70:F72 F75:F78 F91:F92 F95:F96">
      <formula1>0</formula1>
      <formula2>1</formula2>
    </dataValidation>
  </dataValidations>
  <hyperlinks>
    <hyperlink ref="I8" r:id="rId1" tooltip="Link naar de opgeslagen presentatie (Opent in nieuw venster)"/>
    <hyperlink ref="I7" r:id="rId2" tooltip="Link naar de opgeslagen presentatie (Opent in nieuw venster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40" sqref="B40"/>
    </sheetView>
  </sheetViews>
  <sheetFormatPr baseColWidth="10" defaultRowHeight="16" x14ac:dyDescent="0.2"/>
  <cols>
    <col min="1" max="1" width="31.5" customWidth="1"/>
    <col min="2" max="2" width="27.33203125" customWidth="1"/>
  </cols>
  <sheetData>
    <row r="1" spans="1:3" x14ac:dyDescent="0.2">
      <c r="A1" t="s">
        <v>218</v>
      </c>
      <c r="B1" t="s">
        <v>219</v>
      </c>
      <c r="C1" t="s">
        <v>220</v>
      </c>
    </row>
    <row r="2" spans="1:3" x14ac:dyDescent="0.2">
      <c r="A2" t="s">
        <v>221</v>
      </c>
      <c r="B2">
        <v>220</v>
      </c>
      <c r="C2" t="s">
        <v>222</v>
      </c>
    </row>
    <row r="3" spans="1:3" x14ac:dyDescent="0.2">
      <c r="A3" t="s">
        <v>223</v>
      </c>
      <c r="B3">
        <v>60</v>
      </c>
      <c r="C3" t="s">
        <v>224</v>
      </c>
    </row>
    <row r="4" spans="1:3" x14ac:dyDescent="0.2">
      <c r="A4" t="s">
        <v>225</v>
      </c>
      <c r="B4">
        <v>70</v>
      </c>
      <c r="C4" t="s">
        <v>226</v>
      </c>
    </row>
    <row r="5" spans="1:3" x14ac:dyDescent="0.2">
      <c r="A5" t="s">
        <v>227</v>
      </c>
      <c r="B5">
        <v>10</v>
      </c>
      <c r="C5" t="s">
        <v>228</v>
      </c>
    </row>
    <row r="6" spans="1:3" x14ac:dyDescent="0.2">
      <c r="A6" t="s">
        <v>229</v>
      </c>
      <c r="B6">
        <v>50</v>
      </c>
      <c r="C6" t="s">
        <v>230</v>
      </c>
    </row>
    <row r="7" spans="1:3" x14ac:dyDescent="0.2">
      <c r="A7" t="s">
        <v>231</v>
      </c>
      <c r="B7">
        <f>SUM(B2:B6)</f>
        <v>410</v>
      </c>
    </row>
    <row r="9" spans="1:3" x14ac:dyDescent="0.2">
      <c r="A9" t="s">
        <v>232</v>
      </c>
      <c r="B9">
        <v>116</v>
      </c>
      <c r="C9" t="s">
        <v>233</v>
      </c>
    </row>
    <row r="10" spans="1:3" x14ac:dyDescent="0.2">
      <c r="B10">
        <f>116 * 'Jachthaven Reitdiep'!B2/'Jachthaven Reitdiep'!B7</f>
        <v>62.243902439024389</v>
      </c>
      <c r="C10" t="s">
        <v>234</v>
      </c>
    </row>
    <row r="17" spans="1:7" x14ac:dyDescent="0.2">
      <c r="A17" t="s">
        <v>235</v>
      </c>
    </row>
    <row r="19" spans="1:7" x14ac:dyDescent="0.2">
      <c r="G19" t="s">
        <v>236</v>
      </c>
    </row>
    <row r="20" spans="1:7" x14ac:dyDescent="0.2">
      <c r="B20" t="s">
        <v>237</v>
      </c>
      <c r="C20" t="s">
        <v>238</v>
      </c>
      <c r="E20" t="s">
        <v>239</v>
      </c>
    </row>
    <row r="21" spans="1:7" x14ac:dyDescent="0.2">
      <c r="A21" t="s">
        <v>240</v>
      </c>
      <c r="B21">
        <v>20</v>
      </c>
      <c r="C21">
        <v>1.95</v>
      </c>
      <c r="D21">
        <f>B21*C21</f>
        <v>39</v>
      </c>
      <c r="E21">
        <v>0.2</v>
      </c>
    </row>
    <row r="22" spans="1:7" x14ac:dyDescent="0.2">
      <c r="A22" t="s">
        <v>241</v>
      </c>
      <c r="B22">
        <v>70</v>
      </c>
      <c r="C22">
        <v>1.52</v>
      </c>
      <c r="D22">
        <f t="shared" ref="D22:D25" si="0">B22*C22</f>
        <v>106.4</v>
      </c>
      <c r="E22">
        <v>0.2</v>
      </c>
    </row>
    <row r="23" spans="1:7" x14ac:dyDescent="0.2">
      <c r="A23" t="s">
        <v>242</v>
      </c>
      <c r="B23">
        <v>56</v>
      </c>
      <c r="C23">
        <v>5.09</v>
      </c>
      <c r="D23">
        <f t="shared" si="0"/>
        <v>285.03999999999996</v>
      </c>
      <c r="E23">
        <v>0.2</v>
      </c>
    </row>
    <row r="24" spans="1:7" x14ac:dyDescent="0.2">
      <c r="A24" t="s">
        <v>243</v>
      </c>
      <c r="B24">
        <v>60</v>
      </c>
      <c r="C24">
        <v>2.4</v>
      </c>
      <c r="D24">
        <f t="shared" si="0"/>
        <v>144</v>
      </c>
      <c r="E24">
        <v>0.2</v>
      </c>
    </row>
    <row r="25" spans="1:7" x14ac:dyDescent="0.2">
      <c r="A25" t="s">
        <v>244</v>
      </c>
      <c r="B25">
        <v>126</v>
      </c>
      <c r="C25">
        <v>3.74</v>
      </c>
      <c r="D25">
        <f t="shared" si="0"/>
        <v>471.24</v>
      </c>
      <c r="E25">
        <v>0.2</v>
      </c>
    </row>
    <row r="26" spans="1:7" x14ac:dyDescent="0.2">
      <c r="D26">
        <f>SUM(D21:D25)</f>
        <v>1045.6799999999998</v>
      </c>
    </row>
    <row r="28" spans="1:7" x14ac:dyDescent="0.2">
      <c r="A28" t="s">
        <v>245</v>
      </c>
      <c r="B28">
        <f>B2</f>
        <v>220</v>
      </c>
    </row>
    <row r="29" spans="1:7" x14ac:dyDescent="0.2">
      <c r="A29" t="s">
        <v>246</v>
      </c>
      <c r="B29">
        <f>(E21*D21+E22*D22+E23*D23+E24*D24+E25*D25)*B28</f>
        <v>46009.919999999998</v>
      </c>
    </row>
    <row r="30" spans="1:7" x14ac:dyDescent="0.2">
      <c r="A30" t="s">
        <v>247</v>
      </c>
      <c r="B30">
        <v>45.6</v>
      </c>
      <c r="G30" s="154" t="s">
        <v>248</v>
      </c>
    </row>
    <row r="31" spans="1:7" x14ac:dyDescent="0.2">
      <c r="A31" t="s">
        <v>249</v>
      </c>
      <c r="B31">
        <v>1000000</v>
      </c>
    </row>
    <row r="33" spans="1:2" x14ac:dyDescent="0.2">
      <c r="A33" t="s">
        <v>250</v>
      </c>
      <c r="B33">
        <f>B29*B30/B31</f>
        <v>2.0980523519999998</v>
      </c>
    </row>
  </sheetData>
  <hyperlinks>
    <hyperlink ref="G3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S103"/>
  <sheetViews>
    <sheetView topLeftCell="A40" workbookViewId="0">
      <selection activeCell="A53" sqref="A53"/>
    </sheetView>
  </sheetViews>
  <sheetFormatPr baseColWidth="10" defaultRowHeight="16" x14ac:dyDescent="0.2"/>
  <cols>
    <col min="2" max="2" width="22.1640625" customWidth="1"/>
    <col min="3" max="3" width="30.6640625" customWidth="1"/>
    <col min="4" max="4" width="14.5" customWidth="1"/>
    <col min="5" max="5" width="15.33203125" customWidth="1"/>
    <col min="6" max="6" width="14" customWidth="1"/>
    <col min="7" max="7" width="14.83203125" customWidth="1"/>
    <col min="8" max="8" width="13" customWidth="1"/>
    <col min="9" max="9" width="13.1640625" customWidth="1"/>
    <col min="10" max="13" width="16.6640625" customWidth="1"/>
    <col min="14" max="14" width="16.1640625" customWidth="1"/>
    <col min="15" max="15" width="9.83203125" bestFit="1" customWidth="1"/>
    <col min="16" max="16" width="17" bestFit="1" customWidth="1"/>
    <col min="17" max="17" width="10.33203125" bestFit="1" customWidth="1"/>
    <col min="18" max="18" width="12.83203125" customWidth="1"/>
    <col min="19" max="19" width="39.1640625" customWidth="1"/>
  </cols>
  <sheetData>
    <row r="1" spans="1:18" ht="21" x14ac:dyDescent="0.25">
      <c r="A1" s="1"/>
      <c r="B1" s="28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2"/>
    </row>
    <row r="2" spans="1:18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/>
      <c r="B3" s="29" t="s">
        <v>28</v>
      </c>
      <c r="C3" s="25"/>
      <c r="D3" s="25"/>
      <c r="E3" s="25"/>
      <c r="F3" s="30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2"/>
    </row>
    <row r="4" spans="1:18" ht="46" customHeight="1" x14ac:dyDescent="0.2">
      <c r="A4" s="1"/>
      <c r="B4" s="181" t="s">
        <v>29</v>
      </c>
      <c r="C4" s="182"/>
      <c r="D4" s="182"/>
      <c r="E4" s="182"/>
      <c r="F4" s="183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84"/>
    </row>
    <row r="5" spans="1:18" ht="17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2"/>
    </row>
    <row r="6" spans="1:18" x14ac:dyDescent="0.2">
      <c r="A6" s="1"/>
      <c r="B6" s="3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1"/>
    </row>
    <row r="7" spans="1:18" x14ac:dyDescent="0.2">
      <c r="A7" s="1"/>
      <c r="B7" s="1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2"/>
    </row>
    <row r="8" spans="1:18" ht="80" x14ac:dyDescent="0.2">
      <c r="A8" s="1"/>
      <c r="B8" s="33" t="s">
        <v>30</v>
      </c>
      <c r="C8" s="34" t="s">
        <v>31</v>
      </c>
      <c r="D8" s="35" t="s">
        <v>35</v>
      </c>
      <c r="E8" s="35" t="s">
        <v>36</v>
      </c>
      <c r="F8" s="35" t="s">
        <v>32</v>
      </c>
      <c r="G8" s="35" t="s">
        <v>37</v>
      </c>
      <c r="H8" s="35" t="s">
        <v>38</v>
      </c>
      <c r="I8" s="35" t="s">
        <v>39</v>
      </c>
      <c r="J8" s="35" t="s">
        <v>40</v>
      </c>
      <c r="K8" s="35" t="s">
        <v>66</v>
      </c>
      <c r="L8" s="35" t="s">
        <v>150</v>
      </c>
      <c r="M8" s="35" t="s">
        <v>154</v>
      </c>
      <c r="N8" s="35" t="s">
        <v>52</v>
      </c>
      <c r="O8" s="35" t="s">
        <v>141</v>
      </c>
      <c r="P8" s="77" t="s">
        <v>156</v>
      </c>
      <c r="Q8" s="35" t="s">
        <v>33</v>
      </c>
      <c r="R8" s="98" t="s">
        <v>159</v>
      </c>
    </row>
    <row r="9" spans="1:18" x14ac:dyDescent="0.2">
      <c r="A9" s="1"/>
      <c r="B9" s="38"/>
      <c r="C9" s="39"/>
      <c r="D9" s="2"/>
      <c r="E9" s="2"/>
      <c r="F9" s="2"/>
      <c r="G9" s="2"/>
      <c r="H9" s="2"/>
      <c r="I9" s="2"/>
      <c r="J9" s="2"/>
      <c r="K9" s="2"/>
      <c r="L9" s="2"/>
      <c r="M9" s="2"/>
      <c r="N9" s="75"/>
      <c r="O9" s="25"/>
      <c r="P9" s="25"/>
      <c r="Q9" s="25"/>
      <c r="R9" s="76"/>
    </row>
    <row r="10" spans="1:18" x14ac:dyDescent="0.2">
      <c r="A10" s="1"/>
      <c r="B10" s="4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1"/>
      <c r="O10" s="119" t="s">
        <v>146</v>
      </c>
      <c r="P10" s="152">
        <f>SUM(P14,P42,P53,P60,P75,P92,P82)</f>
        <v>21.032490814461507</v>
      </c>
      <c r="Q10" s="7"/>
      <c r="R10" s="32"/>
    </row>
    <row r="11" spans="1:18" x14ac:dyDescent="0.2">
      <c r="A11" s="1"/>
      <c r="B11" s="42"/>
      <c r="C11" s="36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4"/>
      <c r="O11" s="119" t="s">
        <v>147</v>
      </c>
      <c r="P11" s="2">
        <f>SUM(P25,P67,P85)</f>
        <v>12.214075320086433</v>
      </c>
      <c r="Q11" s="2"/>
      <c r="R11" s="37"/>
    </row>
    <row r="12" spans="1:18" x14ac:dyDescent="0.2">
      <c r="A12" s="1"/>
      <c r="B12" s="33"/>
      <c r="C12" s="14"/>
      <c r="D12" s="45"/>
      <c r="E12" s="45"/>
      <c r="F12" s="45"/>
      <c r="G12" s="45"/>
      <c r="H12" s="45"/>
      <c r="I12" s="45"/>
      <c r="J12" s="45"/>
      <c r="K12" s="46"/>
      <c r="L12" s="46"/>
      <c r="M12" s="46"/>
      <c r="N12" s="46"/>
      <c r="O12" s="2"/>
      <c r="P12" s="2"/>
      <c r="Q12" s="2"/>
      <c r="R12" s="32"/>
    </row>
    <row r="13" spans="1:18" x14ac:dyDescent="0.2">
      <c r="A13" s="1"/>
      <c r="B13" s="48" t="s">
        <v>62</v>
      </c>
      <c r="C13" s="49"/>
      <c r="D13" s="50"/>
      <c r="E13" s="50"/>
      <c r="F13" s="50"/>
      <c r="G13" s="50"/>
      <c r="H13" s="50"/>
      <c r="I13" s="50"/>
      <c r="J13" s="50"/>
      <c r="K13" s="53"/>
      <c r="L13" s="53"/>
      <c r="M13" s="53"/>
      <c r="N13" s="53"/>
      <c r="O13" s="25"/>
      <c r="P13" s="25"/>
      <c r="Q13" s="25"/>
      <c r="R13" s="76"/>
    </row>
    <row r="14" spans="1:18" x14ac:dyDescent="0.2">
      <c r="A14" s="1"/>
      <c r="B14" s="38"/>
      <c r="C14" s="47" t="s">
        <v>34</v>
      </c>
      <c r="D14" s="46">
        <f>Dashboard!F16*Dashboard!H16*Dashboard!F49</f>
        <v>21.605020729839165</v>
      </c>
      <c r="E14" s="46">
        <f>Dashboard!F17*Dashboard!H17*Dashboard!F54</f>
        <v>4.2633662690447531</v>
      </c>
      <c r="F14" s="46">
        <f>Dashboard!F18*Dashboard!F58</f>
        <v>1.6082807203909068E-2</v>
      </c>
      <c r="G14" s="46">
        <f>Dashboard!F19*Dashboard!H19</f>
        <v>0.20326269556172255</v>
      </c>
      <c r="H14" s="46">
        <f>Dashboard!F20*Dashboard!F67</f>
        <v>0</v>
      </c>
      <c r="I14" s="46">
        <f>Dashboard!F21*Dashboard!F71</f>
        <v>4.2300385725482566E-2</v>
      </c>
      <c r="J14" s="53">
        <f>Dashboard!F22</f>
        <v>0</v>
      </c>
      <c r="K14" s="53"/>
      <c r="L14" s="46"/>
      <c r="M14" s="46"/>
      <c r="N14" s="46"/>
      <c r="O14" s="2"/>
      <c r="P14" s="2">
        <f>SUM(P17:P22)</f>
        <v>16.830042440818513</v>
      </c>
      <c r="Q14" s="2"/>
      <c r="R14" s="68">
        <f>P14/P10</f>
        <v>0.80019254919852489</v>
      </c>
    </row>
    <row r="15" spans="1:18" x14ac:dyDescent="0.2">
      <c r="A15" s="1"/>
      <c r="B15" s="38"/>
      <c r="C15" s="47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2"/>
      <c r="P15" s="2"/>
      <c r="Q15" s="2"/>
      <c r="R15" s="32"/>
    </row>
    <row r="16" spans="1:18" x14ac:dyDescent="0.2">
      <c r="A16" s="1"/>
      <c r="B16" s="38"/>
      <c r="C16" s="51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2"/>
      <c r="P16" s="2"/>
      <c r="Q16" s="2"/>
      <c r="R16" s="32"/>
    </row>
    <row r="17" spans="1:18" x14ac:dyDescent="0.2">
      <c r="A17" s="1"/>
      <c r="B17" s="54"/>
      <c r="C17" s="2" t="s">
        <v>41</v>
      </c>
      <c r="D17" s="63"/>
      <c r="E17" s="64"/>
      <c r="F17" s="64"/>
      <c r="G17" s="64"/>
      <c r="H17" s="64"/>
      <c r="I17" s="64">
        <f>I14</f>
        <v>4.2300385725482566E-2</v>
      </c>
      <c r="J17" s="64"/>
      <c r="K17" s="64"/>
      <c r="L17" s="66"/>
      <c r="M17" s="66"/>
      <c r="N17" s="52">
        <f>SUM(D17:J17)</f>
        <v>4.2300385725482566E-2</v>
      </c>
      <c r="O17">
        <v>0.63211786809616799</v>
      </c>
      <c r="P17" s="2">
        <f>O17*SUM(D17:K17)</f>
        <v>2.6738829644437617E-2</v>
      </c>
      <c r="Q17" s="68">
        <f>P17/SUM($P$17:$P$22)</f>
        <v>1.5887559249159683E-3</v>
      </c>
      <c r="R17" s="71"/>
    </row>
    <row r="18" spans="1:18" x14ac:dyDescent="0.2">
      <c r="A18" s="1"/>
      <c r="B18" s="55"/>
      <c r="C18" s="2" t="s">
        <v>47</v>
      </c>
      <c r="D18" s="65"/>
      <c r="E18" s="66">
        <f>E14</f>
        <v>4.2633662690447531</v>
      </c>
      <c r="F18" s="66"/>
      <c r="G18" s="66"/>
      <c r="H18" s="66"/>
      <c r="I18" s="66"/>
      <c r="J18" s="66"/>
      <c r="K18" s="66"/>
      <c r="L18" s="66"/>
      <c r="M18" s="66"/>
      <c r="N18" s="52">
        <f t="shared" ref="N18:N39" si="0">SUM(D18:J18)</f>
        <v>4.2633662690447531</v>
      </c>
      <c r="O18">
        <v>0.69865659105365896</v>
      </c>
      <c r="P18" s="2">
        <f t="shared" ref="P18:P22" si="1">O18*SUM(D18:K18)</f>
        <v>2.9786289439439639</v>
      </c>
      <c r="Q18" s="68">
        <f t="shared" ref="Q18:Q22" si="2">P18/SUM($P$17:$P$22)</f>
        <v>0.17698285398970753</v>
      </c>
      <c r="R18" s="71"/>
    </row>
    <row r="19" spans="1:18" x14ac:dyDescent="0.2">
      <c r="A19" s="1"/>
      <c r="B19" s="55"/>
      <c r="C19" s="2" t="s">
        <v>42</v>
      </c>
      <c r="D19" s="65"/>
      <c r="E19" s="66"/>
      <c r="F19" s="66">
        <f>F14</f>
        <v>1.6082807203909068E-2</v>
      </c>
      <c r="G19" s="66"/>
      <c r="H19" s="66"/>
      <c r="I19" s="66"/>
      <c r="J19" s="66"/>
      <c r="K19" s="66"/>
      <c r="L19" s="66"/>
      <c r="M19" s="66"/>
      <c r="N19" s="52">
        <f t="shared" si="0"/>
        <v>1.6082807203909068E-2</v>
      </c>
      <c r="O19">
        <v>2.0422269584645401</v>
      </c>
      <c r="P19" s="2">
        <f t="shared" si="1"/>
        <v>3.2844742439610809E-2</v>
      </c>
      <c r="Q19" s="68">
        <f t="shared" si="2"/>
        <v>1.951554344268988E-3</v>
      </c>
      <c r="R19" s="71"/>
    </row>
    <row r="20" spans="1:18" x14ac:dyDescent="0.2">
      <c r="A20" s="1"/>
      <c r="B20" s="55"/>
      <c r="C20" s="2" t="s">
        <v>48</v>
      </c>
      <c r="D20" s="65">
        <f>D14</f>
        <v>21.605020729839165</v>
      </c>
      <c r="E20" s="66"/>
      <c r="F20" s="66"/>
      <c r="G20" s="66"/>
      <c r="H20" s="66"/>
      <c r="I20" s="66"/>
      <c r="J20" s="66"/>
      <c r="K20" s="66"/>
      <c r="L20" s="66"/>
      <c r="M20" s="66"/>
      <c r="N20" s="52">
        <f t="shared" si="0"/>
        <v>21.605020729839165</v>
      </c>
      <c r="O20">
        <v>0.63211786809616799</v>
      </c>
      <c r="P20" s="2">
        <f t="shared" si="1"/>
        <v>13.656919643919448</v>
      </c>
      <c r="Q20" s="68">
        <f t="shared" si="2"/>
        <v>0.81146079648598057</v>
      </c>
      <c r="R20" s="71"/>
    </row>
    <row r="21" spans="1:18" x14ac:dyDescent="0.2">
      <c r="A21" s="1"/>
      <c r="B21" s="55"/>
      <c r="C21" s="2" t="s">
        <v>43</v>
      </c>
      <c r="D21" s="65"/>
      <c r="E21" s="66"/>
      <c r="F21" s="66"/>
      <c r="G21" s="66"/>
      <c r="H21" s="66"/>
      <c r="I21" s="66"/>
      <c r="J21" s="66">
        <f>J14</f>
        <v>0</v>
      </c>
      <c r="K21" s="66"/>
      <c r="L21" s="66"/>
      <c r="M21" s="66"/>
      <c r="N21" s="52">
        <f t="shared" si="0"/>
        <v>0</v>
      </c>
      <c r="O21">
        <v>1.3545382887774999</v>
      </c>
      <c r="P21" s="2">
        <f t="shared" si="1"/>
        <v>0</v>
      </c>
      <c r="Q21" s="68">
        <f t="shared" si="2"/>
        <v>0</v>
      </c>
      <c r="R21" s="71"/>
    </row>
    <row r="22" spans="1:18" x14ac:dyDescent="0.2">
      <c r="A22" s="1"/>
      <c r="B22" s="55"/>
      <c r="C22" s="2" t="s">
        <v>44</v>
      </c>
      <c r="D22" s="83"/>
      <c r="E22" s="67"/>
      <c r="F22" s="67"/>
      <c r="G22" s="67">
        <f>G14</f>
        <v>0.20326269556172255</v>
      </c>
      <c r="H22" s="67"/>
      <c r="I22" s="67"/>
      <c r="J22" s="67"/>
      <c r="K22" s="67"/>
      <c r="L22" s="66"/>
      <c r="M22" s="66"/>
      <c r="N22" s="52">
        <f t="shared" si="0"/>
        <v>0.20326269556172255</v>
      </c>
      <c r="O22">
        <v>0.66372376150097601</v>
      </c>
      <c r="P22" s="2">
        <f t="shared" si="1"/>
        <v>0.13491028087105422</v>
      </c>
      <c r="Q22" s="68">
        <f t="shared" si="2"/>
        <v>8.0160392551269759E-3</v>
      </c>
      <c r="R22" s="71"/>
    </row>
    <row r="23" spans="1:18" s="1" customFormat="1" x14ac:dyDescent="0.2">
      <c r="B23" s="55"/>
      <c r="C23" s="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2"/>
      <c r="P23" s="2"/>
      <c r="Q23" s="68"/>
      <c r="R23" s="86"/>
    </row>
    <row r="24" spans="1:18" s="1" customFormat="1" x14ac:dyDescent="0.2">
      <c r="B24" s="91" t="s">
        <v>63</v>
      </c>
      <c r="C24" s="25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5"/>
      <c r="P24" s="25"/>
      <c r="Q24" s="89"/>
      <c r="R24" s="90"/>
    </row>
    <row r="25" spans="1:18" s="1" customFormat="1" x14ac:dyDescent="0.2">
      <c r="B25" s="55"/>
      <c r="C25" s="88" t="s">
        <v>34</v>
      </c>
      <c r="D25" s="53">
        <f t="shared" ref="D25:J25" si="3">SUM(D28:D39)</f>
        <v>0.21820127125933875</v>
      </c>
      <c r="E25" s="53">
        <f t="shared" si="3"/>
        <v>15.08653004938607</v>
      </c>
      <c r="F25" s="53">
        <f t="shared" si="3"/>
        <v>3.3309759357973276E-4</v>
      </c>
      <c r="G25" s="53">
        <f t="shared" si="3"/>
        <v>0</v>
      </c>
      <c r="H25" s="53">
        <f t="shared" si="3"/>
        <v>4.571935958047102E-2</v>
      </c>
      <c r="I25" s="53">
        <f t="shared" si="3"/>
        <v>4.8814197991810922E-2</v>
      </c>
      <c r="J25" s="53">
        <f t="shared" si="3"/>
        <v>0</v>
      </c>
      <c r="K25" s="53"/>
      <c r="L25" s="46"/>
      <c r="M25" s="46"/>
      <c r="N25" s="46"/>
      <c r="O25" s="2"/>
      <c r="P25" s="2">
        <f>SUM(P28:P39)</f>
        <v>10.091761930957873</v>
      </c>
      <c r="Q25" s="2"/>
      <c r="R25" s="68">
        <f>P25/P11</f>
        <v>0.82624035520410222</v>
      </c>
    </row>
    <row r="26" spans="1:18" s="1" customFormat="1" x14ac:dyDescent="0.2">
      <c r="B26" s="55"/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2"/>
      <c r="P26" s="2"/>
      <c r="Q26" s="2"/>
      <c r="R26" s="32"/>
    </row>
    <row r="27" spans="1:18" x14ac:dyDescent="0.2">
      <c r="A27" s="1"/>
      <c r="B27" s="55"/>
      <c r="C27" s="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2"/>
      <c r="P27" s="2"/>
      <c r="Q27" s="68"/>
      <c r="R27" s="86" t="s">
        <v>158</v>
      </c>
    </row>
    <row r="28" spans="1:18" x14ac:dyDescent="0.2">
      <c r="A28" s="1"/>
      <c r="B28" s="54"/>
      <c r="C28" s="2" t="s">
        <v>45</v>
      </c>
      <c r="D28" s="63"/>
      <c r="E28" s="64"/>
      <c r="F28" s="64"/>
      <c r="G28" s="64"/>
      <c r="H28" s="64"/>
      <c r="I28" s="64">
        <f>Dashboard!F21*Dashboard!F72</f>
        <v>4.8814197991810922E-2</v>
      </c>
      <c r="J28" s="64"/>
      <c r="K28" s="64"/>
      <c r="L28" s="66"/>
      <c r="M28" s="66"/>
      <c r="N28" s="52">
        <f t="shared" si="0"/>
        <v>4.8814197991810922E-2</v>
      </c>
      <c r="O28" s="2">
        <v>0.63465603800000003</v>
      </c>
      <c r="P28" s="2">
        <f>O28*SUM(D28:K28)</f>
        <v>3.0980225495630277E-2</v>
      </c>
      <c r="Q28" s="68">
        <f t="shared" ref="Q28:Q33" si="4">P28/SUM($P$28:$P$33)</f>
        <v>3.069852985789742E-3</v>
      </c>
      <c r="R28" s="71">
        <f>N28/SUM(N$28:N$33)</f>
        <v>3.1698358663963325E-3</v>
      </c>
    </row>
    <row r="29" spans="1:18" x14ac:dyDescent="0.2">
      <c r="A29" s="1"/>
      <c r="B29" s="55"/>
      <c r="C29" s="2" t="s">
        <v>49</v>
      </c>
      <c r="D29" s="65"/>
      <c r="E29" s="66">
        <f>Dashboard!F17*Dashboard!H17*Dashboard!F55</f>
        <v>15.08653004938607</v>
      </c>
      <c r="F29" s="66"/>
      <c r="G29" s="66"/>
      <c r="H29" s="66"/>
      <c r="I29" s="66"/>
      <c r="J29" s="66"/>
      <c r="K29" s="66"/>
      <c r="L29" s="66"/>
      <c r="M29" s="66"/>
      <c r="N29" s="52">
        <f t="shared" si="0"/>
        <v>15.08653004938607</v>
      </c>
      <c r="O29" s="2">
        <v>0.65614556099999999</v>
      </c>
      <c r="P29" s="2">
        <f t="shared" ref="P29:P39" si="5">O29*SUM(D29:K29)</f>
        <v>9.8989597227977804</v>
      </c>
      <c r="Q29" s="68">
        <f t="shared" si="4"/>
        <v>0.98089508953152726</v>
      </c>
      <c r="R29" s="71">
        <f t="shared" ref="R29:R33" si="6">N29/SUM(N$28:N$33)</f>
        <v>0.97967038315435584</v>
      </c>
    </row>
    <row r="30" spans="1:18" x14ac:dyDescent="0.2">
      <c r="A30" s="1"/>
      <c r="B30" s="55"/>
      <c r="C30" s="2" t="s">
        <v>46</v>
      </c>
      <c r="D30" s="65"/>
      <c r="E30" s="66"/>
      <c r="F30" s="66">
        <f>Dashboard!F18*Dashboard!F59</f>
        <v>3.3309759357973276E-4</v>
      </c>
      <c r="G30" s="66"/>
      <c r="H30" s="66"/>
      <c r="I30" s="66"/>
      <c r="J30" s="66"/>
      <c r="K30" s="66"/>
      <c r="L30" s="66"/>
      <c r="M30" s="66"/>
      <c r="N30" s="52">
        <f t="shared" si="0"/>
        <v>3.3309759357973276E-4</v>
      </c>
      <c r="O30" s="2">
        <v>1.1075069559999999</v>
      </c>
      <c r="P30" s="2">
        <f t="shared" si="5"/>
        <v>3.6890790191641495E-4</v>
      </c>
      <c r="Q30" s="68">
        <f t="shared" si="4"/>
        <v>3.6555351230070051E-5</v>
      </c>
      <c r="R30" s="71">
        <f t="shared" si="6"/>
        <v>2.1630278537332062E-5</v>
      </c>
    </row>
    <row r="31" spans="1:18" x14ac:dyDescent="0.2">
      <c r="A31" s="1"/>
      <c r="B31" s="55"/>
      <c r="C31" s="2" t="s">
        <v>50</v>
      </c>
      <c r="D31" s="65">
        <f>Dashboard!F16*Dashboard!H16*Dashboard!F50</f>
        <v>0.21820127125933875</v>
      </c>
      <c r="E31" s="66"/>
      <c r="F31" s="66"/>
      <c r="G31" s="66"/>
      <c r="H31" s="66"/>
      <c r="I31" s="66"/>
      <c r="J31" s="66"/>
      <c r="K31" s="66"/>
      <c r="L31" s="66"/>
      <c r="M31" s="66"/>
      <c r="N31" s="52">
        <f t="shared" si="0"/>
        <v>0.21820127125933875</v>
      </c>
      <c r="O31" s="2">
        <v>0.59533058900000002</v>
      </c>
      <c r="P31" s="2">
        <f t="shared" si="5"/>
        <v>0.12990189133937091</v>
      </c>
      <c r="Q31" s="68">
        <f t="shared" si="4"/>
        <v>1.2872072511032878E-2</v>
      </c>
      <c r="R31" s="71">
        <f t="shared" si="6"/>
        <v>1.4169283613901851E-2</v>
      </c>
    </row>
    <row r="32" spans="1:18" x14ac:dyDescent="0.2">
      <c r="A32" s="1"/>
      <c r="B32" s="55"/>
      <c r="C32" s="2" t="s">
        <v>58</v>
      </c>
      <c r="D32" s="65"/>
      <c r="E32" s="66"/>
      <c r="F32" s="66"/>
      <c r="G32" s="66"/>
      <c r="H32" s="66"/>
      <c r="I32" s="66"/>
      <c r="J32" s="66">
        <f>Dashboard!F22</f>
        <v>0</v>
      </c>
      <c r="K32" s="66"/>
      <c r="L32" s="66"/>
      <c r="M32" s="66"/>
      <c r="N32" s="52">
        <f t="shared" si="0"/>
        <v>0</v>
      </c>
      <c r="O32" s="2">
        <v>0.93176970699999995</v>
      </c>
      <c r="P32" s="2">
        <f t="shared" si="5"/>
        <v>0</v>
      </c>
      <c r="Q32" s="68">
        <f t="shared" si="4"/>
        <v>0</v>
      </c>
      <c r="R32" s="71">
        <f t="shared" si="6"/>
        <v>0</v>
      </c>
    </row>
    <row r="33" spans="1:18" x14ac:dyDescent="0.2">
      <c r="A33" s="1"/>
      <c r="B33" s="55"/>
      <c r="C33" s="2" t="s">
        <v>51</v>
      </c>
      <c r="D33" s="65"/>
      <c r="E33" s="66"/>
      <c r="F33" s="66"/>
      <c r="G33" s="66"/>
      <c r="H33" s="66">
        <f>Dashboard!F20*Dashboard!F68</f>
        <v>4.571935958047102E-2</v>
      </c>
      <c r="I33" s="66"/>
      <c r="J33" s="66"/>
      <c r="K33" s="66"/>
      <c r="L33" s="66"/>
      <c r="M33" s="66"/>
      <c r="N33" s="52">
        <f t="shared" si="0"/>
        <v>4.571935958047102E-2</v>
      </c>
      <c r="O33" s="2">
        <v>0.69010554199999996</v>
      </c>
      <c r="P33" s="2">
        <f t="shared" si="5"/>
        <v>3.1551183423173847E-2</v>
      </c>
      <c r="Q33" s="68">
        <f t="shared" si="4"/>
        <v>3.1264296204200218E-3</v>
      </c>
      <c r="R33" s="71">
        <f t="shared" si="6"/>
        <v>2.9688670868086389E-3</v>
      </c>
    </row>
    <row r="34" spans="1:18" x14ac:dyDescent="0.2">
      <c r="A34" s="1"/>
      <c r="B34" s="55"/>
      <c r="C34" s="2" t="s">
        <v>87</v>
      </c>
      <c r="D34" s="65"/>
      <c r="E34" s="66"/>
      <c r="F34" s="66"/>
      <c r="G34" s="66"/>
      <c r="H34" s="66"/>
      <c r="I34" s="66">
        <f>R28*Dashboard!F23</f>
        <v>0</v>
      </c>
      <c r="J34" s="66"/>
      <c r="K34" s="66"/>
      <c r="L34" s="66"/>
      <c r="M34" s="66"/>
      <c r="N34" s="52">
        <f t="shared" si="0"/>
        <v>0</v>
      </c>
      <c r="O34" s="2">
        <v>0.63465603800000003</v>
      </c>
      <c r="P34" s="2">
        <f t="shared" si="5"/>
        <v>0</v>
      </c>
      <c r="Q34" s="68"/>
      <c r="R34" s="72"/>
    </row>
    <row r="35" spans="1:18" x14ac:dyDescent="0.2">
      <c r="A35" s="1"/>
      <c r="B35" s="38"/>
      <c r="C35" s="2" t="s">
        <v>88</v>
      </c>
      <c r="D35" s="65"/>
      <c r="E35" s="66">
        <f>Dashboard!F23*Analyse!R29</f>
        <v>0</v>
      </c>
      <c r="F35" s="66"/>
      <c r="G35" s="66"/>
      <c r="H35" s="66"/>
      <c r="I35" s="66"/>
      <c r="J35" s="66"/>
      <c r="K35" s="66"/>
      <c r="L35" s="66"/>
      <c r="M35" s="66"/>
      <c r="N35" s="52">
        <f t="shared" si="0"/>
        <v>0</v>
      </c>
      <c r="O35" s="2">
        <v>0.65614556099999999</v>
      </c>
      <c r="P35" s="2">
        <f t="shared" si="5"/>
        <v>0</v>
      </c>
      <c r="Q35" s="69"/>
      <c r="R35" s="72"/>
    </row>
    <row r="36" spans="1:18" x14ac:dyDescent="0.2">
      <c r="A36" s="1"/>
      <c r="B36" s="38"/>
      <c r="C36" s="2" t="s">
        <v>89</v>
      </c>
      <c r="D36" s="65"/>
      <c r="E36" s="66"/>
      <c r="F36" s="66">
        <f>R30*Dashboard!F23</f>
        <v>0</v>
      </c>
      <c r="G36" s="66"/>
      <c r="H36" s="66"/>
      <c r="I36" s="66"/>
      <c r="J36" s="66"/>
      <c r="K36" s="66"/>
      <c r="L36" s="66"/>
      <c r="M36" s="66"/>
      <c r="N36" s="52">
        <f t="shared" si="0"/>
        <v>0</v>
      </c>
      <c r="O36" s="2">
        <v>1.1075069559999999</v>
      </c>
      <c r="P36" s="2">
        <f t="shared" si="5"/>
        <v>0</v>
      </c>
      <c r="Q36" s="69"/>
      <c r="R36" s="72"/>
    </row>
    <row r="37" spans="1:18" x14ac:dyDescent="0.2">
      <c r="A37" s="1"/>
      <c r="B37" s="38"/>
      <c r="C37" s="2" t="s">
        <v>90</v>
      </c>
      <c r="D37" s="65">
        <f>Dashboard!F23*Analyse!R31</f>
        <v>0</v>
      </c>
      <c r="E37" s="66"/>
      <c r="F37" s="66"/>
      <c r="G37" s="66"/>
      <c r="H37" s="66"/>
      <c r="I37" s="66"/>
      <c r="J37" s="66"/>
      <c r="K37" s="66"/>
      <c r="L37" s="66"/>
      <c r="M37" s="66"/>
      <c r="N37" s="52">
        <f t="shared" si="0"/>
        <v>0</v>
      </c>
      <c r="O37" s="2">
        <v>0.59533058900000002</v>
      </c>
      <c r="P37" s="2">
        <f t="shared" si="5"/>
        <v>0</v>
      </c>
      <c r="Q37" s="69"/>
      <c r="R37" s="72"/>
    </row>
    <row r="38" spans="1:18" x14ac:dyDescent="0.2">
      <c r="A38" s="1"/>
      <c r="B38" s="38"/>
      <c r="C38" s="2" t="s">
        <v>91</v>
      </c>
      <c r="D38" s="65"/>
      <c r="E38" s="66"/>
      <c r="F38" s="66"/>
      <c r="G38" s="66"/>
      <c r="H38" s="66"/>
      <c r="I38" s="66"/>
      <c r="J38" s="66">
        <f>R32*Dashboard!F23</f>
        <v>0</v>
      </c>
      <c r="K38" s="66"/>
      <c r="L38" s="66"/>
      <c r="M38" s="66"/>
      <c r="N38" s="52">
        <f t="shared" si="0"/>
        <v>0</v>
      </c>
      <c r="O38" s="2">
        <v>0.93176970699999995</v>
      </c>
      <c r="P38" s="2">
        <f t="shared" si="5"/>
        <v>0</v>
      </c>
      <c r="Q38" s="69"/>
      <c r="R38" s="72"/>
    </row>
    <row r="39" spans="1:18" x14ac:dyDescent="0.2">
      <c r="A39" s="1"/>
      <c r="B39" s="38"/>
      <c r="C39" s="2" t="s">
        <v>92</v>
      </c>
      <c r="D39" s="83"/>
      <c r="E39" s="67"/>
      <c r="F39" s="67"/>
      <c r="G39" s="67"/>
      <c r="H39" s="67">
        <f>R33*Dashboard!F23</f>
        <v>0</v>
      </c>
      <c r="I39" s="67"/>
      <c r="J39" s="67"/>
      <c r="K39" s="67"/>
      <c r="L39" s="66"/>
      <c r="M39" s="66"/>
      <c r="N39" s="52">
        <f t="shared" si="0"/>
        <v>0</v>
      </c>
      <c r="O39" s="2">
        <v>0.69010554199999996</v>
      </c>
      <c r="P39" s="2">
        <f t="shared" si="5"/>
        <v>0</v>
      </c>
      <c r="Q39" s="69"/>
      <c r="R39" s="72"/>
    </row>
    <row r="40" spans="1:18" ht="17" thickBot="1" x14ac:dyDescent="0.25">
      <c r="A40" s="1"/>
      <c r="B40" s="56"/>
      <c r="C40" s="57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73"/>
      <c r="O40" s="60"/>
      <c r="P40" s="60"/>
      <c r="Q40" s="70"/>
      <c r="R40" s="74"/>
    </row>
    <row r="41" spans="1:18" s="1" customFormat="1" x14ac:dyDescent="0.2">
      <c r="B41" s="91" t="s">
        <v>130</v>
      </c>
      <c r="C41" s="25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25"/>
      <c r="P41" s="25"/>
      <c r="Q41" s="89"/>
      <c r="R41" s="90"/>
    </row>
    <row r="42" spans="1:18" s="1" customFormat="1" x14ac:dyDescent="0.2">
      <c r="B42" s="55"/>
      <c r="C42" s="88" t="s">
        <v>34</v>
      </c>
      <c r="D42" s="53">
        <f t="shared" ref="D42:J42" si="7">SUM(D45:D50)</f>
        <v>2.3537570982772914E-3</v>
      </c>
      <c r="E42" s="53">
        <f t="shared" si="7"/>
        <v>0.8578356721229442</v>
      </c>
      <c r="F42" s="53">
        <f t="shared" si="7"/>
        <v>4.1847531626082522E-4</v>
      </c>
      <c r="G42" s="53">
        <f t="shared" si="7"/>
        <v>0</v>
      </c>
      <c r="H42" s="53">
        <f t="shared" si="7"/>
        <v>0</v>
      </c>
      <c r="I42" s="53">
        <f t="shared" si="7"/>
        <v>0.10636030771942949</v>
      </c>
      <c r="J42" s="53">
        <f t="shared" si="7"/>
        <v>0</v>
      </c>
      <c r="K42" s="53"/>
      <c r="L42" s="46"/>
      <c r="M42" s="46"/>
      <c r="N42" s="46"/>
      <c r="O42" s="2"/>
      <c r="P42" s="2">
        <f>SUM(P45:P50)</f>
        <v>1.217913540890377</v>
      </c>
      <c r="Q42" s="2"/>
      <c r="R42" s="68">
        <f>P42/P10</f>
        <v>5.7906291348667309E-2</v>
      </c>
    </row>
    <row r="43" spans="1:18" s="1" customFormat="1" x14ac:dyDescent="0.2">
      <c r="B43" s="55"/>
      <c r="C43" s="47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2"/>
      <c r="P43" s="2"/>
      <c r="Q43" s="2"/>
      <c r="R43" s="32"/>
    </row>
    <row r="44" spans="1:18" x14ac:dyDescent="0.2">
      <c r="A44" s="1"/>
      <c r="B44" s="55"/>
      <c r="C44" s="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2"/>
      <c r="P44" s="2"/>
      <c r="Q44" s="68"/>
      <c r="R44" s="86"/>
    </row>
    <row r="45" spans="1:18" x14ac:dyDescent="0.2">
      <c r="A45" s="1"/>
      <c r="B45" s="54"/>
      <c r="C45" s="2" t="s">
        <v>131</v>
      </c>
      <c r="D45" s="63"/>
      <c r="E45" s="64"/>
      <c r="F45" s="64"/>
      <c r="G45" s="64"/>
      <c r="H45" s="64"/>
      <c r="I45" s="64">
        <f>Dashboard!F21*Dashboard!F73</f>
        <v>0.10636030771942949</v>
      </c>
      <c r="J45" s="64"/>
      <c r="K45" s="64"/>
      <c r="L45" s="66"/>
      <c r="M45" s="66"/>
      <c r="N45" s="52">
        <f t="shared" ref="N45:N50" si="8">SUM(D45:J45)</f>
        <v>0.10636030771942949</v>
      </c>
      <c r="O45">
        <v>1.38211869123655</v>
      </c>
      <c r="P45" s="2">
        <f>O45*SUM(D45:K45)</f>
        <v>0.1470025693046946</v>
      </c>
      <c r="Q45" s="68">
        <f>P45/SUM($P$45:$P$50)</f>
        <v>0.12070033246959863</v>
      </c>
      <c r="R45" s="71"/>
    </row>
    <row r="46" spans="1:18" x14ac:dyDescent="0.2">
      <c r="A46" s="1"/>
      <c r="B46" s="55"/>
      <c r="C46" s="2" t="s">
        <v>132</v>
      </c>
      <c r="D46" s="65"/>
      <c r="E46" s="66">
        <f>Dashboard!F17*Dashboard!H17*Dashboard!F56</f>
        <v>0.8578356721229442</v>
      </c>
      <c r="F46" s="66"/>
      <c r="G46" s="66"/>
      <c r="H46" s="66"/>
      <c r="I46" s="66"/>
      <c r="J46" s="66"/>
      <c r="K46" s="66"/>
      <c r="L46" s="66"/>
      <c r="M46" s="66"/>
      <c r="N46" s="52">
        <f t="shared" si="8"/>
        <v>0.8578356721229442</v>
      </c>
      <c r="O46">
        <v>1.2439068221128999</v>
      </c>
      <c r="P46" s="2">
        <f t="shared" ref="P46:P50" si="9">O46*SUM(D46:K46)</f>
        <v>1.0670676448055352</v>
      </c>
      <c r="Q46" s="68">
        <f t="shared" ref="Q46:Q50" si="10">P46/SUM($P$45:$P$50)</f>
        <v>0.87614400282095295</v>
      </c>
      <c r="R46" s="71"/>
    </row>
    <row r="47" spans="1:18" x14ac:dyDescent="0.2">
      <c r="A47" s="1"/>
      <c r="B47" s="55"/>
      <c r="C47" s="2" t="s">
        <v>133</v>
      </c>
      <c r="D47" s="65"/>
      <c r="E47" s="66"/>
      <c r="F47" s="66">
        <f>Dashboard!F18*Dashboard!F60</f>
        <v>4.1847531626082522E-4</v>
      </c>
      <c r="G47" s="66"/>
      <c r="H47" s="66"/>
      <c r="I47" s="66"/>
      <c r="J47" s="66"/>
      <c r="K47" s="66"/>
      <c r="L47" s="66"/>
      <c r="M47" s="66"/>
      <c r="N47" s="52">
        <f t="shared" si="8"/>
        <v>4.1847531626082522E-4</v>
      </c>
      <c r="O47">
        <v>2.8361075544174099</v>
      </c>
      <c r="P47" s="2">
        <f t="shared" si="9"/>
        <v>1.1868410057845411E-3</v>
      </c>
      <c r="Q47" s="68">
        <f t="shared" si="10"/>
        <v>9.7448707641174619E-4</v>
      </c>
      <c r="R47" s="71"/>
    </row>
    <row r="48" spans="1:18" x14ac:dyDescent="0.2">
      <c r="A48" s="1"/>
      <c r="B48" s="55"/>
      <c r="C48" s="2" t="s">
        <v>134</v>
      </c>
      <c r="D48" s="65">
        <f>Dashboard!F16*Dashboard!H16*Dashboard!F51</f>
        <v>2.3537570982772914E-3</v>
      </c>
      <c r="E48" s="66"/>
      <c r="F48" s="66"/>
      <c r="G48" s="66"/>
      <c r="H48" s="66"/>
      <c r="I48" s="66"/>
      <c r="J48" s="66"/>
      <c r="K48" s="66"/>
      <c r="L48" s="66"/>
      <c r="M48" s="66"/>
      <c r="N48" s="52">
        <f t="shared" si="8"/>
        <v>2.3537570982772914E-3</v>
      </c>
      <c r="O48">
        <v>1.1286150878980099</v>
      </c>
      <c r="P48" s="2">
        <f t="shared" si="9"/>
        <v>2.6564857743627901E-3</v>
      </c>
      <c r="Q48" s="68">
        <f t="shared" si="10"/>
        <v>2.1811776330368407E-3</v>
      </c>
      <c r="R48" s="71"/>
    </row>
    <row r="49" spans="1:18" x14ac:dyDescent="0.2">
      <c r="A49" s="1"/>
      <c r="B49" s="55"/>
      <c r="C49" s="2" t="s">
        <v>135</v>
      </c>
      <c r="D49" s="65"/>
      <c r="E49" s="66"/>
      <c r="F49" s="66"/>
      <c r="G49" s="66"/>
      <c r="H49" s="66"/>
      <c r="I49" s="66"/>
      <c r="J49" s="66">
        <f>J14</f>
        <v>0</v>
      </c>
      <c r="K49" s="66"/>
      <c r="L49" s="66"/>
      <c r="M49" s="66"/>
      <c r="N49" s="52">
        <f t="shared" si="8"/>
        <v>0</v>
      </c>
      <c r="O49">
        <v>1.8907383696116</v>
      </c>
      <c r="P49" s="2">
        <f t="shared" si="9"/>
        <v>0</v>
      </c>
      <c r="Q49" s="68">
        <f t="shared" si="10"/>
        <v>0</v>
      </c>
      <c r="R49" s="71"/>
    </row>
    <row r="50" spans="1:18" x14ac:dyDescent="0.2">
      <c r="A50" s="1"/>
      <c r="B50" s="55"/>
      <c r="C50" s="2" t="s">
        <v>136</v>
      </c>
      <c r="D50" s="65"/>
      <c r="E50" s="66"/>
      <c r="F50" s="66"/>
      <c r="G50" s="66"/>
      <c r="H50" s="66">
        <f>Dashboard!F41*Dashboard!F69</f>
        <v>0</v>
      </c>
      <c r="I50" s="66"/>
      <c r="J50" s="66"/>
      <c r="K50" s="66"/>
      <c r="L50" s="66"/>
      <c r="M50" s="66"/>
      <c r="N50" s="52">
        <f t="shared" si="8"/>
        <v>0</v>
      </c>
      <c r="O50">
        <v>1.38211869123655</v>
      </c>
      <c r="P50" s="2">
        <f t="shared" si="9"/>
        <v>0</v>
      </c>
      <c r="Q50" s="68">
        <f t="shared" si="10"/>
        <v>0</v>
      </c>
      <c r="R50" s="71"/>
    </row>
    <row r="51" spans="1:18" ht="17" thickBot="1" x14ac:dyDescent="0.25">
      <c r="A51" s="1"/>
      <c r="B51" s="56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73"/>
      <c r="O51" s="60"/>
      <c r="P51" s="60"/>
      <c r="Q51" s="70"/>
      <c r="R51" s="74"/>
    </row>
    <row r="52" spans="1:18" s="1" customFormat="1" x14ac:dyDescent="0.2">
      <c r="B52" s="91" t="s">
        <v>137</v>
      </c>
      <c r="C52" s="25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25"/>
      <c r="P52" s="25"/>
      <c r="Q52" s="89"/>
      <c r="R52" s="90"/>
    </row>
    <row r="53" spans="1:18" s="1" customFormat="1" x14ac:dyDescent="0.2">
      <c r="B53" s="55"/>
      <c r="C53" s="88" t="s">
        <v>34</v>
      </c>
      <c r="D53" s="53">
        <f t="shared" ref="D53:J53" si="11">SUM(D56:D57)</f>
        <v>0.75271790841598885</v>
      </c>
      <c r="E53" s="53">
        <f t="shared" si="11"/>
        <v>0</v>
      </c>
      <c r="F53" s="53">
        <f t="shared" si="11"/>
        <v>3.0706633794152211E-5</v>
      </c>
      <c r="G53" s="53">
        <f t="shared" si="11"/>
        <v>0</v>
      </c>
      <c r="H53" s="53">
        <f t="shared" si="11"/>
        <v>0</v>
      </c>
      <c r="I53" s="53">
        <f t="shared" si="11"/>
        <v>0</v>
      </c>
      <c r="J53" s="53">
        <f t="shared" si="11"/>
        <v>0</v>
      </c>
      <c r="K53" s="53"/>
      <c r="L53" s="46"/>
      <c r="M53" s="46"/>
      <c r="N53" s="46"/>
      <c r="O53" s="2"/>
      <c r="P53" s="2">
        <f>SUM(P56:P57)</f>
        <v>0.67071712072424972</v>
      </c>
      <c r="Q53" s="2"/>
      <c r="R53" s="68">
        <f>P53/P10</f>
        <v>3.1889571551034668E-2</v>
      </c>
    </row>
    <row r="54" spans="1:18" s="1" customFormat="1" x14ac:dyDescent="0.2">
      <c r="B54" s="55"/>
      <c r="C54" s="47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2"/>
      <c r="P54" s="2"/>
      <c r="Q54" s="2"/>
      <c r="R54" s="32"/>
    </row>
    <row r="55" spans="1:18" x14ac:dyDescent="0.2">
      <c r="A55" s="1"/>
      <c r="B55" s="55"/>
      <c r="C55" s="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2"/>
      <c r="P55" s="2"/>
      <c r="Q55" s="68"/>
      <c r="R55" s="86"/>
    </row>
    <row r="56" spans="1:18" x14ac:dyDescent="0.2">
      <c r="A56" s="1"/>
      <c r="B56" s="55"/>
      <c r="C56" s="2" t="s">
        <v>138</v>
      </c>
      <c r="D56" s="65"/>
      <c r="E56" s="66"/>
      <c r="F56" s="66">
        <f>Dashboard!F18*Dashboard!F61</f>
        <v>3.0706633794152211E-5</v>
      </c>
      <c r="G56" s="66"/>
      <c r="H56" s="66"/>
      <c r="I56" s="66"/>
      <c r="J56" s="66"/>
      <c r="K56" s="66"/>
      <c r="L56" s="66"/>
      <c r="M56" s="66"/>
      <c r="N56" s="52">
        <f>SUM(D56:J56)</f>
        <v>3.0706633794152211E-5</v>
      </c>
      <c r="O56">
        <v>9.1047924248184895</v>
      </c>
      <c r="P56" s="2">
        <f>O56*SUM(D56:K56)</f>
        <v>2.795775267606725E-4</v>
      </c>
      <c r="Q56" s="68">
        <f>P56/SUM($P$56:$P$57)</f>
        <v>4.1683374126305406E-4</v>
      </c>
      <c r="R56" s="71"/>
    </row>
    <row r="57" spans="1:18" x14ac:dyDescent="0.2">
      <c r="A57" s="1"/>
      <c r="B57" s="55"/>
      <c r="C57" s="2" t="s">
        <v>139</v>
      </c>
      <c r="D57" s="65">
        <f>Dashboard!F16*Dashboard!H16*Dashboard!F52</f>
        <v>0.75271790841598885</v>
      </c>
      <c r="E57" s="66"/>
      <c r="F57" s="66"/>
      <c r="G57" s="66"/>
      <c r="H57" s="66"/>
      <c r="I57" s="66"/>
      <c r="J57" s="66"/>
      <c r="K57" s="66"/>
      <c r="L57" s="66"/>
      <c r="M57" s="66"/>
      <c r="N57" s="52">
        <f>SUM(D57:J57)</f>
        <v>0.75271790841598885</v>
      </c>
      <c r="O57">
        <v>0.890688976177477</v>
      </c>
      <c r="P57" s="2">
        <f>O57*SUM(D57:K57)</f>
        <v>0.67043754319748905</v>
      </c>
      <c r="Q57" s="68">
        <f>P57/SUM($P$56:$P$57)</f>
        <v>0.999583166258737</v>
      </c>
      <c r="R57" s="71"/>
    </row>
    <row r="58" spans="1:18" x14ac:dyDescent="0.2">
      <c r="A58" s="1"/>
      <c r="B58" s="5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52"/>
      <c r="O58" s="2"/>
      <c r="P58" s="2"/>
      <c r="Q58" s="68"/>
      <c r="R58" s="32"/>
    </row>
    <row r="59" spans="1:18" s="1" customFormat="1" x14ac:dyDescent="0.2">
      <c r="B59" s="91" t="s">
        <v>140</v>
      </c>
      <c r="C59" s="25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25"/>
      <c r="P59" s="25"/>
      <c r="Q59" s="89"/>
      <c r="R59" s="90"/>
    </row>
    <row r="60" spans="1:18" s="1" customFormat="1" x14ac:dyDescent="0.2">
      <c r="B60" s="55"/>
      <c r="C60" s="88" t="s">
        <v>34</v>
      </c>
      <c r="D60" s="53">
        <f t="shared" ref="D60:J60" si="12">SUM(D63:D65)</f>
        <v>0</v>
      </c>
      <c r="E60" s="53">
        <f t="shared" si="12"/>
        <v>0</v>
      </c>
      <c r="F60" s="53">
        <f t="shared" si="12"/>
        <v>3.7317750567897567E-4</v>
      </c>
      <c r="G60" s="53">
        <f t="shared" si="12"/>
        <v>0</v>
      </c>
      <c r="H60" s="53">
        <f t="shared" si="12"/>
        <v>0</v>
      </c>
      <c r="I60" s="53">
        <f t="shared" si="12"/>
        <v>0</v>
      </c>
      <c r="J60" s="53">
        <f t="shared" si="12"/>
        <v>0</v>
      </c>
      <c r="K60" s="53"/>
      <c r="L60" s="46"/>
      <c r="M60" s="46"/>
      <c r="N60" s="46"/>
      <c r="O60" s="2"/>
      <c r="P60" s="23">
        <f>SUM(P63,P64)</f>
        <v>2.3138177120283707</v>
      </c>
      <c r="Q60" s="2"/>
      <c r="R60" s="68">
        <f>P60/P10</f>
        <v>0.11001158790177326</v>
      </c>
    </row>
    <row r="61" spans="1:18" s="1" customFormat="1" x14ac:dyDescent="0.2">
      <c r="B61" s="55"/>
      <c r="C61" s="47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2"/>
      <c r="P61" s="2"/>
      <c r="Q61" s="2"/>
      <c r="R61" s="32"/>
    </row>
    <row r="62" spans="1:18" x14ac:dyDescent="0.2">
      <c r="A62" s="1"/>
      <c r="B62" s="55"/>
      <c r="C62" s="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2"/>
      <c r="P62" s="2"/>
      <c r="Q62" s="68"/>
      <c r="R62" s="86"/>
    </row>
    <row r="63" spans="1:18" x14ac:dyDescent="0.2">
      <c r="A63" s="1"/>
      <c r="B63" s="55"/>
      <c r="C63" s="2" t="s">
        <v>142</v>
      </c>
      <c r="D63" s="65"/>
      <c r="E63" s="66"/>
      <c r="F63" s="66">
        <f>Dashboard!F18*Dashboard!F62</f>
        <v>3.7317750567897567E-4</v>
      </c>
      <c r="G63" s="66"/>
      <c r="H63" s="66"/>
      <c r="I63" s="66"/>
      <c r="J63" s="66"/>
      <c r="K63" s="66"/>
      <c r="L63" s="66"/>
      <c r="M63" s="66"/>
      <c r="N63" s="52">
        <f>SUM(D63:J63)</f>
        <v>3.7317750567897567E-4</v>
      </c>
      <c r="O63">
        <v>28.571428571428498</v>
      </c>
      <c r="P63" s="2">
        <f>O63*SUM(D63:K63)</f>
        <v>1.0662214447970705E-2</v>
      </c>
      <c r="Q63" s="68">
        <f>P63/SUM($P$63:$P$64)</f>
        <v>4.6080615566832395E-3</v>
      </c>
      <c r="R63" s="71"/>
    </row>
    <row r="64" spans="1:18" x14ac:dyDescent="0.2">
      <c r="A64" s="1"/>
      <c r="B64" s="55"/>
      <c r="C64" s="2" t="s">
        <v>143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52"/>
      <c r="P64" s="23">
        <f>Dashboard!F26/1000000</f>
        <v>2.3031554975803998</v>
      </c>
      <c r="Q64" s="68">
        <f>P64/SUM($P$63:$P$64)</f>
        <v>0.99539193844331664</v>
      </c>
      <c r="R64" s="71"/>
    </row>
    <row r="65" spans="1:18" x14ac:dyDescent="0.2">
      <c r="A65" s="1"/>
      <c r="B65" s="5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68"/>
      <c r="R65" s="32"/>
    </row>
    <row r="66" spans="1:18" x14ac:dyDescent="0.2">
      <c r="A66" s="1"/>
      <c r="B66" s="48" t="s">
        <v>53</v>
      </c>
      <c r="C66" s="49"/>
      <c r="D66" s="50"/>
      <c r="E66" s="50"/>
      <c r="F66" s="50"/>
      <c r="G66" s="50"/>
      <c r="H66" s="50"/>
      <c r="I66" s="50"/>
      <c r="J66" s="50"/>
      <c r="K66" s="53"/>
      <c r="L66" s="53"/>
      <c r="M66" s="53"/>
      <c r="N66" s="53"/>
      <c r="O66" s="25"/>
      <c r="P66" s="25"/>
      <c r="Q66" s="25"/>
      <c r="R66" s="76"/>
    </row>
    <row r="67" spans="1:18" x14ac:dyDescent="0.2">
      <c r="A67" s="1"/>
      <c r="B67" s="38"/>
      <c r="C67" s="47" t="s">
        <v>34</v>
      </c>
      <c r="D67" s="46"/>
      <c r="E67" s="46">
        <f>Dashboard!F30</f>
        <v>2.0980523519999998</v>
      </c>
      <c r="F67" s="46"/>
      <c r="G67" s="46"/>
      <c r="H67" s="46">
        <f>Dashboard!F31</f>
        <v>0</v>
      </c>
      <c r="I67" s="46"/>
      <c r="J67" s="46"/>
      <c r="K67" s="53"/>
      <c r="L67" s="46"/>
      <c r="M67" s="46"/>
      <c r="N67" s="46"/>
      <c r="O67" s="2"/>
      <c r="P67" s="2">
        <f>SUM(P70:P71)</f>
        <v>2.122313389128561</v>
      </c>
      <c r="Q67" s="2"/>
      <c r="R67" s="68">
        <f>P67/P11</f>
        <v>0.17375964479589787</v>
      </c>
    </row>
    <row r="68" spans="1:18" x14ac:dyDescent="0.2">
      <c r="A68" s="1"/>
      <c r="B68" s="38"/>
      <c r="C68" s="47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2"/>
      <c r="P68" s="2"/>
      <c r="Q68" s="2"/>
      <c r="R68" s="32"/>
    </row>
    <row r="69" spans="1:18" x14ac:dyDescent="0.2">
      <c r="A69" s="1"/>
      <c r="B69" s="38"/>
      <c r="C69" s="51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2"/>
      <c r="P69" s="2"/>
      <c r="Q69" s="2"/>
      <c r="R69" s="32"/>
    </row>
    <row r="70" spans="1:18" x14ac:dyDescent="0.2">
      <c r="A70" s="1"/>
      <c r="B70" s="54"/>
      <c r="C70" s="2" t="s">
        <v>0</v>
      </c>
      <c r="D70" s="63"/>
      <c r="E70" s="64">
        <f>E67</f>
        <v>2.0980523519999998</v>
      </c>
      <c r="F70" s="64"/>
      <c r="G70" s="64"/>
      <c r="H70" s="64"/>
      <c r="I70" s="64"/>
      <c r="J70" s="64"/>
      <c r="K70" s="64"/>
      <c r="L70" s="66"/>
      <c r="M70" s="66"/>
      <c r="N70" s="52">
        <f>SUM(D70:J70)</f>
        <v>2.0980523519999998</v>
      </c>
      <c r="O70" s="61">
        <v>1.0115635995000001</v>
      </c>
      <c r="P70" s="2">
        <f>O70*SUM(D70:K70)</f>
        <v>2.122313389128561</v>
      </c>
      <c r="Q70" s="68">
        <f>P70/SUM($P$70:$P$71)</f>
        <v>1</v>
      </c>
      <c r="R70" s="71"/>
    </row>
    <row r="71" spans="1:18" x14ac:dyDescent="0.2">
      <c r="A71" s="1"/>
      <c r="B71" s="55"/>
      <c r="C71" s="2" t="s">
        <v>2</v>
      </c>
      <c r="D71" s="65"/>
      <c r="E71" s="67"/>
      <c r="F71" s="66"/>
      <c r="G71" s="66"/>
      <c r="H71" s="66">
        <f>H67</f>
        <v>0</v>
      </c>
      <c r="I71" s="66"/>
      <c r="J71" s="66"/>
      <c r="K71" s="67"/>
      <c r="L71" s="66"/>
      <c r="M71" s="66"/>
      <c r="N71" s="52">
        <f t="shared" ref="N71" si="13">SUM(D71:J71)</f>
        <v>0</v>
      </c>
      <c r="O71" s="61">
        <v>0.97790091700000004</v>
      </c>
      <c r="P71" s="2">
        <f>O71*SUM(D71:K71)</f>
        <v>0</v>
      </c>
      <c r="Q71" s="68">
        <f>P71/SUM($P$70:$P$71)</f>
        <v>0</v>
      </c>
      <c r="R71" s="71"/>
    </row>
    <row r="72" spans="1:18" x14ac:dyDescent="0.2">
      <c r="B72" s="38"/>
      <c r="C72" s="47"/>
      <c r="D72" s="53"/>
      <c r="E72" s="46"/>
      <c r="F72" s="53"/>
      <c r="G72" s="53"/>
      <c r="H72" s="53"/>
      <c r="I72" s="53"/>
      <c r="J72" s="53"/>
      <c r="K72" s="46"/>
      <c r="L72" s="46"/>
      <c r="M72" s="46"/>
      <c r="N72" s="52"/>
      <c r="O72" s="2"/>
      <c r="P72" s="2"/>
      <c r="Q72" s="69"/>
      <c r="R72" s="72"/>
    </row>
    <row r="73" spans="1:18" ht="17" thickBot="1" x14ac:dyDescent="0.25">
      <c r="A73" s="1"/>
      <c r="B73" s="56"/>
      <c r="C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73"/>
      <c r="O73" s="60"/>
      <c r="P73" s="60"/>
      <c r="Q73" s="70"/>
      <c r="R73" s="74"/>
    </row>
    <row r="74" spans="1:18" x14ac:dyDescent="0.2">
      <c r="A74" s="1"/>
      <c r="B74" s="48" t="s">
        <v>151</v>
      </c>
      <c r="C74" s="49"/>
      <c r="D74" s="50"/>
      <c r="E74" s="50"/>
      <c r="F74" s="50"/>
      <c r="G74" s="50"/>
      <c r="H74" s="50"/>
      <c r="I74" s="50"/>
      <c r="J74" s="50"/>
      <c r="K74" s="53"/>
      <c r="L74" s="53"/>
      <c r="M74" s="53"/>
      <c r="N74" s="53"/>
      <c r="O74" s="25"/>
      <c r="P74" s="25"/>
      <c r="Q74" s="25"/>
      <c r="R74" s="76"/>
    </row>
    <row r="75" spans="1:18" x14ac:dyDescent="0.2">
      <c r="A75" s="1"/>
      <c r="B75" s="38"/>
      <c r="C75" s="47" t="s">
        <v>34</v>
      </c>
      <c r="D75" s="46"/>
      <c r="E75" s="46">
        <f>E79</f>
        <v>0</v>
      </c>
      <c r="F75" s="46">
        <f>F80+F82</f>
        <v>0</v>
      </c>
      <c r="G75" s="46"/>
      <c r="H75" s="46"/>
      <c r="I75" s="46"/>
      <c r="J75" s="46"/>
      <c r="K75" s="53"/>
      <c r="L75" s="46"/>
      <c r="M75" s="46"/>
      <c r="N75" s="46"/>
      <c r="O75" s="2"/>
      <c r="P75" s="2">
        <f>SUM(P78:P80)</f>
        <v>0</v>
      </c>
      <c r="Q75" s="2"/>
      <c r="R75" s="68">
        <f>P75/P10</f>
        <v>0</v>
      </c>
    </row>
    <row r="76" spans="1:18" x14ac:dyDescent="0.2">
      <c r="A76" s="1"/>
      <c r="B76" s="38"/>
      <c r="C76" s="47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2"/>
      <c r="P76" s="2"/>
      <c r="Q76" s="2"/>
      <c r="R76" s="32"/>
    </row>
    <row r="77" spans="1:18" x14ac:dyDescent="0.2">
      <c r="A77" s="1"/>
      <c r="B77" s="38"/>
      <c r="C77" s="51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2"/>
      <c r="P77" s="2"/>
      <c r="Q77" s="2"/>
      <c r="R77" s="32"/>
    </row>
    <row r="78" spans="1:18" x14ac:dyDescent="0.2">
      <c r="A78" s="1"/>
      <c r="B78" s="54"/>
      <c r="C78" s="2" t="s">
        <v>56</v>
      </c>
      <c r="D78" s="63"/>
      <c r="E78" s="64"/>
      <c r="F78" s="64"/>
      <c r="G78" s="64"/>
      <c r="H78" s="64"/>
      <c r="I78" s="64"/>
      <c r="J78" s="64"/>
      <c r="K78" s="64"/>
      <c r="L78" s="66">
        <f>Dashboard!F37</f>
        <v>0</v>
      </c>
      <c r="M78" s="66"/>
      <c r="N78" s="52">
        <f>SUM(D78:J78)</f>
        <v>0</v>
      </c>
      <c r="O78" s="2">
        <v>0.500500901</v>
      </c>
      <c r="P78" s="2">
        <f>O78*SUM(D78:K78)</f>
        <v>0</v>
      </c>
      <c r="Q78" s="68" t="e">
        <f>P78/SUM($P$78:$P$80)</f>
        <v>#DIV/0!</v>
      </c>
      <c r="R78" s="71"/>
    </row>
    <row r="79" spans="1:18" x14ac:dyDescent="0.2">
      <c r="A79" s="1"/>
      <c r="B79" s="55"/>
      <c r="C79" s="2" t="s">
        <v>0</v>
      </c>
      <c r="D79" s="65"/>
      <c r="E79" s="66">
        <f>Dashboard!F36*Dashboard!F105</f>
        <v>0</v>
      </c>
      <c r="F79" s="66"/>
      <c r="G79" s="66"/>
      <c r="H79" s="66"/>
      <c r="I79" s="66"/>
      <c r="J79" s="66"/>
      <c r="K79" s="66"/>
      <c r="L79" s="66"/>
      <c r="M79" s="66"/>
      <c r="N79" s="52">
        <f t="shared" ref="N79:N82" si="14">SUM(D79:J79)</f>
        <v>0</v>
      </c>
      <c r="O79" s="2">
        <v>1.5015027030000001</v>
      </c>
      <c r="P79" s="2">
        <f t="shared" ref="P79:P82" si="15">O79*SUM(D79:K79)</f>
        <v>0</v>
      </c>
      <c r="Q79" s="68" t="e">
        <f t="shared" ref="Q79:Q80" si="16">P79/SUM($P$78:$P$80)</f>
        <v>#DIV/0!</v>
      </c>
      <c r="R79" s="71"/>
    </row>
    <row r="80" spans="1:18" x14ac:dyDescent="0.2">
      <c r="A80" s="1"/>
      <c r="B80" s="55"/>
      <c r="C80" s="2" t="s">
        <v>148</v>
      </c>
      <c r="D80" s="65"/>
      <c r="E80" s="67"/>
      <c r="F80" s="66">
        <f>Dashboard!F38*Dashboard!F101</f>
        <v>0</v>
      </c>
      <c r="G80" s="66"/>
      <c r="H80" s="66"/>
      <c r="I80" s="66"/>
      <c r="J80" s="67"/>
      <c r="K80" s="67"/>
      <c r="L80" s="66"/>
      <c r="M80" s="66"/>
      <c r="N80" s="52">
        <f t="shared" si="14"/>
        <v>0</v>
      </c>
      <c r="O80" s="2">
        <v>3.7037066670000001</v>
      </c>
      <c r="P80" s="2">
        <f t="shared" si="15"/>
        <v>0</v>
      </c>
      <c r="Q80" s="68" t="e">
        <f t="shared" si="16"/>
        <v>#DIV/0!</v>
      </c>
      <c r="R80" s="71"/>
    </row>
    <row r="81" spans="1:19" x14ac:dyDescent="0.2">
      <c r="A81" s="1"/>
      <c r="B81" s="5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72"/>
    </row>
    <row r="82" spans="1:19" x14ac:dyDescent="0.2">
      <c r="A82" s="1"/>
      <c r="B82" s="38"/>
      <c r="C82" s="47" t="s">
        <v>149</v>
      </c>
      <c r="D82" s="65"/>
      <c r="E82" s="67"/>
      <c r="F82" s="66">
        <f>Dashboard!F39</f>
        <v>0</v>
      </c>
      <c r="G82" s="66"/>
      <c r="H82" s="66"/>
      <c r="I82" s="66"/>
      <c r="J82" s="67"/>
      <c r="K82" s="67"/>
      <c r="L82" s="66"/>
      <c r="M82" s="66"/>
      <c r="N82" s="52">
        <f t="shared" si="14"/>
        <v>0</v>
      </c>
      <c r="O82" s="2">
        <v>1.6339869279999999</v>
      </c>
      <c r="P82" s="2">
        <f t="shared" si="15"/>
        <v>0</v>
      </c>
      <c r="Q82" s="151">
        <v>1</v>
      </c>
      <c r="R82" s="72">
        <f>P82/P10</f>
        <v>0</v>
      </c>
      <c r="S82" t="s">
        <v>157</v>
      </c>
    </row>
    <row r="83" spans="1:19" ht="17" thickBot="1" x14ac:dyDescent="0.25">
      <c r="A83" s="1"/>
      <c r="B83" s="56"/>
      <c r="C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73"/>
      <c r="O83" s="60"/>
      <c r="P83" s="60"/>
      <c r="Q83" s="70"/>
      <c r="R83" s="74"/>
    </row>
    <row r="84" spans="1:19" x14ac:dyDescent="0.2">
      <c r="A84" s="1"/>
      <c r="B84" s="48" t="s">
        <v>155</v>
      </c>
      <c r="C84" s="49"/>
      <c r="D84" s="50"/>
      <c r="E84" s="50"/>
      <c r="F84" s="50"/>
      <c r="G84" s="50"/>
      <c r="H84" s="50"/>
      <c r="I84" s="50"/>
      <c r="J84" s="50"/>
      <c r="K84" s="53"/>
      <c r="L84" s="53"/>
      <c r="M84" s="53"/>
      <c r="N84" s="53"/>
      <c r="O84" s="25"/>
      <c r="P84" s="25"/>
      <c r="Q84" s="25"/>
      <c r="R84" s="76"/>
    </row>
    <row r="85" spans="1:19" x14ac:dyDescent="0.2">
      <c r="A85" s="1"/>
      <c r="B85" s="38"/>
      <c r="C85" s="47" t="s">
        <v>34</v>
      </c>
      <c r="D85" s="46"/>
      <c r="E85" s="46">
        <f>E88</f>
        <v>0</v>
      </c>
      <c r="F85" s="46">
        <f>F89</f>
        <v>0</v>
      </c>
      <c r="G85" s="46"/>
      <c r="H85" s="46"/>
      <c r="I85" s="46"/>
      <c r="J85" s="46"/>
      <c r="K85" s="53"/>
      <c r="L85" s="46"/>
      <c r="M85" s="46"/>
      <c r="N85" s="46"/>
      <c r="O85" s="2"/>
      <c r="P85" s="2">
        <f>SUM(P88:P89)</f>
        <v>0</v>
      </c>
      <c r="Q85" s="2"/>
      <c r="R85" s="68">
        <f>P85/P11</f>
        <v>0</v>
      </c>
    </row>
    <row r="86" spans="1:19" x14ac:dyDescent="0.2">
      <c r="A86" s="1"/>
      <c r="B86" s="38"/>
      <c r="C86" s="47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2"/>
      <c r="P86" s="2"/>
      <c r="Q86" s="2"/>
      <c r="R86" s="68"/>
    </row>
    <row r="87" spans="1:19" x14ac:dyDescent="0.2">
      <c r="A87" s="1"/>
      <c r="B87" s="38"/>
      <c r="C87" s="51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2"/>
      <c r="P87" s="2"/>
      <c r="Q87" s="2"/>
      <c r="R87" s="32"/>
    </row>
    <row r="88" spans="1:19" x14ac:dyDescent="0.2">
      <c r="A88" s="1"/>
      <c r="B88" s="55"/>
      <c r="C88" s="2" t="s">
        <v>0</v>
      </c>
      <c r="D88" s="65"/>
      <c r="E88" s="66">
        <f>Dashboard!F36*Dashboard!F106</f>
        <v>0</v>
      </c>
      <c r="F88" s="66"/>
      <c r="G88" s="66"/>
      <c r="H88" s="66"/>
      <c r="I88" s="66"/>
      <c r="J88" s="66"/>
      <c r="K88" s="66"/>
      <c r="L88" s="66"/>
      <c r="M88" s="66"/>
      <c r="N88" s="52">
        <f t="shared" ref="N88:N89" si="17">SUM(D88:J88)</f>
        <v>0</v>
      </c>
      <c r="O88" s="2">
        <v>2.7027027029999999</v>
      </c>
      <c r="P88" s="2">
        <f t="shared" ref="P88:P89" si="18">O88*SUM(D88:K88)</f>
        <v>0</v>
      </c>
      <c r="Q88" s="68" t="e">
        <f>P88/SUM($P$88:$P$89)</f>
        <v>#DIV/0!</v>
      </c>
      <c r="R88" s="71"/>
    </row>
    <row r="89" spans="1:19" x14ac:dyDescent="0.2">
      <c r="A89" s="1"/>
      <c r="B89" s="55"/>
      <c r="C89" s="2" t="s">
        <v>5</v>
      </c>
      <c r="D89" s="65"/>
      <c r="E89" s="67"/>
      <c r="F89" s="66">
        <f>Dashboard!F38*Dashboard!F102</f>
        <v>0</v>
      </c>
      <c r="G89" s="66"/>
      <c r="H89" s="66"/>
      <c r="I89" s="66"/>
      <c r="J89" s="67"/>
      <c r="K89" s="67"/>
      <c r="L89" s="66"/>
      <c r="M89" s="66"/>
      <c r="N89" s="52">
        <f t="shared" si="17"/>
        <v>0</v>
      </c>
      <c r="O89" s="2">
        <v>7.1428571429999996</v>
      </c>
      <c r="P89" s="2">
        <f t="shared" si="18"/>
        <v>0</v>
      </c>
      <c r="Q89" s="68" t="e">
        <f>P89/SUM($P$88:$P$89)</f>
        <v>#DIV/0!</v>
      </c>
      <c r="R89" s="71"/>
    </row>
    <row r="90" spans="1:19" ht="17" thickBot="1" x14ac:dyDescent="0.25">
      <c r="A90" s="1"/>
      <c r="B90" s="56"/>
      <c r="C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73"/>
      <c r="O90" s="60"/>
      <c r="P90" s="60"/>
      <c r="Q90" s="70"/>
      <c r="R90" s="74"/>
    </row>
    <row r="91" spans="1:19" x14ac:dyDescent="0.2">
      <c r="A91" s="1"/>
      <c r="B91" s="48" t="s">
        <v>65</v>
      </c>
      <c r="C91" s="49"/>
      <c r="D91" s="50"/>
      <c r="E91" s="50"/>
      <c r="F91" s="50"/>
      <c r="G91" s="50"/>
      <c r="H91" s="50"/>
      <c r="I91" s="50"/>
      <c r="J91" s="50"/>
      <c r="K91" s="53"/>
      <c r="L91" s="53"/>
      <c r="M91" s="53"/>
      <c r="N91" s="53"/>
      <c r="O91" s="25"/>
      <c r="P91" s="25"/>
      <c r="Q91" s="25"/>
      <c r="R91" s="76"/>
    </row>
    <row r="92" spans="1:19" x14ac:dyDescent="0.2">
      <c r="A92" s="1"/>
      <c r="B92" s="38"/>
      <c r="C92" s="47" t="s">
        <v>34</v>
      </c>
      <c r="D92" s="46">
        <f>D95</f>
        <v>0</v>
      </c>
      <c r="E92" s="46"/>
      <c r="F92" s="46"/>
      <c r="G92" s="46"/>
      <c r="H92" s="46"/>
      <c r="I92" s="46"/>
      <c r="J92" s="46"/>
      <c r="K92" s="53">
        <f>K96</f>
        <v>0</v>
      </c>
      <c r="L92" s="46"/>
      <c r="M92" s="46"/>
      <c r="N92" s="46"/>
      <c r="O92" s="2"/>
      <c r="P92" s="2">
        <f>SUM(P94:P96)</f>
        <v>0</v>
      </c>
      <c r="Q92" s="2"/>
      <c r="R92" s="68">
        <f>P92/P10</f>
        <v>0</v>
      </c>
    </row>
    <row r="93" spans="1:19" x14ac:dyDescent="0.2">
      <c r="A93" s="1"/>
      <c r="B93" s="38"/>
      <c r="C93" s="47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2"/>
      <c r="P93" s="2"/>
      <c r="Q93" s="2"/>
      <c r="R93" s="32"/>
    </row>
    <row r="94" spans="1:19" x14ac:dyDescent="0.2">
      <c r="A94" s="1"/>
      <c r="B94" s="54"/>
      <c r="C94" s="2" t="s">
        <v>55</v>
      </c>
      <c r="D94" s="63"/>
      <c r="E94" s="64"/>
      <c r="F94" s="64"/>
      <c r="G94" s="64"/>
      <c r="H94" s="64"/>
      <c r="I94" s="64"/>
      <c r="J94" s="64"/>
      <c r="K94" s="64"/>
      <c r="L94" s="66"/>
      <c r="M94" s="66">
        <f>Dashboard!F44</f>
        <v>0</v>
      </c>
      <c r="N94" s="52"/>
      <c r="O94" s="2">
        <v>0.179691989</v>
      </c>
      <c r="P94" s="2">
        <f>O94*SUM(D94:K94)</f>
        <v>0</v>
      </c>
      <c r="Q94" s="68" t="e">
        <f>P94/SUM($P$94:$P$96)</f>
        <v>#DIV/0!</v>
      </c>
      <c r="R94" s="71"/>
    </row>
    <row r="95" spans="1:19" x14ac:dyDescent="0.2">
      <c r="A95" s="1"/>
      <c r="B95" s="54"/>
      <c r="C95" s="2" t="s">
        <v>20</v>
      </c>
      <c r="D95" s="63">
        <f>Dashboard!F45</f>
        <v>0</v>
      </c>
      <c r="E95" s="64"/>
      <c r="F95" s="64"/>
      <c r="G95" s="64"/>
      <c r="H95" s="64"/>
      <c r="I95" s="64"/>
      <c r="J95" s="64"/>
      <c r="K95" s="64"/>
      <c r="L95" s="66"/>
      <c r="M95" s="66"/>
      <c r="N95" s="52">
        <f>SUM(D95:J95)</f>
        <v>0</v>
      </c>
      <c r="O95" s="2">
        <v>0.30510090499999998</v>
      </c>
      <c r="P95" s="2">
        <f>O95*SUM(D95:K95)</f>
        <v>0</v>
      </c>
      <c r="Q95" s="68" t="e">
        <f t="shared" ref="Q95:Q96" si="19">P95/SUM($P$94:$P$96)</f>
        <v>#DIV/0!</v>
      </c>
      <c r="R95" s="71" t="e">
        <f>SUM(D95:J95)/SUM($D$95:$J$96)</f>
        <v>#DIV/0!</v>
      </c>
    </row>
    <row r="96" spans="1:19" x14ac:dyDescent="0.2">
      <c r="A96" s="1"/>
      <c r="B96" s="55"/>
      <c r="C96" s="2" t="s">
        <v>54</v>
      </c>
      <c r="D96" s="65"/>
      <c r="E96" s="67"/>
      <c r="F96" s="66"/>
      <c r="G96" s="66"/>
      <c r="H96" s="66"/>
      <c r="I96" s="66"/>
      <c r="J96" s="66"/>
      <c r="K96" s="67">
        <f>Dashboard!F46</f>
        <v>0</v>
      </c>
      <c r="L96" s="66"/>
      <c r="M96" s="66"/>
      <c r="N96" s="52">
        <f t="shared" ref="N96" si="20">SUM(D96:J96)</f>
        <v>0</v>
      </c>
      <c r="O96" s="2">
        <v>0.28570104299999999</v>
      </c>
      <c r="P96" s="2">
        <f>O96*SUM(D96:K96)</f>
        <v>0</v>
      </c>
      <c r="Q96" s="68" t="e">
        <f t="shared" si="19"/>
        <v>#DIV/0!</v>
      </c>
      <c r="R96" s="71" t="e">
        <f t="shared" ref="R96" si="21">SUM(D96:J96)/SUM($D$78:$J$80)</f>
        <v>#DIV/0!</v>
      </c>
    </row>
    <row r="97" spans="1:18" x14ac:dyDescent="0.2">
      <c r="A97" s="1"/>
      <c r="B97" s="38"/>
      <c r="C97" s="47"/>
      <c r="D97" s="53"/>
      <c r="E97" s="46"/>
      <c r="F97" s="53"/>
      <c r="G97" s="53"/>
      <c r="H97" s="53"/>
      <c r="I97" s="53"/>
      <c r="J97" s="53"/>
      <c r="K97" s="46"/>
      <c r="L97" s="46"/>
      <c r="M97" s="46"/>
      <c r="N97" s="52"/>
      <c r="O97" s="2"/>
      <c r="P97" s="2"/>
      <c r="Q97" s="69"/>
      <c r="R97" s="72"/>
    </row>
    <row r="98" spans="1:18" ht="17" thickBot="1" x14ac:dyDescent="0.25">
      <c r="A98" s="1"/>
      <c r="B98" s="56"/>
      <c r="C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73"/>
      <c r="O98" s="60"/>
      <c r="P98" s="60"/>
      <c r="Q98" s="70"/>
      <c r="R98" s="74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</sheetData>
  <mergeCells count="1">
    <mergeCell ref="B4:F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56" sqref="D56:D59"/>
    </sheetView>
  </sheetViews>
  <sheetFormatPr baseColWidth="10" defaultRowHeight="16" x14ac:dyDescent="0.2"/>
  <cols>
    <col min="1" max="1" width="98" customWidth="1"/>
    <col min="2" max="2" width="30" bestFit="1" customWidth="1"/>
    <col min="4" max="4" width="73.6640625" customWidth="1"/>
  </cols>
  <sheetData>
    <row r="1" spans="1:4" x14ac:dyDescent="0.2">
      <c r="A1" s="123" t="s">
        <v>79</v>
      </c>
    </row>
    <row r="2" spans="1:4" x14ac:dyDescent="0.2">
      <c r="A2" t="s">
        <v>83</v>
      </c>
      <c r="B2" t="s">
        <v>10</v>
      </c>
      <c r="C2" t="s">
        <v>78</v>
      </c>
      <c r="D2" t="s">
        <v>61</v>
      </c>
    </row>
    <row r="4" spans="1:4" x14ac:dyDescent="0.2">
      <c r="A4" s="117" t="s">
        <v>162</v>
      </c>
      <c r="B4">
        <f>Analyse!R14</f>
        <v>0.80019254919852489</v>
      </c>
      <c r="C4">
        <v>1</v>
      </c>
      <c r="D4" t="str">
        <f>"  " &amp;A4 &amp; B4*C4</f>
        <v xml:space="preserve">  :"transport_useful_demand_cars-transport_useful_demand_passenger_kms@passenger_kms": 0.800192549198525</v>
      </c>
    </row>
    <row r="5" spans="1:4" x14ac:dyDescent="0.2">
      <c r="A5" s="117" t="s">
        <v>163</v>
      </c>
      <c r="B5">
        <f>Analyse!R53</f>
        <v>3.1889571551034668E-2</v>
      </c>
      <c r="C5">
        <v>1</v>
      </c>
      <c r="D5" t="str">
        <f t="shared" ref="D5:D43" si="0">"  " &amp;A5 &amp; B5*C5</f>
        <v xml:space="preserve">  :"transport_useful_demand_motorcycles-transport_useful_demand_passenger_kms@passenger_kms": 0.0318895715510347</v>
      </c>
    </row>
    <row r="6" spans="1:4" x14ac:dyDescent="0.2">
      <c r="A6" s="117" t="s">
        <v>164</v>
      </c>
      <c r="B6">
        <f>Analyse!R60</f>
        <v>0.11001158790177326</v>
      </c>
      <c r="C6">
        <v>1</v>
      </c>
      <c r="D6" t="str">
        <f t="shared" si="0"/>
        <v xml:space="preserve">  :"transport_useful_demand_bicycles-transport_useful_demand_passenger_kms@passenger_kms": 0.110011587901773</v>
      </c>
    </row>
    <row r="7" spans="1:4" x14ac:dyDescent="0.2">
      <c r="A7" s="117" t="s">
        <v>165</v>
      </c>
      <c r="B7">
        <f>Analyse!R92</f>
        <v>0</v>
      </c>
      <c r="C7">
        <v>1</v>
      </c>
      <c r="D7" t="str">
        <f t="shared" si="0"/>
        <v xml:space="preserve">  :"transport_useful_demand_planes-transport_useful_demand_passenger_kms@passenger_kms": 0</v>
      </c>
    </row>
    <row r="8" spans="1:4" x14ac:dyDescent="0.2">
      <c r="A8" s="117" t="s">
        <v>166</v>
      </c>
      <c r="B8">
        <f>Analyse!R42</f>
        <v>5.7906291348667309E-2</v>
      </c>
      <c r="C8">
        <v>1</v>
      </c>
      <c r="D8" t="str">
        <f t="shared" si="0"/>
        <v xml:space="preserve">  :"transport_useful_demand_busses-transport_useful_demand_passenger_kms@passenger_kms": 0.0579062913486673</v>
      </c>
    </row>
    <row r="9" spans="1:4" x14ac:dyDescent="0.2">
      <c r="A9" s="117" t="s">
        <v>167</v>
      </c>
      <c r="B9">
        <f>Analyse!R75</f>
        <v>0</v>
      </c>
      <c r="C9">
        <v>1</v>
      </c>
      <c r="D9" t="str">
        <f t="shared" si="0"/>
        <v xml:space="preserve">  :"transport_useful_demand_passenger_trains-transport_useful_demand_passenger_kms@passenger_kms": 0</v>
      </c>
    </row>
    <row r="10" spans="1:4" x14ac:dyDescent="0.2">
      <c r="A10" s="117" t="s">
        <v>168</v>
      </c>
      <c r="B10" s="97">
        <f>Analyse!R82</f>
        <v>0</v>
      </c>
      <c r="C10">
        <v>1</v>
      </c>
      <c r="D10" t="str">
        <f t="shared" si="0"/>
        <v xml:space="preserve">  :"transport_useful_demand_trams-transport_useful_demand_passenger_kms@passenger_kms": 0</v>
      </c>
    </row>
    <row r="11" spans="1:4" x14ac:dyDescent="0.2">
      <c r="A11" s="117" t="s">
        <v>169</v>
      </c>
      <c r="B11">
        <f>Analyse!R25</f>
        <v>0.82624035520410222</v>
      </c>
      <c r="C11">
        <v>1</v>
      </c>
      <c r="D11" t="str">
        <f t="shared" si="0"/>
        <v xml:space="preserve">  :"transport_useful_demand_trucks-transport_useful_demand_freight_tonne_kms@freight_tonne_kms": 0.826240355204102</v>
      </c>
    </row>
    <row r="12" spans="1:4" x14ac:dyDescent="0.2">
      <c r="A12" s="117" t="s">
        <v>170</v>
      </c>
      <c r="B12">
        <f>Analyse!R67</f>
        <v>0.17375964479589787</v>
      </c>
      <c r="C12">
        <v>1</v>
      </c>
      <c r="D12" t="str">
        <f t="shared" si="0"/>
        <v xml:space="preserve">  :"transport_useful_demand_ships-transport_useful_demand_freight_tonne_kms@freight_tonne_kms": 0.173759644795898</v>
      </c>
    </row>
    <row r="13" spans="1:4" x14ac:dyDescent="0.2">
      <c r="A13" s="117" t="s">
        <v>171</v>
      </c>
      <c r="B13">
        <f>Analyse!R85</f>
        <v>0</v>
      </c>
      <c r="C13">
        <v>1</v>
      </c>
      <c r="D13" t="str">
        <f t="shared" si="0"/>
        <v xml:space="preserve">  :"transport_useful_demand_freight_trains-transport_useful_demand_freight_tonne_kms@freight_tonne_kms": 0</v>
      </c>
    </row>
    <row r="14" spans="1:4" x14ac:dyDescent="0.2">
      <c r="A14" s="117" t="s">
        <v>172</v>
      </c>
      <c r="B14">
        <f>Analyse!Q17</f>
        <v>1.5887559249159683E-3</v>
      </c>
      <c r="C14">
        <v>1</v>
      </c>
      <c r="D14" t="str">
        <f t="shared" si="0"/>
        <v xml:space="preserve">  :"transport_car_using_compressed_natural_gas-transport_useful_demand_cars@passenger_kms": 0.00158875592491597</v>
      </c>
    </row>
    <row r="15" spans="1:4" x14ac:dyDescent="0.2">
      <c r="A15" s="117" t="s">
        <v>173</v>
      </c>
      <c r="B15">
        <f>Analyse!Q18</f>
        <v>0.17698285398970753</v>
      </c>
      <c r="C15">
        <v>1</v>
      </c>
      <c r="D15" t="str">
        <f t="shared" si="0"/>
        <v xml:space="preserve">  :"transport_car_using_diesel_mix-transport_useful_demand_cars@passenger_kms": 0.176982853989708</v>
      </c>
    </row>
    <row r="16" spans="1:4" x14ac:dyDescent="0.2">
      <c r="A16" s="117" t="s">
        <v>174</v>
      </c>
      <c r="B16">
        <f>Analyse!Q19</f>
        <v>1.951554344268988E-3</v>
      </c>
      <c r="C16">
        <v>1</v>
      </c>
      <c r="D16" t="str">
        <f t="shared" si="0"/>
        <v xml:space="preserve">  :"transport_car_using_electricity-transport_useful_demand_cars@passenger_kms": 0.00195155434426899</v>
      </c>
    </row>
    <row r="17" spans="1:4" x14ac:dyDescent="0.2">
      <c r="A17" s="117" t="s">
        <v>175</v>
      </c>
      <c r="B17">
        <f>Analyse!Q20</f>
        <v>0.81146079648598057</v>
      </c>
      <c r="C17">
        <v>1</v>
      </c>
      <c r="D17" t="str">
        <f t="shared" si="0"/>
        <v xml:space="preserve">  :"transport_car_using_gasoline_mix-transport_useful_demand_cars@passenger_kms": 0.811460796485981</v>
      </c>
    </row>
    <row r="18" spans="1:4" x14ac:dyDescent="0.2">
      <c r="A18" s="117" t="s">
        <v>176</v>
      </c>
      <c r="B18">
        <f>Analyse!Q21</f>
        <v>0</v>
      </c>
      <c r="C18">
        <v>1</v>
      </c>
      <c r="D18" t="str">
        <f t="shared" si="0"/>
        <v xml:space="preserve">  :"transport_car_using_hydrogen-transport_useful_demand_cars@passenger_kms": 0</v>
      </c>
    </row>
    <row r="19" spans="1:4" x14ac:dyDescent="0.2">
      <c r="A19" s="117" t="s">
        <v>177</v>
      </c>
      <c r="B19">
        <f>Analyse!Q22</f>
        <v>8.0160392551269759E-3</v>
      </c>
      <c r="C19">
        <v>1</v>
      </c>
      <c r="D19" t="str">
        <f t="shared" si="0"/>
        <v xml:space="preserve">  :"transport_car_using_lpg-transport_useful_demand_cars@passenger_kms": 0.00801603925512698</v>
      </c>
    </row>
    <row r="20" spans="1:4" x14ac:dyDescent="0.2">
      <c r="A20" s="117" t="s">
        <v>178</v>
      </c>
      <c r="B20">
        <f>Analyse!Q28</f>
        <v>3.069852985789742E-3</v>
      </c>
      <c r="C20">
        <v>1</v>
      </c>
      <c r="D20" t="str">
        <f t="shared" si="0"/>
        <v xml:space="preserve">  :"transport_truck_using_compressed_natural_gas-transport_useful_demand_trucks@freight_tonne_kms": 0.00306985298578974</v>
      </c>
    </row>
    <row r="21" spans="1:4" x14ac:dyDescent="0.2">
      <c r="A21" s="117" t="s">
        <v>179</v>
      </c>
      <c r="B21">
        <f>Analyse!Q29</f>
        <v>0.98089508953152726</v>
      </c>
      <c r="C21">
        <v>1</v>
      </c>
      <c r="D21" t="str">
        <f t="shared" si="0"/>
        <v xml:space="preserve">  :"transport_truck_using_diesel_mix-transport_useful_demand_trucks@freight_tonne_kms": 0.980895089531527</v>
      </c>
    </row>
    <row r="22" spans="1:4" x14ac:dyDescent="0.2">
      <c r="A22" s="117" t="s">
        <v>180</v>
      </c>
      <c r="B22">
        <f>Analyse!Q30</f>
        <v>3.6555351230070051E-5</v>
      </c>
      <c r="C22">
        <v>1</v>
      </c>
      <c r="D22" t="str">
        <f t="shared" si="0"/>
        <v xml:space="preserve">  :"transport_truck_using_electricity-transport_useful_demand_trucks@freight_tonne_kms": 3.65553512300701E-05</v>
      </c>
    </row>
    <row r="23" spans="1:4" x14ac:dyDescent="0.2">
      <c r="A23" s="117" t="s">
        <v>181</v>
      </c>
      <c r="B23">
        <f>Analyse!Q31</f>
        <v>1.2872072511032878E-2</v>
      </c>
      <c r="C23">
        <v>1</v>
      </c>
      <c r="D23" t="str">
        <f t="shared" si="0"/>
        <v xml:space="preserve">  :"transport_truck_using_gasoline_mix-transport_useful_demand_trucks@freight_tonne_kms": 0.0128720725110329</v>
      </c>
    </row>
    <row r="24" spans="1:4" x14ac:dyDescent="0.2">
      <c r="A24" s="117" t="s">
        <v>182</v>
      </c>
      <c r="B24">
        <f>Analyse!Q32</f>
        <v>0</v>
      </c>
      <c r="C24">
        <v>1</v>
      </c>
      <c r="D24" t="str">
        <f t="shared" si="0"/>
        <v xml:space="preserve">  :"transport_truck_using_hydrogen-transport_useful_demand_trucks@freight_tonne_kms": 0</v>
      </c>
    </row>
    <row r="25" spans="1:4" x14ac:dyDescent="0.2">
      <c r="A25" s="117" t="s">
        <v>183</v>
      </c>
      <c r="B25">
        <f>Analyse!Q33</f>
        <v>3.1264296204200218E-3</v>
      </c>
      <c r="C25">
        <v>1</v>
      </c>
      <c r="D25" t="str">
        <f t="shared" si="0"/>
        <v xml:space="preserve">  :"transport_truck_using_lng_mix-transport_useful_demand_trucks@freight_tonne_kms": 0.00312642962042002</v>
      </c>
    </row>
    <row r="26" spans="1:4" x14ac:dyDescent="0.2">
      <c r="A26" s="117" t="s">
        <v>184</v>
      </c>
      <c r="B26">
        <f>Analyse!Q45</f>
        <v>0.12070033246959863</v>
      </c>
      <c r="C26">
        <v>1</v>
      </c>
      <c r="D26" t="str">
        <f t="shared" si="0"/>
        <v xml:space="preserve">  :"transport_bus_using_compressed_natural_gas-transport_useful_demand_busses@passenger_kms": 0.120700332469599</v>
      </c>
    </row>
    <row r="27" spans="1:4" x14ac:dyDescent="0.2">
      <c r="A27" s="117" t="s">
        <v>185</v>
      </c>
      <c r="B27">
        <f>Analyse!Q46</f>
        <v>0.87614400282095295</v>
      </c>
      <c r="C27">
        <v>1</v>
      </c>
      <c r="D27" t="str">
        <f t="shared" si="0"/>
        <v xml:space="preserve">  :"transport_bus_using_diesel_mix-transport_useful_demand_busses@passenger_kms": 0.876144002820953</v>
      </c>
    </row>
    <row r="28" spans="1:4" x14ac:dyDescent="0.2">
      <c r="A28" s="117" t="s">
        <v>186</v>
      </c>
      <c r="B28">
        <f>Analyse!Q47</f>
        <v>9.7448707641174619E-4</v>
      </c>
      <c r="C28">
        <v>1</v>
      </c>
      <c r="D28" t="str">
        <f t="shared" si="0"/>
        <v xml:space="preserve">  :"transport_bus_using_electricity-transport_useful_demand_busses@passenger_kms": 0.000974487076411746</v>
      </c>
    </row>
    <row r="29" spans="1:4" x14ac:dyDescent="0.2">
      <c r="A29" s="117" t="s">
        <v>187</v>
      </c>
      <c r="B29">
        <f>Analyse!Q48</f>
        <v>2.1811776330368407E-3</v>
      </c>
      <c r="C29">
        <v>1</v>
      </c>
      <c r="D29" t="str">
        <f t="shared" si="0"/>
        <v xml:space="preserve">  :"transport_bus_using_gasoline_mix-transport_useful_demand_busses@passenger_kms": 0.00218117763303684</v>
      </c>
    </row>
    <row r="30" spans="1:4" x14ac:dyDescent="0.2">
      <c r="A30" s="117" t="s">
        <v>188</v>
      </c>
      <c r="B30">
        <f>Analyse!Q49</f>
        <v>0</v>
      </c>
      <c r="C30">
        <v>1</v>
      </c>
      <c r="D30" t="str">
        <f t="shared" si="0"/>
        <v xml:space="preserve">  :"transport_bus_using_hydrogen-transport_useful_demand_busses@passenger_kms": 0</v>
      </c>
    </row>
    <row r="31" spans="1:4" x14ac:dyDescent="0.2">
      <c r="A31" s="117" t="s">
        <v>189</v>
      </c>
      <c r="B31">
        <f>Analyse!Q50</f>
        <v>0</v>
      </c>
      <c r="C31">
        <v>1</v>
      </c>
      <c r="D31" t="str">
        <f t="shared" si="0"/>
        <v xml:space="preserve">  :"transport_bus_using_lng_mix-transport_useful_demand_busses@passenger_kms": 0</v>
      </c>
    </row>
    <row r="32" spans="1:4" x14ac:dyDescent="0.2">
      <c r="A32" s="117" t="s">
        <v>198</v>
      </c>
      <c r="B32">
        <v>0</v>
      </c>
      <c r="C32">
        <v>1</v>
      </c>
      <c r="D32" t="str">
        <f t="shared" si="0"/>
        <v xml:space="preserve">  :"transport_passenger_train_using_coal-transport_useful_demand_passenger_trains@passenger_kms": 0</v>
      </c>
    </row>
    <row r="33" spans="1:4" x14ac:dyDescent="0.2">
      <c r="A33" s="117" t="s">
        <v>199</v>
      </c>
      <c r="B33">
        <v>0</v>
      </c>
      <c r="C33">
        <v>1</v>
      </c>
      <c r="D33" t="str">
        <f t="shared" si="0"/>
        <v xml:space="preserve">  :"transport_passenger_train_using_diesel_mix-transport_useful_demand_passenger_trains@passenger_kms": 0</v>
      </c>
    </row>
    <row r="34" spans="1:4" x14ac:dyDescent="0.2">
      <c r="A34" s="117" t="s">
        <v>200</v>
      </c>
      <c r="B34">
        <v>0</v>
      </c>
      <c r="C34">
        <v>1</v>
      </c>
      <c r="D34" t="str">
        <f t="shared" si="0"/>
        <v xml:space="preserve">  :"transport_passenger_train_using_electricity-transport_useful_demand_passenger_trains@passenger_kms": 0</v>
      </c>
    </row>
    <row r="35" spans="1:4" x14ac:dyDescent="0.2">
      <c r="A35" s="117" t="s">
        <v>190</v>
      </c>
      <c r="B35">
        <v>0</v>
      </c>
      <c r="C35">
        <v>1</v>
      </c>
      <c r="D35" t="str">
        <f t="shared" si="0"/>
        <v xml:space="preserve">  :"transport_plane_using_bio_ethanol-transport_useful_demand_planes@passenger_kms": 0</v>
      </c>
    </row>
    <row r="36" spans="1:4" x14ac:dyDescent="0.2">
      <c r="A36" s="117" t="s">
        <v>191</v>
      </c>
      <c r="B36">
        <v>0</v>
      </c>
      <c r="C36">
        <v>1</v>
      </c>
      <c r="D36" t="str">
        <f t="shared" si="0"/>
        <v xml:space="preserve">  :"transport_plane_using_gasoline-transport_useful_demand_planes@passenger_kms": 0</v>
      </c>
    </row>
    <row r="37" spans="1:4" x14ac:dyDescent="0.2">
      <c r="A37" s="117" t="s">
        <v>192</v>
      </c>
      <c r="B37">
        <v>0</v>
      </c>
      <c r="C37">
        <v>1</v>
      </c>
      <c r="D37" t="str">
        <f t="shared" si="0"/>
        <v xml:space="preserve">  :"transport_plane_using_kerosene-transport_useful_demand_planes@passenger_kms": 0</v>
      </c>
    </row>
    <row r="38" spans="1:4" x14ac:dyDescent="0.2">
      <c r="A38" s="117" t="s">
        <v>193</v>
      </c>
      <c r="B38">
        <f>Analyse!Q56</f>
        <v>4.1683374126305406E-4</v>
      </c>
      <c r="C38">
        <v>1</v>
      </c>
      <c r="D38" t="str">
        <f t="shared" si="0"/>
        <v xml:space="preserve">  :"transport_motorcycle_using_electricity-transport_useful_demand_motorcycles@passenger_kms": 0.000416833741263054</v>
      </c>
    </row>
    <row r="39" spans="1:4" x14ac:dyDescent="0.2">
      <c r="A39" s="117" t="s">
        <v>194</v>
      </c>
      <c r="B39">
        <f>Analyse!Q57</f>
        <v>0.999583166258737</v>
      </c>
      <c r="C39">
        <v>1</v>
      </c>
      <c r="D39" t="str">
        <f t="shared" si="0"/>
        <v xml:space="preserve">  :"transport_motorcycle_using_gasoline_mix-transport_useful_demand_motorcycles@passenger_kms": 0.999583166258737</v>
      </c>
    </row>
    <row r="40" spans="1:4" x14ac:dyDescent="0.2">
      <c r="A40" s="117" t="s">
        <v>195</v>
      </c>
      <c r="B40">
        <f>Analyse!Q63</f>
        <v>4.6080615566832395E-3</v>
      </c>
      <c r="C40">
        <v>1</v>
      </c>
      <c r="D40" t="str">
        <f t="shared" si="0"/>
        <v xml:space="preserve">  :"transport_bicycle_using_electricity-transport_useful_demand_bicycles@passenger_kms": 0.00460806155668324</v>
      </c>
    </row>
    <row r="41" spans="1:4" x14ac:dyDescent="0.2">
      <c r="A41" s="117" t="s">
        <v>196</v>
      </c>
      <c r="B41">
        <f>Analyse!Q64</f>
        <v>0.99539193844331664</v>
      </c>
      <c r="C41">
        <v>1</v>
      </c>
      <c r="D41" t="str">
        <f t="shared" si="0"/>
        <v xml:space="preserve">  :"transport_bicycle_using_human_energy-transport_useful_demand_bicycles@passenger_kms": 0.995391938443317</v>
      </c>
    </row>
    <row r="42" spans="1:4" x14ac:dyDescent="0.2">
      <c r="A42" s="117" t="s">
        <v>197</v>
      </c>
      <c r="B42">
        <v>0</v>
      </c>
      <c r="C42">
        <v>1</v>
      </c>
      <c r="D42" t="str">
        <f t="shared" si="0"/>
        <v xml:space="preserve">  :"transport_freight_train_using_diesel_mix-transport_useful_demand_freight_trains@freight_tonne_kms": 0</v>
      </c>
    </row>
    <row r="43" spans="1:4" x14ac:dyDescent="0.2">
      <c r="A43" s="117" t="s">
        <v>201</v>
      </c>
      <c r="B43">
        <v>0</v>
      </c>
      <c r="C43">
        <v>1</v>
      </c>
      <c r="D43" t="str">
        <f t="shared" si="0"/>
        <v xml:space="preserve">  :"transport_freight_train_using_electricity-transport_useful_demand_freight_trains@freight_tonne_kms": 0</v>
      </c>
    </row>
    <row r="44" spans="1:4" x14ac:dyDescent="0.2">
      <c r="A44" s="117" t="s">
        <v>203</v>
      </c>
      <c r="B44">
        <f>Analyse!Q70</f>
        <v>1</v>
      </c>
      <c r="C44">
        <v>1</v>
      </c>
      <c r="D44" t="str">
        <f t="shared" ref="D44:D45" si="1">"  " &amp;A44 &amp; B44*C44</f>
        <v xml:space="preserve">  :"transport_ship_using_diesel_mix-transport_useful_demand_ships@freight_tonne_kms": 1</v>
      </c>
    </row>
    <row r="45" spans="1:4" x14ac:dyDescent="0.2">
      <c r="A45" s="117" t="s">
        <v>204</v>
      </c>
      <c r="B45">
        <f>Analyse!Q71</f>
        <v>0</v>
      </c>
      <c r="C45">
        <v>1</v>
      </c>
      <c r="D45" t="str">
        <f t="shared" si="1"/>
        <v xml:space="preserve">  :"transport_ship_using_lng_mix-transport_useful_demand_ships@freight_tonne_kms": 0</v>
      </c>
    </row>
    <row r="49" spans="1:4" x14ac:dyDescent="0.2">
      <c r="A49" t="s">
        <v>93</v>
      </c>
    </row>
    <row r="50" spans="1:4" x14ac:dyDescent="0.2">
      <c r="A50" s="117" t="s">
        <v>160</v>
      </c>
      <c r="B50">
        <f>Analyse!P10</f>
        <v>21.032490814461507</v>
      </c>
      <c r="C50">
        <v>1000000</v>
      </c>
      <c r="D50" t="str">
        <f>"  " &amp;A50 &amp; B50*C50</f>
        <v xml:space="preserve">  transport_useful_demand_passenger_kms: 21032490.8144615</v>
      </c>
    </row>
    <row r="51" spans="1:4" x14ac:dyDescent="0.2">
      <c r="A51" s="117" t="s">
        <v>161</v>
      </c>
      <c r="B51">
        <f>Analyse!P11</f>
        <v>12.214075320086433</v>
      </c>
      <c r="C51" s="121">
        <v>1000000</v>
      </c>
      <c r="D51" t="str">
        <f>"  " &amp;A51 &amp; B51*C51</f>
        <v xml:space="preserve">  transport_useful_demand_freight_tonne_kms: 12214075.3200864</v>
      </c>
    </row>
    <row r="52" spans="1:4" x14ac:dyDescent="0.2">
      <c r="A52" s="117"/>
      <c r="C52" s="121"/>
    </row>
    <row r="54" spans="1:4" x14ac:dyDescent="0.2">
      <c r="A54" s="117" t="s">
        <v>84</v>
      </c>
    </row>
    <row r="55" spans="1:4" x14ac:dyDescent="0.2">
      <c r="A55" t="s">
        <v>6</v>
      </c>
    </row>
    <row r="56" spans="1:4" x14ac:dyDescent="0.2">
      <c r="A56" s="117" t="s">
        <v>70</v>
      </c>
      <c r="B56" s="118">
        <f>Dashboard!F81</f>
        <v>2.8278196309640999E-2</v>
      </c>
      <c r="C56" s="122">
        <v>1</v>
      </c>
      <c r="D56" t="str">
        <f t="shared" ref="D56:D57" si="2">"  " &amp;A56 &amp; B56*C56</f>
        <v xml:space="preserve">  :"transport_road_mixer_diesel@biodiesel": 0.028278196309641</v>
      </c>
    </row>
    <row r="57" spans="1:4" x14ac:dyDescent="0.2">
      <c r="A57" s="117" t="s">
        <v>71</v>
      </c>
      <c r="B57" s="118">
        <f>Dashboard!F82</f>
        <v>0.97172180369035899</v>
      </c>
      <c r="C57" s="122">
        <v>1</v>
      </c>
      <c r="D57" t="str">
        <f t="shared" si="2"/>
        <v xml:space="preserve">  :"transport_road_mixer_diesel@diesel": 0.971721803690359</v>
      </c>
    </row>
    <row r="58" spans="1:4" x14ac:dyDescent="0.2">
      <c r="A58" s="117" t="s">
        <v>72</v>
      </c>
      <c r="B58" s="97">
        <f>Dashboard!F84</f>
        <v>3.5433070866142002E-2</v>
      </c>
      <c r="C58">
        <v>1</v>
      </c>
      <c r="D58" t="str">
        <f t="shared" ref="D58:D59" si="3">"  " &amp;A58 &amp; B58*C58</f>
        <v xml:space="preserve">  :"transport_road_mixer_gasoline@bio_ethanol": 0.035433070866142</v>
      </c>
    </row>
    <row r="59" spans="1:4" x14ac:dyDescent="0.2">
      <c r="A59" s="117" t="s">
        <v>73</v>
      </c>
      <c r="B59" s="97">
        <f>Dashboard!F85</f>
        <v>0.964566929133858</v>
      </c>
      <c r="C59">
        <v>1</v>
      </c>
      <c r="D59" t="str">
        <f t="shared" si="3"/>
        <v xml:space="preserve">  :"transport_road_mixer_gasoline@gasoline": 0.964566929133858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Jachthaven Reitdiep</vt:lpstr>
      <vt:lpstr>Analyse</vt:lpstr>
      <vt:lpstr>.yml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2017-07-20T08:10:24Z</dcterms:created>
  <dcterms:modified xsi:type="dcterms:W3CDTF">2018-01-12T14:33:40Z</dcterms:modified>
</cp:coreProperties>
</file>