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xr:revisionPtr revIDLastSave="0" documentId="13_ncr:1_{8ACFBF63-02EE-124F-859B-646E1485F0E1}"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74" i="20" l="1"/>
  <c r="D75" i="20"/>
  <c r="D76" i="20" s="1"/>
  <c r="E30" i="12"/>
  <c r="E31" i="12"/>
  <c r="J23" i="13"/>
  <c r="H23" i="13" s="1"/>
  <c r="E29" i="12" s="1"/>
  <c r="D36" i="20"/>
  <c r="D37" i="20"/>
  <c r="D38" i="20"/>
  <c r="D40" i="20" s="1"/>
  <c r="D45" i="20"/>
  <c r="J12" i="13"/>
  <c r="H12" i="13"/>
  <c r="E17" i="12" s="1"/>
  <c r="E13" i="20"/>
  <c r="E10" i="20"/>
  <c r="D47" i="20"/>
  <c r="D46" i="20"/>
  <c r="H18" i="13"/>
  <c r="E23" i="12" s="1"/>
  <c r="E19" i="13"/>
  <c r="H17" i="13"/>
  <c r="E18" i="13" s="1"/>
  <c r="H20" i="13"/>
  <c r="H21" i="13"/>
  <c r="H19" i="13"/>
  <c r="E24" i="12" s="1"/>
  <c r="E22" i="12" l="1"/>
  <c r="D87" i="20"/>
  <c r="D88" i="20" s="1"/>
  <c r="D81" i="20"/>
  <c r="D82" i="20"/>
  <c r="D83" i="20"/>
  <c r="D78" i="20"/>
  <c r="D79" i="20" s="1"/>
  <c r="J15" i="13" s="1"/>
  <c r="H15" i="13" s="1"/>
  <c r="D42" i="20"/>
  <c r="J7" i="13" s="1"/>
  <c r="H7" i="13" s="1"/>
  <c r="E12" i="12" s="1"/>
  <c r="E24" i="20"/>
  <c r="J8" i="13" s="1"/>
  <c r="H8" i="13" s="1"/>
  <c r="E13" i="12" s="1"/>
  <c r="E25" i="20"/>
  <c r="J9" i="13" s="1"/>
  <c r="H9" i="13" s="1"/>
  <c r="E14" i="12" s="1"/>
  <c r="E26" i="20"/>
  <c r="D84" i="20" l="1"/>
  <c r="D85" i="20" s="1"/>
  <c r="J16" i="13" s="1"/>
  <c r="H16" i="13" s="1"/>
  <c r="E21" i="12" s="1"/>
  <c r="E27" i="20"/>
  <c r="J11" i="13" s="1"/>
  <c r="H11" i="13" s="1"/>
  <c r="E16" i="12" s="1"/>
  <c r="J10" i="13"/>
  <c r="H10" i="13" s="1"/>
  <c r="E15" i="12" s="1"/>
  <c r="E20" i="12"/>
  <c r="E17" i="13"/>
</calcChain>
</file>

<file path=xl/sharedStrings.xml><?xml version="1.0" encoding="utf-8"?>
<sst xmlns="http://schemas.openxmlformats.org/spreadsheetml/2006/main" count="230" uniqueCount="141">
  <si>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</si>
  <si>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</si>
  <si>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</si>
  <si>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</si>
  <si>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</si>
  <si>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</si>
  <si>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</si>
  <si>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</si>
  <si>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</si>
  <si>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</si>
  <si>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</si>
  <si>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</si>
  <si>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</si>
  <si>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</si>
  <si>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</si>
  <si>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</si>
  <si>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</si>
  <si>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</si>
  <si>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</si>
  <si>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</si>
  <si>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</si>
  <si>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</si>
  <si>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</si>
  <si>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</si>
  <si>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</si>
  <si>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</si>
  <si>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</si>
  <si>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</si>
  <si>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</si>
  <si>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</si>
  <si>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</si>
  <si>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</si>
  <si>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</si>
  <si>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</si>
  <si>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</si>
  <si>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</si>
  <si>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</si>
  <si>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</si>
  <si>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</si>
  <si>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</si>
  <si>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</si>
  <si>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</si>
  <si>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</si>
  <si>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</si>
  <si>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Subject year</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</si>
  <si>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</si>
  <si>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</si>
  <si>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</si>
  <si>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</si>
  <si>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</si>
  <si>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</si>
  <si>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</si>
  <si>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</si>
  <si>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</si>
  <si>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</si>
  <si>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</si>
  <si>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</si>
  <si>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</si>
  <si>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</si>
  <si>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</si>
  <si>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</si>
  <si>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</si>
  <si>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</si>
  <si>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</si>
  <si>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cost_of_installing</t>
  </si>
  <si>
    <r>
      <t>variable_operation_and_maintenance_costs_per_</t>
    </r>
    <r>
      <rPr>
        <sz val="12"/>
        <color theme="1"/>
        <rFont val="Calibri"/>
        <family val="2"/>
        <scheme val="minor"/>
      </rPr>
      <t>full_load_hour</t>
    </r>
  </si>
  <si>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</si>
  <si>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</si>
  <si>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</si>
  <si>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</si>
  <si>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</si>
  <si>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</si>
  <si>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</si>
  <si>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</si>
  <si>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bunkers_p2l_point_source_CO</t>
  </si>
  <si>
    <t>input.electricity</t>
  </si>
  <si>
    <t>input.useable_heat</t>
  </si>
  <si>
    <t>output.co</t>
  </si>
  <si>
    <t>output.loss</t>
  </si>
  <si>
    <t>MWe</t>
  </si>
  <si>
    <t>Energy requirements</t>
  </si>
  <si>
    <t>Investment, O&amp;M, Lifetime</t>
  </si>
  <si>
    <t>The Combustion Economy of Purifying CO from Blast Furnace Gas by Pressure Swing Adsorption</t>
  </si>
  <si>
    <t>Energy savings in the production chains of Tronox</t>
  </si>
  <si>
    <t>CE Delft</t>
  </si>
  <si>
    <t>VPSA Tech</t>
  </si>
  <si>
    <t>Density CO</t>
  </si>
  <si>
    <t>kg/m3</t>
  </si>
  <si>
    <t>Electricity</t>
  </si>
  <si>
    <t>kwh/m3 CO</t>
  </si>
  <si>
    <t xml:space="preserve">(VPSA Tech, CE Delft, COSORB) </t>
  </si>
  <si>
    <t>0.2-0.5 kwh/m3</t>
  </si>
  <si>
    <t>40-70% of 0.49</t>
  </si>
  <si>
    <t>kwh/kg CO</t>
  </si>
  <si>
    <t>kwh/t CO</t>
  </si>
  <si>
    <t>compression</t>
  </si>
  <si>
    <t>for compression to 20 bar</t>
  </si>
  <si>
    <t>Total</t>
  </si>
  <si>
    <t>Heat</t>
  </si>
  <si>
    <t>MJ/Nm3 CO</t>
  </si>
  <si>
    <t>(CE Delft, COSORB)</t>
  </si>
  <si>
    <t>kg steam</t>
  </si>
  <si>
    <t>MJ/kg CO</t>
  </si>
  <si>
    <t>MJ NG /kg CO</t>
  </si>
  <si>
    <t>if 85.7% efficient natural gas fired steam boiler</t>
  </si>
  <si>
    <t>if 99% efficient electric steam boiler</t>
  </si>
  <si>
    <t>RMB/Nm3 CO</t>
  </si>
  <si>
    <t>(VPSA Tech)</t>
  </si>
  <si>
    <t>RMB/kg</t>
  </si>
  <si>
    <t>Typical_input_capacity</t>
  </si>
  <si>
    <t>energy density CO</t>
  </si>
  <si>
    <t>MJ/kg</t>
  </si>
  <si>
    <t>gedefinieerd ahv energy density CO</t>
  </si>
  <si>
    <t>Investment AND O&amp;M</t>
  </si>
  <si>
    <t>hr/yr</t>
  </si>
  <si>
    <t>yr</t>
  </si>
  <si>
    <t>Power</t>
  </si>
  <si>
    <t>Constants</t>
  </si>
  <si>
    <t>Molar masses</t>
  </si>
  <si>
    <t>H2</t>
  </si>
  <si>
    <t>g/mol</t>
  </si>
  <si>
    <t>CO</t>
  </si>
  <si>
    <t>CO2</t>
  </si>
  <si>
    <t>C11H24</t>
  </si>
  <si>
    <t>O2</t>
  </si>
  <si>
    <t>CH3OH</t>
  </si>
  <si>
    <t>C2H5OH</t>
  </si>
  <si>
    <t>kg/l</t>
  </si>
  <si>
    <t>Mwe</t>
  </si>
  <si>
    <t>M€</t>
  </si>
  <si>
    <t>€</t>
  </si>
  <si>
    <t>Annual depreciation (10yr)</t>
  </si>
  <si>
    <t>Investment</t>
  </si>
  <si>
    <t>Maintenance cost (200/2229)</t>
  </si>
  <si>
    <t>Heating cost (20/2229)</t>
  </si>
  <si>
    <t>Overhead expenses (300/2229)</t>
  </si>
  <si>
    <t>Total fixed cost (investment + O&amp;M)</t>
  </si>
  <si>
    <t>Total = 2229000 RMB/m3 product gas</t>
  </si>
  <si>
    <t>M€/t CO</t>
  </si>
  <si>
    <t xml:space="preserve">Total fixed annual O&amp;M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</si>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</sst>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2"/>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0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78">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2" borderId="0" xfId="0" applyFont="1" applyFill="1" applyBorder="1"/>
    <xf numFmtId="0" fontId="21" fillId="2" borderId="5" xfId="0" applyFont="1" applyFill="1" applyBorder="1"/>
    <xf numFmtId="0" fontId="21" fillId="2" borderId="9" xfId="0" applyFont="1" applyFill="1" applyBorder="1"/>
    <xf numFmtId="0" fontId="21" fillId="0" borderId="9" xfId="0" applyFont="1" applyFill="1" applyBorder="1"/>
    <xf numFmtId="0" fontId="23" fillId="0" borderId="9" xfId="0" applyFont="1" applyFill="1" applyBorder="1"/>
    <xf numFmtId="49" fontId="21" fillId="2" borderId="0" xfId="0" applyNumberFormat="1" applyFont="1" applyFill="1" applyBorder="1"/>
    <xf numFmtId="49" fontId="21" fillId="2" borderId="9" xfId="0" applyNumberFormat="1"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2" fontId="16" fillId="2" borderId="0" xfId="0" applyNumberFormat="1" applyFont="1" applyFill="1" applyBorder="1" applyAlignment="1" applyProtection="1">
      <alignment horizontal="right" vertical="center"/>
    </xf>
    <xf numFmtId="2" fontId="16" fillId="2" borderId="0" xfId="0" applyNumberFormat="1" applyFont="1" applyFill="1"/>
    <xf numFmtId="10" fontId="16" fillId="2" borderId="0" xfId="0" applyNumberFormat="1" applyFont="1" applyFill="1" applyBorder="1" applyAlignment="1" applyProtection="1">
      <alignment horizontal="left" vertical="center" indent="2"/>
    </xf>
    <xf numFmtId="0" fontId="15" fillId="0" borderId="0" xfId="0" applyFont="1" applyFill="1"/>
    <xf numFmtId="1" fontId="16" fillId="2" borderId="0" xfId="0" applyNumberFormat="1" applyFont="1" applyFill="1" applyBorder="1" applyAlignment="1" applyProtection="1">
      <alignment horizontal="right" vertical="center"/>
    </xf>
    <xf numFmtId="0" fontId="14" fillId="0" borderId="0" xfId="0" applyFont="1" applyFill="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6" xfId="0" applyFont="1" applyFill="1" applyBorder="1"/>
    <xf numFmtId="0" fontId="26" fillId="2" borderId="0" xfId="0" applyFont="1" applyFill="1" applyBorder="1"/>
    <xf numFmtId="0" fontId="27" fillId="2" borderId="9"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19" xfId="0" applyFont="1" applyFill="1" applyBorder="1"/>
    <xf numFmtId="0" fontId="17" fillId="2" borderId="5" xfId="0" applyFont="1" applyFill="1" applyBorder="1"/>
    <xf numFmtId="0" fontId="22" fillId="2" borderId="0" xfId="0" applyFont="1" applyFill="1" applyBorder="1"/>
    <xf numFmtId="0" fontId="27" fillId="2" borderId="16" xfId="0" applyFont="1" applyFill="1" applyBorder="1"/>
    <xf numFmtId="0" fontId="26" fillId="2" borderId="19" xfId="0" applyFont="1" applyFill="1" applyBorder="1"/>
    <xf numFmtId="0" fontId="11" fillId="0" borderId="0" xfId="0" applyFont="1" applyFill="1"/>
    <xf numFmtId="0" fontId="10" fillId="0" borderId="0" xfId="0" applyFont="1" applyFill="1" applyBorder="1"/>
    <xf numFmtId="0" fontId="10" fillId="2" borderId="18" xfId="0" applyFont="1" applyFill="1" applyBorder="1"/>
    <xf numFmtId="0" fontId="10" fillId="2" borderId="0" xfId="0" applyFont="1" applyFill="1"/>
    <xf numFmtId="0" fontId="10" fillId="2" borderId="6" xfId="0"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0" fontId="10" fillId="0" borderId="0" xfId="0" applyFont="1" applyFill="1"/>
    <xf numFmtId="167" fontId="10" fillId="2" borderId="18" xfId="0" applyNumberFormat="1" applyFont="1" applyFill="1" applyBorder="1"/>
    <xf numFmtId="9" fontId="26" fillId="2" borderId="0" xfId="0" applyNumberFormat="1" applyFont="1" applyFill="1"/>
    <xf numFmtId="166" fontId="17" fillId="2" borderId="6" xfId="0" applyNumberFormat="1" applyFont="1" applyFill="1" applyBorder="1"/>
    <xf numFmtId="166" fontId="10" fillId="0" borderId="0" xfId="0" applyNumberFormat="1" applyFont="1" applyFill="1" applyBorder="1"/>
    <xf numFmtId="166" fontId="22" fillId="0" borderId="0" xfId="0" applyNumberFormat="1" applyFont="1" applyFill="1" applyBorder="1"/>
    <xf numFmtId="166" fontId="17" fillId="0" borderId="0" xfId="0" applyNumberFormat="1" applyFont="1" applyFill="1" applyBorder="1"/>
    <xf numFmtId="166" fontId="17" fillId="2" borderId="5" xfId="0" applyNumberFormat="1" applyFont="1" applyFill="1" applyBorder="1"/>
    <xf numFmtId="0" fontId="9" fillId="0" borderId="0" xfId="0" applyFont="1" applyFill="1" applyBorder="1"/>
    <xf numFmtId="0" fontId="29" fillId="0" borderId="0" xfId="0" applyFont="1"/>
    <xf numFmtId="166" fontId="8" fillId="0" borderId="0" xfId="0" applyNumberFormat="1" applyFont="1" applyFill="1" applyBorder="1"/>
    <xf numFmtId="0" fontId="8"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2" fillId="12" borderId="0" xfId="0" applyFont="1" applyFill="1"/>
    <xf numFmtId="165" fontId="26" fillId="2" borderId="0" xfId="0" applyNumberFormat="1" applyFont="1" applyFill="1"/>
    <xf numFmtId="0" fontId="32" fillId="12" borderId="6" xfId="0" applyFont="1" applyFill="1" applyBorder="1"/>
    <xf numFmtId="0" fontId="5" fillId="0" borderId="0" xfId="0" applyFont="1" applyFill="1" applyBorder="1"/>
    <xf numFmtId="2" fontId="16"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29" fillId="12" borderId="18" xfId="0" applyFont="1" applyFill="1" applyBorder="1"/>
    <xf numFmtId="166" fontId="4" fillId="2" borderId="18" xfId="0" applyNumberFormat="1" applyFont="1" applyFill="1" applyBorder="1"/>
    <xf numFmtId="0" fontId="26" fillId="0" borderId="0" xfId="0" applyFont="1" applyFill="1"/>
    <xf numFmtId="0" fontId="3" fillId="2" borderId="18" xfId="0" applyFont="1" applyFill="1" applyBorder="1"/>
    <xf numFmtId="0" fontId="21" fillId="13" borderId="0" xfId="0" applyFont="1" applyFill="1" applyBorder="1"/>
    <xf numFmtId="0" fontId="2" fillId="2" borderId="0" xfId="0" applyFont="1" applyFill="1" applyAlignment="1">
      <alignment vertical="center"/>
    </xf>
    <xf numFmtId="0" fontId="2" fillId="2" borderId="6" xfId="0" applyFont="1" applyFill="1" applyBorder="1" applyAlignment="1">
      <alignment vertical="center"/>
    </xf>
    <xf numFmtId="0" fontId="2" fillId="0" borderId="0" xfId="0" applyFont="1" applyFill="1" applyBorder="1" applyAlignment="1">
      <alignment vertical="center"/>
    </xf>
    <xf numFmtId="0" fontId="22" fillId="0" borderId="0" xfId="0" applyFont="1" applyFill="1" applyBorder="1" applyAlignment="1">
      <alignment vertical="center"/>
    </xf>
    <xf numFmtId="166" fontId="2" fillId="2" borderId="18" xfId="0" applyNumberFormat="1" applyFont="1" applyFill="1" applyBorder="1"/>
    <xf numFmtId="0" fontId="2" fillId="2" borderId="18" xfId="0" applyFont="1" applyFill="1" applyBorder="1" applyAlignment="1">
      <alignment vertical="center"/>
    </xf>
    <xf numFmtId="0" fontId="2" fillId="2" borderId="5" xfId="0" applyFont="1" applyFill="1" applyBorder="1" applyAlignment="1">
      <alignment vertical="center"/>
    </xf>
    <xf numFmtId="0" fontId="2" fillId="2" borderId="0" xfId="0" applyFont="1" applyFill="1" applyBorder="1" applyAlignment="1">
      <alignment vertical="center"/>
    </xf>
    <xf numFmtId="164" fontId="2" fillId="2" borderId="18" xfId="0" applyNumberFormat="1" applyFont="1" applyFill="1" applyBorder="1"/>
    <xf numFmtId="0" fontId="33" fillId="2" borderId="0" xfId="0" applyFont="1" applyFill="1" applyAlignment="1">
      <alignment vertical="center"/>
    </xf>
    <xf numFmtId="0" fontId="21" fillId="2" borderId="6" xfId="0" applyFont="1" applyFill="1" applyBorder="1" applyAlignment="1">
      <alignment vertical="center"/>
    </xf>
    <xf numFmtId="2" fontId="2" fillId="2" borderId="18" xfId="0" applyNumberFormat="1" applyFont="1" applyFill="1" applyBorder="1" applyAlignment="1">
      <alignment vertical="center"/>
    </xf>
    <xf numFmtId="0" fontId="21" fillId="0" borderId="0" xfId="0" applyFont="1" applyFill="1" applyBorder="1" applyAlignment="1">
      <alignment vertical="center"/>
    </xf>
    <xf numFmtId="0" fontId="33" fillId="2" borderId="5" xfId="0" applyFont="1" applyFill="1" applyBorder="1" applyAlignment="1">
      <alignment vertical="center"/>
    </xf>
    <xf numFmtId="0" fontId="2" fillId="2" borderId="0" xfId="0" applyFont="1" applyFill="1"/>
    <xf numFmtId="0" fontId="27" fillId="2" borderId="6" xfId="0" applyFont="1" applyFill="1" applyBorder="1"/>
    <xf numFmtId="0" fontId="27" fillId="2" borderId="0" xfId="0" applyFont="1" applyFill="1" applyBorder="1"/>
    <xf numFmtId="2" fontId="21" fillId="13" borderId="0" xfId="0" applyNumberFormat="1" applyFont="1" applyFill="1" applyBorder="1"/>
    <xf numFmtId="0" fontId="0" fillId="13" borderId="0" xfId="0" applyFill="1" applyBorder="1"/>
    <xf numFmtId="0" fontId="2" fillId="13" borderId="0" xfId="0" applyFont="1" applyFill="1" applyBorder="1"/>
    <xf numFmtId="0" fontId="26" fillId="2" borderId="7" xfId="0" applyFont="1" applyFill="1" applyBorder="1"/>
    <xf numFmtId="0" fontId="27" fillId="0" borderId="0" xfId="0" applyFont="1" applyFill="1" applyBorder="1"/>
    <xf numFmtId="1" fontId="10" fillId="2" borderId="18" xfId="0" applyNumberFormat="1" applyFont="1" applyFill="1" applyBorder="1" applyAlignment="1" applyProtection="1">
      <alignment horizontal="right" vertical="center"/>
    </xf>
    <xf numFmtId="0" fontId="16" fillId="2" borderId="21" xfId="0" applyFont="1" applyFill="1" applyBorder="1"/>
    <xf numFmtId="0" fontId="16" fillId="2" borderId="18" xfId="0" applyFont="1" applyFill="1" applyBorder="1"/>
    <xf numFmtId="2" fontId="16" fillId="2" borderId="18" xfId="0" applyNumberFormat="1" applyFont="1" applyFill="1" applyBorder="1"/>
    <xf numFmtId="2" fontId="3" fillId="2" borderId="18" xfId="0" applyNumberFormat="1" applyFont="1" applyFill="1" applyBorder="1"/>
    <xf numFmtId="2" fontId="21" fillId="2" borderId="18" xfId="0" applyNumberFormat="1" applyFont="1" applyFill="1" applyBorder="1" applyAlignment="1" applyProtection="1">
      <alignment horizontal="right" vertical="center"/>
    </xf>
    <xf numFmtId="2" fontId="10" fillId="2" borderId="18" xfId="0" applyNumberFormat="1" applyFont="1" applyFill="1" applyBorder="1"/>
    <xf numFmtId="0" fontId="34" fillId="12" borderId="0" xfId="0" applyFont="1" applyFill="1"/>
    <xf numFmtId="2" fontId="17" fillId="2" borderId="18" xfId="0" applyNumberFormat="1"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5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Normal" xfId="0" builtinId="0"/>
    <cellStyle name="Normal 2" xfId="274" xr:uid="{00000000-0005-0000-0000-0000F7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5</xdr:col>
      <xdr:colOff>203200</xdr:colOff>
      <xdr:row>51</xdr:row>
      <xdr:rowOff>50800</xdr:rowOff>
    </xdr:from>
    <xdr:to>
      <xdr:col>11</xdr:col>
      <xdr:colOff>406400</xdr:colOff>
      <xdr:row>66</xdr:row>
      <xdr:rowOff>51649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4229100" y="6400800"/>
          <a:ext cx="4800600" cy="3048849"/>
        </a:xfrm>
        <a:prstGeom prst="rect">
          <a:avLst/>
        </a:prstGeom>
      </xdr:spPr>
    </xdr:pic>
    <xdr:clientData/>
  </xdr:twoCellAnchor>
  <xdr:twoCellAnchor editAs="oneCell">
    <xdr:from>
      <xdr:col>5</xdr:col>
      <xdr:colOff>368300</xdr:colOff>
      <xdr:row>75</xdr:row>
      <xdr:rowOff>12700</xdr:rowOff>
    </xdr:from>
    <xdr:to>
      <xdr:col>15</xdr:col>
      <xdr:colOff>584200</xdr:colOff>
      <xdr:row>91</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5638800" y="15532100"/>
          <a:ext cx="8483600" cy="342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D7" sqref="D7"/>
    </sheetView>
  </sheetViews>
  <sheetFormatPr baseColWidth="10" defaultColWidth="10.85546875" defaultRowHeight="16"/>
  <cols>
    <col min="1" max="1" width="3.42578125" style="30" customWidth="1"/>
    <col min="2" max="2" width="11.42578125" style="21" customWidth="1"/>
    <col min="3" max="3" width="38.42578125" style="21" customWidth="1"/>
    <col min="4" max="16384" width="10.85546875" style="21"/>
  </cols>
  <sheetData>
    <row r="1" spans="1:3" s="28" customFormat="1">
      <c r="A1" s="26"/>
      <c r="B1" s="27"/>
      <c r="C1" s="27"/>
    </row>
    <row r="2" spans="1:3" ht="21">
      <c r="A2" s="1"/>
      <c r="B2" s="29" t="s">
        <v>9</v>
      </c>
      <c r="C2" s="29"/>
    </row>
    <row r="3" spans="1:3">
      <c r="A3" s="1"/>
      <c r="B3" s="8"/>
      <c r="C3" s="8"/>
    </row>
    <row r="4" spans="1:3">
      <c r="A4" s="1"/>
      <c r="B4" s="2" t="s">
        <v>10</v>
      </c>
      <c r="C4" s="3" t="s">
        <v>74</v>
      </c>
    </row>
    <row r="5" spans="1:3">
      <c r="A5" s="1"/>
      <c r="B5" s="4" t="s">
        <v>40</v>
      </c>
      <c r="C5" s="5" t="s">
        <v>73</v>
      </c>
    </row>
    <row r="6" spans="1:3">
      <c r="A6" s="1"/>
      <c r="B6" s="6" t="s">
        <v>12</v>
      </c>
      <c r="C6" s="7" t="s">
        <v>13</v>
      </c>
    </row>
    <row r="7" spans="1:3">
      <c r="A7" s="1"/>
      <c r="B7" s="8"/>
      <c r="C7" s="8"/>
    </row>
    <row r="8" spans="1:3">
      <c r="A8" s="1"/>
      <c r="B8" s="8"/>
      <c r="C8" s="8"/>
    </row>
    <row r="9" spans="1:3">
      <c r="A9" s="1"/>
      <c r="B9" s="70" t="s">
        <v>25</v>
      </c>
      <c r="C9" s="71"/>
    </row>
    <row r="10" spans="1:3">
      <c r="A10" s="1"/>
      <c r="B10" s="72"/>
      <c r="C10" s="73"/>
    </row>
    <row r="11" spans="1:3">
      <c r="A11" s="1"/>
      <c r="B11" s="72" t="s">
        <v>26</v>
      </c>
      <c r="C11" s="74" t="s">
        <v>27</v>
      </c>
    </row>
    <row r="12" spans="1:3" ht="17" thickBot="1">
      <c r="A12" s="1"/>
      <c r="B12" s="72"/>
      <c r="C12" s="12" t="s">
        <v>28</v>
      </c>
    </row>
    <row r="13" spans="1:3" ht="17" thickBot="1">
      <c r="A13" s="1"/>
      <c r="B13" s="72"/>
      <c r="C13" s="75" t="s">
        <v>29</v>
      </c>
    </row>
    <row r="14" spans="1:3">
      <c r="A14" s="1"/>
      <c r="B14" s="72"/>
      <c r="C14" s="73" t="s">
        <v>30</v>
      </c>
    </row>
    <row r="15" spans="1:3">
      <c r="A15" s="1"/>
      <c r="B15" s="72"/>
      <c r="C15" s="73"/>
    </row>
    <row r="16" spans="1:3">
      <c r="A16" s="1"/>
      <c r="B16" s="72" t="s">
        <v>31</v>
      </c>
      <c r="C16" s="76" t="s">
        <v>32</v>
      </c>
    </row>
    <row r="17" spans="1:3">
      <c r="A17" s="1"/>
      <c r="B17" s="72"/>
      <c r="C17" s="77" t="s">
        <v>33</v>
      </c>
    </row>
    <row r="18" spans="1:3">
      <c r="A18" s="1"/>
      <c r="B18" s="72"/>
      <c r="C18" s="78" t="s">
        <v>34</v>
      </c>
    </row>
    <row r="19" spans="1:3">
      <c r="A19" s="1"/>
      <c r="B19" s="72"/>
      <c r="C19" s="79" t="s">
        <v>35</v>
      </c>
    </row>
    <row r="20" spans="1:3">
      <c r="A20" s="1"/>
      <c r="B20" s="80"/>
      <c r="C20" s="81" t="s">
        <v>36</v>
      </c>
    </row>
    <row r="21" spans="1:3">
      <c r="A21" s="1"/>
      <c r="B21" s="80"/>
      <c r="C21" s="82" t="s">
        <v>37</v>
      </c>
    </row>
    <row r="22" spans="1:3">
      <c r="A22" s="1"/>
      <c r="B22" s="80"/>
      <c r="C22" s="83" t="s">
        <v>38</v>
      </c>
    </row>
    <row r="23" spans="1:3">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3"/>
  <sheetViews>
    <sheetView tabSelected="1" topLeftCell="F7" workbookViewId="0">
      <selection activeCell="I25" sqref="I25"/>
    </sheetView>
  </sheetViews>
  <sheetFormatPr baseColWidth="10" defaultColWidth="10.85546875" defaultRowHeight="16"/>
  <cols>
    <col min="1" max="2" width="3.42578125" style="34" customWidth="1"/>
    <col min="3" max="3" width="51.42578125" style="34" customWidth="1"/>
    <col min="4" max="4" width="9.42578125" style="34" customWidth="1"/>
    <col min="5" max="5" width="15.42578125" style="34" customWidth="1"/>
    <col min="6" max="6" width="4.42578125" style="34" customWidth="1"/>
    <col min="7" max="7" width="49.42578125" style="34" customWidth="1"/>
    <col min="8" max="8" width="20.85546875" style="34" customWidth="1"/>
    <col min="9" max="9" width="42.42578125" style="34" customWidth="1"/>
    <col min="10" max="10" width="5.42578125" style="34" customWidth="1"/>
    <col min="11" max="16384" width="10.85546875" style="34"/>
  </cols>
  <sheetData>
    <row r="1" spans="1:11">
      <c r="D1" s="35"/>
    </row>
    <row r="2" spans="1:11">
      <c r="B2" s="169" t="s">
        <v>72</v>
      </c>
      <c r="C2" s="170"/>
      <c r="D2" s="170"/>
      <c r="E2" s="171"/>
      <c r="F2" s="35"/>
      <c r="G2" s="35"/>
    </row>
    <row r="3" spans="1:11">
      <c r="B3" s="172"/>
      <c r="C3" s="173"/>
      <c r="D3" s="173"/>
      <c r="E3" s="174"/>
      <c r="F3" s="35"/>
      <c r="G3" s="35"/>
    </row>
    <row r="4" spans="1:11">
      <c r="B4" s="172"/>
      <c r="C4" s="173"/>
      <c r="D4" s="173"/>
      <c r="E4" s="174"/>
      <c r="F4" s="35"/>
      <c r="G4" s="35"/>
    </row>
    <row r="5" spans="1:11">
      <c r="B5" s="175"/>
      <c r="C5" s="176"/>
      <c r="D5" s="176"/>
      <c r="E5" s="177"/>
      <c r="F5" s="35"/>
      <c r="G5" s="35"/>
    </row>
    <row r="6" spans="1:11">
      <c r="C6" s="35"/>
      <c r="D6" s="35"/>
      <c r="E6" s="35"/>
      <c r="F6" s="35"/>
      <c r="G6" s="35"/>
    </row>
    <row r="7" spans="1:11" ht="17" thickBot="1">
      <c r="D7" s="35"/>
    </row>
    <row r="8" spans="1:11">
      <c r="B8" s="36"/>
      <c r="C8" s="19"/>
      <c r="D8" s="19"/>
      <c r="E8" s="19"/>
      <c r="F8" s="19"/>
      <c r="G8" s="19"/>
      <c r="H8" s="19"/>
      <c r="I8" s="19"/>
      <c r="J8" s="37"/>
    </row>
    <row r="9" spans="1:11" s="25" customFormat="1">
      <c r="B9" s="23"/>
      <c r="C9" s="15" t="s">
        <v>18</v>
      </c>
      <c r="D9" s="16" t="s">
        <v>7</v>
      </c>
      <c r="E9" s="14" t="s">
        <v>3</v>
      </c>
      <c r="F9" s="15"/>
      <c r="G9" s="15" t="s">
        <v>6</v>
      </c>
      <c r="H9" s="15"/>
      <c r="I9" s="15" t="s">
        <v>0</v>
      </c>
      <c r="J9" s="87"/>
    </row>
    <row r="10" spans="1:11" s="25" customFormat="1">
      <c r="B10" s="24"/>
      <c r="C10" s="12"/>
      <c r="D10" s="32"/>
      <c r="E10" s="12"/>
      <c r="F10" s="12"/>
      <c r="G10" s="12"/>
      <c r="H10" s="12"/>
      <c r="I10" s="12"/>
      <c r="J10" s="13"/>
    </row>
    <row r="11" spans="1:11" s="25" customFormat="1" ht="17" thickBot="1">
      <c r="B11" s="24"/>
      <c r="C11" s="12" t="s">
        <v>42</v>
      </c>
      <c r="D11" s="32"/>
      <c r="E11" s="12"/>
      <c r="F11" s="12"/>
      <c r="G11" s="12"/>
      <c r="H11" s="12"/>
      <c r="I11" s="12"/>
      <c r="J11" s="13"/>
    </row>
    <row r="12" spans="1:11" s="147" customFormat="1" ht="16" customHeight="1" thickBot="1">
      <c r="B12" s="148"/>
      <c r="C12" s="140" t="s">
        <v>71</v>
      </c>
      <c r="D12" s="141" t="s">
        <v>79</v>
      </c>
      <c r="E12" s="149">
        <f>'Research data'!H7</f>
        <v>30.429625199362039</v>
      </c>
      <c r="F12" s="140"/>
      <c r="G12" s="150"/>
      <c r="I12" s="143"/>
      <c r="J12" s="151"/>
    </row>
    <row r="13" spans="1:11" ht="17" thickBot="1">
      <c r="A13" s="25"/>
      <c r="B13" s="24"/>
      <c r="C13" s="93" t="s">
        <v>75</v>
      </c>
      <c r="D13" s="20" t="s">
        <v>2</v>
      </c>
      <c r="E13" s="149">
        <f>'Research data'!H8</f>
        <v>0.61088888543012332</v>
      </c>
      <c r="F13" s="38"/>
      <c r="G13" s="93"/>
      <c r="H13" s="31"/>
      <c r="I13" s="136"/>
      <c r="J13" s="13"/>
      <c r="K13" s="25"/>
    </row>
    <row r="14" spans="1:11" ht="17" thickBot="1">
      <c r="A14" s="95"/>
      <c r="B14" s="96"/>
      <c r="C14" s="129" t="s">
        <v>76</v>
      </c>
      <c r="D14" s="22" t="s">
        <v>2</v>
      </c>
      <c r="E14" s="149">
        <f>'Research data'!H9</f>
        <v>0.38911111456987657</v>
      </c>
      <c r="F14" s="93"/>
      <c r="G14" s="129"/>
      <c r="H14" s="93"/>
      <c r="I14" s="136"/>
      <c r="J14" s="97"/>
      <c r="K14" s="35"/>
    </row>
    <row r="15" spans="1:11" ht="17" thickBot="1">
      <c r="A15" s="95"/>
      <c r="B15" s="96"/>
      <c r="C15" s="116" t="s">
        <v>77</v>
      </c>
      <c r="D15" s="22" t="s">
        <v>2</v>
      </c>
      <c r="E15" s="149">
        <f>'Research data'!H10</f>
        <v>0.81603669588173489</v>
      </c>
      <c r="F15" s="93"/>
      <c r="G15" s="93"/>
      <c r="H15" s="93"/>
      <c r="I15" s="136"/>
      <c r="J15" s="97"/>
      <c r="K15" s="35"/>
    </row>
    <row r="16" spans="1:11" ht="17" thickBot="1">
      <c r="B16" s="96"/>
      <c r="C16" s="93" t="s">
        <v>78</v>
      </c>
      <c r="D16" s="22" t="s">
        <v>2</v>
      </c>
      <c r="E16" s="149">
        <f>'Research data'!H11</f>
        <v>0.18396330411826511</v>
      </c>
      <c r="F16" s="93"/>
      <c r="G16" s="93"/>
      <c r="H16" s="93"/>
      <c r="I16" s="136"/>
      <c r="J16" s="97"/>
    </row>
    <row r="17" spans="1:11" s="138" customFormat="1" ht="16" customHeight="1" thickBot="1">
      <c r="B17" s="139"/>
      <c r="C17" s="140" t="s">
        <v>62</v>
      </c>
      <c r="D17" s="141" t="s">
        <v>2</v>
      </c>
      <c r="E17" s="149">
        <f>'Research data'!H12</f>
        <v>8000</v>
      </c>
      <c r="F17" s="140"/>
      <c r="G17" s="140"/>
      <c r="I17" s="143"/>
      <c r="J17" s="144"/>
      <c r="K17" s="145"/>
    </row>
    <row r="18" spans="1:11">
      <c r="B18" s="39"/>
      <c r="C18" s="35"/>
      <c r="D18" s="35"/>
      <c r="E18" s="35"/>
      <c r="F18" s="35"/>
      <c r="G18" s="35"/>
      <c r="H18" s="35"/>
      <c r="I18" s="35"/>
      <c r="J18" s="88"/>
    </row>
    <row r="19" spans="1:11" ht="17" thickBot="1">
      <c r="B19" s="39"/>
      <c r="C19" s="12" t="s">
        <v>41</v>
      </c>
      <c r="D19" s="35"/>
      <c r="E19" s="35"/>
      <c r="F19" s="35"/>
      <c r="G19" s="35"/>
      <c r="H19" s="35"/>
      <c r="I19" s="35"/>
      <c r="J19" s="88"/>
    </row>
    <row r="20" spans="1:11" ht="17" thickBot="1">
      <c r="B20" s="39"/>
      <c r="C20" s="38" t="s">
        <v>21</v>
      </c>
      <c r="D20" s="22" t="s">
        <v>19</v>
      </c>
      <c r="E20" s="146">
        <f>'Research data'!H15</f>
        <v>103874760.92654248</v>
      </c>
      <c r="F20" s="38"/>
      <c r="G20" s="38" t="s">
        <v>5</v>
      </c>
      <c r="H20" s="38"/>
      <c r="I20" s="133"/>
      <c r="J20" s="88"/>
    </row>
    <row r="21" spans="1:11" ht="15" customHeight="1" thickBot="1">
      <c r="B21" s="39"/>
      <c r="C21" s="38" t="s">
        <v>22</v>
      </c>
      <c r="D21" s="22" t="s">
        <v>47</v>
      </c>
      <c r="E21" s="40">
        <f>'Research data'!H16</f>
        <v>2644084.8235847186</v>
      </c>
      <c r="F21" s="38"/>
      <c r="G21" s="119" t="s">
        <v>68</v>
      </c>
      <c r="H21" s="38"/>
      <c r="I21" s="133"/>
      <c r="J21" s="88"/>
    </row>
    <row r="22" spans="1:11" ht="17" thickBot="1">
      <c r="B22" s="111"/>
      <c r="C22" s="118" t="s">
        <v>65</v>
      </c>
      <c r="D22" s="113" t="s">
        <v>60</v>
      </c>
      <c r="E22" s="168">
        <f>'Research data'!H19</f>
        <v>0</v>
      </c>
      <c r="F22" s="114"/>
      <c r="G22" s="112" t="s">
        <v>61</v>
      </c>
      <c r="H22" s="114"/>
      <c r="I22" s="133"/>
      <c r="J22" s="115"/>
    </row>
    <row r="23" spans="1:11" ht="17" thickBot="1">
      <c r="B23" s="111"/>
      <c r="C23" s="118" t="s">
        <v>64</v>
      </c>
      <c r="D23" s="113"/>
      <c r="E23" s="168">
        <f>'Research data'!H18</f>
        <v>0</v>
      </c>
      <c r="F23" s="114"/>
      <c r="G23" s="118" t="s">
        <v>66</v>
      </c>
      <c r="H23" s="114"/>
      <c r="I23" s="124"/>
      <c r="J23" s="115"/>
    </row>
    <row r="24" spans="1:11" ht="17" thickBot="1">
      <c r="B24" s="111"/>
      <c r="C24" s="125" t="s">
        <v>70</v>
      </c>
      <c r="D24" s="113"/>
      <c r="E24" s="168">
        <f>'Research data'!H19</f>
        <v>0</v>
      </c>
      <c r="F24" s="114"/>
      <c r="G24" s="118" t="s">
        <v>67</v>
      </c>
      <c r="H24" s="114"/>
      <c r="I24" s="134"/>
      <c r="J24" s="115"/>
    </row>
    <row r="25" spans="1:11" ht="17" thickBot="1">
      <c r="A25" s="95"/>
      <c r="B25" s="96"/>
      <c r="C25" s="93" t="s">
        <v>49</v>
      </c>
      <c r="D25" s="22" t="s">
        <v>50</v>
      </c>
      <c r="E25" s="166">
        <v>7.0000000000000007E-2</v>
      </c>
      <c r="F25" s="93"/>
      <c r="G25" s="93" t="s">
        <v>51</v>
      </c>
      <c r="H25" s="93"/>
      <c r="I25" s="136" t="s">
        <v>140</v>
      </c>
      <c r="J25" s="97"/>
    </row>
    <row r="26" spans="1:11" ht="17" thickBot="1">
      <c r="A26" s="95"/>
      <c r="B26" s="96"/>
      <c r="C26" s="93" t="s">
        <v>52</v>
      </c>
      <c r="D26" s="22" t="s">
        <v>53</v>
      </c>
      <c r="E26" s="166">
        <v>0</v>
      </c>
      <c r="F26" s="93"/>
      <c r="G26" s="93"/>
      <c r="H26" s="93"/>
      <c r="I26" s="94"/>
      <c r="J26" s="97"/>
    </row>
    <row r="27" spans="1:11">
      <c r="A27" s="95"/>
      <c r="B27" s="96"/>
      <c r="C27" s="93"/>
      <c r="D27" s="22"/>
      <c r="E27" s="101"/>
      <c r="F27" s="93"/>
      <c r="G27" s="93"/>
      <c r="H27" s="93"/>
      <c r="I27" s="99"/>
      <c r="J27" s="97"/>
    </row>
    <row r="28" spans="1:11" ht="17" thickBot="1">
      <c r="A28" s="95"/>
      <c r="B28" s="96"/>
      <c r="C28" s="12" t="s">
        <v>4</v>
      </c>
      <c r="D28" s="89"/>
      <c r="E28" s="101"/>
      <c r="F28" s="99"/>
      <c r="H28" s="99"/>
      <c r="I28" s="99"/>
      <c r="J28" s="97"/>
    </row>
    <row r="29" spans="1:11" ht="17" thickBot="1">
      <c r="A29" s="95"/>
      <c r="B29" s="96"/>
      <c r="C29" s="93" t="s">
        <v>23</v>
      </c>
      <c r="D29" s="22" t="s">
        <v>1</v>
      </c>
      <c r="E29" s="98">
        <f>'Research data'!H23</f>
        <v>25</v>
      </c>
      <c r="F29" s="93"/>
      <c r="G29" s="93" t="s">
        <v>58</v>
      </c>
      <c r="H29" s="93"/>
      <c r="I29" s="133"/>
      <c r="J29" s="97"/>
    </row>
    <row r="30" spans="1:11" ht="17" thickBot="1">
      <c r="A30" s="95"/>
      <c r="B30" s="96"/>
      <c r="C30" s="93" t="s">
        <v>56</v>
      </c>
      <c r="D30" s="22" t="s">
        <v>1</v>
      </c>
      <c r="E30" s="98">
        <f>'Research data'!H24</f>
        <v>0</v>
      </c>
      <c r="F30" s="93"/>
      <c r="G30" s="93" t="s">
        <v>57</v>
      </c>
      <c r="H30" s="93"/>
      <c r="I30" s="94"/>
      <c r="J30" s="97"/>
    </row>
    <row r="31" spans="1:11" ht="17" thickBot="1">
      <c r="A31" s="95"/>
      <c r="B31" s="96"/>
      <c r="C31" s="93" t="s">
        <v>54</v>
      </c>
      <c r="D31" s="22" t="s">
        <v>55</v>
      </c>
      <c r="E31" s="98">
        <f>'Research data'!H25</f>
        <v>0</v>
      </c>
      <c r="F31" s="93"/>
      <c r="G31" s="93" t="s">
        <v>59</v>
      </c>
      <c r="H31" s="93"/>
      <c r="I31" s="136"/>
      <c r="J31" s="97"/>
    </row>
    <row r="32" spans="1:11" ht="17" thickBot="1">
      <c r="A32" s="95"/>
      <c r="B32" s="96"/>
      <c r="C32" s="93" t="s">
        <v>20</v>
      </c>
      <c r="D32" s="22" t="s">
        <v>2</v>
      </c>
      <c r="E32" s="98">
        <v>0</v>
      </c>
      <c r="F32" s="93"/>
      <c r="G32" s="93"/>
      <c r="H32" s="93"/>
      <c r="I32" s="136"/>
      <c r="J32" s="97"/>
    </row>
    <row r="33" spans="1:10" ht="17" thickBot="1">
      <c r="A33" s="95"/>
      <c r="B33" s="102"/>
      <c r="C33" s="103"/>
      <c r="D33" s="103"/>
      <c r="E33" s="103"/>
      <c r="F33" s="103"/>
      <c r="G33" s="103"/>
      <c r="H33" s="103"/>
      <c r="I33" s="103"/>
      <c r="J33" s="104"/>
    </row>
    <row r="34" spans="1:10">
      <c r="A34" s="95"/>
      <c r="B34" s="95"/>
      <c r="C34" s="95"/>
      <c r="D34" s="95"/>
      <c r="E34" s="95"/>
      <c r="F34" s="95"/>
      <c r="G34" s="95"/>
      <c r="H34" s="95"/>
      <c r="I34" s="95"/>
      <c r="J34" s="95"/>
    </row>
    <row r="35" spans="1:10">
      <c r="A35" s="95"/>
      <c r="B35" s="95"/>
      <c r="C35" s="95"/>
      <c r="D35" s="95"/>
      <c r="E35" s="95"/>
      <c r="F35" s="95"/>
      <c r="G35" s="95"/>
      <c r="H35" s="95"/>
      <c r="I35" s="95"/>
      <c r="J35" s="95"/>
    </row>
    <row r="36" spans="1:10">
      <c r="A36" s="95"/>
      <c r="B36" s="95"/>
      <c r="C36" s="95"/>
      <c r="D36" s="95"/>
      <c r="E36" s="95"/>
      <c r="F36" s="95"/>
      <c r="G36" s="95"/>
      <c r="H36" s="95"/>
      <c r="I36" s="95"/>
      <c r="J36" s="95"/>
    </row>
    <row r="37" spans="1:10">
      <c r="A37" s="95"/>
      <c r="B37" s="95"/>
      <c r="E37" s="95"/>
      <c r="F37" s="95"/>
      <c r="G37" s="95"/>
      <c r="H37" s="95"/>
      <c r="I37" s="95"/>
      <c r="J37" s="95"/>
    </row>
    <row r="38" spans="1:10">
      <c r="A38" s="95"/>
      <c r="B38" s="95"/>
      <c r="C38" s="95"/>
      <c r="D38" s="95"/>
      <c r="E38" s="95"/>
      <c r="F38" s="95"/>
      <c r="G38" s="95"/>
      <c r="H38" s="95"/>
      <c r="I38" s="95"/>
      <c r="J38" s="95"/>
    </row>
    <row r="39" spans="1:10">
      <c r="A39" s="95"/>
      <c r="B39" s="95"/>
      <c r="C39" s="95"/>
      <c r="D39" s="95"/>
      <c r="E39" s="95"/>
      <c r="F39" s="95"/>
      <c r="G39" s="95"/>
      <c r="H39" s="95"/>
      <c r="I39" s="95"/>
      <c r="J39" s="95"/>
    </row>
    <row r="40" spans="1:10">
      <c r="A40" s="95"/>
      <c r="B40" s="95"/>
      <c r="C40" s="95"/>
      <c r="D40" s="95"/>
      <c r="E40" s="95"/>
      <c r="F40" s="95"/>
      <c r="G40" s="95"/>
      <c r="H40" s="95"/>
      <c r="I40" s="95"/>
      <c r="J40" s="95"/>
    </row>
    <row r="41" spans="1:10">
      <c r="A41" s="95"/>
      <c r="B41" s="95"/>
      <c r="C41" s="95"/>
      <c r="D41" s="95"/>
      <c r="E41" s="95"/>
      <c r="F41" s="95"/>
      <c r="G41" s="95"/>
      <c r="H41" s="95"/>
      <c r="I41" s="95"/>
      <c r="J41" s="95"/>
    </row>
    <row r="42" spans="1:10">
      <c r="A42" s="95"/>
    </row>
    <row r="43" spans="1:10">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S26"/>
  <sheetViews>
    <sheetView workbookViewId="0">
      <selection activeCell="A20" sqref="A20:XFD20"/>
    </sheetView>
  </sheetViews>
  <sheetFormatPr baseColWidth="10" defaultColWidth="10.85546875" defaultRowHeight="16"/>
  <cols>
    <col min="1" max="1" width="3.42578125" style="41" customWidth="1"/>
    <col min="2" max="2" width="3" style="41" customWidth="1"/>
    <col min="3" max="3" width="61" style="41" customWidth="1"/>
    <col min="4" max="4" width="16.42578125" style="41" hidden="1" customWidth="1"/>
    <col min="5" max="5" width="13.85546875" style="41" hidden="1" customWidth="1"/>
    <col min="6" max="6" width="10" style="41" customWidth="1"/>
    <col min="7" max="7" width="3" style="41" customWidth="1"/>
    <col min="8" max="8" width="14.85546875" style="41" customWidth="1"/>
    <col min="9" max="9" width="2.42578125" style="41" customWidth="1"/>
    <col min="10" max="10" width="13.42578125" style="41" customWidth="1"/>
    <col min="11" max="11" width="2.42578125" style="41" customWidth="1"/>
    <col min="12" max="12" width="15.85546875" style="41" customWidth="1"/>
    <col min="13" max="13" width="2.7109375" style="41" customWidth="1"/>
    <col min="14" max="14" width="15.85546875" style="41" customWidth="1"/>
    <col min="15" max="15" width="2.42578125" style="41" customWidth="1"/>
    <col min="16" max="16" width="23.42578125" style="41" customWidth="1"/>
    <col min="17" max="17" width="11" style="41" customWidth="1"/>
    <col min="18" max="18" width="2.42578125" style="41" customWidth="1"/>
    <col min="19" max="19" width="22.42578125" style="41" customWidth="1"/>
    <col min="20" max="16384" width="10.85546875" style="41"/>
  </cols>
  <sheetData>
    <row r="2" spans="1:19" ht="17" thickBot="1"/>
    <row r="3" spans="1:19">
      <c r="B3" s="42"/>
      <c r="C3" s="43"/>
      <c r="D3" s="43"/>
      <c r="E3" s="43"/>
      <c r="F3" s="43"/>
      <c r="G3" s="43"/>
      <c r="H3" s="43"/>
      <c r="I3" s="43"/>
      <c r="J3" s="43"/>
      <c r="K3" s="43"/>
      <c r="L3" s="43"/>
      <c r="M3" s="43"/>
      <c r="N3" s="43"/>
      <c r="O3" s="43"/>
      <c r="P3" s="43"/>
      <c r="Q3" s="43"/>
      <c r="R3" s="43"/>
      <c r="S3" s="43"/>
    </row>
    <row r="4" spans="1:19" s="25" customFormat="1">
      <c r="B4" s="24"/>
      <c r="C4" s="85" t="s">
        <v>18</v>
      </c>
      <c r="D4" s="9"/>
      <c r="E4" s="9"/>
      <c r="F4" s="85" t="s">
        <v>7</v>
      </c>
      <c r="G4" s="85"/>
      <c r="H4" s="85" t="s">
        <v>46</v>
      </c>
      <c r="I4" s="85"/>
      <c r="J4" s="85"/>
      <c r="K4" s="85"/>
      <c r="L4" s="85"/>
      <c r="M4" s="85"/>
      <c r="N4" s="85"/>
      <c r="O4" s="85"/>
      <c r="P4" s="85" t="s">
        <v>43</v>
      </c>
    </row>
    <row r="5" spans="1:19" ht="18" customHeight="1">
      <c r="B5" s="44"/>
      <c r="C5" s="48"/>
      <c r="D5" s="48"/>
      <c r="E5" s="48"/>
      <c r="F5" s="45"/>
      <c r="G5" s="45"/>
      <c r="H5" s="46"/>
      <c r="I5" s="46"/>
      <c r="J5" s="46"/>
      <c r="K5" s="46"/>
      <c r="L5" s="46"/>
      <c r="M5" s="46"/>
      <c r="N5" s="46"/>
      <c r="O5" s="46"/>
      <c r="P5" s="51"/>
    </row>
    <row r="6" spans="1:19" ht="18" customHeight="1" thickBot="1">
      <c r="B6" s="44"/>
      <c r="C6" s="12" t="s">
        <v>42</v>
      </c>
      <c r="D6" s="32"/>
      <c r="E6" s="12"/>
      <c r="F6" s="32"/>
      <c r="G6" s="33"/>
      <c r="H6" s="10"/>
      <c r="I6" s="10"/>
      <c r="J6" s="10"/>
      <c r="K6" s="10"/>
      <c r="L6" s="10"/>
      <c r="M6" s="49"/>
    </row>
    <row r="7" spans="1:19" ht="17" thickBot="1">
      <c r="B7" s="44"/>
      <c r="C7" s="140" t="s">
        <v>71</v>
      </c>
      <c r="D7" s="141" t="s">
        <v>79</v>
      </c>
      <c r="E7" s="149"/>
      <c r="F7" s="141" t="s">
        <v>79</v>
      </c>
      <c r="G7" s="86"/>
      <c r="H7" s="130">
        <f>J7</f>
        <v>30.429625199362039</v>
      </c>
      <c r="I7" s="46"/>
      <c r="J7" s="162">
        <f>Notes!D42</f>
        <v>30.429625199362039</v>
      </c>
      <c r="K7" s="46"/>
      <c r="L7" s="46"/>
      <c r="M7" s="92"/>
    </row>
    <row r="8" spans="1:19" s="34" customFormat="1" ht="17" thickBot="1">
      <c r="A8" s="25"/>
      <c r="B8" s="24"/>
      <c r="C8" s="93" t="s">
        <v>75</v>
      </c>
      <c r="D8" s="20" t="s">
        <v>2</v>
      </c>
      <c r="E8" s="40"/>
      <c r="F8" s="20" t="s">
        <v>2</v>
      </c>
      <c r="G8" s="93"/>
      <c r="H8" s="164">
        <f>J8</f>
        <v>0.61088888543012332</v>
      </c>
      <c r="J8" s="163">
        <f>Notes!E24</f>
        <v>0.61088888543012332</v>
      </c>
      <c r="K8" s="25"/>
    </row>
    <row r="9" spans="1:19" s="34" customFormat="1" ht="17" thickBot="1">
      <c r="A9" s="95"/>
      <c r="B9" s="96"/>
      <c r="C9" s="129" t="s">
        <v>76</v>
      </c>
      <c r="D9" s="22" t="s">
        <v>2</v>
      </c>
      <c r="E9" s="40"/>
      <c r="F9" s="22" t="s">
        <v>2</v>
      </c>
      <c r="G9" s="129"/>
      <c r="H9" s="164">
        <f t="shared" ref="H9:H12" si="0">J9</f>
        <v>0.38911111456987657</v>
      </c>
      <c r="J9" s="163">
        <f>Notes!E25</f>
        <v>0.38911111456987657</v>
      </c>
      <c r="K9" s="35"/>
    </row>
    <row r="10" spans="1:19" s="34" customFormat="1" ht="17" thickBot="1">
      <c r="A10" s="95"/>
      <c r="B10" s="96"/>
      <c r="C10" s="116" t="s">
        <v>77</v>
      </c>
      <c r="D10" s="22" t="s">
        <v>2</v>
      </c>
      <c r="E10" s="40"/>
      <c r="F10" s="22" t="s">
        <v>2</v>
      </c>
      <c r="G10" s="93"/>
      <c r="H10" s="164">
        <f t="shared" si="0"/>
        <v>0.81603669588173489</v>
      </c>
      <c r="J10" s="163">
        <f>Notes!E26</f>
        <v>0.81603669588173489</v>
      </c>
      <c r="K10" s="35"/>
    </row>
    <row r="11" spans="1:19" s="34" customFormat="1" ht="17" thickBot="1">
      <c r="B11" s="96"/>
      <c r="C11" s="93" t="s">
        <v>78</v>
      </c>
      <c r="D11" s="22" t="s">
        <v>2</v>
      </c>
      <c r="E11" s="40"/>
      <c r="F11" s="22" t="s">
        <v>2</v>
      </c>
      <c r="G11" s="93"/>
      <c r="H11" s="164">
        <f t="shared" si="0"/>
        <v>0.18396330411826511</v>
      </c>
      <c r="J11" s="163">
        <f>Notes!E27</f>
        <v>0.18396330411826511</v>
      </c>
    </row>
    <row r="12" spans="1:19" ht="17" thickBot="1">
      <c r="A12" s="95"/>
      <c r="B12" s="96"/>
      <c r="C12" s="140" t="s">
        <v>62</v>
      </c>
      <c r="D12" s="141" t="s">
        <v>2</v>
      </c>
      <c r="E12" s="142"/>
      <c r="F12" s="141" t="s">
        <v>63</v>
      </c>
      <c r="H12" s="164">
        <f t="shared" si="0"/>
        <v>8000</v>
      </c>
      <c r="I12" s="93"/>
      <c r="J12" s="161">
        <f>Notes!E16</f>
        <v>8000</v>
      </c>
      <c r="K12" s="95"/>
      <c r="L12" s="95"/>
      <c r="M12" s="117"/>
      <c r="N12" s="95"/>
    </row>
    <row r="13" spans="1:19">
      <c r="B13" s="44"/>
      <c r="C13" s="35"/>
      <c r="D13" s="35"/>
      <c r="E13" s="35"/>
      <c r="F13" s="35"/>
      <c r="H13" s="47"/>
      <c r="I13" s="93"/>
      <c r="J13" s="132"/>
      <c r="K13" s="95"/>
      <c r="L13" s="50"/>
      <c r="M13" s="50"/>
      <c r="N13" s="50"/>
      <c r="O13" s="46"/>
      <c r="P13" s="117"/>
    </row>
    <row r="14" spans="1:19" ht="17" thickBot="1">
      <c r="A14" s="95"/>
      <c r="B14" s="96"/>
      <c r="C14" s="12" t="s">
        <v>41</v>
      </c>
      <c r="D14" s="35"/>
      <c r="E14" s="35"/>
      <c r="F14" s="35"/>
      <c r="H14" s="11"/>
      <c r="I14" s="106"/>
      <c r="J14" s="105"/>
      <c r="K14" s="106"/>
      <c r="L14" s="106"/>
      <c r="M14" s="106"/>
      <c r="N14" s="106"/>
      <c r="O14" s="105"/>
      <c r="P14" s="51"/>
    </row>
    <row r="15" spans="1:19" ht="17" thickBot="1">
      <c r="A15" s="95"/>
      <c r="B15" s="96"/>
      <c r="C15" s="38" t="s">
        <v>21</v>
      </c>
      <c r="D15" s="22" t="s">
        <v>19</v>
      </c>
      <c r="E15" s="146"/>
      <c r="F15" s="22" t="s">
        <v>19</v>
      </c>
      <c r="H15" s="160">
        <f>J15</f>
        <v>103874760.92654248</v>
      </c>
      <c r="I15" s="11"/>
      <c r="J15" s="130">
        <f>Notes!D79</f>
        <v>103874760.92654248</v>
      </c>
      <c r="K15" s="11"/>
      <c r="L15" s="11"/>
      <c r="M15" s="11"/>
      <c r="N15" s="11"/>
      <c r="O15" s="105"/>
      <c r="P15" s="92"/>
    </row>
    <row r="16" spans="1:19" ht="17" thickBot="1">
      <c r="A16" s="95"/>
      <c r="B16" s="96"/>
      <c r="C16" s="38" t="s">
        <v>22</v>
      </c>
      <c r="D16" s="22" t="s">
        <v>47</v>
      </c>
      <c r="E16" s="40">
        <v>0</v>
      </c>
      <c r="F16" s="22" t="s">
        <v>47</v>
      </c>
      <c r="H16" s="107">
        <f>J16</f>
        <v>2644084.8235847186</v>
      </c>
      <c r="I16" s="105"/>
      <c r="J16" s="130">
        <f>Notes!D85</f>
        <v>2644084.8235847186</v>
      </c>
      <c r="K16" s="105"/>
      <c r="P16" s="92"/>
    </row>
    <row r="17" spans="1:16" ht="17" thickBot="1">
      <c r="A17" s="95"/>
      <c r="B17" s="96"/>
      <c r="C17" s="118" t="s">
        <v>65</v>
      </c>
      <c r="D17" s="113" t="s">
        <v>60</v>
      </c>
      <c r="E17" s="40">
        <f>'Research data'!H15</f>
        <v>103874760.92654248</v>
      </c>
      <c r="F17" s="113" t="s">
        <v>60</v>
      </c>
      <c r="H17" s="107">
        <f>J17</f>
        <v>0</v>
      </c>
      <c r="J17" s="130"/>
      <c r="L17" s="105"/>
      <c r="M17" s="105"/>
      <c r="N17" s="105"/>
      <c r="O17" s="105"/>
      <c r="P17" s="108"/>
    </row>
    <row r="18" spans="1:16" ht="17" thickBot="1">
      <c r="A18" s="95"/>
      <c r="B18" s="96"/>
      <c r="C18" s="118" t="s">
        <v>64</v>
      </c>
      <c r="D18" s="113"/>
      <c r="E18" s="40">
        <f>'Research data'!H17</f>
        <v>0</v>
      </c>
      <c r="F18" s="113"/>
      <c r="H18" s="131">
        <f>J18</f>
        <v>0</v>
      </c>
      <c r="J18" s="131"/>
      <c r="L18" s="105"/>
      <c r="M18" s="105"/>
      <c r="N18" s="105"/>
      <c r="O18" s="100"/>
      <c r="P18" s="108"/>
    </row>
    <row r="19" spans="1:16" ht="17" thickBot="1">
      <c r="A19" s="95"/>
      <c r="B19" s="96"/>
      <c r="C19" s="125" t="s">
        <v>70</v>
      </c>
      <c r="D19" s="113"/>
      <c r="E19" s="40" t="e">
        <f>'Research data'!#REF!</f>
        <v>#REF!</v>
      </c>
      <c r="F19" s="113"/>
      <c r="H19" s="131">
        <f>Notes!E205</f>
        <v>0</v>
      </c>
      <c r="J19" s="131"/>
      <c r="L19" s="106"/>
      <c r="M19" s="106"/>
      <c r="N19" s="106"/>
      <c r="O19" s="100"/>
      <c r="P19" s="108"/>
    </row>
    <row r="20" spans="1:16" ht="17" thickBot="1">
      <c r="A20" s="95"/>
      <c r="B20" s="96"/>
      <c r="C20" s="93" t="s">
        <v>52</v>
      </c>
      <c r="D20" s="22" t="s">
        <v>53</v>
      </c>
      <c r="E20" s="98">
        <v>0</v>
      </c>
      <c r="F20" s="22" t="s">
        <v>53</v>
      </c>
      <c r="H20" s="107">
        <f>J20</f>
        <v>0</v>
      </c>
      <c r="I20" s="100"/>
      <c r="J20" s="107"/>
      <c r="K20" s="100"/>
      <c r="L20" s="100"/>
      <c r="M20" s="100"/>
      <c r="N20" s="100"/>
      <c r="O20" s="100"/>
      <c r="P20" s="108"/>
    </row>
    <row r="21" spans="1:16" ht="17" thickBot="1">
      <c r="A21" s="120"/>
      <c r="B21" s="121"/>
      <c r="C21" s="93"/>
      <c r="D21" s="22"/>
      <c r="E21" s="101"/>
      <c r="F21" s="22"/>
      <c r="G21" s="120"/>
      <c r="H21" s="122">
        <f>J21</f>
        <v>0</v>
      </c>
      <c r="I21" s="123"/>
      <c r="J21" s="122"/>
      <c r="K21" s="123"/>
      <c r="O21" s="120"/>
      <c r="P21" s="117" t="s">
        <v>69</v>
      </c>
    </row>
    <row r="22" spans="1:16" ht="17" thickBot="1">
      <c r="C22" s="12" t="s">
        <v>4</v>
      </c>
      <c r="D22" s="89"/>
      <c r="E22" s="101"/>
      <c r="F22" s="89"/>
      <c r="H22" s="47"/>
      <c r="J22" s="47"/>
      <c r="P22" s="49"/>
    </row>
    <row r="23" spans="1:16" ht="17" thickBot="1">
      <c r="B23" s="44"/>
      <c r="C23" s="93" t="s">
        <v>23</v>
      </c>
      <c r="D23" s="22" t="s">
        <v>1</v>
      </c>
      <c r="E23" s="98"/>
      <c r="F23" s="22" t="s">
        <v>1</v>
      </c>
      <c r="H23" s="107">
        <f>J23</f>
        <v>25</v>
      </c>
      <c r="J23" s="163">
        <f>Notes!E15</f>
        <v>25</v>
      </c>
      <c r="P23" s="92"/>
    </row>
    <row r="24" spans="1:16" ht="17" thickBot="1">
      <c r="A24" s="95"/>
      <c r="B24" s="96"/>
      <c r="C24" s="93" t="s">
        <v>56</v>
      </c>
      <c r="D24" s="22" t="s">
        <v>1</v>
      </c>
      <c r="E24" s="98"/>
      <c r="F24" s="22" t="s">
        <v>1</v>
      </c>
      <c r="H24" s="107">
        <v>0</v>
      </c>
      <c r="I24" s="11"/>
      <c r="J24" s="165"/>
      <c r="K24" s="11"/>
      <c r="L24" s="11"/>
      <c r="M24" s="11"/>
      <c r="N24" s="11"/>
      <c r="O24" s="11"/>
      <c r="P24" s="117"/>
    </row>
    <row r="25" spans="1:16" ht="17" thickBot="1">
      <c r="A25" s="95"/>
      <c r="B25" s="96"/>
      <c r="C25" s="93" t="s">
        <v>54</v>
      </c>
      <c r="D25" s="22" t="s">
        <v>55</v>
      </c>
      <c r="E25" s="109"/>
      <c r="F25" s="22" t="s">
        <v>55</v>
      </c>
      <c r="H25" s="107">
        <v>0</v>
      </c>
      <c r="I25" s="105"/>
      <c r="J25" s="130"/>
      <c r="K25" s="105"/>
      <c r="L25" s="105"/>
      <c r="M25" s="105"/>
      <c r="N25" s="105"/>
      <c r="O25" s="106"/>
      <c r="P25" s="117"/>
    </row>
    <row r="26" spans="1:16" ht="17" thickBot="1">
      <c r="A26" s="95"/>
      <c r="B26" s="96"/>
      <c r="C26" s="93" t="s">
        <v>20</v>
      </c>
      <c r="D26" s="22" t="s">
        <v>2</v>
      </c>
      <c r="E26" s="98">
        <v>0</v>
      </c>
      <c r="F26" s="22" t="s">
        <v>2</v>
      </c>
      <c r="H26" s="107">
        <v>0</v>
      </c>
      <c r="I26" s="106"/>
      <c r="J26" s="162"/>
      <c r="K26" s="106"/>
      <c r="L26" s="105"/>
      <c r="M26" s="105"/>
      <c r="N26" s="105"/>
      <c r="O26" s="106"/>
      <c r="P26"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7"/>
  <sheetViews>
    <sheetView workbookViewId="0">
      <selection activeCell="G7" sqref="G7"/>
    </sheetView>
  </sheetViews>
  <sheetFormatPr baseColWidth="10" defaultColWidth="33.140625" defaultRowHeight="16"/>
  <cols>
    <col min="1" max="1" width="3.42578125" style="53" customWidth="1"/>
    <col min="2" max="2" width="6.42578125" style="53" customWidth="1"/>
    <col min="3" max="3" width="27.85546875" style="53" customWidth="1"/>
    <col min="4" max="4" width="11" style="53" customWidth="1"/>
    <col min="5" max="5" width="10.140625" style="53" customWidth="1"/>
    <col min="6" max="6" width="16.28515625" style="53" customWidth="1"/>
    <col min="7" max="7" width="71" style="53" customWidth="1"/>
    <col min="8" max="8" width="12.42578125" style="57" customWidth="1"/>
    <col min="9" max="9" width="31.42578125" style="57" customWidth="1"/>
    <col min="10" max="10" width="98.42578125" style="53" customWidth="1"/>
    <col min="11" max="16384" width="33.140625" style="53"/>
  </cols>
  <sheetData>
    <row r="1" spans="2:10" ht="17" thickBot="1"/>
    <row r="2" spans="2:10">
      <c r="B2" s="54"/>
      <c r="C2" s="55"/>
      <c r="D2" s="55"/>
      <c r="E2" s="55"/>
      <c r="F2" s="55"/>
      <c r="G2" s="55"/>
      <c r="H2" s="58"/>
      <c r="I2" s="58"/>
      <c r="J2" s="55"/>
    </row>
    <row r="3" spans="2:10">
      <c r="B3" s="56"/>
      <c r="C3" s="12" t="s">
        <v>14</v>
      </c>
      <c r="D3" s="12"/>
      <c r="E3" s="12"/>
      <c r="F3" s="12"/>
      <c r="G3" s="12"/>
      <c r="H3" s="17"/>
      <c r="I3" s="17"/>
      <c r="J3" s="52"/>
    </row>
    <row r="4" spans="2:10">
      <c r="B4" s="56"/>
      <c r="C4" s="52"/>
      <c r="D4" s="52"/>
      <c r="E4" s="52"/>
      <c r="F4" s="52"/>
      <c r="G4" s="52"/>
      <c r="H4" s="59"/>
      <c r="I4" s="59"/>
      <c r="J4" s="52"/>
    </row>
    <row r="5" spans="2:10">
      <c r="B5" s="60"/>
      <c r="C5" s="14" t="s">
        <v>15</v>
      </c>
      <c r="D5" s="14" t="s">
        <v>0</v>
      </c>
      <c r="E5" s="14" t="s">
        <v>11</v>
      </c>
      <c r="F5" s="14" t="s">
        <v>16</v>
      </c>
      <c r="G5" s="14" t="s">
        <v>44</v>
      </c>
      <c r="H5" s="18" t="s">
        <v>17</v>
      </c>
      <c r="I5" s="18" t="s">
        <v>45</v>
      </c>
      <c r="J5" s="14" t="s">
        <v>8</v>
      </c>
    </row>
    <row r="6" spans="2:10">
      <c r="C6" s="53" t="s">
        <v>80</v>
      </c>
      <c r="D6" s="152" t="s">
        <v>84</v>
      </c>
      <c r="F6" s="53">
        <v>2012</v>
      </c>
      <c r="G6" s="152" t="s">
        <v>83</v>
      </c>
    </row>
    <row r="7" spans="2:10">
      <c r="C7" s="53" t="s">
        <v>81</v>
      </c>
      <c r="D7" s="152" t="s">
        <v>85</v>
      </c>
      <c r="F7" s="53">
        <v>2015</v>
      </c>
      <c r="G7" s="53" t="s">
        <v>82</v>
      </c>
    </row>
  </sheetData>
  <phoneticPr fontId="30"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89"/>
  <sheetViews>
    <sheetView topLeftCell="A66" workbookViewId="0">
      <selection activeCell="D79" sqref="D79"/>
    </sheetView>
  </sheetViews>
  <sheetFormatPr baseColWidth="10" defaultColWidth="10.85546875" defaultRowHeight="16"/>
  <cols>
    <col min="1" max="2" width="3.42578125" style="61" customWidth="1"/>
    <col min="3" max="3" width="32.140625" style="61" customWidth="1"/>
    <col min="4" max="4" width="13" style="61" customWidth="1"/>
    <col min="5" max="5" width="17" style="61" customWidth="1"/>
    <col min="6" max="6" width="6.140625" style="61" customWidth="1"/>
    <col min="7" max="13" width="10.85546875" style="61"/>
    <col min="14" max="14" width="15.7109375" style="61" customWidth="1"/>
    <col min="15" max="15" width="10.85546875" style="61"/>
    <col min="16" max="16" width="54.7109375" style="61" customWidth="1"/>
    <col min="17" max="16384" width="10.85546875" style="61"/>
  </cols>
  <sheetData>
    <row r="1" spans="1:14" ht="17" thickBot="1"/>
    <row r="2" spans="1:14">
      <c r="B2" s="62"/>
      <c r="C2" s="63"/>
      <c r="D2" s="63"/>
      <c r="E2" s="63"/>
      <c r="F2" s="63"/>
      <c r="G2" s="63"/>
      <c r="H2" s="63"/>
      <c r="I2" s="63"/>
      <c r="J2" s="63"/>
      <c r="K2" s="63"/>
      <c r="L2" s="63"/>
      <c r="M2" s="63"/>
      <c r="N2" s="64"/>
    </row>
    <row r="3" spans="1:14" ht="17" customHeight="1">
      <c r="A3" s="65"/>
      <c r="B3" s="90"/>
      <c r="C3" s="69" t="s">
        <v>0</v>
      </c>
      <c r="D3" s="69" t="s">
        <v>48</v>
      </c>
      <c r="E3" s="69" t="s">
        <v>24</v>
      </c>
      <c r="F3" s="69"/>
      <c r="G3" s="69"/>
      <c r="H3" s="66"/>
      <c r="I3" s="66"/>
      <c r="J3" s="66"/>
      <c r="K3" s="66"/>
      <c r="L3" s="66"/>
      <c r="M3" s="66"/>
      <c r="N3" s="91"/>
    </row>
    <row r="4" spans="1:14" ht="17" customHeight="1">
      <c r="A4" s="65"/>
      <c r="B4" s="153"/>
      <c r="C4" s="154"/>
      <c r="D4" s="154"/>
      <c r="E4" s="154"/>
      <c r="F4" s="154"/>
      <c r="G4" s="154"/>
      <c r="H4" s="68"/>
      <c r="I4" s="68"/>
      <c r="J4" s="68"/>
      <c r="K4" s="68"/>
      <c r="L4" s="68"/>
      <c r="M4" s="68"/>
      <c r="N4" s="68"/>
    </row>
    <row r="5" spans="1:14" ht="17" customHeight="1">
      <c r="A5" s="65"/>
      <c r="B5" s="153"/>
      <c r="C5" s="154" t="s">
        <v>117</v>
      </c>
      <c r="D5" s="154"/>
      <c r="E5" s="154"/>
      <c r="F5" s="154"/>
      <c r="G5" s="154"/>
      <c r="H5" s="68"/>
      <c r="I5" s="68"/>
      <c r="J5" s="68"/>
      <c r="K5" s="68"/>
      <c r="L5" s="68"/>
      <c r="M5" s="68"/>
      <c r="N5" s="68"/>
    </row>
    <row r="6" spans="1:14" ht="17" customHeight="1">
      <c r="A6" s="65"/>
      <c r="B6" s="153"/>
      <c r="C6" s="68" t="s">
        <v>118</v>
      </c>
      <c r="D6" s="68"/>
      <c r="E6" s="68"/>
      <c r="F6" s="154"/>
      <c r="G6" s="154"/>
      <c r="H6" s="68"/>
      <c r="I6" s="68"/>
      <c r="J6" s="68"/>
      <c r="K6" s="68"/>
      <c r="L6" s="68"/>
      <c r="M6" s="68"/>
      <c r="N6" s="68"/>
    </row>
    <row r="7" spans="1:14" ht="17" customHeight="1">
      <c r="A7" s="65"/>
      <c r="B7" s="153"/>
      <c r="C7" s="68" t="s">
        <v>119</v>
      </c>
      <c r="E7" s="68">
        <v>2.016</v>
      </c>
      <c r="F7" s="68" t="s">
        <v>120</v>
      </c>
      <c r="G7" s="154"/>
      <c r="H7" s="154"/>
      <c r="I7" s="68"/>
      <c r="J7" s="68"/>
      <c r="K7" s="68"/>
      <c r="L7" s="68"/>
      <c r="M7" s="68"/>
      <c r="N7" s="68"/>
    </row>
    <row r="8" spans="1:14" ht="17" customHeight="1">
      <c r="A8" s="65"/>
      <c r="B8" s="153"/>
      <c r="C8" s="68" t="s">
        <v>121</v>
      </c>
      <c r="E8" s="68">
        <v>28</v>
      </c>
      <c r="F8" s="68" t="s">
        <v>120</v>
      </c>
      <c r="G8" s="154"/>
      <c r="H8" s="154"/>
      <c r="I8" s="68"/>
      <c r="J8" s="68"/>
      <c r="K8" s="68"/>
      <c r="L8" s="68"/>
      <c r="M8" s="68"/>
      <c r="N8" s="68"/>
    </row>
    <row r="9" spans="1:14" ht="17" customHeight="1">
      <c r="A9" s="65"/>
      <c r="B9" s="153"/>
      <c r="C9" s="68" t="s">
        <v>122</v>
      </c>
      <c r="E9" s="68">
        <v>44</v>
      </c>
      <c r="F9" s="68" t="s">
        <v>120</v>
      </c>
      <c r="G9" s="154"/>
      <c r="H9" s="154"/>
      <c r="I9" s="68"/>
      <c r="J9" s="68"/>
      <c r="K9" s="68"/>
      <c r="L9" s="68"/>
      <c r="M9" s="68"/>
      <c r="N9" s="68"/>
    </row>
    <row r="10" spans="1:14" ht="17" customHeight="1">
      <c r="A10" s="65"/>
      <c r="B10" s="153"/>
      <c r="C10" s="68" t="s">
        <v>123</v>
      </c>
      <c r="E10" s="68">
        <f>12*11+1.008*24</f>
        <v>156.19200000000001</v>
      </c>
      <c r="F10" s="68" t="s">
        <v>120</v>
      </c>
      <c r="G10" s="154"/>
      <c r="H10" s="154"/>
      <c r="I10" s="68"/>
      <c r="J10" s="68"/>
      <c r="K10" s="68"/>
      <c r="L10" s="68"/>
      <c r="M10" s="68"/>
      <c r="N10" s="68"/>
    </row>
    <row r="11" spans="1:14" ht="17" customHeight="1">
      <c r="A11" s="65"/>
      <c r="B11" s="153"/>
      <c r="C11" s="68" t="s">
        <v>124</v>
      </c>
      <c r="E11" s="68">
        <v>32</v>
      </c>
      <c r="F11" s="68" t="s">
        <v>120</v>
      </c>
      <c r="G11" s="154"/>
      <c r="H11" s="154"/>
      <c r="I11" s="68"/>
      <c r="J11" s="68"/>
      <c r="K11" s="68"/>
      <c r="L11" s="68"/>
      <c r="M11" s="68"/>
      <c r="N11" s="68"/>
    </row>
    <row r="12" spans="1:14" ht="17" customHeight="1">
      <c r="A12" s="65"/>
      <c r="B12" s="153"/>
      <c r="C12" s="68" t="s">
        <v>125</v>
      </c>
      <c r="E12" s="68">
        <v>32.031999999999996</v>
      </c>
      <c r="F12" s="68" t="s">
        <v>120</v>
      </c>
      <c r="G12" s="154"/>
      <c r="H12" s="154"/>
      <c r="I12" s="68"/>
      <c r="J12" s="68"/>
      <c r="K12" s="68"/>
      <c r="L12" s="68"/>
      <c r="M12" s="68"/>
      <c r="N12" s="68"/>
    </row>
    <row r="13" spans="1:14" ht="17" customHeight="1">
      <c r="A13" s="65"/>
      <c r="B13" s="153"/>
      <c r="C13" s="68" t="s">
        <v>126</v>
      </c>
      <c r="E13" s="68">
        <f>2*12+6*1.008+16</f>
        <v>46.048000000000002</v>
      </c>
      <c r="F13" s="68" t="s">
        <v>120</v>
      </c>
      <c r="G13" s="68">
        <v>0.78900000000000003</v>
      </c>
      <c r="H13" s="68" t="s">
        <v>127</v>
      </c>
      <c r="I13" s="68"/>
      <c r="J13" s="68"/>
      <c r="K13" s="68"/>
      <c r="L13" s="68"/>
      <c r="M13" s="68"/>
      <c r="N13" s="68"/>
    </row>
    <row r="14" spans="1:14" ht="17" customHeight="1">
      <c r="A14" s="65"/>
      <c r="B14" s="153"/>
      <c r="C14" s="68"/>
      <c r="D14" s="68"/>
      <c r="E14" s="68"/>
      <c r="F14" s="154"/>
      <c r="G14" s="154"/>
      <c r="H14" s="68"/>
      <c r="I14" s="68"/>
      <c r="J14" s="68"/>
      <c r="K14" s="68"/>
      <c r="L14" s="68"/>
      <c r="M14" s="68"/>
      <c r="N14" s="68"/>
    </row>
    <row r="15" spans="1:14" ht="17" customHeight="1">
      <c r="A15" s="65"/>
      <c r="B15" s="153"/>
      <c r="C15" s="93" t="s">
        <v>23</v>
      </c>
      <c r="D15" s="154"/>
      <c r="E15" s="68">
        <v>25</v>
      </c>
      <c r="F15" s="154"/>
      <c r="G15" s="68" t="s">
        <v>115</v>
      </c>
      <c r="H15" s="68"/>
      <c r="I15" s="68"/>
      <c r="J15" s="68"/>
      <c r="K15" s="68"/>
      <c r="L15" s="68"/>
      <c r="M15" s="68"/>
      <c r="N15" s="68"/>
    </row>
    <row r="16" spans="1:14" ht="17" customHeight="1">
      <c r="A16" s="65"/>
      <c r="B16" s="153"/>
      <c r="C16" s="68" t="s">
        <v>62</v>
      </c>
      <c r="D16" s="154"/>
      <c r="E16" s="68">
        <v>8000</v>
      </c>
      <c r="F16" s="154"/>
      <c r="G16" s="68" t="s">
        <v>114</v>
      </c>
      <c r="H16" s="68"/>
      <c r="I16" s="68"/>
      <c r="J16" s="68"/>
      <c r="K16" s="68"/>
      <c r="L16" s="68"/>
      <c r="M16" s="68"/>
      <c r="N16" s="68"/>
    </row>
    <row r="17" spans="1:15" ht="17" customHeight="1">
      <c r="A17" s="65"/>
      <c r="B17" s="153"/>
      <c r="C17" s="68" t="s">
        <v>110</v>
      </c>
      <c r="D17" s="154"/>
      <c r="E17" s="68">
        <v>10</v>
      </c>
      <c r="F17" s="154"/>
      <c r="G17" s="68" t="s">
        <v>111</v>
      </c>
      <c r="H17" s="68"/>
      <c r="I17" s="68"/>
      <c r="J17" s="68"/>
      <c r="K17" s="68"/>
      <c r="L17" s="68"/>
      <c r="M17" s="68"/>
      <c r="N17" s="68"/>
    </row>
    <row r="18" spans="1:15" ht="17" customHeight="1">
      <c r="A18" s="65"/>
      <c r="B18" s="153"/>
      <c r="C18" s="68"/>
      <c r="D18" s="154"/>
      <c r="E18" s="68"/>
      <c r="F18" s="154"/>
      <c r="G18" s="68"/>
      <c r="H18" s="68"/>
      <c r="I18" s="68"/>
      <c r="J18" s="68"/>
      <c r="K18" s="68"/>
      <c r="L18" s="68"/>
      <c r="M18" s="68"/>
      <c r="N18" s="68"/>
    </row>
    <row r="19" spans="1:15" ht="17" thickBot="1"/>
    <row r="20" spans="1:15">
      <c r="B20" s="62"/>
      <c r="C20" s="63"/>
      <c r="D20" s="63"/>
      <c r="E20" s="63"/>
      <c r="F20" s="63"/>
      <c r="G20" s="63"/>
      <c r="H20" s="63"/>
      <c r="I20" s="63"/>
      <c r="J20" s="63"/>
      <c r="K20" s="63"/>
      <c r="L20" s="63"/>
      <c r="M20" s="63"/>
      <c r="N20" s="64"/>
    </row>
    <row r="21" spans="1:15" ht="17" customHeight="1">
      <c r="A21" s="65"/>
      <c r="B21" s="90"/>
      <c r="C21" s="69" t="s">
        <v>0</v>
      </c>
      <c r="D21" s="69" t="s">
        <v>48</v>
      </c>
      <c r="E21" s="69" t="s">
        <v>24</v>
      </c>
      <c r="F21" s="69"/>
      <c r="G21" s="69"/>
      <c r="H21" s="66"/>
      <c r="I21" s="66"/>
      <c r="J21" s="66"/>
      <c r="K21" s="66"/>
      <c r="L21" s="66"/>
      <c r="M21" s="66"/>
      <c r="N21" s="91"/>
    </row>
    <row r="22" spans="1:15" ht="17" customHeight="1">
      <c r="A22" s="65"/>
      <c r="B22" s="153"/>
      <c r="C22" s="154"/>
      <c r="D22" s="154"/>
      <c r="E22" s="154"/>
      <c r="F22" s="154"/>
      <c r="G22" s="154"/>
      <c r="H22" s="68"/>
      <c r="I22" s="68"/>
      <c r="J22" s="68"/>
      <c r="K22" s="68"/>
      <c r="L22" s="68"/>
      <c r="M22" s="68"/>
      <c r="N22" s="68"/>
    </row>
    <row r="23" spans="1:15">
      <c r="A23" s="65"/>
      <c r="B23" s="153"/>
      <c r="C23" s="154"/>
      <c r="D23" s="154"/>
      <c r="E23" s="68"/>
      <c r="F23" s="154"/>
      <c r="G23" s="154"/>
      <c r="H23" s="68"/>
      <c r="I23" s="68"/>
      <c r="J23" s="68"/>
      <c r="K23" s="68"/>
      <c r="L23" s="68"/>
      <c r="M23" s="68"/>
      <c r="N23" s="68"/>
    </row>
    <row r="24" spans="1:15">
      <c r="B24" s="67"/>
      <c r="C24" s="157" t="s">
        <v>75</v>
      </c>
      <c r="D24" s="137"/>
      <c r="E24" s="155">
        <f>D40/(D40+D45/3.6*1000)</f>
        <v>0.61088888543012332</v>
      </c>
      <c r="F24" s="68"/>
      <c r="G24" s="68"/>
      <c r="H24" s="68"/>
      <c r="I24" s="68"/>
      <c r="J24" s="68"/>
      <c r="K24" s="68"/>
      <c r="L24" s="68"/>
      <c r="M24" s="68"/>
      <c r="N24" s="68"/>
      <c r="O24" s="68"/>
    </row>
    <row r="25" spans="1:15">
      <c r="B25" s="67"/>
      <c r="C25" s="157" t="s">
        <v>76</v>
      </c>
      <c r="D25" s="137"/>
      <c r="E25" s="155">
        <f>D45/3.6*1000/(D40+D45/3.6*1000)</f>
        <v>0.38911111456987657</v>
      </c>
      <c r="N25" s="68"/>
      <c r="O25" s="68"/>
    </row>
    <row r="26" spans="1:15">
      <c r="B26" s="67"/>
      <c r="C26" s="157" t="s">
        <v>77</v>
      </c>
      <c r="D26" s="137"/>
      <c r="E26" s="155">
        <f>E17*1000/3.6/(E17*1000/3.6+D40+D45/3.6*1000)</f>
        <v>0.81603669588173489</v>
      </c>
      <c r="G26" s="61" t="s">
        <v>112</v>
      </c>
      <c r="N26" s="68"/>
      <c r="O26" s="68"/>
    </row>
    <row r="27" spans="1:15">
      <c r="B27" s="67"/>
      <c r="C27" s="157" t="s">
        <v>78</v>
      </c>
      <c r="D27" s="156"/>
      <c r="E27" s="155">
        <f>1-E26</f>
        <v>0.18396330411826511</v>
      </c>
      <c r="N27" s="68"/>
      <c r="O27" s="68"/>
    </row>
    <row r="28" spans="1:15" ht="17" thickBot="1">
      <c r="B28" s="67"/>
      <c r="C28" s="68"/>
      <c r="D28" s="68"/>
      <c r="E28" s="68"/>
      <c r="N28" s="68"/>
      <c r="O28" s="68"/>
    </row>
    <row r="29" spans="1:15">
      <c r="B29" s="62"/>
      <c r="C29" s="63"/>
      <c r="D29" s="63"/>
      <c r="E29" s="63"/>
      <c r="F29" s="63"/>
      <c r="G29" s="63"/>
      <c r="H29" s="63"/>
      <c r="I29" s="63"/>
      <c r="J29" s="63"/>
      <c r="K29" s="63"/>
      <c r="L29" s="63"/>
      <c r="M29" s="63"/>
      <c r="N29" s="64"/>
    </row>
    <row r="30" spans="1:15">
      <c r="A30" s="65"/>
      <c r="B30" s="90"/>
      <c r="C30" s="69" t="s">
        <v>0</v>
      </c>
      <c r="D30" s="69" t="s">
        <v>48</v>
      </c>
      <c r="E30" s="69" t="s">
        <v>24</v>
      </c>
      <c r="F30" s="69"/>
      <c r="G30" s="69"/>
      <c r="H30" s="66"/>
      <c r="I30" s="66"/>
      <c r="J30" s="66"/>
      <c r="K30" s="66"/>
      <c r="L30" s="66"/>
      <c r="M30" s="66"/>
      <c r="N30" s="91"/>
    </row>
    <row r="31" spans="1:15">
      <c r="A31" s="65"/>
      <c r="B31" s="153"/>
      <c r="C31" s="154"/>
      <c r="D31" s="154"/>
      <c r="E31" s="154"/>
      <c r="F31" s="154"/>
      <c r="G31" s="154"/>
      <c r="H31" s="68"/>
      <c r="I31" s="68"/>
      <c r="J31" s="68"/>
      <c r="K31" s="68"/>
      <c r="L31" s="68"/>
      <c r="M31" s="68"/>
      <c r="N31" s="68"/>
    </row>
    <row r="32" spans="1:15">
      <c r="B32" s="67"/>
      <c r="C32" s="65"/>
      <c r="N32" s="68"/>
      <c r="O32" s="68"/>
    </row>
    <row r="33" spans="2:15">
      <c r="B33" s="67"/>
      <c r="C33" s="65" t="s">
        <v>109</v>
      </c>
      <c r="N33" s="68"/>
      <c r="O33" s="68"/>
    </row>
    <row r="34" spans="2:15">
      <c r="B34" s="67"/>
      <c r="C34" s="61" t="s">
        <v>86</v>
      </c>
      <c r="D34" s="61">
        <v>1.1399999999999999</v>
      </c>
      <c r="E34" s="61" t="s">
        <v>87</v>
      </c>
      <c r="N34" s="68"/>
      <c r="O34" s="68"/>
    </row>
    <row r="35" spans="2:15">
      <c r="B35" s="67"/>
      <c r="N35" s="68"/>
      <c r="O35" s="68"/>
    </row>
    <row r="36" spans="2:15">
      <c r="B36" s="67"/>
      <c r="C36" s="61" t="s">
        <v>88</v>
      </c>
      <c r="D36" s="61">
        <f>0.3848</f>
        <v>0.38479999999999998</v>
      </c>
      <c r="E36" s="61" t="s">
        <v>89</v>
      </c>
      <c r="G36" s="61" t="s">
        <v>90</v>
      </c>
      <c r="J36" s="61" t="s">
        <v>91</v>
      </c>
      <c r="L36" s="61" t="s">
        <v>92</v>
      </c>
      <c r="N36" s="68"/>
      <c r="O36" s="68"/>
    </row>
    <row r="37" spans="2:15">
      <c r="B37" s="67"/>
      <c r="D37" s="61">
        <f>D36/D34</f>
        <v>0.33754385964912281</v>
      </c>
      <c r="E37" s="61" t="s">
        <v>93</v>
      </c>
      <c r="N37" s="68"/>
      <c r="O37" s="68"/>
    </row>
    <row r="38" spans="2:15">
      <c r="B38" s="67"/>
      <c r="D38" s="61">
        <f>D37*1000</f>
        <v>337.54385964912279</v>
      </c>
      <c r="E38" s="61" t="s">
        <v>94</v>
      </c>
      <c r="N38" s="68"/>
      <c r="O38" s="68"/>
    </row>
    <row r="39" spans="2:15">
      <c r="B39" s="67"/>
      <c r="C39" s="61" t="s">
        <v>95</v>
      </c>
      <c r="D39" s="61">
        <v>45</v>
      </c>
      <c r="E39" s="61" t="s">
        <v>94</v>
      </c>
      <c r="G39" s="61" t="s">
        <v>96</v>
      </c>
      <c r="N39" s="68"/>
      <c r="O39" s="68"/>
    </row>
    <row r="40" spans="2:15">
      <c r="B40" s="67"/>
      <c r="C40" s="61" t="s">
        <v>97</v>
      </c>
      <c r="D40" s="135">
        <f>D38+D39</f>
        <v>382.54385964912279</v>
      </c>
      <c r="E40" s="61" t="s">
        <v>94</v>
      </c>
      <c r="N40" s="68"/>
      <c r="O40" s="68"/>
    </row>
    <row r="41" spans="2:15">
      <c r="B41" s="67"/>
      <c r="D41" s="159"/>
      <c r="E41" s="65"/>
      <c r="N41" s="68"/>
      <c r="O41" s="68"/>
    </row>
    <row r="42" spans="2:15">
      <c r="B42" s="67"/>
      <c r="C42" s="65" t="s">
        <v>116</v>
      </c>
      <c r="D42" s="159">
        <f>D40*(E8/E9)*1000/E16</f>
        <v>30.429625199362039</v>
      </c>
      <c r="E42" s="65" t="s">
        <v>128</v>
      </c>
      <c r="N42" s="68"/>
      <c r="O42" s="68"/>
    </row>
    <row r="43" spans="2:15">
      <c r="B43" s="67"/>
      <c r="N43" s="68"/>
      <c r="O43" s="68"/>
    </row>
    <row r="44" spans="2:15">
      <c r="B44" s="67"/>
      <c r="C44" s="61" t="s">
        <v>98</v>
      </c>
      <c r="D44" s="61">
        <v>1</v>
      </c>
      <c r="E44" s="61" t="s">
        <v>99</v>
      </c>
      <c r="G44" s="61" t="s">
        <v>100</v>
      </c>
      <c r="J44" s="61">
        <v>3.15E-2</v>
      </c>
      <c r="K44" s="61" t="s">
        <v>101</v>
      </c>
      <c r="L44" s="61" t="s">
        <v>85</v>
      </c>
      <c r="N44" s="68"/>
      <c r="O44" s="68"/>
    </row>
    <row r="45" spans="2:15">
      <c r="B45" s="67"/>
      <c r="D45" s="61">
        <f>D44/D34</f>
        <v>0.87719298245614041</v>
      </c>
      <c r="E45" s="61" t="s">
        <v>102</v>
      </c>
      <c r="N45" s="68"/>
      <c r="O45" s="68"/>
    </row>
    <row r="46" spans="2:15">
      <c r="B46" s="67"/>
      <c r="D46" s="61">
        <f>D45/0.857</f>
        <v>1.0235624065999305</v>
      </c>
      <c r="E46" s="61" t="s">
        <v>103</v>
      </c>
      <c r="G46" s="61" t="s">
        <v>104</v>
      </c>
      <c r="N46" s="68"/>
      <c r="O46" s="68"/>
    </row>
    <row r="47" spans="2:15">
      <c r="B47" s="158"/>
      <c r="D47" s="61">
        <f>D45/3.6/0.99</f>
        <v>0.24612597712012918</v>
      </c>
      <c r="E47" s="61" t="s">
        <v>93</v>
      </c>
      <c r="G47" s="61" t="s">
        <v>105</v>
      </c>
      <c r="N47" s="68"/>
      <c r="O47" s="68"/>
    </row>
    <row r="48" spans="2:15">
      <c r="B48" s="158"/>
    </row>
    <row r="49" spans="2:15">
      <c r="B49" s="158"/>
    </row>
    <row r="50" spans="2:15">
      <c r="B50" s="158"/>
    </row>
    <row r="51" spans="2:15">
      <c r="B51" s="158"/>
    </row>
    <row r="52" spans="2:15">
      <c r="B52" s="158"/>
    </row>
    <row r="53" spans="2:15">
      <c r="B53" s="158"/>
    </row>
    <row r="54" spans="2:15">
      <c r="B54" s="158"/>
      <c r="N54" s="68"/>
      <c r="O54" s="68"/>
    </row>
    <row r="55" spans="2:15">
      <c r="B55" s="158"/>
      <c r="N55" s="68"/>
      <c r="O55" s="68"/>
    </row>
    <row r="56" spans="2:15">
      <c r="B56" s="67"/>
      <c r="N56" s="68"/>
      <c r="O56" s="68"/>
    </row>
    <row r="57" spans="2:15">
      <c r="B57" s="67"/>
      <c r="N57" s="68"/>
      <c r="O57" s="68"/>
    </row>
    <row r="58" spans="2:15">
      <c r="B58" s="67"/>
      <c r="N58" s="68"/>
      <c r="O58" s="68"/>
    </row>
    <row r="59" spans="2:15">
      <c r="B59" s="67"/>
      <c r="N59" s="68"/>
      <c r="O59" s="68"/>
    </row>
    <row r="60" spans="2:15">
      <c r="B60" s="67"/>
      <c r="N60" s="68"/>
      <c r="O60" s="68"/>
    </row>
    <row r="61" spans="2:15">
      <c r="B61" s="67"/>
      <c r="N61" s="68"/>
      <c r="O61" s="68"/>
    </row>
    <row r="62" spans="2:15">
      <c r="B62" s="67"/>
      <c r="N62" s="68"/>
      <c r="O62" s="68"/>
    </row>
    <row r="63" spans="2:15">
      <c r="B63" s="67"/>
      <c r="N63" s="68"/>
      <c r="O63" s="68"/>
    </row>
    <row r="64" spans="2:15">
      <c r="B64" s="67"/>
      <c r="N64" s="68"/>
      <c r="O64" s="68"/>
    </row>
    <row r="65" spans="1:15">
      <c r="B65" s="67"/>
      <c r="N65" s="68"/>
      <c r="O65" s="68"/>
    </row>
    <row r="66" spans="1:15">
      <c r="B66" s="67"/>
      <c r="C66" s="68"/>
      <c r="N66" s="68"/>
      <c r="O66" s="68"/>
    </row>
    <row r="67" spans="1:15">
      <c r="B67" s="67"/>
      <c r="C67" s="68"/>
      <c r="D67" s="68"/>
      <c r="N67" s="68"/>
      <c r="O67" s="68"/>
    </row>
    <row r="68" spans="1:15">
      <c r="B68" s="67"/>
      <c r="C68" s="68"/>
      <c r="F68" s="110"/>
      <c r="N68" s="68"/>
      <c r="O68" s="68"/>
    </row>
    <row r="69" spans="1:15">
      <c r="B69" s="67"/>
      <c r="E69" s="127"/>
      <c r="N69" s="68"/>
      <c r="O69" s="68"/>
    </row>
    <row r="70" spans="1:15" ht="17" thickBot="1">
      <c r="B70" s="67"/>
      <c r="N70" s="68"/>
      <c r="O70" s="68"/>
    </row>
    <row r="71" spans="1:15">
      <c r="B71" s="62"/>
      <c r="C71" s="63"/>
      <c r="D71" s="63"/>
      <c r="E71" s="63"/>
      <c r="F71" s="63"/>
      <c r="G71" s="63"/>
      <c r="H71" s="63"/>
      <c r="I71" s="63"/>
      <c r="J71" s="63"/>
      <c r="K71" s="63"/>
      <c r="L71" s="63"/>
      <c r="M71" s="63"/>
      <c r="N71" s="64"/>
    </row>
    <row r="72" spans="1:15">
      <c r="A72" s="65"/>
      <c r="B72" s="90"/>
      <c r="C72" s="69" t="s">
        <v>0</v>
      </c>
      <c r="D72" s="69" t="s">
        <v>48</v>
      </c>
      <c r="E72" s="69" t="s">
        <v>24</v>
      </c>
      <c r="F72" s="69"/>
      <c r="G72" s="69"/>
      <c r="H72" s="66"/>
      <c r="I72" s="66"/>
      <c r="J72" s="66"/>
      <c r="K72" s="66"/>
      <c r="L72" s="66"/>
      <c r="M72" s="66"/>
      <c r="N72" s="91"/>
    </row>
    <row r="73" spans="1:15">
      <c r="B73" s="67"/>
      <c r="N73" s="68"/>
      <c r="O73" s="68"/>
    </row>
    <row r="74" spans="1:15">
      <c r="B74" s="67"/>
      <c r="C74" s="61" t="s">
        <v>136</v>
      </c>
      <c r="D74" s="61">
        <f>0.1504</f>
        <v>0.15040000000000001</v>
      </c>
      <c r="E74" s="61" t="s">
        <v>106</v>
      </c>
      <c r="G74" s="61" t="s">
        <v>107</v>
      </c>
    </row>
    <row r="75" spans="1:15">
      <c r="B75" s="67"/>
      <c r="D75" s="135">
        <f>D74/D34</f>
        <v>0.13192982456140354</v>
      </c>
      <c r="E75" s="61" t="s">
        <v>108</v>
      </c>
      <c r="G75" s="61" t="s">
        <v>107</v>
      </c>
    </row>
    <row r="76" spans="1:15">
      <c r="B76" s="67"/>
      <c r="D76" s="61">
        <f>D75*0.135*1000</f>
        <v>17.810526315789478</v>
      </c>
      <c r="E76" s="61" t="s">
        <v>138</v>
      </c>
    </row>
    <row r="77" spans="1:15">
      <c r="B77" s="67"/>
    </row>
    <row r="78" spans="1:15">
      <c r="B78" s="67"/>
      <c r="C78" s="68" t="s">
        <v>131</v>
      </c>
      <c r="D78" s="68">
        <f>(1300/2229)*D76</f>
        <v>10.387476092654248</v>
      </c>
      <c r="E78" s="61" t="s">
        <v>138</v>
      </c>
    </row>
    <row r="79" spans="1:15">
      <c r="B79" s="67"/>
      <c r="C79" s="65" t="s">
        <v>132</v>
      </c>
      <c r="D79" s="65">
        <f>D78*10*1000000</f>
        <v>103874760.92654248</v>
      </c>
      <c r="E79" s="65" t="s">
        <v>130</v>
      </c>
    </row>
    <row r="80" spans="1:15">
      <c r="B80" s="67"/>
    </row>
    <row r="81" spans="2:13">
      <c r="B81" s="67"/>
      <c r="C81" s="61" t="s">
        <v>133</v>
      </c>
      <c r="D81" s="61">
        <f>D76*(200/2229)</f>
        <v>1.5980732450237307</v>
      </c>
      <c r="E81" s="61" t="s">
        <v>138</v>
      </c>
    </row>
    <row r="82" spans="2:13">
      <c r="B82" s="67"/>
      <c r="C82" s="61" t="s">
        <v>134</v>
      </c>
      <c r="D82" s="61">
        <f>D76*(20/2229)</f>
        <v>0.15980732450237306</v>
      </c>
      <c r="E82" s="61" t="s">
        <v>138</v>
      </c>
    </row>
    <row r="83" spans="2:13">
      <c r="B83" s="67"/>
      <c r="C83" s="61" t="s">
        <v>135</v>
      </c>
      <c r="D83" s="61">
        <f>(300/2229)*D76</f>
        <v>2.3971098675355962</v>
      </c>
      <c r="E83" s="61" t="s">
        <v>138</v>
      </c>
    </row>
    <row r="84" spans="2:13">
      <c r="B84" s="67"/>
      <c r="C84" s="65" t="s">
        <v>139</v>
      </c>
      <c r="D84" s="61">
        <f>D83+D82+D81</f>
        <v>4.1549904370617003</v>
      </c>
      <c r="E84" s="61" t="s">
        <v>138</v>
      </c>
    </row>
    <row r="85" spans="2:13">
      <c r="B85" s="67"/>
      <c r="D85" s="65">
        <f>D84*1000000*(1/E9)*E8</f>
        <v>2644084.8235847186</v>
      </c>
      <c r="E85" s="167" t="s">
        <v>130</v>
      </c>
    </row>
    <row r="86" spans="2:13">
      <c r="B86" s="67"/>
    </row>
    <row r="87" spans="2:13">
      <c r="B87" s="67"/>
      <c r="C87" s="154" t="s">
        <v>113</v>
      </c>
      <c r="D87" s="61">
        <f>D76*E15*(1/E9)*E8</f>
        <v>283.34928229665076</v>
      </c>
      <c r="E87" s="61" t="s">
        <v>129</v>
      </c>
    </row>
    <row r="88" spans="2:13">
      <c r="B88" s="67"/>
      <c r="C88" s="68"/>
      <c r="D88" s="65">
        <f>D87*1000000</f>
        <v>283349282.29665077</v>
      </c>
      <c r="E88" s="65" t="s">
        <v>130</v>
      </c>
    </row>
    <row r="89" spans="2:13">
      <c r="B89" s="67"/>
      <c r="C89" s="68"/>
    </row>
    <row r="90" spans="2:13">
      <c r="B90" s="67"/>
      <c r="C90" s="68"/>
    </row>
    <row r="91" spans="2:13">
      <c r="B91" s="67"/>
    </row>
    <row r="92" spans="2:13">
      <c r="B92" s="67"/>
    </row>
    <row r="93" spans="2:13">
      <c r="B93" s="67"/>
      <c r="M93" s="61" t="s">
        <v>137</v>
      </c>
    </row>
    <row r="94" spans="2:13">
      <c r="B94" s="67"/>
    </row>
    <row r="95" spans="2:13">
      <c r="B95" s="67"/>
    </row>
    <row r="96" spans="2:13">
      <c r="B96" s="67"/>
    </row>
    <row r="97" spans="2:2">
      <c r="B97" s="67"/>
    </row>
    <row r="98" spans="2:2">
      <c r="B98" s="67"/>
    </row>
    <row r="99" spans="2:2">
      <c r="B99" s="67"/>
    </row>
    <row r="100" spans="2:2">
      <c r="B100" s="67"/>
    </row>
    <row r="101" spans="2:2">
      <c r="B101" s="67"/>
    </row>
    <row r="102" spans="2:2">
      <c r="B102" s="67"/>
    </row>
    <row r="103" spans="2:2">
      <c r="B103" s="67"/>
    </row>
    <row r="104" spans="2:2">
      <c r="B104" s="67"/>
    </row>
    <row r="105" spans="2:2">
      <c r="B105" s="67"/>
    </row>
    <row r="106" spans="2:2">
      <c r="B106" s="67"/>
    </row>
    <row r="107" spans="2:2">
      <c r="B107" s="67"/>
    </row>
    <row r="108" spans="2:2">
      <c r="B108" s="67"/>
    </row>
    <row r="109" spans="2:2">
      <c r="B109" s="67"/>
    </row>
    <row r="110" spans="2:2">
      <c r="B110" s="67"/>
    </row>
    <row r="111" spans="2:2">
      <c r="B111" s="67"/>
    </row>
    <row r="112" spans="2:2">
      <c r="B112" s="67"/>
    </row>
    <row r="113" spans="2:2">
      <c r="B113" s="67"/>
    </row>
    <row r="114" spans="2:2">
      <c r="B114" s="67"/>
    </row>
    <row r="115" spans="2:2">
      <c r="B115" s="67"/>
    </row>
    <row r="116" spans="2:2">
      <c r="B116" s="67"/>
    </row>
    <row r="117" spans="2:2">
      <c r="B117" s="67"/>
    </row>
    <row r="118" spans="2:2">
      <c r="B118" s="67"/>
    </row>
    <row r="119" spans="2:2">
      <c r="B119" s="67"/>
    </row>
    <row r="120" spans="2:2">
      <c r="B120" s="67"/>
    </row>
    <row r="121" spans="2:2">
      <c r="B121" s="67"/>
    </row>
    <row r="122" spans="2:2">
      <c r="B122" s="67"/>
    </row>
    <row r="123" spans="2:2">
      <c r="B123" s="67"/>
    </row>
    <row r="124" spans="2:2">
      <c r="B124" s="67"/>
    </row>
    <row r="125" spans="2:2">
      <c r="B125" s="67"/>
    </row>
    <row r="126" spans="2:2">
      <c r="B126" s="67"/>
    </row>
    <row r="127" spans="2:2">
      <c r="B127" s="67"/>
    </row>
    <row r="128" spans="2:2">
      <c r="B128" s="67"/>
    </row>
    <row r="129" spans="2:2">
      <c r="B129" s="67"/>
    </row>
    <row r="130" spans="2:2">
      <c r="B130" s="67"/>
    </row>
    <row r="131" spans="2:2">
      <c r="B131" s="67"/>
    </row>
    <row r="132" spans="2:2">
      <c r="B132" s="67"/>
    </row>
    <row r="133" spans="2:2">
      <c r="B133" s="67"/>
    </row>
    <row r="134" spans="2:2">
      <c r="B134" s="67"/>
    </row>
    <row r="135" spans="2:2">
      <c r="B135" s="67"/>
    </row>
    <row r="136" spans="2:2">
      <c r="B136" s="67"/>
    </row>
    <row r="137" spans="2:2">
      <c r="B137" s="67"/>
    </row>
    <row r="138" spans="2:2">
      <c r="B138" s="67"/>
    </row>
    <row r="139" spans="2:2">
      <c r="B139" s="128"/>
    </row>
    <row r="140" spans="2:2">
      <c r="B140" s="128"/>
    </row>
    <row r="141" spans="2:2">
      <c r="B141" s="128"/>
    </row>
    <row r="142" spans="2:2">
      <c r="B142" s="128"/>
    </row>
    <row r="143" spans="2:2">
      <c r="B143" s="128"/>
    </row>
    <row r="144" spans="2:2">
      <c r="B144" s="128"/>
    </row>
    <row r="145" spans="2:2">
      <c r="B145" s="128"/>
    </row>
    <row r="146" spans="2:2">
      <c r="B146" s="128"/>
    </row>
    <row r="147" spans="2:2">
      <c r="B147" s="128"/>
    </row>
    <row r="148" spans="2:2">
      <c r="B148" s="128"/>
    </row>
    <row r="149" spans="2:2">
      <c r="B149" s="128"/>
    </row>
    <row r="150" spans="2:2">
      <c r="B150" s="128"/>
    </row>
    <row r="151" spans="2:2">
      <c r="B151" s="128"/>
    </row>
    <row r="152" spans="2:2">
      <c r="B152" s="128"/>
    </row>
    <row r="153" spans="2:2">
      <c r="B153" s="128"/>
    </row>
    <row r="154" spans="2:2">
      <c r="B154" s="128"/>
    </row>
    <row r="155" spans="2:2">
      <c r="B155" s="128"/>
    </row>
    <row r="156" spans="2:2">
      <c r="B156" s="128"/>
    </row>
    <row r="157" spans="2:2">
      <c r="B157" s="128"/>
    </row>
    <row r="158" spans="2:2">
      <c r="B158" s="128"/>
    </row>
    <row r="159" spans="2:2">
      <c r="B159" s="128"/>
    </row>
    <row r="160" spans="2:2">
      <c r="B160" s="128"/>
    </row>
    <row r="161" spans="2:2">
      <c r="B161" s="128"/>
    </row>
    <row r="162" spans="2:2">
      <c r="B162" s="128"/>
    </row>
    <row r="163" spans="2:2">
      <c r="B163" s="128"/>
    </row>
    <row r="164" spans="2:2">
      <c r="B164" s="128"/>
    </row>
    <row r="165" spans="2:2">
      <c r="B165" s="128"/>
    </row>
    <row r="166" spans="2:2">
      <c r="B166" s="128"/>
    </row>
    <row r="167" spans="2:2">
      <c r="B167" s="128"/>
    </row>
    <row r="168" spans="2:2">
      <c r="B168" s="128"/>
    </row>
    <row r="169" spans="2:2">
      <c r="B169" s="128"/>
    </row>
    <row r="170" spans="2:2">
      <c r="B170" s="128"/>
    </row>
    <row r="171" spans="2:2">
      <c r="B171" s="128"/>
    </row>
    <row r="172" spans="2:2">
      <c r="B172" s="128"/>
    </row>
    <row r="173" spans="2:2">
      <c r="B173" s="128"/>
    </row>
    <row r="174" spans="2:2">
      <c r="B174" s="128"/>
    </row>
    <row r="175" spans="2:2">
      <c r="B175" s="128"/>
    </row>
    <row r="176" spans="2:2">
      <c r="B176" s="128"/>
    </row>
    <row r="177" spans="1:2">
      <c r="B177" s="128"/>
    </row>
    <row r="178" spans="1:2">
      <c r="B178" s="128"/>
    </row>
    <row r="179" spans="1:2">
      <c r="B179" s="128"/>
    </row>
    <row r="180" spans="1:2">
      <c r="B180" s="128"/>
    </row>
    <row r="181" spans="1:2">
      <c r="B181" s="128"/>
    </row>
    <row r="182" spans="1:2">
      <c r="B182" s="128"/>
    </row>
    <row r="183" spans="1:2">
      <c r="B183" s="128"/>
    </row>
    <row r="184" spans="1:2">
      <c r="B184" s="128"/>
    </row>
    <row r="185" spans="1:2">
      <c r="B185" s="128"/>
    </row>
    <row r="186" spans="1:2">
      <c r="B186" s="128"/>
    </row>
    <row r="187" spans="1:2">
      <c r="B187" s="128"/>
    </row>
    <row r="188" spans="1:2">
      <c r="B188" s="128"/>
    </row>
    <row r="189" spans="1:2">
      <c r="B189" s="128"/>
    </row>
    <row r="190" spans="1:2">
      <c r="B190" s="128"/>
    </row>
    <row r="191" spans="1:2">
      <c r="B191" s="128"/>
    </row>
    <row r="192" spans="1:2">
      <c r="A192" s="126"/>
      <c r="B192" s="128"/>
    </row>
    <row r="193" spans="1:2">
      <c r="A193" s="126"/>
      <c r="B193" s="128"/>
    </row>
    <row r="194" spans="1:2">
      <c r="A194" s="126"/>
      <c r="B194" s="128"/>
    </row>
    <row r="195" spans="1:2">
      <c r="A195" s="126"/>
      <c r="B195" s="128"/>
    </row>
    <row r="196" spans="1:2">
      <c r="A196" s="126"/>
      <c r="B196" s="128"/>
    </row>
    <row r="197" spans="1:2">
      <c r="A197" s="126"/>
      <c r="B197" s="128"/>
    </row>
    <row r="198" spans="1:2">
      <c r="A198" s="126"/>
      <c r="B198" s="128"/>
    </row>
    <row r="199" spans="1:2">
      <c r="A199" s="126"/>
      <c r="B199" s="128"/>
    </row>
    <row r="200" spans="1:2">
      <c r="A200" s="126"/>
      <c r="B200" s="128"/>
    </row>
    <row r="201" spans="1:2">
      <c r="A201" s="126"/>
      <c r="B201" s="128"/>
    </row>
    <row r="202" spans="1:2">
      <c r="A202" s="126"/>
      <c r="B202" s="128"/>
    </row>
    <row r="203" spans="1:2">
      <c r="A203" s="126"/>
      <c r="B203" s="128"/>
    </row>
    <row r="204" spans="1:2">
      <c r="A204" s="126"/>
      <c r="B204" s="128"/>
    </row>
    <row r="205" spans="1:2">
      <c r="A205" s="126"/>
      <c r="B205" s="128"/>
    </row>
    <row r="206" spans="1:2">
      <c r="A206" s="126"/>
      <c r="B206" s="128"/>
    </row>
    <row r="207" spans="1:2">
      <c r="A207" s="126"/>
      <c r="B207" s="128"/>
    </row>
    <row r="208" spans="1:2">
      <c r="A208" s="126"/>
      <c r="B208" s="128"/>
    </row>
    <row r="209" spans="1:2">
      <c r="A209" s="126"/>
      <c r="B209" s="128"/>
    </row>
    <row r="210" spans="1:2">
      <c r="A210" s="126"/>
      <c r="B210" s="128"/>
    </row>
    <row r="211" spans="1:2">
      <c r="A211" s="126"/>
      <c r="B211" s="128"/>
    </row>
    <row r="212" spans="1:2">
      <c r="A212" s="126"/>
      <c r="B212" s="128"/>
    </row>
    <row r="213" spans="1:2">
      <c r="A213" s="126"/>
      <c r="B213" s="128"/>
    </row>
    <row r="214" spans="1:2">
      <c r="A214" s="126"/>
      <c r="B214" s="128"/>
    </row>
    <row r="215" spans="1:2">
      <c r="A215" s="126"/>
      <c r="B215" s="128"/>
    </row>
    <row r="216" spans="1:2">
      <c r="A216" s="126"/>
      <c r="B216" s="128"/>
    </row>
    <row r="217" spans="1:2">
      <c r="A217" s="126"/>
      <c r="B217" s="128"/>
    </row>
    <row r="218" spans="1:2">
      <c r="A218" s="126"/>
      <c r="B218" s="128"/>
    </row>
    <row r="219" spans="1:2">
      <c r="A219" s="126"/>
      <c r="B219" s="128"/>
    </row>
    <row r="220" spans="1:2">
      <c r="A220" s="126"/>
      <c r="B220" s="128"/>
    </row>
    <row r="221" spans="1:2">
      <c r="A221" s="126"/>
      <c r="B221" s="128"/>
    </row>
    <row r="222" spans="1:2">
      <c r="A222" s="126"/>
      <c r="B222" s="128"/>
    </row>
    <row r="223" spans="1:2">
      <c r="A223" s="126"/>
      <c r="B223" s="128"/>
    </row>
    <row r="224" spans="1:2">
      <c r="A224" s="126"/>
      <c r="B224" s="128"/>
    </row>
    <row r="225" spans="1:2">
      <c r="A225" s="126"/>
      <c r="B225" s="128"/>
    </row>
    <row r="226" spans="1:2">
      <c r="A226" s="126"/>
      <c r="B226" s="128"/>
    </row>
    <row r="227" spans="1:2">
      <c r="A227" s="126"/>
      <c r="B227" s="128"/>
    </row>
    <row r="228" spans="1:2">
      <c r="A228" s="126"/>
      <c r="B228" s="128"/>
    </row>
    <row r="229" spans="1:2">
      <c r="A229" s="126"/>
      <c r="B229" s="128"/>
    </row>
    <row r="230" spans="1:2">
      <c r="A230" s="126"/>
      <c r="B230" s="128"/>
    </row>
    <row r="231" spans="1:2">
      <c r="A231" s="126"/>
      <c r="B231" s="128"/>
    </row>
    <row r="232" spans="1:2">
      <c r="A232" s="126"/>
      <c r="B232" s="128"/>
    </row>
    <row r="233" spans="1:2">
      <c r="A233" s="126"/>
      <c r="B233" s="128"/>
    </row>
    <row r="234" spans="1:2">
      <c r="A234" s="126"/>
      <c r="B234" s="128"/>
    </row>
    <row r="235" spans="1:2">
      <c r="A235" s="126"/>
      <c r="B235" s="128"/>
    </row>
    <row r="236" spans="1:2">
      <c r="A236" s="126"/>
      <c r="B236" s="128"/>
    </row>
    <row r="237" spans="1:2">
      <c r="A237" s="126"/>
    </row>
    <row r="238" spans="1:2">
      <c r="A238" s="126"/>
    </row>
    <row r="239" spans="1:2">
      <c r="A239" s="126"/>
    </row>
    <row r="240" spans="1:2">
      <c r="A240" s="126"/>
    </row>
    <row r="241" spans="1:1">
      <c r="A241" s="126"/>
    </row>
    <row r="242" spans="1:1">
      <c r="A242" s="126"/>
    </row>
    <row r="243" spans="1:1">
      <c r="A243" s="126"/>
    </row>
    <row r="244" spans="1:1">
      <c r="A244" s="126"/>
    </row>
    <row r="245" spans="1:1">
      <c r="A245" s="126"/>
    </row>
    <row r="246" spans="1:1">
      <c r="A246" s="126"/>
    </row>
    <row r="247" spans="1:1">
      <c r="A247" s="126"/>
    </row>
    <row r="248" spans="1:1">
      <c r="A248" s="126"/>
    </row>
    <row r="249" spans="1:1">
      <c r="A249" s="126"/>
    </row>
    <row r="250" spans="1:1">
      <c r="A250" s="126"/>
    </row>
    <row r="251" spans="1:1">
      <c r="A251" s="126"/>
    </row>
    <row r="252" spans="1:1">
      <c r="A252" s="126"/>
    </row>
    <row r="253" spans="1:1">
      <c r="A253" s="126"/>
    </row>
    <row r="254" spans="1:1">
      <c r="A254" s="126"/>
    </row>
    <row r="255" spans="1:1">
      <c r="A255" s="126"/>
    </row>
    <row r="256" spans="1:1">
      <c r="A256" s="126"/>
    </row>
    <row r="257" spans="1:1">
      <c r="A257" s="126"/>
    </row>
    <row r="258" spans="1:1">
      <c r="A258" s="126"/>
    </row>
    <row r="259" spans="1:1">
      <c r="A259" s="126"/>
    </row>
    <row r="260" spans="1:1">
      <c r="A260" s="126"/>
    </row>
    <row r="261" spans="1:1">
      <c r="A261" s="126"/>
    </row>
    <row r="262" spans="1:1">
      <c r="A262" s="126"/>
    </row>
    <row r="263" spans="1:1">
      <c r="A263" s="126"/>
    </row>
    <row r="264" spans="1:1">
      <c r="A264" s="126"/>
    </row>
    <row r="265" spans="1:1">
      <c r="A265" s="126"/>
    </row>
    <row r="266" spans="1:1">
      <c r="A266" s="126"/>
    </row>
    <row r="267" spans="1:1">
      <c r="A267" s="126"/>
    </row>
    <row r="268" spans="1:1">
      <c r="A268" s="126"/>
    </row>
    <row r="269" spans="1:1">
      <c r="A269" s="126"/>
    </row>
    <row r="270" spans="1:1">
      <c r="A270" s="126"/>
    </row>
    <row r="271" spans="1:1">
      <c r="A271" s="126"/>
    </row>
    <row r="272" spans="1:1">
      <c r="A272" s="126"/>
    </row>
    <row r="273" spans="1:1">
      <c r="A273" s="126"/>
    </row>
    <row r="274" spans="1:1">
      <c r="A274" s="126"/>
    </row>
    <row r="275" spans="1:1">
      <c r="A275" s="126"/>
    </row>
    <row r="276" spans="1:1">
      <c r="A276" s="126"/>
    </row>
    <row r="277" spans="1:1">
      <c r="A277" s="126"/>
    </row>
    <row r="278" spans="1:1">
      <c r="A278" s="126"/>
    </row>
    <row r="279" spans="1:1">
      <c r="A279" s="126"/>
    </row>
    <row r="280" spans="1:1">
      <c r="A280" s="126"/>
    </row>
    <row r="281" spans="1:1">
      <c r="A281" s="126"/>
    </row>
    <row r="282" spans="1:1">
      <c r="A282" s="126"/>
    </row>
    <row r="283" spans="1:1">
      <c r="A283" s="126"/>
    </row>
    <row r="284" spans="1:1">
      <c r="A284" s="126"/>
    </row>
    <row r="285" spans="1:1">
      <c r="A285" s="126"/>
    </row>
    <row r="286" spans="1:1">
      <c r="A286" s="126"/>
    </row>
    <row r="287" spans="1:1">
      <c r="A287" s="126"/>
    </row>
    <row r="288" spans="1:1">
      <c r="A288" s="126"/>
    </row>
    <row r="289" spans="1:1">
      <c r="A289" s="12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2020-01-14T08:58:37Z</dcterms:modified>
</cp:coreProperties>
</file>