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showInkAnnotation="0" codeName="ThisWorkbook" autoCompressPictures="0"/>
  <mc:AlternateContent xmlns:mc="http://schemas.openxmlformats.org/markup-compatibility/2006">
    <mc:Choice Requires="x15">
      <x15ac:absPath xmlns:x15ac="http://schemas.microsoft.com/office/spreadsheetml/2010/11/ac" url="/Users/mathijsbijkerk/Projects/etdataset/analyses/"/>
    </mc:Choice>
  </mc:AlternateContent>
  <xr:revisionPtr revIDLastSave="0" documentId="13_ncr:1_{815A37D5-40ED-5B47-9B6A-64014FFCE42D}" xr6:coauthVersionLast="47" xr6:coauthVersionMax="47" xr10:uidLastSave="{00000000-0000-0000-0000-000000000000}"/>
  <bookViews>
    <workbookView xWindow="-21160" yWindow="-33340" windowWidth="60160" windowHeight="32200" tabRatio="932" activeTab="6" xr2:uid="{00000000-000D-0000-FFFF-FFFF00000000}"/>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Final demand per energy carrier" sheetId="30" r:id="rId12"/>
    <sheet name="Technology split final demand" sheetId="32" r:id="rId13"/>
    <sheet name="Fuel aggregation" sheetId="37" r:id="rId14"/>
    <sheet name="HHP input shares" sheetId="114" r:id="rId15"/>
    <sheet name="Useful-final demand percentage" sheetId="84" r:id="rId16"/>
    <sheet name="csv_final_demand_coal" sheetId="21" r:id="rId17"/>
    <sheet name="csv_final_demand_crude_oil" sheetId="62" r:id="rId18"/>
    <sheet name="csv_final_demand_network_gas" sheetId="63" r:id="rId19"/>
    <sheet name="csv_final_demand_woodpellets" sheetId="64" r:id="rId20"/>
    <sheet name="csv_final_demand_electricity" sheetId="66" r:id="rId21"/>
    <sheet name="csv_final_demand_steam" sheetId="67" r:id="rId22"/>
    <sheet name="csv_cooling_electricity" sheetId="68" r:id="rId23"/>
    <sheet name="csv_heating_network_gas" sheetId="69" r:id="rId24"/>
    <sheet name="csv_heating_electricity" sheetId="70" r:id="rId25"/>
    <sheet name="csv_water_network_gas" sheetId="71" r:id="rId26"/>
    <sheet name="csv_water_electricity" sheetId="72" r:id="rId27"/>
    <sheet name="csv_cooking_electricity" sheetId="73" r:id="rId28"/>
    <sheet name="csv_lighting_electricity" sheetId="74" r:id="rId29"/>
    <sheet name="csv_appliances_electricity" sheetId="75" r:id="rId30"/>
    <sheet name="csv_export_to_area_analysis" sheetId="107" r:id="rId31"/>
    <sheet name="csv_heating_hhp_efficiencies" sheetId="112" r:id="rId32"/>
    <sheet name="csv_hot_water_hhp_efficiencies" sheetId="113" r:id="rId33"/>
  </sheets>
  <externalReferences>
    <externalReference r:id="rId34"/>
  </externalReferences>
  <definedNames>
    <definedName name="base_year">Dashboard!$E$12</definedName>
    <definedName name="country">Dashboard!$E$11</definedName>
    <definedName name="Eff_cooking_biomass">technical_specs!$R$46</definedName>
    <definedName name="Eff_cooking_electric">technical_specs!$R$43</definedName>
    <definedName name="Eff_cooking_gas">technical_specs!$R$42</definedName>
    <definedName name="Eff_cooking_halogen">technical_specs!$R$44</definedName>
    <definedName name="Eff_cooking_induction">technical_specs!$R$45</definedName>
    <definedName name="Eff_cooling_airco">technical_specs!$R$39</definedName>
    <definedName name="Eff_cooling_pump_air">technical_specs!$R$38</definedName>
    <definedName name="Eff_cooling_pump_ground">technical_specs!$R$37</definedName>
    <definedName name="Eff_hot_water_coal">technical_specs!$R$32</definedName>
    <definedName name="Eff_hot_water_combi_boiler">technical_specs!$R$24</definedName>
    <definedName name="Eff_hot_water_district">technical_specs!$R$26</definedName>
    <definedName name="Eff_hot_water_electric">technical_specs!$R$29</definedName>
    <definedName name="Eff_hot_water_fuel_cell">technical_specs!#REF!</definedName>
    <definedName name="Eff_hot_water_gas">technical_specs!$R$30</definedName>
    <definedName name="Eff_hot_water_hhp_gas">technical_specs!$R$34</definedName>
    <definedName name="Eff_hot_water_hhp_heatpump">technical_specs!$R$33</definedName>
    <definedName name="Eff_hot_water_micro_CHP">technical_specs!#REF!</definedName>
    <definedName name="Eff_hot_water_oil">technical_specs!$R$31</definedName>
    <definedName name="Eff_hot_water_pump_air">technical_specs!$R$27</definedName>
    <definedName name="Eff_hot_water_pump_ground">technical_specs!$R$25</definedName>
    <definedName name="Eff_hot_water_solar_thermal_panel">technical_specs!#REF!</definedName>
    <definedName name="Eff_hot_water_woodpellets">technical_specs!$R$28</definedName>
    <definedName name="Eff_lighting_fluorescent">technical_specs!$R$50</definedName>
    <definedName name="Eff_lighting_incandescent">technical_specs!$R$49</definedName>
    <definedName name="Eff_lighting_led">technical_specs!$R$51</definedName>
    <definedName name="Eff_space_heating_coal">technical_specs!$R$19</definedName>
    <definedName name="Eff_space_heating_combi_boiler">technical_specs!$R$11</definedName>
    <definedName name="Eff_space_heating_district">technical_specs!$R$13</definedName>
    <definedName name="Eff_space_heating_electric">technical_specs!$R$16</definedName>
    <definedName name="Eff_space_heating_gas">technical_specs!$R$17</definedName>
    <definedName name="Eff_space_heating_hhp_gas">technical_specs!$R$21</definedName>
    <definedName name="Eff_space_heating_hhp_heatpump">technical_specs!$R$20</definedName>
    <definedName name="Eff_space_heating_micro_CHP">technical_specs!#REF!</definedName>
    <definedName name="Eff_space_heating_oil">technical_specs!$R$18</definedName>
    <definedName name="Eff_space_heating_pump_add_on">technical_specs!$R$20</definedName>
    <definedName name="Eff_space_heating_pump_air">technical_specs!$R$14</definedName>
    <definedName name="Eff_space_heating_pump_ground">technical_specs!$R$12</definedName>
    <definedName name="Eff_space_heating_solar_thermal">technical_specs!#REF!</definedName>
    <definedName name="Eff_space_heating_woodpellets">technical_specs!$R$15</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M86" i="28" l="1"/>
  <c r="P85" i="28"/>
  <c r="L86" i="28"/>
  <c r="B3" i="107"/>
  <c r="B25" i="107"/>
  <c r="B26" i="107"/>
  <c r="B27" i="107"/>
  <c r="B28" i="107"/>
  <c r="B29" i="107"/>
  <c r="B30" i="107"/>
  <c r="B31" i="107"/>
  <c r="B32" i="107"/>
  <c r="B33" i="107"/>
  <c r="B34" i="107"/>
  <c r="B35" i="107"/>
  <c r="B36" i="107"/>
  <c r="B37" i="107"/>
  <c r="B38" i="107"/>
  <c r="B39" i="107"/>
  <c r="B40" i="107"/>
  <c r="B41" i="107"/>
  <c r="B42" i="107"/>
  <c r="B43" i="107"/>
  <c r="B24" i="107"/>
  <c r="B5" i="107"/>
  <c r="B6" i="107"/>
  <c r="B7" i="107"/>
  <c r="B8" i="107"/>
  <c r="B9" i="107"/>
  <c r="B10" i="107"/>
  <c r="B11" i="107"/>
  <c r="B12" i="107"/>
  <c r="B13" i="107"/>
  <c r="B14" i="107"/>
  <c r="B15" i="107"/>
  <c r="B16" i="107"/>
  <c r="B17" i="107"/>
  <c r="B18" i="107"/>
  <c r="B19" i="107"/>
  <c r="B20" i="107"/>
  <c r="B21" i="107"/>
  <c r="B22" i="107"/>
  <c r="B23" i="107"/>
  <c r="B4" i="107"/>
  <c r="L111" i="28" l="1"/>
  <c r="M111" i="28" s="1"/>
  <c r="K19" i="37"/>
  <c r="G15" i="114"/>
  <c r="G10" i="114"/>
  <c r="D15" i="114"/>
  <c r="D14" i="114"/>
  <c r="D9" i="114"/>
  <c r="D10" i="114"/>
  <c r="M37" i="30"/>
  <c r="H34" i="13"/>
  <c r="I34" i="13"/>
  <c r="O33" i="13"/>
  <c r="N21" i="13"/>
  <c r="O20" i="13"/>
  <c r="M24" i="30" s="1"/>
  <c r="I21" i="13"/>
  <c r="H21" i="13"/>
  <c r="P110" i="28" l="1"/>
  <c r="Q21" i="13"/>
  <c r="G34" i="13" l="1"/>
  <c r="N34" i="13" s="1"/>
  <c r="R34" i="13" s="1"/>
  <c r="G21" i="13"/>
  <c r="R21" i="13" s="1"/>
  <c r="D33" i="32"/>
  <c r="D20" i="32"/>
  <c r="R20" i="13"/>
  <c r="D11" i="32"/>
  <c r="E11" i="32" s="1"/>
  <c r="N11" i="13"/>
  <c r="R11" i="13" s="1"/>
  <c r="F11" i="32" s="1"/>
  <c r="F21" i="13"/>
  <c r="R33" i="13"/>
  <c r="D24" i="32"/>
  <c r="E24" i="32" s="1"/>
  <c r="N24" i="13"/>
  <c r="R24" i="13" s="1"/>
  <c r="F34" i="13"/>
  <c r="D27" i="32"/>
  <c r="E27" i="32" s="1"/>
  <c r="O27" i="13"/>
  <c r="R27" i="13" s="1"/>
  <c r="F27" i="32" s="1"/>
  <c r="R50" i="13"/>
  <c r="F53" i="84" s="1"/>
  <c r="D50" i="32"/>
  <c r="E50" i="32" s="1"/>
  <c r="D49" i="32"/>
  <c r="E49" i="32" s="1"/>
  <c r="R49" i="13"/>
  <c r="F52" i="84" s="1"/>
  <c r="R51" i="13"/>
  <c r="F54" i="84" s="1"/>
  <c r="D51" i="32"/>
  <c r="E51" i="32" s="1"/>
  <c r="N43" i="13"/>
  <c r="R43" i="13" s="1"/>
  <c r="D43" i="32"/>
  <c r="E43" i="32" s="1"/>
  <c r="D42" i="32"/>
  <c r="E42" i="32" s="1"/>
  <c r="N42" i="13"/>
  <c r="R42" i="13" s="1"/>
  <c r="N44" i="13"/>
  <c r="R44" i="13" s="1"/>
  <c r="D44" i="32"/>
  <c r="E44" i="32" s="1"/>
  <c r="N45" i="13"/>
  <c r="R45" i="13" s="1"/>
  <c r="D45" i="32"/>
  <c r="E45" i="32" s="1"/>
  <c r="N46" i="13"/>
  <c r="R46" i="13" s="1"/>
  <c r="D46" i="32"/>
  <c r="E46" i="32" s="1"/>
  <c r="O38" i="13"/>
  <c r="R38" i="13" s="1"/>
  <c r="D38" i="32"/>
  <c r="E38" i="32" s="1"/>
  <c r="D37" i="32"/>
  <c r="E37" i="32" s="1"/>
  <c r="O37" i="13"/>
  <c r="R37" i="13" s="1"/>
  <c r="O39" i="13"/>
  <c r="R39" i="13" s="1"/>
  <c r="D39" i="32"/>
  <c r="E39" i="32" s="1"/>
  <c r="D25" i="32"/>
  <c r="E25" i="32" s="1"/>
  <c r="O25" i="13"/>
  <c r="R25" i="13" s="1"/>
  <c r="D26" i="32"/>
  <c r="E26" i="32" s="1"/>
  <c r="N26" i="13"/>
  <c r="R26" i="13" s="1"/>
  <c r="F27" i="84"/>
  <c r="D28" i="32"/>
  <c r="E28" i="32" s="1"/>
  <c r="N28" i="13"/>
  <c r="R28" i="13" s="1"/>
  <c r="F28" i="84" s="1"/>
  <c r="D29" i="32"/>
  <c r="E29" i="32" s="1"/>
  <c r="N29" i="13"/>
  <c r="R29" i="13" s="1"/>
  <c r="D30" i="32"/>
  <c r="E30" i="32" s="1"/>
  <c r="N30" i="13"/>
  <c r="R30" i="13" s="1"/>
  <c r="D31" i="32"/>
  <c r="E31" i="32" s="1"/>
  <c r="N31" i="13"/>
  <c r="R31" i="13" s="1"/>
  <c r="D32" i="32"/>
  <c r="E32" i="32" s="1"/>
  <c r="N32" i="13"/>
  <c r="R32" i="13" s="1"/>
  <c r="F32" i="84" s="1"/>
  <c r="C34" i="32"/>
  <c r="C34" i="84" s="1"/>
  <c r="C33" i="32"/>
  <c r="C33" i="84" s="1"/>
  <c r="D26" i="83"/>
  <c r="D21" i="83"/>
  <c r="C38" i="30"/>
  <c r="C37" i="30"/>
  <c r="L42" i="28"/>
  <c r="P42" i="28" s="1"/>
  <c r="L29" i="28"/>
  <c r="P29" i="28" s="1"/>
  <c r="C20" i="32"/>
  <c r="C20" i="84" s="1"/>
  <c r="C21" i="32"/>
  <c r="C21" i="84" s="1"/>
  <c r="K34" i="13"/>
  <c r="J34" i="13"/>
  <c r="N13" i="13"/>
  <c r="R13" i="13" s="1"/>
  <c r="D13" i="32"/>
  <c r="E13" i="32" s="1"/>
  <c r="O12" i="13"/>
  <c r="R12" i="13" s="1"/>
  <c r="D12" i="32"/>
  <c r="E12" i="32" s="1"/>
  <c r="N15" i="13"/>
  <c r="R15" i="13" s="1"/>
  <c r="D15" i="32"/>
  <c r="E15" i="32" s="1"/>
  <c r="N18" i="13"/>
  <c r="R18" i="13" s="1"/>
  <c r="D18" i="32"/>
  <c r="E18" i="32" s="1"/>
  <c r="N19" i="13"/>
  <c r="R19" i="13" s="1"/>
  <c r="F19" i="32" s="1"/>
  <c r="D19" i="32"/>
  <c r="E19" i="32" s="1"/>
  <c r="O14" i="13"/>
  <c r="R14" i="13" s="1"/>
  <c r="D14" i="32"/>
  <c r="E14" i="32" s="1"/>
  <c r="N16" i="13"/>
  <c r="R16" i="13" s="1"/>
  <c r="F16" i="84" s="1"/>
  <c r="D16" i="32"/>
  <c r="E16" i="32" s="1"/>
  <c r="N17" i="13"/>
  <c r="R17" i="13" s="1"/>
  <c r="D17" i="32"/>
  <c r="E17" i="32" s="1"/>
  <c r="D11" i="83"/>
  <c r="D16" i="83"/>
  <c r="K21" i="13"/>
  <c r="J21" i="13"/>
  <c r="D61" i="30"/>
  <c r="E49" i="83" s="1"/>
  <c r="D62" i="30"/>
  <c r="E50" i="83" s="1"/>
  <c r="D63" i="30"/>
  <c r="E51" i="83" s="1"/>
  <c r="D64" i="30"/>
  <c r="E52" i="83" s="1"/>
  <c r="D65" i="30"/>
  <c r="E53" i="83" s="1"/>
  <c r="D66" i="30"/>
  <c r="E54" i="83" s="1"/>
  <c r="D67" i="30"/>
  <c r="E55" i="83" s="1"/>
  <c r="D68" i="30"/>
  <c r="E56" i="83" s="1"/>
  <c r="L11" i="37"/>
  <c r="E17" i="28"/>
  <c r="E27" i="28" s="1"/>
  <c r="L75" i="28"/>
  <c r="P74" i="28" s="1"/>
  <c r="L67" i="28"/>
  <c r="P66" i="28" s="1"/>
  <c r="L61" i="28"/>
  <c r="P60" i="28" s="1"/>
  <c r="L55" i="28"/>
  <c r="P54" i="28" s="1"/>
  <c r="F11" i="37"/>
  <c r="C11" i="37"/>
  <c r="H11" i="30" s="1"/>
  <c r="D11" i="37"/>
  <c r="E11" i="30" s="1"/>
  <c r="E11" i="37"/>
  <c r="G11" i="37"/>
  <c r="H11" i="37"/>
  <c r="I11" i="37"/>
  <c r="F11" i="30" s="1"/>
  <c r="J11" i="37"/>
  <c r="D19" i="82"/>
  <c r="C5" i="34"/>
  <c r="K18" i="37"/>
  <c r="D29" i="83"/>
  <c r="D50" i="83"/>
  <c r="D51" i="83"/>
  <c r="D52" i="83"/>
  <c r="D53" i="83"/>
  <c r="D54" i="83"/>
  <c r="D55" i="83"/>
  <c r="D56" i="83"/>
  <c r="D49" i="83"/>
  <c r="I55" i="32"/>
  <c r="I56" i="32"/>
  <c r="I57" i="32"/>
  <c r="I58" i="32"/>
  <c r="I59" i="32"/>
  <c r="I60" i="32"/>
  <c r="I61" i="32"/>
  <c r="I54" i="32"/>
  <c r="C49" i="32"/>
  <c r="C52" i="84" s="1"/>
  <c r="C50" i="32"/>
  <c r="C53" i="84" s="1"/>
  <c r="C51" i="32"/>
  <c r="C54" i="84" s="1"/>
  <c r="C12" i="32"/>
  <c r="C12" i="84" s="1"/>
  <c r="C13" i="32"/>
  <c r="C13" i="84" s="1"/>
  <c r="C14" i="32"/>
  <c r="C14" i="84" s="1"/>
  <c r="C15" i="32"/>
  <c r="C15" i="84" s="1"/>
  <c r="C16" i="32"/>
  <c r="C16" i="84" s="1"/>
  <c r="C17" i="32"/>
  <c r="C17" i="84" s="1"/>
  <c r="C18" i="32"/>
  <c r="C22" i="30" s="1"/>
  <c r="C19" i="32"/>
  <c r="C19" i="84" s="1"/>
  <c r="C24" i="32"/>
  <c r="C24" i="84" s="1"/>
  <c r="C25" i="32"/>
  <c r="C25" i="84" s="1"/>
  <c r="C26" i="32"/>
  <c r="C26" i="84" s="1"/>
  <c r="C27" i="32"/>
  <c r="C27" i="84" s="1"/>
  <c r="C28" i="32"/>
  <c r="C28" i="84" s="1"/>
  <c r="C29" i="32"/>
  <c r="C29" i="84" s="1"/>
  <c r="C30" i="32"/>
  <c r="C34" i="30" s="1"/>
  <c r="C31" i="32"/>
  <c r="C31" i="84" s="1"/>
  <c r="C32" i="32"/>
  <c r="C32" i="84" s="1"/>
  <c r="C37" i="32"/>
  <c r="C38" i="84" s="1"/>
  <c r="C38" i="32"/>
  <c r="C39" i="84" s="1"/>
  <c r="C39" i="32"/>
  <c r="C40" i="84" s="1"/>
  <c r="C42" i="32"/>
  <c r="C44" i="84" s="1"/>
  <c r="C43" i="32"/>
  <c r="C45" i="84" s="1"/>
  <c r="C44" i="32"/>
  <c r="C46" i="84" s="1"/>
  <c r="C45" i="32"/>
  <c r="C50" i="30" s="1"/>
  <c r="C46" i="32"/>
  <c r="C48" i="84" s="1"/>
  <c r="C11" i="32"/>
  <c r="C11" i="84" s="1"/>
  <c r="D9" i="83"/>
  <c r="D10" i="83"/>
  <c r="D13" i="83"/>
  <c r="D14" i="83"/>
  <c r="D15" i="83"/>
  <c r="D19" i="83"/>
  <c r="D20" i="83"/>
  <c r="D23" i="83"/>
  <c r="D24" i="83"/>
  <c r="D25" i="83"/>
  <c r="D32" i="83"/>
  <c r="D33" i="83"/>
  <c r="D34" i="83"/>
  <c r="D37" i="83"/>
  <c r="D38" i="83"/>
  <c r="D39" i="83"/>
  <c r="D43" i="83"/>
  <c r="D44" i="83"/>
  <c r="D45" i="83"/>
  <c r="K11" i="30"/>
  <c r="G11" i="30"/>
  <c r="I11" i="30"/>
  <c r="J11" i="30"/>
  <c r="K19" i="28" a="1"/>
  <c r="K20" i="28" s="1"/>
  <c r="C16" i="30"/>
  <c r="C18" i="30"/>
  <c r="C23" i="30"/>
  <c r="B27" i="30"/>
  <c r="C30" i="30"/>
  <c r="B40" i="30"/>
  <c r="B46" i="30"/>
  <c r="B54" i="30"/>
  <c r="B14" i="30"/>
  <c r="F28" i="32" l="1"/>
  <c r="F50" i="32"/>
  <c r="C41" i="30"/>
  <c r="C32" i="30"/>
  <c r="C20" i="30"/>
  <c r="C15" i="30"/>
  <c r="F18" i="32"/>
  <c r="F18" i="84"/>
  <c r="F42" i="32"/>
  <c r="H42" i="32" s="1"/>
  <c r="I42" i="32" s="1"/>
  <c r="D44" i="84" s="1"/>
  <c r="E44" i="84" s="1"/>
  <c r="F44" i="84"/>
  <c r="H18" i="32"/>
  <c r="F31" i="32"/>
  <c r="F31" i="84"/>
  <c r="F38" i="32"/>
  <c r="H38" i="32" s="1"/>
  <c r="F39" i="84"/>
  <c r="C29" i="30"/>
  <c r="C49" i="30"/>
  <c r="C35" i="30"/>
  <c r="C47" i="84"/>
  <c r="C36" i="30"/>
  <c r="C19" i="30"/>
  <c r="C56" i="30"/>
  <c r="C43" i="30"/>
  <c r="C57" i="30"/>
  <c r="C47" i="30"/>
  <c r="C17" i="30"/>
  <c r="C48" i="30"/>
  <c r="C42" i="30"/>
  <c r="H31" i="32"/>
  <c r="C51" i="30"/>
  <c r="H19" i="32"/>
  <c r="M67" i="28"/>
  <c r="F48" i="84"/>
  <c r="F46" i="32"/>
  <c r="H46" i="32" s="1"/>
  <c r="F46" i="84"/>
  <c r="F44" i="32"/>
  <c r="H44" i="32" s="1"/>
  <c r="F47" i="84"/>
  <c r="F45" i="32"/>
  <c r="H45" i="32" s="1"/>
  <c r="F40" i="84"/>
  <c r="F39" i="32"/>
  <c r="H39" i="32" s="1"/>
  <c r="F33" i="32"/>
  <c r="F33" i="84"/>
  <c r="F34" i="84"/>
  <c r="F34" i="32"/>
  <c r="C31" i="30"/>
  <c r="C28" i="30"/>
  <c r="C21" i="30"/>
  <c r="C55" i="30"/>
  <c r="C33" i="30"/>
  <c r="C30" i="84"/>
  <c r="C18" i="84"/>
  <c r="F61" i="30"/>
  <c r="M42" i="28"/>
  <c r="F51" i="32"/>
  <c r="H51" i="32" s="1"/>
  <c r="M75" i="28"/>
  <c r="H50" i="32"/>
  <c r="M29" i="28"/>
  <c r="Q34" i="13"/>
  <c r="E34" i="32" s="1"/>
  <c r="F65" i="30"/>
  <c r="M55" i="28"/>
  <c r="F62" i="30"/>
  <c r="K22" i="28"/>
  <c r="F66" i="30"/>
  <c r="F68" i="30"/>
  <c r="F64" i="30"/>
  <c r="C4" i="34"/>
  <c r="F67" i="30"/>
  <c r="F63" i="30"/>
  <c r="H27" i="32"/>
  <c r="K23" i="28"/>
  <c r="K19" i="28"/>
  <c r="K11" i="37"/>
  <c r="L23" i="37" s="1"/>
  <c r="F12" i="84"/>
  <c r="F12" i="32"/>
  <c r="H12" i="32" s="1"/>
  <c r="F14" i="84"/>
  <c r="F14" i="32"/>
  <c r="H14" i="32" s="1"/>
  <c r="F15" i="84"/>
  <c r="F15" i="32"/>
  <c r="H15" i="32" s="1"/>
  <c r="K25" i="28"/>
  <c r="K21" i="28"/>
  <c r="L27" i="28"/>
  <c r="M27" i="28" s="1"/>
  <c r="L12" i="28"/>
  <c r="P12" i="28" s="1"/>
  <c r="L10" i="28" s="1"/>
  <c r="K24" i="28"/>
  <c r="F52" i="83"/>
  <c r="B6" i="75" s="1"/>
  <c r="F49" i="83"/>
  <c r="B3" i="75" s="1"/>
  <c r="F56" i="83"/>
  <c r="B10" i="75" s="1"/>
  <c r="F53" i="83"/>
  <c r="B7" i="75" s="1"/>
  <c r="F50" i="83"/>
  <c r="B4" i="75" s="1"/>
  <c r="F54" i="83"/>
  <c r="B8" i="75" s="1"/>
  <c r="F51" i="83"/>
  <c r="B5" i="75" s="1"/>
  <c r="F55" i="83"/>
  <c r="B9" i="75" s="1"/>
  <c r="F17" i="84"/>
  <c r="F17" i="32"/>
  <c r="H17" i="32" s="1"/>
  <c r="F13" i="32"/>
  <c r="H13" i="32" s="1"/>
  <c r="F13" i="84"/>
  <c r="F21" i="32"/>
  <c r="F21" i="84"/>
  <c r="M61" i="28"/>
  <c r="F19" i="84"/>
  <c r="F24" i="32"/>
  <c r="H24" i="32" s="1"/>
  <c r="I24" i="32" s="1"/>
  <c r="F24" i="84"/>
  <c r="H11" i="32"/>
  <c r="I11" i="32" s="1"/>
  <c r="F16" i="32"/>
  <c r="H16" i="32" s="1"/>
  <c r="F30" i="84"/>
  <c r="F30" i="32"/>
  <c r="H30" i="32" s="1"/>
  <c r="F29" i="32"/>
  <c r="H29" i="32" s="1"/>
  <c r="F29" i="84"/>
  <c r="H28" i="32"/>
  <c r="F26" i="32"/>
  <c r="H26" i="32" s="1"/>
  <c r="F26" i="84"/>
  <c r="F25" i="84"/>
  <c r="F25" i="32"/>
  <c r="H25" i="32" s="1"/>
  <c r="F38" i="84"/>
  <c r="F37" i="32"/>
  <c r="H37" i="32" s="1"/>
  <c r="F45" i="84"/>
  <c r="F43" i="32"/>
  <c r="H43" i="32" s="1"/>
  <c r="F20" i="32"/>
  <c r="F20" i="84"/>
  <c r="F32" i="32"/>
  <c r="H32" i="32" s="1"/>
  <c r="F11" i="84"/>
  <c r="F49" i="32"/>
  <c r="H49" i="32" s="1"/>
  <c r="G44" i="84" l="1"/>
  <c r="H44" i="84" s="1"/>
  <c r="I44" i="84" s="1"/>
  <c r="E33" i="32"/>
  <c r="H33" i="32" s="1"/>
  <c r="I33" i="32" s="1"/>
  <c r="D37" i="30" s="1"/>
  <c r="F37" i="30" s="1"/>
  <c r="N37" i="30" s="1"/>
  <c r="I44" i="32"/>
  <c r="D49" i="30" s="1"/>
  <c r="F49" i="30" s="1"/>
  <c r="H34" i="32"/>
  <c r="I34" i="32" s="1"/>
  <c r="E21" i="83" s="1"/>
  <c r="I45" i="32"/>
  <c r="E38" i="83" s="1"/>
  <c r="I46" i="32"/>
  <c r="D51" i="30" s="1"/>
  <c r="J51" i="30" s="1"/>
  <c r="D25" i="82" s="1"/>
  <c r="D47" i="30"/>
  <c r="E47" i="30" s="1"/>
  <c r="D20" i="82" s="1"/>
  <c r="I43" i="32"/>
  <c r="D48" i="30" s="1"/>
  <c r="F48" i="30" s="1"/>
  <c r="D30" i="82" s="1"/>
  <c r="I28" i="32"/>
  <c r="I32" i="32"/>
  <c r="D36" i="30" s="1"/>
  <c r="H36" i="30" s="1"/>
  <c r="D10" i="82" s="1"/>
  <c r="I27" i="32"/>
  <c r="D31" i="30" s="1"/>
  <c r="F31" i="30" s="1"/>
  <c r="E29" i="83"/>
  <c r="I29" i="32"/>
  <c r="D33" i="30" s="1"/>
  <c r="F33" i="30" s="1"/>
  <c r="D32" i="82"/>
  <c r="I12" i="32"/>
  <c r="E15" i="83" s="1"/>
  <c r="I14" i="32"/>
  <c r="E14" i="83" s="1"/>
  <c r="I25" i="32"/>
  <c r="D25" i="84" s="1"/>
  <c r="E25" i="84" s="1"/>
  <c r="G25" i="84" s="1"/>
  <c r="H25" i="84" s="1"/>
  <c r="I26" i="32"/>
  <c r="D30" i="30" s="1"/>
  <c r="K30" i="30" s="1"/>
  <c r="D37" i="82" s="1"/>
  <c r="I30" i="32"/>
  <c r="E20" i="83" s="1"/>
  <c r="I13" i="32"/>
  <c r="D17" i="30" s="1"/>
  <c r="K17" i="30" s="1"/>
  <c r="I17" i="32"/>
  <c r="D17" i="84" s="1"/>
  <c r="E17" i="84" s="1"/>
  <c r="G17" i="84" s="1"/>
  <c r="H17" i="84" s="1"/>
  <c r="I16" i="32"/>
  <c r="E13" i="83" s="1"/>
  <c r="I49" i="32"/>
  <c r="I51" i="32"/>
  <c r="I50" i="32"/>
  <c r="I37" i="32"/>
  <c r="I38" i="32"/>
  <c r="I39" i="32"/>
  <c r="D11" i="84"/>
  <c r="E11" i="84" s="1"/>
  <c r="G11" i="84" s="1"/>
  <c r="H11" i="84" s="1"/>
  <c r="D15" i="30"/>
  <c r="E15" i="30" s="1"/>
  <c r="E10" i="83"/>
  <c r="I15" i="32"/>
  <c r="D28" i="84"/>
  <c r="E28" i="84" s="1"/>
  <c r="G28" i="84" s="1"/>
  <c r="H28" i="84" s="1"/>
  <c r="D32" i="30"/>
  <c r="J32" i="30" s="1"/>
  <c r="D24" i="82" s="1"/>
  <c r="I18" i="32"/>
  <c r="E20" i="32"/>
  <c r="H20" i="32" s="1"/>
  <c r="I20" i="32" s="1"/>
  <c r="E21" i="32"/>
  <c r="H21" i="32" s="1"/>
  <c r="I21" i="32" s="1"/>
  <c r="D28" i="30"/>
  <c r="E28" i="30" s="1"/>
  <c r="D18" i="82" s="1"/>
  <c r="D24" i="84"/>
  <c r="E24" i="84" s="1"/>
  <c r="G24" i="84" s="1"/>
  <c r="H24" i="84" s="1"/>
  <c r="I24" i="84" s="1"/>
  <c r="E19" i="83"/>
  <c r="I19" i="32"/>
  <c r="I31" i="32"/>
  <c r="I11" i="84" l="1"/>
  <c r="D46" i="84"/>
  <c r="E46" i="84" s="1"/>
  <c r="G46" i="84" s="1"/>
  <c r="H46" i="84" s="1"/>
  <c r="I46" i="84" s="1"/>
  <c r="E37" i="83"/>
  <c r="F37" i="83" s="1"/>
  <c r="B3" i="73" s="1"/>
  <c r="D47" i="84"/>
  <c r="E47" i="84" s="1"/>
  <c r="G47" i="84" s="1"/>
  <c r="H47" i="84" s="1"/>
  <c r="I47" i="84" s="1"/>
  <c r="D48" i="84"/>
  <c r="E48" i="84" s="1"/>
  <c r="G48" i="84" s="1"/>
  <c r="H48" i="84" s="1"/>
  <c r="I48" i="84" s="1"/>
  <c r="E39" i="83"/>
  <c r="D50" i="30"/>
  <c r="F50" i="30" s="1"/>
  <c r="D12" i="84"/>
  <c r="E12" i="84" s="1"/>
  <c r="G12" i="84" s="1"/>
  <c r="H12" i="84" s="1"/>
  <c r="I12" i="84" s="1"/>
  <c r="D45" i="84"/>
  <c r="E45" i="84" s="1"/>
  <c r="G45" i="84" s="1"/>
  <c r="H45" i="84" s="1"/>
  <c r="I45" i="84" s="1"/>
  <c r="D33" i="84"/>
  <c r="E33" i="84" s="1"/>
  <c r="G33" i="84" s="1"/>
  <c r="D29" i="84"/>
  <c r="E29" i="84" s="1"/>
  <c r="G29" i="84" s="1"/>
  <c r="H29" i="84" s="1"/>
  <c r="I29" i="84" s="1"/>
  <c r="D32" i="84"/>
  <c r="E32" i="84" s="1"/>
  <c r="G32" i="84" s="1"/>
  <c r="H32" i="84" s="1"/>
  <c r="I32" i="84" s="1"/>
  <c r="E9" i="83"/>
  <c r="F11" i="83" s="1"/>
  <c r="D26" i="84"/>
  <c r="E26" i="84" s="1"/>
  <c r="G26" i="84" s="1"/>
  <c r="H26" i="84" s="1"/>
  <c r="I26" i="84" s="1"/>
  <c r="D38" i="30"/>
  <c r="E38" i="30" s="1"/>
  <c r="D16" i="84"/>
  <c r="E16" i="84" s="1"/>
  <c r="G16" i="84" s="1"/>
  <c r="H16" i="84" s="1"/>
  <c r="I16" i="84" s="1"/>
  <c r="D34" i="30"/>
  <c r="E34" i="30" s="1"/>
  <c r="D30" i="84"/>
  <c r="E30" i="84" s="1"/>
  <c r="G30" i="84" s="1"/>
  <c r="H30" i="84" s="1"/>
  <c r="I30" i="84" s="1"/>
  <c r="D16" i="30"/>
  <c r="F16" i="30" s="1"/>
  <c r="F72" i="30" s="1"/>
  <c r="F73" i="30" s="1"/>
  <c r="F74" i="30" s="1"/>
  <c r="D27" i="84"/>
  <c r="E27" i="84" s="1"/>
  <c r="G27" i="84" s="1"/>
  <c r="H27" i="84" s="1"/>
  <c r="I27" i="84" s="1"/>
  <c r="E23" i="83"/>
  <c r="F24" i="83" s="1"/>
  <c r="B4" i="72" s="1"/>
  <c r="E24" i="83"/>
  <c r="E26" i="83"/>
  <c r="D20" i="30"/>
  <c r="F20" i="30" s="1"/>
  <c r="D29" i="30"/>
  <c r="F29" i="30" s="1"/>
  <c r="D29" i="82" s="1"/>
  <c r="D21" i="30"/>
  <c r="E21" i="30" s="1"/>
  <c r="E25" i="83"/>
  <c r="D34" i="84"/>
  <c r="E34" i="84" s="1"/>
  <c r="G34" i="84" s="1"/>
  <c r="D13" i="84"/>
  <c r="E13" i="84" s="1"/>
  <c r="G13" i="84" s="1"/>
  <c r="H13" i="84" s="1"/>
  <c r="I13" i="84" s="1"/>
  <c r="D14" i="84"/>
  <c r="E14" i="84" s="1"/>
  <c r="G14" i="84" s="1"/>
  <c r="H14" i="84" s="1"/>
  <c r="I14" i="84" s="1"/>
  <c r="D18" i="30"/>
  <c r="F18" i="30" s="1"/>
  <c r="I17" i="84"/>
  <c r="D31" i="84"/>
  <c r="E31" i="84" s="1"/>
  <c r="G31" i="84" s="1"/>
  <c r="H31" i="84" s="1"/>
  <c r="I31" i="84" s="1"/>
  <c r="D35" i="30"/>
  <c r="I35" i="30" s="1"/>
  <c r="D14" i="82" s="1"/>
  <c r="I25" i="84"/>
  <c r="D52" i="84"/>
  <c r="E52" i="84" s="1"/>
  <c r="G52" i="84" s="1"/>
  <c r="H52" i="84" s="1"/>
  <c r="I52" i="84" s="1"/>
  <c r="E44" i="83"/>
  <c r="D55" i="30"/>
  <c r="F55" i="30" s="1"/>
  <c r="D31" i="82" s="1"/>
  <c r="D23" i="30"/>
  <c r="H23" i="30" s="1"/>
  <c r="D19" i="84"/>
  <c r="E19" i="84" s="1"/>
  <c r="G19" i="84" s="1"/>
  <c r="H19" i="84" s="1"/>
  <c r="I19" i="84" s="1"/>
  <c r="D20" i="84"/>
  <c r="E20" i="84" s="1"/>
  <c r="G20" i="84" s="1"/>
  <c r="D24" i="30"/>
  <c r="F24" i="30" s="1"/>
  <c r="N24" i="30" s="1"/>
  <c r="E16" i="83"/>
  <c r="D15" i="84"/>
  <c r="E15" i="84" s="1"/>
  <c r="G15" i="84" s="1"/>
  <c r="H15" i="84" s="1"/>
  <c r="I15" i="84" s="1"/>
  <c r="D19" i="30"/>
  <c r="J19" i="30" s="1"/>
  <c r="D40" i="84"/>
  <c r="E40" i="84" s="1"/>
  <c r="G40" i="84" s="1"/>
  <c r="H40" i="84" s="1"/>
  <c r="D43" i="30"/>
  <c r="F43" i="30" s="1"/>
  <c r="E32" i="83"/>
  <c r="D36" i="82"/>
  <c r="K72" i="30"/>
  <c r="K73" i="30" s="1"/>
  <c r="K74" i="30" s="1"/>
  <c r="D21" i="84"/>
  <c r="E21" i="84" s="1"/>
  <c r="G21" i="84" s="1"/>
  <c r="D25" i="30"/>
  <c r="E25" i="30" s="1"/>
  <c r="E11" i="83"/>
  <c r="D18" i="84"/>
  <c r="E18" i="84" s="1"/>
  <c r="G18" i="84" s="1"/>
  <c r="H18" i="84" s="1"/>
  <c r="I18" i="84" s="1"/>
  <c r="D22" i="30"/>
  <c r="I22" i="30" s="1"/>
  <c r="D17" i="82"/>
  <c r="E72" i="30"/>
  <c r="E73" i="30" s="1"/>
  <c r="E74" i="30" s="1"/>
  <c r="F16" i="83"/>
  <c r="F13" i="83"/>
  <c r="B3" i="70" s="1"/>
  <c r="F15" i="83"/>
  <c r="B5" i="70" s="1"/>
  <c r="F14" i="83"/>
  <c r="B4" i="70" s="1"/>
  <c r="D39" i="84"/>
  <c r="E39" i="84" s="1"/>
  <c r="G39" i="84" s="1"/>
  <c r="H39" i="84" s="1"/>
  <c r="D42" i="30"/>
  <c r="F42" i="30" s="1"/>
  <c r="E34" i="83"/>
  <c r="D53" i="84"/>
  <c r="E53" i="84" s="1"/>
  <c r="G53" i="84" s="1"/>
  <c r="H53" i="84" s="1"/>
  <c r="D56" i="30"/>
  <c r="F56" i="30" s="1"/>
  <c r="E43" i="83"/>
  <c r="F29" i="83"/>
  <c r="F19" i="83"/>
  <c r="B3" i="71" s="1"/>
  <c r="F21" i="83"/>
  <c r="F20" i="83"/>
  <c r="B4" i="71" s="1"/>
  <c r="I28" i="84"/>
  <c r="D38" i="84"/>
  <c r="E38" i="84" s="1"/>
  <c r="G38" i="84" s="1"/>
  <c r="H38" i="84" s="1"/>
  <c r="I38" i="84" s="1"/>
  <c r="D41" i="30"/>
  <c r="F41" i="30" s="1"/>
  <c r="D33" i="82" s="1"/>
  <c r="E33" i="83"/>
  <c r="D54" i="84"/>
  <c r="E54" i="84" s="1"/>
  <c r="G54" i="84" s="1"/>
  <c r="H54" i="84" s="1"/>
  <c r="D57" i="30"/>
  <c r="F57" i="30" s="1"/>
  <c r="E45" i="83"/>
  <c r="F38" i="83" l="1"/>
  <c r="B4" i="73" s="1"/>
  <c r="F39" i="83"/>
  <c r="B5" i="73" s="1"/>
  <c r="B5" i="71"/>
  <c r="F14" i="114"/>
  <c r="B6" i="70"/>
  <c r="F10" i="114"/>
  <c r="B5" i="69"/>
  <c r="F9" i="114"/>
  <c r="O37" i="30"/>
  <c r="F10" i="83"/>
  <c r="B4" i="69" s="1"/>
  <c r="F9" i="83"/>
  <c r="B3" i="69" s="1"/>
  <c r="H34" i="84"/>
  <c r="I34" i="84" s="1"/>
  <c r="H33" i="84"/>
  <c r="I33" i="84" s="1"/>
  <c r="D28" i="82"/>
  <c r="E29" i="82" s="1"/>
  <c r="F23" i="83"/>
  <c r="B3" i="72" s="1"/>
  <c r="F26" i="83"/>
  <c r="F25" i="83"/>
  <c r="B5" i="72" s="1"/>
  <c r="I54" i="84"/>
  <c r="I53" i="84"/>
  <c r="F34" i="83"/>
  <c r="B5" i="68" s="1"/>
  <c r="F32" i="83"/>
  <c r="B3" i="68" s="1"/>
  <c r="F33" i="83"/>
  <c r="B4" i="68" s="1"/>
  <c r="I39" i="84"/>
  <c r="D9" i="82"/>
  <c r="H72" i="30"/>
  <c r="H73" i="30" s="1"/>
  <c r="H74" i="30" s="1"/>
  <c r="F45" i="83"/>
  <c r="B5" i="74" s="1"/>
  <c r="F43" i="83"/>
  <c r="B3" i="74" s="1"/>
  <c r="F44" i="83"/>
  <c r="B4" i="74" s="1"/>
  <c r="E37" i="82"/>
  <c r="B3" i="67" s="1"/>
  <c r="E36" i="82"/>
  <c r="B4" i="67" s="1"/>
  <c r="I40" i="84"/>
  <c r="E17" i="82"/>
  <c r="E20" i="82"/>
  <c r="B3" i="63" s="1"/>
  <c r="E19" i="82"/>
  <c r="B4" i="63" s="1"/>
  <c r="E18" i="82"/>
  <c r="D13" i="82"/>
  <c r="I72" i="30"/>
  <c r="I73" i="30" s="1"/>
  <c r="I74" i="30" s="1"/>
  <c r="D23" i="82"/>
  <c r="J72" i="30"/>
  <c r="J73" i="30" s="1"/>
  <c r="J74" i="30" s="1"/>
  <c r="H21" i="84"/>
  <c r="I21" i="84" s="1"/>
  <c r="H20" i="84"/>
  <c r="I20" i="84" s="1"/>
  <c r="E33" i="82" l="1"/>
  <c r="B3" i="66" s="1"/>
  <c r="B6" i="63"/>
  <c r="E9" i="114"/>
  <c r="H9" i="114" s="1"/>
  <c r="I9" i="114" s="1"/>
  <c r="B3" i="112" s="1"/>
  <c r="B6" i="72"/>
  <c r="F15" i="114"/>
  <c r="B5" i="66"/>
  <c r="E15" i="114"/>
  <c r="B5" i="63"/>
  <c r="E14" i="114"/>
  <c r="H14" i="114" s="1"/>
  <c r="I14" i="114" s="1"/>
  <c r="B3" i="113" s="1"/>
  <c r="Q37" i="30"/>
  <c r="P37" i="30"/>
  <c r="R37" i="30"/>
  <c r="O24" i="30"/>
  <c r="E31" i="82"/>
  <c r="B7" i="66" s="1"/>
  <c r="E28" i="82"/>
  <c r="E32" i="82"/>
  <c r="B8" i="66" s="1"/>
  <c r="E30" i="82"/>
  <c r="B6" i="66" s="1"/>
  <c r="L19" i="28" a="1"/>
  <c r="L19" i="28" s="1"/>
  <c r="M19" i="28" s="1"/>
  <c r="E14" i="82"/>
  <c r="B4" i="62" s="1"/>
  <c r="E13" i="82"/>
  <c r="B3" i="62" s="1"/>
  <c r="E23" i="82"/>
  <c r="B3" i="64" s="1"/>
  <c r="E25" i="82"/>
  <c r="B5" i="64" s="1"/>
  <c r="E24" i="82"/>
  <c r="B4" i="64" s="1"/>
  <c r="E9" i="82"/>
  <c r="B3" i="21" s="1"/>
  <c r="E10" i="82"/>
  <c r="B4" i="21" s="1"/>
  <c r="H15" i="114" l="1"/>
  <c r="H16" i="114" s="1"/>
  <c r="I16" i="114" s="1"/>
  <c r="B4" i="66"/>
  <c r="E10" i="114"/>
  <c r="H10" i="114" s="1"/>
  <c r="P24" i="30"/>
  <c r="Q24" i="30"/>
  <c r="R24" i="30"/>
  <c r="L25" i="28"/>
  <c r="M25" i="28" s="1"/>
  <c r="L24" i="28"/>
  <c r="M24" i="28" s="1"/>
  <c r="L23" i="28"/>
  <c r="M23" i="28" s="1"/>
  <c r="L22" i="28"/>
  <c r="M22" i="28" s="1"/>
  <c r="L21" i="28"/>
  <c r="L20" i="28"/>
  <c r="M20" i="28" s="1"/>
  <c r="I15" i="114" l="1"/>
  <c r="B4" i="113" s="1"/>
  <c r="B5" i="113" s="1"/>
  <c r="I10" i="114"/>
  <c r="B4" i="112" s="1"/>
  <c r="B5" i="112" s="1"/>
  <c r="H11" i="114"/>
  <c r="I11" i="114" s="1"/>
</calcChain>
</file>

<file path=xl/sharedStrings.xml><?xml version="1.0" encoding="utf-8"?>
<sst xmlns="http://schemas.openxmlformats.org/spreadsheetml/2006/main" count="1308" uniqueCount="929">
  <si>
    <t>Changelog</t>
  </si>
  <si>
    <t>Document</t>
  </si>
  <si>
    <t>Version #</t>
  </si>
  <si>
    <t>Date</t>
  </si>
  <si>
    <t>Author</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</si>
  <si>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</si>
  <si>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</si>
  <si>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</si>
  <si>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</si>
  <si>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</si>
  <si>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</si>
  <si>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</si>
  <si>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</si>
  <si>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</si>
  <si>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</si>
  <si>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</si>
  <si>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</si>
  <si>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</si>
  <si>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</si>
  <si>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</si>
  <si>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</si>
  <si>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</si>
  <si>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</si>
  <si>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</si>
  <si>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</si>
  <si>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</si>
  <si>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</si>
  <si>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</si>
  <si>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</si>
  <si>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</si>
  <si>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</si>
  <si>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</si>
  <si>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</si>
  <si>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</si>
  <si>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</si>
  <si>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</si>
  <si>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</si>
  <si>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</si>
  <si>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</si>
  <si>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</si>
  <si>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</si>
  <si>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</si>
  <si>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</si>
  <si>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</si>
  <si>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</si>
  <si>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</si>
  <si>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</si>
  <si>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</si>
  <si>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</si>
  <si>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</si>
  <si>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</si>
  <si>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</si>
  <si>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</si>
  <si>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</si>
  <si>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</si>
  <si>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</si>
  <si>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</si>
  <si>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</si>
  <si>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</si>
  <si>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</si>
  <si>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</si>
  <si>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</si>
  <si>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</si>
  <si>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</si>
  <si>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</si>
  <si>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</si>
  <si>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</si>
  <si>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</si>
  <si>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</si>
  <si>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</si>
  <si>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</si>
  <si>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</si>
  <si>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</si>
  <si>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</si>
  <si>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</si>
  <si>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</si>
  <si>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</si>
  <si>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</si>
  <si>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</si>
  <si>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</si>
  <si>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</si>
  <si>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</si>
  <si>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</si>
  <si>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</si>
  <si>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</si>
  <si>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</si>
  <si>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</si>
  <si>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</si>
  <si>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</si>
  <si>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</si>
  <si>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</si>
  <si>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</si>
  <si>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</si>
  <si>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</si>
  <si>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</si>
  <si>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</si>
  <si>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</si>
  <si>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</si>
  <si>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</si>
  <si>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</si>
  <si>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</si>
  <si>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</si>
  <si>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</si>
  <si>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</si>
  <si>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</si>
  <si>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</si>
  <si>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</si>
  <si>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</si>
  <si>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</si>
  <si>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</si>
  <si>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</si>
  <si>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</si>
  <si>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</si>
  <si>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</si>
  <si>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</si>
  <si>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</si>
  <si>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</si>
  <si>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</si>
  <si>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</si>
  <si>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</si>
  <si>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</si>
  <si>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</si>
  <si>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</si>
  <si>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</si>
  <si>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</si>
  <si>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</si>
  <si>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</si>
  <si>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</si>
  <si>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</si>
  <si>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</si>
  <si>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</si>
  <si>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</si>
  <si>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</si>
  <si>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</si>
  <si>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</si>
  <si>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</si>
  <si>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</si>
  <si>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</si>
  <si>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</si>
  <si>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</si>
  <si>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</si>
  <si>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</si>
  <si>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</si>
  <si>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</si>
  <si>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</si>
  <si>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</si>
  <si>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</si>
  <si>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</si>
  <si>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</si>
  <si>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</si>
  <si>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</si>
  <si>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</si>
  <si>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</si>
  <si>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</si>
  <si>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</si>
  <si>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</si>
  <si>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</si>
  <si>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</si>
  <si>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</si>
  <si>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</si>
  <si>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</si>
  <si>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</si>
  <si>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</si>
  <si>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</si>
  <si>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</si>
  <si>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</si>
  <si>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</si>
  <si>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</si>
  <si>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</si>
  <si>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</si>
  <si>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</si>
  <si>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</si>
  <si>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</si>
  <si>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</si>
  <si>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</si>
  <si>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</si>
  <si>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</si>
  <si>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</si>
  <si>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</si>
  <si>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</si>
  <si>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</si>
  <si>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</si>
  <si>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</si>
  <si>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</si>
  <si>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</si>
  <si>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</si>
  <si>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</si>
  <si>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</si>
  <si>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</si>
  <si>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</si>
  <si>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</si>
  <si>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</si>
  <si>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</si>
  <si>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</si>
  <si>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</si>
  <si>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</si>
  <si>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</si>
  <si>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</si>
  <si>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</si>
  <si>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</si>
  <si>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</si>
  <si>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</si>
  <si>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</si>
  <si>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</si>
  <si>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</si>
  <si>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</si>
  <si>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</si>
  <si>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</si>
  <si>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</si>
  <si>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</si>
  <si>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</si>
  <si>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</si>
  <si>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</si>
  <si>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</si>
  <si>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</si>
  <si>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</si>
  <si>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</si>
  <si>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</si>
  <si>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</si>
  <si>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</si>
  <si>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</si>
  <si>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</si>
  <si>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</si>
  <si>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</si>
  <si>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</si>
  <si>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</si>
  <si>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</si>
  <si>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</si>
  <si>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</si>
  <si>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</si>
  <si>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</si>
  <si>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</si>
  <si>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</si>
  <si>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</si>
  <si>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</si>
  <si>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</si>
  <si>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</si>
  <si>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</si>
  <si>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</si>
  <si>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</si>
  <si>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</si>
  <si>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</si>
  <si>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</si>
  <si>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</si>
  <si>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</si>
  <si>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</si>
  <si>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</si>
  <si>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</si>
  <si>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</si>
  <si>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</si>
  <si>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</si>
  <si>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</si>
  <si>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households_space_heater_electricity</t>
  </si>
  <si>
    <t>households_space_heater_heatpump_air_water_electricity</t>
  </si>
  <si>
    <t>households_space_heater_heatpump_ground_water_electricity</t>
  </si>
  <si>
    <t>households_water_heater_combined_network_gas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</si>
  <si>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</si>
  <si>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</si>
  <si>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</si>
  <si>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</si>
  <si>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</si>
  <si>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</si>
  <si>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</si>
  <si>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</si>
  <si>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</si>
  <si>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</si>
  <si>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</si>
  <si>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</si>
  <si>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</si>
  <si>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</si>
  <si>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</si>
  <si>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</si>
  <si>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</si>
  <si>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</si>
  <si>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</si>
  <si>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</si>
  <si>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</si>
  <si>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</si>
  <si>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</si>
  <si>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</si>
  <si>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</si>
  <si>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</si>
  <si>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</si>
  <si>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</si>
  <si>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</si>
  <si>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Percentage of heat delivered by Gas-fired Heaters</t>
  </si>
  <si>
    <t>Percentage of heat delivered by Oil-fired Heaters</t>
  </si>
  <si>
    <t>Percentage of heat delivered by Coal-fired Heaters</t>
  </si>
  <si>
    <t>households_useful_demand_for_hot_water_for_houses_with_add_on</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</si>
  <si>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</si>
  <si>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</si>
  <si>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</si>
  <si>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</si>
  <si>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</si>
  <si>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</si>
  <si>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</si>
  <si>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</si>
  <si>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</si>
  <si>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</si>
  <si>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</si>
  <si>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</si>
  <si>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</si>
  <si>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</si>
  <si>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Percentage of electricity in appliances used in Fridges / Freezers</t>
  </si>
  <si>
    <t>Percentage of electricity in appliances used in Washing Machines</t>
  </si>
  <si>
    <t>Percentage of electricity in appliances used in Dryers</t>
  </si>
  <si>
    <t>Country</t>
  </si>
  <si>
    <t>Year data</t>
  </si>
  <si>
    <t>Eff_space_heating_combi_boiler</t>
  </si>
  <si>
    <t>Eff_space_heating_pump_ground</t>
  </si>
  <si>
    <t>Eff_space_heating_district</t>
  </si>
  <si>
    <t>Eff_space_heating_pump_air</t>
  </si>
  <si>
    <t>Eff_space_heating_woodpellets</t>
  </si>
  <si>
    <t>Eff_space_heating_electric</t>
  </si>
  <si>
    <t>Eff_space_heating_gas</t>
  </si>
  <si>
    <t>Eff_space_heating_oil</t>
  </si>
  <si>
    <t>Eff_space_heating_coal</t>
  </si>
  <si>
    <t>Eff_hot_water_combi_boiler</t>
  </si>
  <si>
    <t>Eff_hot_water_pump_ground</t>
  </si>
  <si>
    <t>Eff_hot_water_district</t>
  </si>
  <si>
    <t>Eff_hot_water_pump_air</t>
  </si>
  <si>
    <t>Eff_hot_water_woodpellets</t>
  </si>
  <si>
    <t>Eff_hot_water_electric</t>
  </si>
  <si>
    <t>Eff_hot_water_gas</t>
  </si>
  <si>
    <t>Eff_hot_water_oil</t>
  </si>
  <si>
    <t>Eff_hot_water_coal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</si>
  <si>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</si>
  <si>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</si>
  <si>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</si>
  <si>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</si>
  <si>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</si>
  <si>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</si>
  <si>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</si>
  <si>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</si>
  <si>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</si>
  <si>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</si>
  <si>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</si>
  <si>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</si>
  <si>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</si>
  <si>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</si>
  <si>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</si>
  <si>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</si>
  <si>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</si>
  <si>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</si>
  <si>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</si>
  <si>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</si>
  <si>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</si>
  <si>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</si>
  <si>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</si>
  <si>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</si>
  <si>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</si>
  <si>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</si>
  <si>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</si>
  <si>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</si>
  <si>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</si>
  <si>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</si>
  <si>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</si>
  <si>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</si>
  <si>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</si>
  <si>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</si>
  <si>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</si>
  <si>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</si>
  <si>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</si>
  <si>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</si>
  <si>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</si>
  <si>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</si>
  <si>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</si>
  <si>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</si>
  <si>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</si>
  <si>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</si>
  <si>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</si>
  <si>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</si>
  <si>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</si>
  <si>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</si>
  <si>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</si>
  <si>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</si>
  <si>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</si>
  <si>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</si>
  <si>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</si>
  <si>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</si>
  <si>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</si>
  <si>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</si>
  <si>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</si>
  <si>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</si>
  <si>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</si>
  <si>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</si>
  <si>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</si>
  <si>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</si>
  <si>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</si>
  <si>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</si>
  <si>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</si>
  <si>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</si>
  <si>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District Heating (hot water)</t>
  </si>
  <si>
    <t>District Heating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</si>
  <si>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</si>
  <si>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</si>
  <si>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</si>
  <si>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</si>
  <si>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</si>
  <si>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</si>
  <si>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</si>
  <si>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</si>
  <si>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</si>
  <si>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</si>
  <si>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</si>
  <si>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</si>
  <si>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</si>
  <si>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</si>
  <si>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</si>
  <si>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</si>
  <si>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</si>
  <si>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</si>
  <si>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</si>
  <si>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</si>
  <si>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</si>
  <si>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</si>
  <si>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</si>
  <si>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</si>
  <si>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</si>
  <si>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</si>
  <si>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</si>
  <si>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</si>
  <si>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</si>
  <si>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</si>
  <si>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</si>
  <si>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</si>
  <si>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</si>
  <si>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</si>
  <si>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</si>
  <si>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</si>
  <si>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</si>
  <si>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</si>
  <si>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</si>
  <si>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</si>
  <si>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</si>
  <si>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Percentage of useful demand delivered per technology (Dashboard input)</t>
  </si>
  <si>
    <t>Percentage of final demand converted per technology</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</si>
  <si>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</si>
  <si>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</si>
  <si>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</si>
  <si>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</si>
  <si>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</si>
  <si>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</si>
  <si>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</si>
  <si>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</si>
  <si>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</si>
  <si>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</si>
  <si>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</si>
  <si>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</si>
  <si>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</si>
  <si>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</si>
  <si>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</si>
  <si>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</si>
  <si>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</si>
  <si>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</si>
  <si>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</si>
  <si>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</si>
  <si>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</si>
  <si>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</si>
  <si>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</si>
  <si>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</si>
  <si>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</si>
  <si>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</si>
  <si>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</si>
  <si>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A CSV-file with a converter output share (parent_share)</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</si>
  <si>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</si>
  <si>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</si>
  <si>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</si>
  <si>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</si>
  <si>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</si>
  <si>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</si>
  <si>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</si>
  <si>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</si>
  <si>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</si>
  <si>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</si>
  <si>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</si>
  <si>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</si>
  <si>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</si>
  <si>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</si>
  <si>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</si>
  <si>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</si>
  <si>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</si>
  <si>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</si>
  <si>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</si>
  <si>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</si>
  <si>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</si>
  <si>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</si>
  <si>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</si>
  <si>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</si>
  <si>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</si>
  <si>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</si>
  <si>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</si>
  <si>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</si>
  <si>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</si>
  <si>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</si>
  <si>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</si>
  <si>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</si>
  <si>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</si>
  <si>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</si>
  <si>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</si>
  <si>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</si>
  <si>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</si>
  <si>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</si>
  <si>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</si>
  <si>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</si>
  <si>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</si>
  <si>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</si>
  <si>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</si>
  <si>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</si>
  <si>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</si>
  <si>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</si>
  <si>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</si>
  <si>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</si>
  <si>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</si>
  <si>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</si>
  <si>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</si>
  <si>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</si>
  <si>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</si>
  <si>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</si>
  <si>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</si>
  <si>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</si>
  <si>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</si>
  <si>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</si>
  <si>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</si>
  <si>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</si>
  <si>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</si>
  <si>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</si>
  <si>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</si>
  <si>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</si>
  <si>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</si>
  <si>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</si>
  <si>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</si>
  <si>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</si>
  <si>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</si>
  <si>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</si>
  <si>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</si>
  <si>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</si>
  <si>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</si>
  <si>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</si>
  <si>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</si>
  <si>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</si>
  <si>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</si>
  <si>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</si>
  <si>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</si>
  <si>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</si>
  <si>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</si>
  <si>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</si>
  <si>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residences_percentage_space_heating_heat_pump_ground</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</si>
  <si>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</si>
  <si>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</si>
  <si>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</si>
  <si>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</si>
  <si>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</si>
  <si>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</si>
  <si>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</si>
  <si>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residences_percentage_hot_water_combi_boiiler</t>
  </si>
  <si>
    <t>residences_percentage_hot_water_heat_pump_ground</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</si>
  <si>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</si>
  <si>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</si>
  <si>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</si>
  <si>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</si>
  <si>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</si>
  <si>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</si>
  <si>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</si>
  <si>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</si>
  <si>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</si>
  <si>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</si>
  <si>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</si>
  <si>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</si>
  <si>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</si>
  <si>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</si>
  <si>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</si>
  <si>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</si>
  <si>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</si>
  <si>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</si>
  <si>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</si>
  <si>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</si>
  <si>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</si>
  <si>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</si>
  <si>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</si>
  <si>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</si>
  <si>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</si>
  <si>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</si>
  <si>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</si>
  <si>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</si>
  <si>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</si>
  <si>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</si>
  <si>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</si>
  <si>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</si>
  <si>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</si>
  <si>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</si>
  <si>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</si>
  <si>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</si>
  <si>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</si>
  <si>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</si>
  <si>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</si>
  <si>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</si>
  <si>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</si>
  <si>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</si>
  <si>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</si>
  <si>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</si>
  <si>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</si>
  <si>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</si>
  <si>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</si>
  <si>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</si>
  <si>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</si>
  <si>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</si>
  <si>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</si>
  <si>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</si>
  <si>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</si>
  <si>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</si>
  <si>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</si>
  <si>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</si>
  <si>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</si>
  <si>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</si>
  <si>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</si>
  <si>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</si>
  <si>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</si>
  <si>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</si>
  <si>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</si>
  <si>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</si>
  <si>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Added parent_share that fixes problem in the graph https://github.com/quintel/refinery/issues/37</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</si>
  <si>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</si>
  <si>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</si>
  <si>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</si>
  <si>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</si>
  <si>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</si>
  <si>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</si>
  <si>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</si>
  <si>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</si>
  <si>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</si>
  <si>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</si>
  <si>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</si>
  <si>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</si>
  <si>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</si>
  <si>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Technology split final demand</t>
  </si>
  <si>
    <t>Corrected cell links in Applications Shares</t>
  </si>
  <si>
    <t>District Heat (steam_hot_water)</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</si>
  <si>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</si>
  <si>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</si>
  <si>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</si>
  <si>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</si>
  <si>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</si>
  <si>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</si>
  <si>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</si>
  <si>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</si>
  <si>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</si>
  <si>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</si>
  <si>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</si>
  <si>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</si>
  <si>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</si>
  <si>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Changed the way that the useful demand in heating/cooling share is calculated, regarding the old/new houses split</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</si>
  <si>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</si>
  <si>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</si>
  <si>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</si>
  <si>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</si>
  <si>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</si>
  <si>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</si>
  <si>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</si>
  <si>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</si>
  <si>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</si>
  <si>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</si>
  <si>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households_space_heater_heatpump_ground_water_electricity.converter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</si>
  <si>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</si>
  <si>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</si>
  <si>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</si>
  <si>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</si>
  <si>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</si>
  <si>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</si>
  <si>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households_water_heater_combined_network_gas.converter</t>
  </si>
  <si>
    <t>households_water_heater_heatpump_ground_water_electricity.converter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</si>
  <si>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</si>
  <si>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</si>
  <si>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</si>
  <si>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</si>
  <si>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</si>
  <si>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</si>
  <si>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</si>
  <si>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</si>
  <si>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</si>
  <si>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</si>
  <si>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</si>
  <si>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</si>
  <si>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</si>
  <si>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</si>
  <si>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</si>
  <si>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</si>
  <si>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</si>
  <si>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</si>
  <si>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made Average R-value of a typical old/new residences a fixed dashboard input (it is an assumption)</t>
  </si>
  <si>
    <t xml:space="preserve">The 'average R-value of a typical old/new residence' is hard-coded in the Dashboard. </t>
  </si>
  <si>
    <t>Source analsysis by Quintel, Chael Kruip</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</si>
  <si>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</si>
  <si>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</si>
  <si>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</si>
  <si>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</si>
  <si>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</si>
  <si>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</si>
  <si>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</si>
  <si>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</si>
  <si>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removing sheets with edges and nodes</t>
  </si>
  <si>
    <t>Remaining final energy, not accounted for in the calculation of shares.</t>
  </si>
  <si>
    <t>reworking checks and layout on dashboard</t>
  </si>
  <si>
    <t xml:space="preserve">Final energy demand for </t>
  </si>
  <si>
    <t>Condensing Combi Boiler</t>
  </si>
  <si>
    <t>District Heating</t>
  </si>
  <si>
    <t>electricity-driven Heat pump (air)</t>
  </si>
  <si>
    <t>woodpellets (biomass) heaters</t>
  </si>
  <si>
    <t>Electric Heaters (resistance)</t>
  </si>
  <si>
    <t>Gas-fired Heaters</t>
  </si>
  <si>
    <t>Oil-fired Heaters</t>
  </si>
  <si>
    <t>Coal-fired Heaters</t>
  </si>
  <si>
    <t>District heating</t>
  </si>
  <si>
    <t>woodpellets (biomass) stoves</t>
  </si>
  <si>
    <t>Electric heaters (resistance)</t>
  </si>
  <si>
    <t>Gas-fired heaters</t>
  </si>
  <si>
    <t>Oil-fired heaters</t>
  </si>
  <si>
    <t>Coal-fired heaters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</si>
  <si>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</si>
  <si>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</si>
  <si>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</si>
  <si>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</si>
  <si>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</si>
  <si>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</si>
  <si>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</si>
  <si>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</si>
  <si>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</si>
  <si>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</si>
  <si>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</si>
  <si>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</si>
  <si>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</si>
  <si>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</si>
  <si>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</si>
  <si>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</si>
  <si>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improved text of intro sheet</t>
  </si>
  <si>
    <t>export_to_area_analysis</t>
  </si>
  <si>
    <t>value</t>
  </si>
  <si>
    <t xml:space="preserve">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</si>
  <si>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May 23, 2014</t>
  </si>
  <si>
    <t>Increased robustness of technology share calculation if the energy input of a whole share group is zero. An IF statement is used to avoid #DIV/0! errors</t>
  </si>
  <si>
    <t>Increased robustness of aplication share calculation if the energy input of a whole share group is zero. An IF statement is used to avoid #DIV/0! errors</t>
  </si>
  <si>
    <t>May 29, 2014</t>
  </si>
  <si>
    <t>June 3, 2014</t>
  </si>
  <si>
    <t>Correct misstake in application share calculation for district heat</t>
  </si>
  <si>
    <t>electricity-driven heat pump (air)</t>
  </si>
  <si>
    <t>households_space_heater_hybrid_heatpump_air_water_electricity.converter</t>
  </si>
  <si>
    <t>households_space_heater_hybrid_heatpump_air_water_electricity</t>
  </si>
  <si>
    <t>Hybrid heatpump</t>
  </si>
  <si>
    <t>Eff_space_heating_hhp_heatpump</t>
  </si>
  <si>
    <t>input.network_gas</t>
  </si>
  <si>
    <t>network gas input</t>
  </si>
  <si>
    <t>Percentage of useful demand delivered per subtechnology (same as column D except for HHP)</t>
  </si>
  <si>
    <t>Hybrid Heatpump, Gas part (space heating)</t>
  </si>
  <si>
    <t>Hybrid heatpump, gas part (space heating)</t>
  </si>
  <si>
    <t>Hybrid heatpump, heatpump part (space heating)</t>
  </si>
  <si>
    <t>Useful demand created per subtechnology (same as column H, except for HHP) (TJ)</t>
  </si>
  <si>
    <t>residences_percentage_space_heating_hybrid_heatpump</t>
  </si>
  <si>
    <t>Hybrid Heatpump, Heatpump part (space heating)</t>
  </si>
  <si>
    <t/>
  </si>
  <si>
    <t>Hybrid heatpump, heatpump part (hot water)</t>
  </si>
  <si>
    <t>Hybrid heatpump, gas part (hot water)</t>
  </si>
  <si>
    <t>households_water_heater_hybrid_heatpump_air_water_electricity.converter</t>
  </si>
  <si>
    <t>Eff_space_heating_hhp_gas</t>
  </si>
  <si>
    <t>Eff_hot_water_hhp_heatpump</t>
  </si>
  <si>
    <t>Eff_hot_water_hhp_gas</t>
  </si>
  <si>
    <t>residences_percentage_hot_water_hybrid_heatpump</t>
  </si>
  <si>
    <t>households_water_heater_hybrid_heatpump_air_water_electricity</t>
  </si>
  <si>
    <t>December 4, 2015</t>
  </si>
  <si>
    <t xml:space="preserve">Added hybrid heatpump to this analysis (results exported in heating_network_gas, heating_electricity, water_network_gas and water_electricity csv's), deleted heatpump_add_on csv </t>
  </si>
  <si>
    <t>heat efficiency gas subtechnology</t>
  </si>
  <si>
    <t>output.useable_heat.network_gas</t>
  </si>
  <si>
    <t>UD share network_gas</t>
  </si>
  <si>
    <t>November 5, 2018</t>
  </si>
  <si>
    <t>Housing stock</t>
  </si>
  <si>
    <t>No longer relevant</t>
  </si>
  <si>
    <t>Extended housing stock division. Before it was old/new, now the housing stock can be divided in five housing types. Removed solar thermal for space heating, removed micro CHP, fuel cell for space heating and hot water</t>
  </si>
  <si>
    <t>Set average heat demand per house type. This determines the UD space heating split to different housing types.</t>
  </si>
  <si>
    <t>Electric Heat Pump (ground)</t>
  </si>
  <si>
    <t>Electric Heat Pump  (ground)</t>
  </si>
  <si>
    <t>Final demand for ambient_heat</t>
  </si>
  <si>
    <t>COP</t>
  </si>
  <si>
    <t>input.ambient_heat</t>
  </si>
  <si>
    <t>Total demand HHP</t>
  </si>
  <si>
    <t>CALCULATING INPUT SHARES FOR HYBRID HEAT PUMP NODES</t>
  </si>
  <si>
    <t>households_space_heater_hybrid_heatpump_air_water_electricity_efficiency</t>
  </si>
  <si>
    <t>households_water_heater_hybrid_heatpump_air_water_electricity_efficiency</t>
  </si>
  <si>
    <t>input electricity</t>
  </si>
  <si>
    <t>input network gas</t>
  </si>
  <si>
    <t>July 6, 2021</t>
  </si>
  <si>
    <t>HHP fix by Marlieke Verweij. We had troubles with the formerly fixed input shares in HHPs. Therefore, we have made these input shares for HHPs dynamic: they can now be set per dataset. For this change, I have added hard-coded input shares for HHPs to 'technical_specs' tab, sbecause this analysis needs the input shares as input. For NL2015 and other country datasets these hard -coded shares have been used. I have also added two new csv-files where the input shares are calculated for HHPs in households.</t>
  </si>
  <si>
    <t>HARDCODED (see issue in Changelog)</t>
  </si>
  <si>
    <t>HHP input shares</t>
  </si>
  <si>
    <t>We had troubles with the formerly fixed input shares in HHPs in households. Therefore, we have made these input shares for HHPs dynamic: they can now be set per dataset. For this change, I have added hard-coded input shares for HHPs to 'technical_specs' tab, sbecause this analysis needs the input shares as input. For NL2015 and other country datasets these hard -coded shares have been used. I have also added two new csv-files where the input shares are calculated for HHPs in households.</t>
  </si>
  <si>
    <t>Ambient heat</t>
  </si>
  <si>
    <t>HHP space heating</t>
  </si>
  <si>
    <t>HHP hot water</t>
  </si>
  <si>
    <t>Final demand households [energy balance]</t>
  </si>
  <si>
    <t>Share to space heating</t>
  </si>
  <si>
    <t>Share to hot water</t>
  </si>
  <si>
    <t>Share to HHP space heating</t>
  </si>
  <si>
    <t>Share to HHP hot water</t>
  </si>
  <si>
    <t>Final demand for HHP</t>
  </si>
  <si>
    <t>Input shares HHP node</t>
  </si>
  <si>
    <t>eu</t>
  </si>
  <si>
    <t>Mathijs Bijkerk</t>
  </si>
  <si>
    <t>November 23, 2023</t>
  </si>
  <si>
    <t>nl</t>
  </si>
  <si>
    <t>Removed solar thermal child share for hot water in households.</t>
  </si>
  <si>
    <t>Quintel</t>
  </si>
  <si>
    <t>csv_hot_water_hhp_efficiencies</t>
  </si>
  <si>
    <t>Number of residences</t>
  </si>
  <si>
    <t>#</t>
  </si>
  <si>
    <t>residences_number_of_apartments_before_1945</t>
  </si>
  <si>
    <t>residences_number_of_apartments_1945_1964</t>
  </si>
  <si>
    <t>residences_number_of_apartments_1965_1984</t>
  </si>
  <si>
    <t>residences_number_of_apartments_1985_2004</t>
  </si>
  <si>
    <t>residences_number_of_apartments_2005_present</t>
  </si>
  <si>
    <t>residences_number_of_detached_houses_before_1945</t>
  </si>
  <si>
    <t>residences_number_of_detached_houses_1945_1964</t>
  </si>
  <si>
    <t>residences_number_of_detached_houses_1965_1984</t>
  </si>
  <si>
    <t>residences_number_of_detached_houses_1985_2004</t>
  </si>
  <si>
    <t>residences_number_of_detached_houses_2005_present</t>
  </si>
  <si>
    <t>residences_number_of_semi_detached_houses_before_1945</t>
  </si>
  <si>
    <t>residences_number_of_semi_detached_houses_1945_1964</t>
  </si>
  <si>
    <t>residences_number_of_semi_detached_houses_1965_1984</t>
  </si>
  <si>
    <t>residences_number_of_semi_detached_houses_1985_2004</t>
  </si>
  <si>
    <t>residences_number_of_semi_detached_houses_2005_present</t>
  </si>
  <si>
    <t>residences_number_of_terraced_houses_before_1945</t>
  </si>
  <si>
    <t>residences_number_of_terraced_houses_1945_1964</t>
  </si>
  <si>
    <t>residences_number_of_terraced_houses_1965_1984</t>
  </si>
  <si>
    <t>residences_number_of_terraced_houses_1985_2004</t>
  </si>
  <si>
    <t>residences_number_of_terraced_houses_2005_present</t>
  </si>
  <si>
    <t>csv_heating_hhp_efficiencies</t>
  </si>
  <si>
    <t>csv_export_to_area_analysis</t>
  </si>
  <si>
    <t>Reduced housing stock type categories from five to four by including corner houses in semi-detached houses and expanded housing stock division by adding period of construction.</t>
  </si>
  <si>
    <t>Appliances</t>
  </si>
  <si>
    <t>Total demand in energy balance</t>
  </si>
  <si>
    <t xml:space="preserve">It  is possible that the energy balance of particular countries contains carriers that we do not aggregate to ETM carriers. In that case, this check will fail. For example, we currently do not consider Charcoal in this analysis. </t>
  </si>
  <si>
    <t>Housing spacing heating</t>
  </si>
  <si>
    <t>%</t>
  </si>
  <si>
    <t>Apartments built before 1945</t>
  </si>
  <si>
    <t>Apartments built from 1945 to 1964</t>
  </si>
  <si>
    <t>Apartments built from 1965 to 1984</t>
  </si>
  <si>
    <t>Apartments built from 1985 to 2004</t>
  </si>
  <si>
    <t>Apartments built from 2005 to present</t>
  </si>
  <si>
    <t>Detached houses built before 1945</t>
  </si>
  <si>
    <t>Detached houses built from 1945 to 1964</t>
  </si>
  <si>
    <t>Detached houses built from 1965 to 1984</t>
  </si>
  <si>
    <t>Detached houses built from 1985 to 2004</t>
  </si>
  <si>
    <t>Detached houses built from 2005 to present</t>
  </si>
  <si>
    <t>Semi-detached houses built before 1945</t>
  </si>
  <si>
    <t>Semi-detached houses built from 1945 to 1964</t>
  </si>
  <si>
    <t>Semi-detached houses built from 1965 to 1984</t>
  </si>
  <si>
    <t>Semi-detached houses built from 1985 to 2004</t>
  </si>
  <si>
    <t>Semi-detached houses built from 2005 to present</t>
  </si>
  <si>
    <t>Terraced houses built before 1945</t>
  </si>
  <si>
    <t>Terraced houses built from 1945 to 1964</t>
  </si>
  <si>
    <t>Terraced houses built from 1965 to 1984</t>
  </si>
  <si>
    <t>Terraced houses built from 1985 to 2004</t>
  </si>
  <si>
    <t>Terraced houses built from 2005 to present</t>
  </si>
  <si>
    <t>Share in useful demand for space heating per housing type and construction period</t>
  </si>
  <si>
    <t>Number of residences per housing type and construction period</t>
  </si>
  <si>
    <t>residences_share_of_apartments_before_1945_in_useful_demand_for_space_heating</t>
  </si>
  <si>
    <t>residences_share_of_apartments_1945_1964_in_useful_demand_for_space_heating</t>
  </si>
  <si>
    <t>residences_share_of_apartments_1965_1984_in_useful_demand_for_space_heating</t>
  </si>
  <si>
    <t>residences_share_of_apartments_1985_2004_in_useful_demand_for_space_heating</t>
  </si>
  <si>
    <t>residences_share_of_apartments_2005_present_in_useful_demand_for_space_heating</t>
  </si>
  <si>
    <t>residences_share_of_detached_houses_before_1945_in_useful_demand_for_space_heating</t>
  </si>
  <si>
    <t>residences_share_of_detached_houses_1945_1964_in_useful_demand_for_space_heating</t>
  </si>
  <si>
    <t>residences_share_of_detached_houses_1965_1984_in_useful_demand_for_space_heating</t>
  </si>
  <si>
    <t>residences_share_of_detached_houses_1985_2004_in_useful_demand_for_space_heating</t>
  </si>
  <si>
    <t>residences_share_of_detached_houses_2005_present_in_useful_demand_for_space_heating</t>
  </si>
  <si>
    <t>residences_share_of_semi_detached_houses_before_1945_in_useful_demand_for_space_heating</t>
  </si>
  <si>
    <t>residences_share_of_semi_detached_houses_1945_1964_in_useful_demand_for_space_heating</t>
  </si>
  <si>
    <t>residences_share_of_semi_detached_houses_1965_1984_in_useful_demand_for_space_heating</t>
  </si>
  <si>
    <t>residences_share_of_semi_detached_houses_1985_2004_in_useful_demand_for_space_heating</t>
  </si>
  <si>
    <t>residences_share_of_semi_detached_houses_2005_present_in_useful_demand_for_space_heating</t>
  </si>
  <si>
    <t>residences_share_of_terraced_houses_before_1945_in_useful_demand_for_space_heating</t>
  </si>
  <si>
    <t>residences_share_of_terraced_houses_1945_1964_in_useful_demand_for_space_heating</t>
  </si>
  <si>
    <t>residences_share_of_terraced_houses_1965_1984_in_useful_demand_for_space_heating</t>
  </si>
  <si>
    <t>residences_share_of_terraced_houses_1985_2004_in_useful_demand_for_space_heating</t>
  </si>
  <si>
    <t>residences_share_of_terraced_houses_2005_present_in_useful_demand_for_space_heating</t>
  </si>
  <si>
    <t xml:space="preserve">Relative error in fuel consumption (energy balance value and value computed from dashboard input): </t>
  </si>
  <si>
    <t>households_space_heater_district_heating_ht_steam_hot_water</t>
  </si>
  <si>
    <t>households_water_heater_district_heating_ht_steam_hot_water</t>
  </si>
  <si>
    <t>Taken from the energy balance</t>
  </si>
  <si>
    <t>present_number_of_apartments_before_1945</t>
  </si>
  <si>
    <t>present_number_of_apartments_1945_1964</t>
  </si>
  <si>
    <t>present_number_of_apartments_1965_1984</t>
  </si>
  <si>
    <t>present_number_of_apartments_1985_2004</t>
  </si>
  <si>
    <t>present_number_of_apartments_2005_present</t>
  </si>
  <si>
    <t>present_number_of_detached_houses_before_1945</t>
  </si>
  <si>
    <t>present_number_of_detached_houses_1945_1964</t>
  </si>
  <si>
    <t>present_number_of_detached_houses_1965_1984</t>
  </si>
  <si>
    <t>present_number_of_detached_houses_1985_2004</t>
  </si>
  <si>
    <t>present_number_of_detached_houses_2005_present</t>
  </si>
  <si>
    <t>present_number_of_semi_detached_houses_before_1945</t>
  </si>
  <si>
    <t>present_number_of_semi_detached_houses_1945_1964</t>
  </si>
  <si>
    <t>present_number_of_semi_detached_houses_1965_1984</t>
  </si>
  <si>
    <t>present_number_of_semi_detached_houses_1985_2004</t>
  </si>
  <si>
    <t>present_number_of_semi_detached_houses_2005_present</t>
  </si>
  <si>
    <t>present_number_of_terraced_houses_before_1945</t>
  </si>
  <si>
    <t>present_number_of_terraced_houses_1945_1964</t>
  </si>
  <si>
    <t>present_number_of_terraced_houses_1965_1984</t>
  </si>
  <si>
    <t>present_number_of_terraced_houses_1985_2004</t>
  </si>
  <si>
    <t>present_number_of_terraced_houses_2005_present</t>
  </si>
  <si>
    <t>present_share_of_apartments_before_1945_in_useful_demand_for_space_heating</t>
  </si>
  <si>
    <t>present_share_of_apartments_1945_1964_in_useful_demand_for_space_heating</t>
  </si>
  <si>
    <t>present_share_of_apartments_1965_1984_in_useful_demand_for_space_heating</t>
  </si>
  <si>
    <t>present_share_of_apartments_1985_2004_in_useful_demand_for_space_heating</t>
  </si>
  <si>
    <t>present_share_of_apartments_2005_present_in_useful_demand_for_space_heating</t>
  </si>
  <si>
    <t>present_share_of_detached_houses_before_1945_in_useful_demand_for_space_heating</t>
  </si>
  <si>
    <t>present_share_of_detached_houses_1945_1964_in_useful_demand_for_space_heating</t>
  </si>
  <si>
    <t>present_share_of_detached_houses_1965_1984_in_useful_demand_for_space_heating</t>
  </si>
  <si>
    <t>present_share_of_detached_houses_1985_2004_in_useful_demand_for_space_heating</t>
  </si>
  <si>
    <t>present_share_of_detached_houses_2005_present_in_useful_demand_for_space_heating</t>
  </si>
  <si>
    <t>present_share_of_semi_detached_houses_before_1945_in_useful_demand_for_space_heating</t>
  </si>
  <si>
    <t>present_share_of_semi_detached_houses_1945_1964_in_useful_demand_for_space_heating</t>
  </si>
  <si>
    <t>present_share_of_semi_detached_houses_1965_1984_in_useful_demand_for_space_heating</t>
  </si>
  <si>
    <t>present_share_of_semi_detached_houses_1985_2004_in_useful_demand_for_space_heating</t>
  </si>
  <si>
    <t>present_share_of_semi_detached_houses_2005_present_in_useful_demand_for_space_heating</t>
  </si>
  <si>
    <t>present_share_of_terraced_houses_before_1945_in_useful_demand_for_space_heating</t>
  </si>
  <si>
    <t>present_share_of_terraced_houses_1945_1964_in_useful_demand_for_space_heating</t>
  </si>
  <si>
    <t>present_share_of_terraced_houses_1965_1984_in_useful_demand_for_space_heating</t>
  </si>
  <si>
    <t>present_share_of_terraced_houses_1985_2004_in_useful_demand_for_space_heating</t>
  </si>
  <si>
    <t>present_share_of_terraced_houses_2005_present_in_useful_demand_for_space_heating</t>
  </si>
  <si>
    <t>Changed data initialisation of space heating for households from insulation inputs to share in useful demand per housing type and construction period.</t>
  </si>
  <si>
    <t>residences_number_of_residences</t>
  </si>
  <si>
    <t>present_number_of_residences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</si>
</sst>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
    <numFmt numFmtId="166" formatCode="#,##0.0"/>
    <numFmt numFmtId="167" formatCode="0.00000000E+00"/>
    <numFmt numFmtId="168" formatCode="#,##0.000"/>
    <numFmt numFmtId="169" formatCode="[$-409]mmmm\ d\,\ yyyy;@"/>
    <numFmt numFmtId="170" formatCode="0.000"/>
  </numFmts>
  <fonts count="40"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family val="2"/>
      <scheme val="minor"/>
    </font>
    <font>
      <b/>
      <sz val="11"/>
      <color rgb="FF000000"/>
      <name val="Calibri"/>
      <family val="2"/>
      <scheme val="minor"/>
    </font>
    <font>
      <i/>
      <sz val="12"/>
      <color theme="1"/>
      <name val="Calibri"/>
      <family val="2"/>
      <scheme val="minor"/>
    </font>
    <font>
      <sz val="12"/>
      <name val="Calibri"/>
      <family val="2"/>
      <scheme val="minor"/>
    </font>
    <font>
      <u/>
      <sz val="12"/>
      <color theme="1"/>
      <name val="Calibri"/>
      <family val="2"/>
      <scheme val="minor"/>
    </font>
    <font>
      <sz val="12"/>
      <color rgb="FF000000"/>
      <name val="Calibri"/>
      <family val="2"/>
      <scheme val="minor"/>
    </font>
    <font>
      <u/>
      <sz val="12"/>
      <name val="Calibri"/>
      <family val="2"/>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family val="2"/>
      <scheme val="minor"/>
    </font>
    <font>
      <b/>
      <sz val="18"/>
      <color theme="1"/>
      <name val="Calibri"/>
      <family val="2"/>
      <scheme val="minor"/>
    </font>
    <font>
      <sz val="11"/>
      <name val="Calibri"/>
      <family val="2"/>
      <scheme val="minor"/>
    </font>
    <font>
      <sz val="10"/>
      <name val="Arial"/>
      <family val="2"/>
    </font>
    <font>
      <sz val="11"/>
      <color indexed="10"/>
      <name val="Calibri"/>
      <family val="2"/>
    </font>
    <font>
      <i/>
      <sz val="12"/>
      <name val="Calibri"/>
      <family val="2"/>
      <scheme val="minor"/>
    </font>
    <font>
      <sz val="12"/>
      <color theme="0" tint="-0.249977111117893"/>
      <name val="Calibri"/>
      <family val="2"/>
      <scheme val="minor"/>
    </font>
    <font>
      <u/>
      <sz val="12"/>
      <color rgb="FF000000"/>
      <name val="Calibri"/>
      <family val="2"/>
      <scheme val="minor"/>
    </font>
    <font>
      <b/>
      <sz val="12"/>
      <color theme="0" tint="-0.499984740745262"/>
      <name val="Calibri"/>
      <family val="2"/>
      <scheme val="minor"/>
    </font>
    <font>
      <sz val="12"/>
      <color theme="0" tint="-0.499984740745262"/>
      <name val="Calibri"/>
      <family val="2"/>
      <scheme val="minor"/>
    </font>
    <font>
      <sz val="8"/>
      <name val="Calibri"/>
      <family val="2"/>
      <scheme val="minor"/>
    </font>
    <font>
      <sz val="12"/>
      <color theme="3" tint="-0.249977111117893"/>
      <name val="Calibri"/>
      <family val="2"/>
      <scheme val="minor"/>
    </font>
    <font>
      <sz val="12"/>
      <color theme="6" tint="-0.499984740745262"/>
      <name val="Calibri"/>
      <family val="2"/>
      <scheme val="minor"/>
    </font>
    <font>
      <i/>
      <sz val="12"/>
      <color theme="1" tint="0.499984740745262"/>
      <name val="Calibri"/>
      <family val="2"/>
      <scheme val="minor"/>
    </font>
    <font>
      <b/>
      <sz val="12"/>
      <color theme="3"/>
      <name val="Calibri"/>
      <family val="2"/>
      <scheme val="minor"/>
    </font>
    <font>
      <sz val="12"/>
      <color rgb="FF000000"/>
      <name val="Lucida Grande"/>
      <family val="2"/>
    </font>
    <font>
      <b/>
      <u/>
      <sz val="12"/>
      <color theme="1"/>
      <name val="Calibri"/>
      <family val="2"/>
      <scheme val="minor"/>
    </font>
    <font>
      <i/>
      <u/>
      <sz val="12"/>
      <name val="Calibri"/>
      <family val="2"/>
      <scheme val="minor"/>
    </font>
    <font>
      <b/>
      <i/>
      <sz val="12"/>
      <name val="Calibri"/>
      <family val="2"/>
      <scheme val="minor"/>
    </font>
    <font>
      <sz val="12"/>
      <color theme="0" tint="-0.14999847407452621"/>
      <name val="Calibri"/>
      <family val="2"/>
      <scheme val="minor"/>
    </font>
    <font>
      <i/>
      <sz val="12"/>
      <color theme="0" tint="-0.499984740745262"/>
      <name val="Calibri"/>
      <family val="2"/>
      <scheme val="minor"/>
    </font>
    <font>
      <sz val="12"/>
      <color rgb="FF808080"/>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7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right style="thin">
        <color auto="1"/>
      </right>
      <top/>
      <bottom style="medium">
        <color auto="1"/>
      </bottom>
      <diagonal/>
    </border>
    <border>
      <left style="medium">
        <color auto="1"/>
      </left>
      <right/>
      <top style="thin">
        <color indexed="64"/>
      </top>
      <bottom/>
      <diagonal/>
    </border>
    <border>
      <left/>
      <right/>
      <top style="thin">
        <color indexed="64"/>
      </top>
      <bottom/>
      <diagonal/>
    </border>
    <border>
      <left style="thin">
        <color theme="0"/>
      </left>
      <right style="thin">
        <color theme="0"/>
      </right>
      <top style="thin">
        <color indexed="64"/>
      </top>
      <bottom/>
      <diagonal/>
    </border>
    <border>
      <left style="thin">
        <color auto="1"/>
      </left>
      <right style="thin">
        <color auto="1"/>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auto="1"/>
      </left>
      <right/>
      <top/>
      <bottom style="thin">
        <color indexed="64"/>
      </bottom>
      <diagonal/>
    </border>
    <border>
      <left/>
      <right/>
      <top/>
      <bottom style="thin">
        <color indexed="64"/>
      </bottom>
      <diagonal/>
    </border>
    <border>
      <left/>
      <right style="medium">
        <color auto="1"/>
      </right>
      <top/>
      <bottom style="thin">
        <color indexed="64"/>
      </bottom>
      <diagonal/>
    </border>
    <border>
      <left style="thin">
        <color auto="1"/>
      </left>
      <right style="medium">
        <color indexed="64"/>
      </right>
      <top style="thin">
        <color auto="1"/>
      </top>
      <bottom/>
      <diagonal/>
    </border>
    <border>
      <left style="thin">
        <color theme="0"/>
      </left>
      <right/>
      <top style="thin">
        <color auto="1"/>
      </top>
      <bottom/>
      <diagonal/>
    </border>
  </borders>
  <cellStyleXfs count="2404">
    <xf numFmtId="0" fontId="0" fillId="0" borderId="0"/>
    <xf numFmtId="9" fontId="4"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164" fontId="20" fillId="14" borderId="25">
      <alignment horizontal="right" vertical="center"/>
    </xf>
    <xf numFmtId="0" fontId="21" fillId="0" borderId="0" applyNumberFormat="0" applyFont="0" applyFill="0" applyBorder="0" applyAlignment="0" applyProtection="0"/>
    <xf numFmtId="9" fontId="21" fillId="0" borderId="0" applyNumberFormat="0" applyFont="0" applyFill="0" applyBorder="0" applyAlignment="0" applyProtection="0"/>
    <xf numFmtId="0" fontId="22"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30" fillId="0" borderId="0"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9" fillId="0" borderId="41"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605">
    <xf numFmtId="0" fontId="0" fillId="0" borderId="0" xfId="0"/>
    <xf numFmtId="0" fontId="0" fillId="2" borderId="0" xfId="0" applyFill="1"/>
    <xf numFmtId="0" fontId="7" fillId="2" borderId="0" xfId="0" applyFont="1" applyFill="1"/>
    <xf numFmtId="0" fontId="6" fillId="2" borderId="1" xfId="0" applyFont="1" applyFill="1" applyBorder="1"/>
    <xf numFmtId="0" fontId="0" fillId="2" borderId="2" xfId="0" applyFill="1" applyBorder="1"/>
    <xf numFmtId="0" fontId="0" fillId="2" borderId="3" xfId="0" applyFill="1" applyBorder="1"/>
    <xf numFmtId="0" fontId="8" fillId="3" borderId="4" xfId="0" applyFont="1" applyFill="1" applyBorder="1" applyAlignment="1">
      <alignment vertical="center"/>
    </xf>
    <xf numFmtId="0" fontId="0" fillId="2" borderId="5" xfId="0" applyFill="1" applyBorder="1"/>
    <xf numFmtId="0" fontId="8" fillId="3" borderId="6" xfId="0" applyFont="1" applyFill="1" applyBorder="1" applyAlignment="1">
      <alignment vertical="center"/>
    </xf>
    <xf numFmtId="0" fontId="0" fillId="2" borderId="7" xfId="0" applyFill="1" applyBorder="1"/>
    <xf numFmtId="0" fontId="0" fillId="2" borderId="8" xfId="0" applyFill="1" applyBorder="1"/>
    <xf numFmtId="0" fontId="6" fillId="2" borderId="2" xfId="0" applyFont="1" applyFill="1" applyBorder="1"/>
    <xf numFmtId="0" fontId="6" fillId="2" borderId="3" xfId="0" applyFont="1" applyFill="1" applyBorder="1"/>
    <xf numFmtId="0" fontId="6" fillId="2" borderId="0" xfId="0" applyFont="1" applyFill="1"/>
    <xf numFmtId="0" fontId="6" fillId="2" borderId="5" xfId="0" applyFont="1" applyFill="1" applyBorder="1"/>
    <xf numFmtId="0" fontId="0" fillId="0" borderId="5" xfId="0" applyBorder="1"/>
    <xf numFmtId="0" fontId="0" fillId="0" borderId="4" xfId="0" applyBorder="1"/>
    <xf numFmtId="0" fontId="0" fillId="2" borderId="4" xfId="0" applyFill="1" applyBorder="1"/>
    <xf numFmtId="0" fontId="0" fillId="2" borderId="6" xfId="0" applyFill="1" applyBorder="1"/>
    <xf numFmtId="0" fontId="6" fillId="2" borderId="4" xfId="0" applyFont="1" applyFill="1" applyBorder="1"/>
    <xf numFmtId="0" fontId="9" fillId="2" borderId="0" xfId="0" applyFont="1" applyFill="1"/>
    <xf numFmtId="0" fontId="0" fillId="2" borderId="9" xfId="0" applyFill="1" applyBorder="1"/>
    <xf numFmtId="0" fontId="0" fillId="4" borderId="0" xfId="0" applyFill="1"/>
    <xf numFmtId="0" fontId="0" fillId="5" borderId="0" xfId="0" applyFill="1"/>
    <xf numFmtId="2" fontId="0" fillId="0" borderId="5" xfId="0" applyNumberFormat="1" applyBorder="1"/>
    <xf numFmtId="0" fontId="6" fillId="2" borderId="10" xfId="0" applyFont="1" applyFill="1" applyBorder="1"/>
    <xf numFmtId="0" fontId="6"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6" fillId="2" borderId="15" xfId="0" applyFont="1" applyFill="1" applyBorder="1"/>
    <xf numFmtId="0" fontId="6" fillId="0" borderId="7" xfId="0" applyFont="1" applyBorder="1"/>
    <xf numFmtId="0" fontId="6" fillId="0" borderId="16" xfId="0" applyFont="1" applyBorder="1"/>
    <xf numFmtId="0" fontId="6" fillId="2" borderId="13" xfId="0" applyFont="1" applyFill="1" applyBorder="1"/>
    <xf numFmtId="0" fontId="6" fillId="2" borderId="14" xfId="0" applyFont="1" applyFill="1" applyBorder="1"/>
    <xf numFmtId="0" fontId="11" fillId="2" borderId="13" xfId="0" applyFont="1" applyFill="1" applyBorder="1"/>
    <xf numFmtId="0" fontId="0" fillId="2" borderId="13" xfId="0" applyFill="1" applyBorder="1" applyAlignment="1">
      <alignment vertical="top"/>
    </xf>
    <xf numFmtId="0" fontId="0" fillId="0" borderId="0" xfId="0" applyAlignment="1">
      <alignment wrapText="1"/>
    </xf>
    <xf numFmtId="0" fontId="0" fillId="0" borderId="14" xfId="0" applyBorder="1" applyAlignment="1">
      <alignment vertical="top"/>
    </xf>
    <xf numFmtId="0" fontId="0" fillId="0" borderId="14" xfId="0" applyBorder="1" applyAlignment="1">
      <alignment vertical="top" wrapText="1"/>
    </xf>
    <xf numFmtId="0" fontId="0" fillId="0" borderId="14" xfId="0" applyBorder="1"/>
    <xf numFmtId="0" fontId="0" fillId="2" borderId="15" xfId="0" applyFill="1" applyBorder="1"/>
    <xf numFmtId="0" fontId="0" fillId="0" borderId="7" xfId="0" applyBorder="1"/>
    <xf numFmtId="0" fontId="0" fillId="0" borderId="16" xfId="0" applyBorder="1"/>
    <xf numFmtId="0" fontId="0" fillId="2" borderId="17" xfId="0" applyFill="1" applyBorder="1"/>
    <xf numFmtId="0" fontId="11" fillId="2" borderId="20" xfId="0" applyFont="1" applyFill="1" applyBorder="1"/>
    <xf numFmtId="0" fontId="13" fillId="2" borderId="13" xfId="0" applyFont="1" applyFill="1" applyBorder="1"/>
    <xf numFmtId="0" fontId="0" fillId="0" borderId="19" xfId="0" applyBorder="1"/>
    <xf numFmtId="0" fontId="6" fillId="0" borderId="1" xfId="0" applyFont="1" applyBorder="1"/>
    <xf numFmtId="0" fontId="0" fillId="2" borderId="11" xfId="0" applyFill="1" applyBorder="1"/>
    <xf numFmtId="0" fontId="6" fillId="2" borderId="7" xfId="0" applyFont="1" applyFill="1" applyBorder="1"/>
    <xf numFmtId="0" fontId="6" fillId="2" borderId="21" xfId="0" applyFont="1" applyFill="1" applyBorder="1"/>
    <xf numFmtId="0" fontId="6"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2" fillId="8" borderId="0" xfId="0" applyFont="1" applyFill="1"/>
    <xf numFmtId="0" fontId="6" fillId="2" borderId="23" xfId="0" applyFont="1" applyFill="1" applyBorder="1"/>
    <xf numFmtId="0" fontId="6" fillId="2" borderId="24" xfId="0" applyFont="1" applyFill="1" applyBorder="1"/>
    <xf numFmtId="0" fontId="6" fillId="2" borderId="15" xfId="0" applyFont="1" applyFill="1" applyBorder="1" applyAlignment="1">
      <alignment vertical="top" wrapText="1"/>
    </xf>
    <xf numFmtId="0" fontId="6" fillId="0" borderId="7" xfId="0" applyFont="1" applyBorder="1" applyAlignment="1">
      <alignment vertical="top" wrapText="1"/>
    </xf>
    <xf numFmtId="0" fontId="6" fillId="2" borderId="0" xfId="0" applyFont="1" applyFill="1" applyAlignment="1">
      <alignment vertical="top" wrapText="1"/>
    </xf>
    <xf numFmtId="0" fontId="5" fillId="2" borderId="13" xfId="0" applyFont="1" applyFill="1" applyBorder="1"/>
    <xf numFmtId="0" fontId="6" fillId="2" borderId="7" xfId="0" applyFont="1" applyFill="1" applyBorder="1" applyAlignment="1">
      <alignment vertical="top" wrapText="1"/>
    </xf>
    <xf numFmtId="0" fontId="16" fillId="2" borderId="1" xfId="0" applyFont="1" applyFill="1" applyBorder="1"/>
    <xf numFmtId="0" fontId="9" fillId="2" borderId="4" xfId="0" applyFont="1" applyFill="1" applyBorder="1"/>
    <xf numFmtId="0" fontId="0" fillId="0" borderId="0" xfId="0" applyAlignment="1">
      <alignment vertical="top" wrapText="1"/>
    </xf>
    <xf numFmtId="0" fontId="0" fillId="2" borderId="0" xfId="0" applyFill="1" applyAlignment="1">
      <alignment wrapText="1"/>
    </xf>
    <xf numFmtId="0" fontId="0" fillId="2" borderId="0" xfId="0" applyFill="1" applyAlignment="1">
      <alignment vertical="top" wrapText="1"/>
    </xf>
    <xf numFmtId="0" fontId="0" fillId="2" borderId="18" xfId="0" applyFill="1" applyBorder="1"/>
    <xf numFmtId="0" fontId="0" fillId="2" borderId="19" xfId="0" applyFill="1" applyBorder="1"/>
    <xf numFmtId="0" fontId="17" fillId="8" borderId="13" xfId="0" applyFont="1" applyFill="1" applyBorder="1"/>
    <xf numFmtId="0" fontId="12" fillId="8" borderId="17" xfId="0" applyFont="1" applyFill="1" applyBorder="1"/>
    <xf numFmtId="0" fontId="6" fillId="0" borderId="7" xfId="0" applyFont="1" applyBorder="1" applyAlignment="1">
      <alignment wrapText="1"/>
    </xf>
    <xf numFmtId="164" fontId="6" fillId="2" borderId="0" xfId="0" applyNumberFormat="1" applyFont="1" applyFill="1" applyAlignment="1">
      <alignment vertical="top" wrapText="1"/>
    </xf>
    <xf numFmtId="0" fontId="6" fillId="2" borderId="34" xfId="0" applyFont="1" applyFill="1" applyBorder="1"/>
    <xf numFmtId="0" fontId="10" fillId="0" borderId="21" xfId="0" applyFont="1" applyBorder="1" applyAlignment="1">
      <alignment vertical="top" wrapText="1"/>
    </xf>
    <xf numFmtId="0" fontId="10" fillId="0" borderId="21" xfId="0" applyFont="1" applyBorder="1" applyAlignment="1">
      <alignment horizontal="left" vertical="top" wrapText="1"/>
    </xf>
    <xf numFmtId="0" fontId="18" fillId="2" borderId="0" xfId="0" applyFont="1" applyFill="1" applyAlignment="1">
      <alignment vertical="center"/>
    </xf>
    <xf numFmtId="0" fontId="18" fillId="2" borderId="0" xfId="0" applyFont="1" applyFill="1" applyAlignment="1">
      <alignment horizontal="center" vertical="center"/>
    </xf>
    <xf numFmtId="0" fontId="0" fillId="2" borderId="0" xfId="0" applyFill="1" applyAlignment="1">
      <alignment horizontal="left" vertical="center"/>
    </xf>
    <xf numFmtId="0" fontId="7" fillId="2" borderId="0" xfId="0" applyFont="1" applyFill="1" applyAlignment="1">
      <alignment vertical="center"/>
    </xf>
    <xf numFmtId="0" fontId="6" fillId="2" borderId="1" xfId="0" applyFont="1" applyFill="1" applyBorder="1" applyAlignment="1">
      <alignment vertical="center"/>
    </xf>
    <xf numFmtId="0" fontId="18" fillId="2" borderId="2" xfId="0" applyFont="1" applyFill="1" applyBorder="1" applyAlignment="1">
      <alignment vertical="center"/>
    </xf>
    <xf numFmtId="0" fontId="18" fillId="2" borderId="3" xfId="0" applyFont="1" applyFill="1" applyBorder="1" applyAlignment="1">
      <alignment vertical="center"/>
    </xf>
    <xf numFmtId="0" fontId="0" fillId="2" borderId="6" xfId="0" applyFill="1" applyBorder="1" applyAlignment="1">
      <alignment horizontal="left" vertical="top"/>
    </xf>
    <xf numFmtId="0" fontId="18" fillId="2" borderId="7" xfId="0" applyFont="1" applyFill="1" applyBorder="1" applyAlignment="1">
      <alignment vertical="center"/>
    </xf>
    <xf numFmtId="0" fontId="18" fillId="2" borderId="8" xfId="0" applyFont="1" applyFill="1" applyBorder="1" applyAlignment="1">
      <alignment vertical="center"/>
    </xf>
    <xf numFmtId="0" fontId="0" fillId="7" borderId="0" xfId="0" applyFill="1"/>
    <xf numFmtId="0" fontId="10" fillId="0" borderId="0" xfId="0" applyFont="1" applyAlignment="1">
      <alignment horizontal="left" vertical="top" wrapText="1"/>
    </xf>
    <xf numFmtId="0" fontId="16" fillId="2" borderId="34" xfId="0" applyFont="1" applyFill="1" applyBorder="1"/>
    <xf numFmtId="0" fontId="16" fillId="2" borderId="23" xfId="0" applyFont="1" applyFill="1" applyBorder="1"/>
    <xf numFmtId="0" fontId="10" fillId="2" borderId="23" xfId="0" applyFont="1" applyFill="1" applyBorder="1"/>
    <xf numFmtId="0" fontId="19" fillId="2" borderId="0" xfId="0" applyFont="1" applyFill="1" applyAlignment="1">
      <alignment horizontal="left" vertical="center"/>
    </xf>
    <xf numFmtId="0" fontId="11" fillId="2" borderId="20" xfId="0" applyFont="1" applyFill="1" applyBorder="1" applyAlignment="1">
      <alignment vertical="top"/>
    </xf>
    <xf numFmtId="0" fontId="0" fillId="2" borderId="33" xfId="0" applyFill="1" applyBorder="1"/>
    <xf numFmtId="0" fontId="12" fillId="0" borderId="0" xfId="0" applyFont="1"/>
    <xf numFmtId="0" fontId="0" fillId="2" borderId="18" xfId="0" applyFill="1" applyBorder="1" applyAlignment="1">
      <alignment vertical="top"/>
    </xf>
    <xf numFmtId="0" fontId="0" fillId="2" borderId="19" xfId="0" applyFill="1" applyBorder="1" applyAlignment="1">
      <alignment vertical="top"/>
    </xf>
    <xf numFmtId="0" fontId="6" fillId="2" borderId="16" xfId="0" applyFont="1" applyFill="1" applyBorder="1"/>
    <xf numFmtId="0" fontId="10" fillId="0" borderId="14" xfId="0" applyFont="1" applyBorder="1"/>
    <xf numFmtId="0" fontId="11" fillId="2" borderId="15" xfId="0" applyFont="1" applyFill="1" applyBorder="1"/>
    <xf numFmtId="0" fontId="10" fillId="2" borderId="0" xfId="0" applyFont="1" applyFill="1"/>
    <xf numFmtId="0" fontId="6" fillId="0" borderId="16" xfId="0" applyFont="1" applyBorder="1" applyAlignment="1">
      <alignment vertical="top" wrapText="1"/>
    </xf>
    <xf numFmtId="0" fontId="6" fillId="2" borderId="14" xfId="0" applyFont="1" applyFill="1" applyBorder="1" applyAlignment="1">
      <alignment vertical="top" wrapText="1"/>
    </xf>
    <xf numFmtId="164" fontId="6" fillId="2" borderId="18" xfId="0" applyNumberFormat="1" applyFont="1" applyFill="1" applyBorder="1" applyAlignment="1">
      <alignment vertical="top" wrapText="1"/>
    </xf>
    <xf numFmtId="16" fontId="0" fillId="0" borderId="4" xfId="0" applyNumberFormat="1" applyBorder="1"/>
    <xf numFmtId="0" fontId="0" fillId="0" borderId="33" xfId="0" applyBorder="1"/>
    <xf numFmtId="0" fontId="5" fillId="2" borderId="15" xfId="0" applyFont="1" applyFill="1" applyBorder="1"/>
    <xf numFmtId="2" fontId="0" fillId="2" borderId="0" xfId="0" applyNumberFormat="1" applyFill="1"/>
    <xf numFmtId="164" fontId="6" fillId="2" borderId="14" xfId="0" applyNumberFormat="1" applyFont="1" applyFill="1" applyBorder="1" applyAlignment="1">
      <alignment vertical="top" wrapText="1"/>
    </xf>
    <xf numFmtId="164" fontId="6" fillId="2" borderId="23" xfId="0" applyNumberFormat="1" applyFont="1" applyFill="1" applyBorder="1"/>
    <xf numFmtId="0" fontId="6" fillId="2" borderId="32" xfId="0" applyFont="1" applyFill="1" applyBorder="1"/>
    <xf numFmtId="0" fontId="6" fillId="2" borderId="8" xfId="0" applyFont="1" applyFill="1" applyBorder="1"/>
    <xf numFmtId="0" fontId="0" fillId="11" borderId="0" xfId="0" applyFill="1"/>
    <xf numFmtId="0" fontId="0" fillId="12" borderId="0" xfId="0" applyFill="1"/>
    <xf numFmtId="0" fontId="0" fillId="9" borderId="0" xfId="0" applyFill="1"/>
    <xf numFmtId="0" fontId="0" fillId="6" borderId="0" xfId="0" applyFill="1"/>
    <xf numFmtId="0" fontId="0" fillId="13" borderId="0" xfId="0" applyFill="1"/>
    <xf numFmtId="0" fontId="0" fillId="2" borderId="35" xfId="0" applyFill="1" applyBorder="1"/>
    <xf numFmtId="0" fontId="6" fillId="0" borderId="11" xfId="0" applyFont="1" applyBorder="1" applyAlignment="1">
      <alignment wrapText="1"/>
    </xf>
    <xf numFmtId="0" fontId="6" fillId="0" borderId="12" xfId="0" applyFont="1" applyBorder="1" applyAlignment="1">
      <alignment wrapText="1"/>
    </xf>
    <xf numFmtId="0" fontId="6" fillId="2" borderId="28" xfId="0" applyFont="1" applyFill="1" applyBorder="1"/>
    <xf numFmtId="0" fontId="6" fillId="2" borderId="36" xfId="0" applyFont="1" applyFill="1" applyBorder="1"/>
    <xf numFmtId="0" fontId="0" fillId="2" borderId="30" xfId="0" applyFill="1" applyBorder="1"/>
    <xf numFmtId="0" fontId="6" fillId="2" borderId="29" xfId="0" applyFont="1" applyFill="1" applyBorder="1" applyAlignment="1">
      <alignment vertical="top" wrapText="1"/>
    </xf>
    <xf numFmtId="0" fontId="5" fillId="2" borderId="30" xfId="0" applyFont="1" applyFill="1" applyBorder="1"/>
    <xf numFmtId="0" fontId="5"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ill="1" applyBorder="1" applyAlignment="1">
      <alignment wrapText="1"/>
    </xf>
    <xf numFmtId="10" fontId="0" fillId="0" borderId="0" xfId="0" applyNumberFormat="1"/>
    <xf numFmtId="0" fontId="8" fillId="8" borderId="4" xfId="0" applyFont="1" applyFill="1" applyBorder="1" applyAlignment="1">
      <alignment vertical="center"/>
    </xf>
    <xf numFmtId="2" fontId="12" fillId="8" borderId="0" xfId="0" applyNumberFormat="1" applyFont="1" applyFill="1" applyAlignment="1">
      <alignment horizontal="left"/>
    </xf>
    <xf numFmtId="1" fontId="12" fillId="8" borderId="0" xfId="0" applyNumberFormat="1" applyFont="1" applyFill="1" applyAlignment="1">
      <alignment horizontal="left"/>
    </xf>
    <xf numFmtId="0" fontId="0" fillId="2" borderId="0" xfId="0" applyFill="1" applyAlignment="1">
      <alignment horizontal="left"/>
    </xf>
    <xf numFmtId="164" fontId="0" fillId="2" borderId="0" xfId="0" applyNumberFormat="1" applyFill="1"/>
    <xf numFmtId="0" fontId="23" fillId="2" borderId="0" xfId="0" applyFont="1" applyFill="1" applyAlignment="1">
      <alignment vertical="top"/>
    </xf>
    <xf numFmtId="0" fontId="23" fillId="2" borderId="30" xfId="0" applyFont="1" applyFill="1" applyBorder="1" applyAlignment="1">
      <alignment wrapText="1"/>
    </xf>
    <xf numFmtId="0" fontId="13" fillId="2" borderId="0" xfId="0" applyFont="1" applyFill="1"/>
    <xf numFmtId="0" fontId="6" fillId="2" borderId="10" xfId="0" applyFont="1" applyFill="1" applyBorder="1" applyAlignment="1">
      <alignment vertical="top"/>
    </xf>
    <xf numFmtId="0" fontId="13" fillId="2" borderId="7" xfId="0" applyFont="1" applyFill="1" applyBorder="1"/>
    <xf numFmtId="0" fontId="17" fillId="8" borderId="2" xfId="0" applyFont="1" applyFill="1" applyBorder="1"/>
    <xf numFmtId="0" fontId="0" fillId="2" borderId="0" xfId="0" applyFill="1" applyAlignment="1">
      <alignment horizontal="left" vertical="top" wrapText="1"/>
    </xf>
    <xf numFmtId="0" fontId="6" fillId="0" borderId="0" xfId="0" applyFont="1" applyAlignment="1">
      <alignment wrapText="1"/>
    </xf>
    <xf numFmtId="0" fontId="6" fillId="2" borderId="11" xfId="0" applyFont="1" applyFill="1" applyBorder="1" applyAlignment="1">
      <alignment vertical="top"/>
    </xf>
    <xf numFmtId="0" fontId="17" fillId="8" borderId="0" xfId="0" applyFont="1" applyFill="1"/>
    <xf numFmtId="0" fontId="12" fillId="8" borderId="18" xfId="0" applyFont="1" applyFill="1" applyBorder="1"/>
    <xf numFmtId="3" fontId="0" fillId="2" borderId="0" xfId="0" applyNumberFormat="1" applyFill="1"/>
    <xf numFmtId="0" fontId="6" fillId="0" borderId="16" xfId="0" applyFont="1" applyBorder="1" applyAlignment="1">
      <alignment wrapText="1"/>
    </xf>
    <xf numFmtId="0" fontId="17" fillId="8" borderId="10" xfId="0" applyFont="1" applyFill="1" applyBorder="1"/>
    <xf numFmtId="0" fontId="12" fillId="8" borderId="11" xfId="0" applyFont="1" applyFill="1" applyBorder="1"/>
    <xf numFmtId="0" fontId="17" fillId="8" borderId="11" xfId="0" applyFont="1" applyFill="1" applyBorder="1"/>
    <xf numFmtId="0" fontId="17" fillId="8" borderId="15" xfId="0" applyFont="1" applyFill="1" applyBorder="1" applyAlignment="1">
      <alignment vertical="top" wrapText="1"/>
    </xf>
    <xf numFmtId="0" fontId="13" fillId="8" borderId="13" xfId="0" applyFont="1" applyFill="1" applyBorder="1"/>
    <xf numFmtId="0" fontId="5" fillId="8" borderId="13" xfId="0" applyFont="1" applyFill="1" applyBorder="1"/>
    <xf numFmtId="0" fontId="12" fillId="8" borderId="15" xfId="0" applyFont="1" applyFill="1" applyBorder="1"/>
    <xf numFmtId="0" fontId="12" fillId="8" borderId="7" xfId="0" applyFont="1" applyFill="1" applyBorder="1"/>
    <xf numFmtId="0" fontId="25" fillId="8" borderId="20" xfId="0" applyFont="1" applyFill="1" applyBorder="1"/>
    <xf numFmtId="0" fontId="5" fillId="8" borderId="15" xfId="0" applyFont="1" applyFill="1" applyBorder="1"/>
    <xf numFmtId="0" fontId="25" fillId="8" borderId="13" xfId="0" applyFont="1" applyFill="1" applyBorder="1"/>
    <xf numFmtId="10" fontId="0" fillId="2" borderId="0" xfId="0" applyNumberFormat="1" applyFill="1"/>
    <xf numFmtId="9" fontId="0" fillId="0" borderId="0" xfId="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xf numFmtId="0" fontId="9" fillId="0" borderId="0" xfId="0" applyFont="1"/>
    <xf numFmtId="165" fontId="0" fillId="2" borderId="0" xfId="1" applyNumberFormat="1" applyFon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9" fontId="0" fillId="0" borderId="0" xfId="1" applyFont="1" applyBorder="1"/>
    <xf numFmtId="0" fontId="0" fillId="2" borderId="14" xfId="0" applyFill="1" applyBorder="1" applyAlignment="1">
      <alignment vertical="top"/>
    </xf>
    <xf numFmtId="0" fontId="0" fillId="2" borderId="0" xfId="0" applyFill="1" applyAlignment="1">
      <alignment vertical="top"/>
    </xf>
    <xf numFmtId="0" fontId="0" fillId="2" borderId="33" xfId="0" applyFill="1" applyBorder="1" applyAlignment="1">
      <alignment vertical="top"/>
    </xf>
    <xf numFmtId="0" fontId="0" fillId="2" borderId="16" xfId="0" applyFill="1" applyBorder="1"/>
    <xf numFmtId="0" fontId="17" fillId="8" borderId="0" xfId="0" applyFont="1" applyFill="1" applyAlignment="1">
      <alignment vertical="top" wrapText="1"/>
    </xf>
    <xf numFmtId="9" fontId="0" fillId="2" borderId="7" xfId="1" applyFont="1" applyFill="1" applyBorder="1"/>
    <xf numFmtId="0" fontId="12" fillId="8" borderId="12" xfId="0" applyFont="1" applyFill="1" applyBorder="1"/>
    <xf numFmtId="0" fontId="6" fillId="0" borderId="7" xfId="0" applyFont="1" applyBorder="1" applyAlignment="1">
      <alignment horizontal="left" wrapText="1"/>
    </xf>
    <xf numFmtId="0" fontId="6" fillId="0" borderId="16" xfId="0" applyFont="1" applyBorder="1" applyAlignment="1">
      <alignment horizontal="left" wrapText="1"/>
    </xf>
    <xf numFmtId="0" fontId="13" fillId="8" borderId="0" xfId="0" applyFont="1" applyFill="1"/>
    <xf numFmtId="0" fontId="31"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2" fillId="0" borderId="14" xfId="1" applyNumberFormat="1" applyFont="1" applyFill="1" applyBorder="1"/>
    <xf numFmtId="2" fontId="2" fillId="2" borderId="16" xfId="1" applyNumberFormat="1" applyFont="1" applyFill="1" applyBorder="1"/>
    <xf numFmtId="2" fontId="2" fillId="2" borderId="14" xfId="1" applyNumberFormat="1" applyFont="1" applyFill="1" applyBorder="1"/>
    <xf numFmtId="2" fontId="0" fillId="2" borderId="2" xfId="0" applyNumberFormat="1" applyFill="1" applyBorder="1"/>
    <xf numFmtId="2" fontId="2" fillId="2" borderId="33" xfId="1" applyNumberFormat="1" applyFont="1" applyFill="1" applyBorder="1"/>
    <xf numFmtId="2" fontId="0" fillId="0" borderId="7" xfId="0" applyNumberFormat="1" applyBorder="1"/>
    <xf numFmtId="2" fontId="2" fillId="0" borderId="16" xfId="1" applyNumberFormat="1" applyFont="1" applyFill="1" applyBorder="1"/>
    <xf numFmtId="0" fontId="16" fillId="8" borderId="16" xfId="0" applyFont="1" applyFill="1" applyBorder="1"/>
    <xf numFmtId="3" fontId="16" fillId="0" borderId="0" xfId="1524" applyNumberFormat="1" applyFont="1" applyBorder="1"/>
    <xf numFmtId="165" fontId="16" fillId="0" borderId="14" xfId="1524" applyNumberFormat="1" applyFont="1" applyBorder="1"/>
    <xf numFmtId="165" fontId="23" fillId="0" borderId="0" xfId="818" applyNumberFormat="1" applyFont="1"/>
    <xf numFmtId="3" fontId="23" fillId="0" borderId="0" xfId="818" applyNumberFormat="1" applyFont="1"/>
    <xf numFmtId="0" fontId="23" fillId="8" borderId="7" xfId="0" applyFont="1" applyFill="1" applyBorder="1"/>
    <xf numFmtId="0" fontId="0" fillId="2" borderId="0" xfId="0" applyFill="1" applyAlignment="1">
      <alignment horizontal="right"/>
    </xf>
    <xf numFmtId="0" fontId="0" fillId="2" borderId="0" xfId="0" applyFill="1" applyAlignment="1">
      <alignment horizontal="center"/>
    </xf>
    <xf numFmtId="0" fontId="0" fillId="2" borderId="2" xfId="0" applyFill="1" applyBorder="1" applyAlignment="1">
      <alignment horizontal="center"/>
    </xf>
    <xf numFmtId="0" fontId="0" fillId="2" borderId="11" xfId="0" applyFill="1" applyBorder="1" applyAlignment="1">
      <alignment horizontal="center"/>
    </xf>
    <xf numFmtId="0" fontId="0" fillId="2" borderId="18" xfId="0" applyFill="1" applyBorder="1" applyAlignment="1">
      <alignment horizontal="center"/>
    </xf>
    <xf numFmtId="9" fontId="0" fillId="2" borderId="0" xfId="1" applyFont="1" applyFill="1" applyBorder="1" applyAlignment="1">
      <alignment horizontal="right"/>
    </xf>
    <xf numFmtId="164" fontId="16" fillId="2" borderId="0" xfId="1" applyNumberFormat="1" applyFont="1" applyFill="1" applyBorder="1" applyAlignment="1">
      <alignment horizontal="right"/>
    </xf>
    <xf numFmtId="10" fontId="9" fillId="2" borderId="0" xfId="1" applyNumberFormat="1" applyFont="1" applyFill="1" applyBorder="1" applyAlignment="1">
      <alignment horizontal="right"/>
    </xf>
    <xf numFmtId="0" fontId="32" fillId="2" borderId="0" xfId="0" applyFont="1" applyFill="1"/>
    <xf numFmtId="0" fontId="0" fillId="2" borderId="3" xfId="0" applyFill="1" applyBorder="1" applyAlignment="1">
      <alignment horizontal="right"/>
    </xf>
    <xf numFmtId="0" fontId="0" fillId="2" borderId="11" xfId="0" applyFill="1" applyBorder="1" applyAlignment="1">
      <alignment horizontal="right"/>
    </xf>
    <xf numFmtId="0" fontId="0" fillId="2" borderId="18" xfId="0" applyFill="1" applyBorder="1" applyAlignment="1">
      <alignment horizontal="right"/>
    </xf>
    <xf numFmtId="0" fontId="9" fillId="2" borderId="0" xfId="0" applyFont="1" applyFill="1" applyAlignment="1">
      <alignment horizontal="left" indent="1"/>
    </xf>
    <xf numFmtId="9" fontId="2" fillId="2" borderId="0" xfId="1" applyFont="1" applyFill="1" applyBorder="1" applyAlignment="1">
      <alignment horizontal="right"/>
    </xf>
    <xf numFmtId="0" fontId="12" fillId="0" borderId="38" xfId="0" applyFont="1" applyBorder="1"/>
    <xf numFmtId="0" fontId="10" fillId="2" borderId="7" xfId="0" applyFont="1" applyFill="1" applyBorder="1"/>
    <xf numFmtId="9" fontId="0" fillId="0" borderId="8" xfId="1" applyFont="1" applyBorder="1"/>
    <xf numFmtId="0" fontId="10" fillId="0" borderId="0" xfId="0" applyFont="1"/>
    <xf numFmtId="0" fontId="10" fillId="0" borderId="7" xfId="0" applyFont="1" applyBorder="1"/>
    <xf numFmtId="0" fontId="13" fillId="2" borderId="15" xfId="0" applyFont="1" applyFill="1" applyBorder="1"/>
    <xf numFmtId="4" fontId="0" fillId="2" borderId="43" xfId="0" applyNumberFormat="1" applyFill="1" applyBorder="1"/>
    <xf numFmtId="165" fontId="16" fillId="2" borderId="14" xfId="1524" applyNumberFormat="1" applyFont="1" applyFill="1" applyBorder="1"/>
    <xf numFmtId="165" fontId="23" fillId="0" borderId="7" xfId="818" applyNumberFormat="1" applyFont="1" applyBorder="1"/>
    <xf numFmtId="3" fontId="23" fillId="0" borderId="7" xfId="818" applyNumberFormat="1" applyFont="1" applyBorder="1"/>
    <xf numFmtId="0" fontId="12" fillId="2" borderId="38" xfId="0" applyFont="1" applyFill="1" applyBorder="1"/>
    <xf numFmtId="3" fontId="16" fillId="0" borderId="7" xfId="1524" applyNumberFormat="1" applyFont="1" applyBorder="1"/>
    <xf numFmtId="165" fontId="16" fillId="0" borderId="16" xfId="1524" applyNumberFormat="1" applyFont="1" applyBorder="1"/>
    <xf numFmtId="0" fontId="12" fillId="8" borderId="38" xfId="0" applyFont="1" applyFill="1" applyBorder="1"/>
    <xf numFmtId="0" fontId="23" fillId="8" borderId="38" xfId="0" applyFont="1" applyFill="1" applyBorder="1"/>
    <xf numFmtId="0" fontId="16" fillId="8" borderId="38" xfId="0" applyFont="1" applyFill="1" applyBorder="1"/>
    <xf numFmtId="0" fontId="16" fillId="8" borderId="37" xfId="0" applyFont="1" applyFill="1" applyBorder="1"/>
    <xf numFmtId="165" fontId="6" fillId="0" borderId="14" xfId="1" applyNumberFormat="1" applyFont="1" applyFill="1" applyBorder="1"/>
    <xf numFmtId="165" fontId="6" fillId="2" borderId="16" xfId="0" applyNumberFormat="1" applyFont="1" applyFill="1" applyBorder="1"/>
    <xf numFmtId="165" fontId="6" fillId="2" borderId="14" xfId="0" applyNumberFormat="1" applyFont="1" applyFill="1" applyBorder="1"/>
    <xf numFmtId="4" fontId="6" fillId="0" borderId="0" xfId="0" applyNumberFormat="1" applyFont="1"/>
    <xf numFmtId="4" fontId="6" fillId="2" borderId="7" xfId="0" applyNumberFormat="1" applyFont="1" applyFill="1" applyBorder="1"/>
    <xf numFmtId="4" fontId="6" fillId="2" borderId="16" xfId="0" applyNumberFormat="1" applyFont="1" applyFill="1" applyBorder="1"/>
    <xf numFmtId="164" fontId="6" fillId="2" borderId="7" xfId="0" applyNumberFormat="1" applyFont="1" applyFill="1" applyBorder="1"/>
    <xf numFmtId="164" fontId="6" fillId="2" borderId="16" xfId="0" applyNumberFormat="1" applyFont="1" applyFill="1" applyBorder="1"/>
    <xf numFmtId="0" fontId="34" fillId="2" borderId="13" xfId="0" applyFont="1" applyFill="1" applyBorder="1"/>
    <xf numFmtId="9" fontId="6" fillId="0" borderId="0" xfId="1" applyFont="1" applyFill="1" applyBorder="1"/>
    <xf numFmtId="10" fontId="0" fillId="0" borderId="14" xfId="0" applyNumberFormat="1" applyBorder="1"/>
    <xf numFmtId="0" fontId="26" fillId="2" borderId="13" xfId="0" applyFont="1" applyFill="1" applyBorder="1"/>
    <xf numFmtId="0" fontId="27" fillId="2" borderId="13" xfId="0" applyFont="1" applyFill="1" applyBorder="1"/>
    <xf numFmtId="3" fontId="27" fillId="2" borderId="13" xfId="0" applyNumberFormat="1" applyFont="1" applyFill="1" applyBorder="1" applyAlignment="1">
      <alignment vertical="top" wrapText="1"/>
    </xf>
    <xf numFmtId="165" fontId="9" fillId="0" borderId="0" xfId="1" applyNumberFormat="1" applyFont="1" applyBorder="1"/>
    <xf numFmtId="165" fontId="9" fillId="2" borderId="0" xfId="1" applyNumberFormat="1" applyFont="1" applyFill="1" applyBorder="1"/>
    <xf numFmtId="165" fontId="9" fillId="2" borderId="7" xfId="1" applyNumberFormat="1" applyFont="1" applyFill="1" applyBorder="1"/>
    <xf numFmtId="4" fontId="9" fillId="0" borderId="4" xfId="0" applyNumberFormat="1" applyFont="1" applyBorder="1"/>
    <xf numFmtId="4" fontId="9" fillId="0" borderId="0" xfId="0" applyNumberFormat="1" applyFont="1"/>
    <xf numFmtId="4" fontId="9" fillId="0" borderId="14" xfId="0" applyNumberFormat="1" applyFont="1" applyBorder="1"/>
    <xf numFmtId="4" fontId="9" fillId="0" borderId="7" xfId="0" applyNumberFormat="1" applyFont="1" applyBorder="1"/>
    <xf numFmtId="4" fontId="9" fillId="0" borderId="16" xfId="0" applyNumberFormat="1" applyFont="1" applyBorder="1"/>
    <xf numFmtId="4" fontId="9" fillId="2" borderId="42" xfId="0" applyNumberFormat="1" applyFont="1" applyFill="1" applyBorder="1"/>
    <xf numFmtId="4" fontId="9" fillId="2" borderId="2" xfId="0" applyNumberFormat="1" applyFont="1" applyFill="1" applyBorder="1"/>
    <xf numFmtId="4" fontId="9" fillId="2" borderId="33" xfId="0" applyNumberFormat="1" applyFont="1" applyFill="1" applyBorder="1"/>
    <xf numFmtId="4" fontId="9" fillId="2" borderId="7" xfId="0" applyNumberFormat="1" applyFont="1" applyFill="1" applyBorder="1"/>
    <xf numFmtId="4" fontId="9" fillId="2" borderId="16" xfId="0" applyNumberFormat="1" applyFont="1" applyFill="1" applyBorder="1"/>
    <xf numFmtId="4" fontId="9" fillId="2" borderId="43" xfId="0" applyNumberFormat="1" applyFont="1" applyFill="1" applyBorder="1"/>
    <xf numFmtId="4" fontId="9" fillId="2" borderId="0" xfId="0" applyNumberFormat="1" applyFont="1" applyFill="1"/>
    <xf numFmtId="4" fontId="9" fillId="2" borderId="14" xfId="0" applyNumberFormat="1" applyFont="1" applyFill="1" applyBorder="1"/>
    <xf numFmtId="4" fontId="9" fillId="0" borderId="6" xfId="0" applyNumberFormat="1" applyFont="1" applyBorder="1"/>
    <xf numFmtId="0" fontId="35" fillId="2" borderId="0" xfId="0" applyFont="1" applyFill="1"/>
    <xf numFmtId="0" fontId="35" fillId="2" borderId="7" xfId="0" applyFont="1" applyFill="1" applyBorder="1"/>
    <xf numFmtId="4" fontId="9" fillId="0" borderId="1" xfId="0" applyNumberFormat="1" applyFont="1" applyBorder="1"/>
    <xf numFmtId="4" fontId="9" fillId="0" borderId="2" xfId="0" applyNumberFormat="1" applyFont="1" applyBorder="1"/>
    <xf numFmtId="4" fontId="9" fillId="0" borderId="33" xfId="0" applyNumberFormat="1" applyFont="1" applyBorder="1"/>
    <xf numFmtId="0" fontId="0" fillId="2" borderId="1" xfId="0" applyFill="1" applyBorder="1"/>
    <xf numFmtId="0" fontId="24" fillId="3" borderId="2" xfId="0" applyFont="1" applyFill="1" applyBorder="1"/>
    <xf numFmtId="165" fontId="6" fillId="0" borderId="14" xfId="1" applyNumberFormat="1" applyFont="1" applyBorder="1"/>
    <xf numFmtId="165" fontId="6" fillId="2" borderId="16" xfId="1" applyNumberFormat="1" applyFont="1" applyFill="1" applyBorder="1"/>
    <xf numFmtId="165" fontId="6" fillId="2" borderId="14" xfId="1" applyNumberFormat="1" applyFont="1" applyFill="1" applyBorder="1"/>
    <xf numFmtId="3" fontId="9" fillId="0" borderId="4" xfId="0" applyNumberFormat="1" applyFont="1" applyBorder="1"/>
    <xf numFmtId="3" fontId="9" fillId="2" borderId="6" xfId="0" applyNumberFormat="1" applyFont="1" applyFill="1" applyBorder="1"/>
    <xf numFmtId="3" fontId="9" fillId="2" borderId="4" xfId="0" applyNumberFormat="1" applyFont="1" applyFill="1" applyBorder="1"/>
    <xf numFmtId="165" fontId="12" fillId="0" borderId="4" xfId="0" applyNumberFormat="1" applyFont="1" applyBorder="1"/>
    <xf numFmtId="165" fontId="12" fillId="8" borderId="4" xfId="0" applyNumberFormat="1" applyFont="1" applyFill="1" applyBorder="1"/>
    <xf numFmtId="165" fontId="12" fillId="8" borderId="6" xfId="0" applyNumberFormat="1" applyFont="1" applyFill="1" applyBorder="1"/>
    <xf numFmtId="165" fontId="17" fillId="0" borderId="14" xfId="1" applyNumberFormat="1" applyFont="1" applyFill="1" applyBorder="1"/>
    <xf numFmtId="165" fontId="17" fillId="8" borderId="14" xfId="1" applyNumberFormat="1" applyFont="1" applyFill="1" applyBorder="1"/>
    <xf numFmtId="165" fontId="17" fillId="8" borderId="16" xfId="1" applyNumberFormat="1" applyFont="1" applyFill="1" applyBorder="1"/>
    <xf numFmtId="0" fontId="6" fillId="2" borderId="24" xfId="713" applyFont="1" applyFill="1" applyBorder="1"/>
    <xf numFmtId="0" fontId="0" fillId="2" borderId="23"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Alignment="1">
      <alignment vertical="top" wrapText="1"/>
    </xf>
    <xf numFmtId="0" fontId="0" fillId="2" borderId="24" xfId="0" applyFill="1" applyBorder="1"/>
    <xf numFmtId="0" fontId="36" fillId="2" borderId="1" xfId="0" applyFont="1" applyFill="1" applyBorder="1"/>
    <xf numFmtId="0" fontId="10" fillId="2" borderId="3" xfId="0" applyFont="1" applyFill="1" applyBorder="1"/>
    <xf numFmtId="0" fontId="10" fillId="2" borderId="4" xfId="0" applyFont="1" applyFill="1" applyBorder="1"/>
    <xf numFmtId="0" fontId="10" fillId="2" borderId="5" xfId="0" applyFont="1" applyFill="1" applyBorder="1"/>
    <xf numFmtId="0" fontId="10" fillId="2" borderId="6" xfId="0" applyFont="1" applyFill="1" applyBorder="1"/>
    <xf numFmtId="0" fontId="23" fillId="2" borderId="0" xfId="0" applyFont="1" applyFill="1"/>
    <xf numFmtId="164" fontId="9" fillId="0" borderId="0" xfId="0" applyNumberFormat="1" applyFont="1" applyAlignment="1">
      <alignment horizontal="right" wrapText="1"/>
    </xf>
    <xf numFmtId="0" fontId="0" fillId="0" borderId="45" xfId="0" applyBorder="1"/>
    <xf numFmtId="0" fontId="0" fillId="0" borderId="39" xfId="0" applyBorder="1" applyAlignment="1">
      <alignment vertical="top" wrapText="1"/>
    </xf>
    <xf numFmtId="0" fontId="0" fillId="0" borderId="46" xfId="0" applyBorder="1" applyAlignment="1">
      <alignment vertical="top" wrapText="1"/>
    </xf>
    <xf numFmtId="0" fontId="0" fillId="0" borderId="40" xfId="0" applyBorder="1" applyAlignment="1">
      <alignment vertical="top" wrapText="1"/>
    </xf>
    <xf numFmtId="0" fontId="0" fillId="0" borderId="47" xfId="0" applyBorder="1"/>
    <xf numFmtId="0" fontId="0" fillId="0" borderId="38" xfId="0" applyBorder="1"/>
    <xf numFmtId="0" fontId="0" fillId="0" borderId="25" xfId="0" applyBorder="1"/>
    <xf numFmtId="0" fontId="0" fillId="0" borderId="37" xfId="0" applyBorder="1"/>
    <xf numFmtId="0" fontId="0" fillId="0" borderId="30" xfId="0" applyBorder="1"/>
    <xf numFmtId="0" fontId="0" fillId="0" borderId="23" xfId="0" applyBorder="1"/>
    <xf numFmtId="0" fontId="0" fillId="0" borderId="48" xfId="0" applyBorder="1"/>
    <xf numFmtId="0" fontId="0" fillId="0" borderId="49" xfId="0" applyBorder="1"/>
    <xf numFmtId="11" fontId="0" fillId="0" borderId="49" xfId="0" applyNumberFormat="1" applyBorder="1"/>
    <xf numFmtId="0" fontId="0" fillId="0" borderId="50" xfId="0" applyBorder="1"/>
    <xf numFmtId="0" fontId="0" fillId="0" borderId="51" xfId="0" applyBorder="1"/>
    <xf numFmtId="0" fontId="0" fillId="0" borderId="29" xfId="0" applyBorder="1"/>
    <xf numFmtId="0" fontId="0" fillId="0" borderId="21" xfId="0" applyBorder="1"/>
    <xf numFmtId="0" fontId="0" fillId="0" borderId="31" xfId="0" applyBorder="1"/>
    <xf numFmtId="0" fontId="0" fillId="0" borderId="18" xfId="0" applyBorder="1"/>
    <xf numFmtId="0" fontId="0" fillId="0" borderId="27" xfId="0" applyBorder="1"/>
    <xf numFmtId="3" fontId="10" fillId="2" borderId="8" xfId="0" applyNumberFormat="1" applyFont="1" applyFill="1" applyBorder="1"/>
    <xf numFmtId="3" fontId="0" fillId="0" borderId="9" xfId="0" applyNumberFormat="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2" borderId="52" xfId="0" applyFill="1" applyBorder="1" applyAlignment="1">
      <alignment horizontal="center"/>
    </xf>
    <xf numFmtId="3" fontId="0" fillId="0" borderId="53" xfId="0" applyNumberFormat="1" applyBorder="1" applyAlignment="1">
      <alignment horizontal="center"/>
    </xf>
    <xf numFmtId="0" fontId="0" fillId="2" borderId="54" xfId="0" applyFill="1" applyBorder="1" applyAlignment="1">
      <alignment horizontal="center"/>
    </xf>
    <xf numFmtId="0" fontId="0" fillId="0" borderId="52" xfId="0" applyBorder="1"/>
    <xf numFmtId="0" fontId="12" fillId="8" borderId="52" xfId="0" applyFont="1" applyFill="1" applyBorder="1" applyAlignment="1">
      <alignment horizontal="center"/>
    </xf>
    <xf numFmtId="0" fontId="0" fillId="0" borderId="52" xfId="0" applyBorder="1" applyAlignment="1">
      <alignment horizontal="center"/>
    </xf>
    <xf numFmtId="0" fontId="12" fillId="0" borderId="52" xfId="0" applyFont="1" applyBorder="1" applyAlignment="1">
      <alignment horizontal="center"/>
    </xf>
    <xf numFmtId="168" fontId="27" fillId="2" borderId="13" xfId="0" applyNumberFormat="1" applyFont="1" applyFill="1" applyBorder="1" applyAlignment="1">
      <alignment vertical="top" wrapText="1"/>
    </xf>
    <xf numFmtId="0" fontId="13" fillId="2" borderId="30" xfId="0" applyFont="1" applyFill="1" applyBorder="1" applyAlignment="1">
      <alignment wrapText="1"/>
    </xf>
    <xf numFmtId="0" fontId="12" fillId="8" borderId="14" xfId="0" applyFont="1" applyFill="1" applyBorder="1"/>
    <xf numFmtId="169" fontId="0" fillId="0" borderId="4" xfId="0" applyNumberFormat="1" applyBorder="1" applyAlignment="1">
      <alignment horizontal="left"/>
    </xf>
    <xf numFmtId="169" fontId="0" fillId="0" borderId="0" xfId="0" applyNumberFormat="1" applyAlignment="1">
      <alignment horizontal="left"/>
    </xf>
    <xf numFmtId="10" fontId="0" fillId="0" borderId="0" xfId="1" applyNumberFormat="1" applyFont="1" applyFill="1" applyBorder="1"/>
    <xf numFmtId="10" fontId="0" fillId="0" borderId="0" xfId="1" applyNumberFormat="1" applyFont="1" applyFill="1" applyBorder="1" applyAlignment="1">
      <alignment horizontal="right"/>
    </xf>
    <xf numFmtId="0" fontId="0" fillId="2" borderId="18" xfId="0" applyFill="1" applyBorder="1" applyAlignment="1">
      <alignment horizontal="left"/>
    </xf>
    <xf numFmtId="165" fontId="1" fillId="2" borderId="23" xfId="1" applyNumberFormat="1" applyFont="1" applyFill="1" applyBorder="1" applyAlignment="1">
      <alignment vertical="center"/>
    </xf>
    <xf numFmtId="0" fontId="0" fillId="0" borderId="9" xfId="0" applyBorder="1"/>
    <xf numFmtId="0" fontId="12" fillId="0" borderId="9" xfId="0" applyFont="1" applyBorder="1"/>
    <xf numFmtId="0" fontId="12" fillId="0" borderId="26" xfId="0" applyFont="1" applyBorder="1"/>
    <xf numFmtId="0" fontId="9" fillId="2" borderId="55" xfId="0" applyFont="1" applyFill="1" applyBorder="1" applyAlignment="1">
      <alignment horizontal="left"/>
    </xf>
    <xf numFmtId="0" fontId="9" fillId="0" borderId="55" xfId="0" applyFont="1" applyBorder="1" applyAlignment="1">
      <alignment horizontal="left"/>
    </xf>
    <xf numFmtId="0" fontId="0" fillId="2" borderId="55" xfId="0" applyFill="1" applyBorder="1" applyAlignment="1">
      <alignment horizontal="left"/>
    </xf>
    <xf numFmtId="0" fontId="0" fillId="2" borderId="56" xfId="0" applyFill="1" applyBorder="1" applyAlignment="1">
      <alignment horizontal="left"/>
    </xf>
    <xf numFmtId="0" fontId="0" fillId="0" borderId="55" xfId="0" applyBorder="1" applyAlignment="1">
      <alignment horizontal="left"/>
    </xf>
    <xf numFmtId="0" fontId="9" fillId="2" borderId="56" xfId="0" applyFont="1" applyFill="1" applyBorder="1" applyAlignment="1">
      <alignment horizontal="left"/>
    </xf>
    <xf numFmtId="0" fontId="12" fillId="0" borderId="55" xfId="0" applyFont="1" applyBorder="1" applyAlignment="1">
      <alignment horizontal="left"/>
    </xf>
    <xf numFmtId="0" fontId="0" fillId="2" borderId="57" xfId="0" applyFill="1" applyBorder="1" applyAlignment="1">
      <alignment horizontal="left"/>
    </xf>
    <xf numFmtId="0" fontId="0" fillId="2" borderId="55" xfId="0" applyFill="1" applyBorder="1"/>
    <xf numFmtId="3" fontId="0" fillId="2" borderId="55" xfId="0" applyNumberFormat="1" applyFill="1" applyBorder="1"/>
    <xf numFmtId="3" fontId="0" fillId="0" borderId="52" xfId="0" applyNumberFormat="1" applyBorder="1" applyAlignment="1">
      <alignment horizontal="center"/>
    </xf>
    <xf numFmtId="0" fontId="6" fillId="2" borderId="0" xfId="713" applyFont="1" applyFill="1" applyBorder="1"/>
    <xf numFmtId="0" fontId="0" fillId="2" borderId="0" xfId="0" applyFill="1" applyAlignment="1">
      <alignment horizontal="left" wrapText="1"/>
    </xf>
    <xf numFmtId="0" fontId="11" fillId="2" borderId="17" xfId="0" applyFont="1" applyFill="1" applyBorder="1"/>
    <xf numFmtId="0" fontId="11" fillId="2" borderId="58" xfId="0" applyFont="1" applyFill="1" applyBorder="1"/>
    <xf numFmtId="0" fontId="0" fillId="2" borderId="38" xfId="0" applyFill="1" applyBorder="1"/>
    <xf numFmtId="0" fontId="0" fillId="2" borderId="59" xfId="0" applyFill="1" applyBorder="1" applyAlignment="1">
      <alignment horizontal="center"/>
    </xf>
    <xf numFmtId="0" fontId="0" fillId="2" borderId="53" xfId="0" applyFill="1" applyBorder="1" applyAlignment="1">
      <alignment horizontal="center"/>
    </xf>
    <xf numFmtId="0" fontId="0" fillId="0" borderId="53" xfId="0" applyBorder="1" applyAlignment="1">
      <alignment horizontal="center"/>
    </xf>
    <xf numFmtId="0" fontId="0" fillId="2" borderId="60" xfId="0" applyFill="1" applyBorder="1" applyAlignment="1">
      <alignment horizontal="center"/>
    </xf>
    <xf numFmtId="0" fontId="0" fillId="2" borderId="19" xfId="0" applyFill="1" applyBorder="1" applyAlignment="1">
      <alignment horizontal="center"/>
    </xf>
    <xf numFmtId="0" fontId="0" fillId="2" borderId="53" xfId="0" applyFill="1" applyBorder="1" applyAlignment="1">
      <alignment horizontal="left"/>
    </xf>
    <xf numFmtId="2" fontId="0" fillId="2" borderId="0" xfId="0" applyNumberFormat="1" applyFill="1" applyAlignment="1">
      <alignment horizontal="left"/>
    </xf>
    <xf numFmtId="0" fontId="6" fillId="2" borderId="1" xfId="0" applyFont="1" applyFill="1" applyBorder="1" applyAlignment="1">
      <alignment vertical="top"/>
    </xf>
    <xf numFmtId="0" fontId="27" fillId="2" borderId="4" xfId="0" applyFont="1" applyFill="1" applyBorder="1" applyAlignment="1">
      <alignment vertical="top" wrapText="1"/>
    </xf>
    <xf numFmtId="0" fontId="27" fillId="2" borderId="4" xfId="0" applyFont="1" applyFill="1" applyBorder="1"/>
    <xf numFmtId="0" fontId="27" fillId="2" borderId="6" xfId="0" applyFont="1" applyFill="1" applyBorder="1" applyAlignment="1">
      <alignment vertical="top"/>
    </xf>
    <xf numFmtId="0" fontId="27" fillId="2" borderId="5" xfId="0" applyFont="1" applyFill="1" applyBorder="1"/>
    <xf numFmtId="0" fontId="27" fillId="2" borderId="1" xfId="0" applyFont="1" applyFill="1" applyBorder="1"/>
    <xf numFmtId="0" fontId="27" fillId="2" borderId="3" xfId="0" applyFont="1" applyFill="1" applyBorder="1"/>
    <xf numFmtId="0" fontId="27" fillId="0" borderId="4" xfId="0" applyFont="1" applyBorder="1"/>
    <xf numFmtId="0" fontId="38" fillId="2" borderId="4" xfId="0" applyFont="1" applyFill="1" applyBorder="1"/>
    <xf numFmtId="0" fontId="26" fillId="2" borderId="6" xfId="0" applyFont="1" applyFill="1" applyBorder="1"/>
    <xf numFmtId="0" fontId="26" fillId="2" borderId="8" xfId="0" applyFont="1" applyFill="1" applyBorder="1"/>
    <xf numFmtId="0" fontId="16" fillId="2" borderId="0" xfId="0" applyFont="1" applyFill="1"/>
    <xf numFmtId="3" fontId="23" fillId="0" borderId="0" xfId="0" applyNumberFormat="1" applyFont="1" applyAlignment="1">
      <alignment vertical="top"/>
    </xf>
    <xf numFmtId="0" fontId="37" fillId="2" borderId="7" xfId="0" applyFont="1" applyFill="1" applyBorder="1"/>
    <xf numFmtId="3" fontId="10" fillId="0" borderId="14" xfId="0" applyNumberFormat="1" applyFont="1" applyBorder="1" applyAlignment="1">
      <alignment vertical="top"/>
    </xf>
    <xf numFmtId="0" fontId="23" fillId="0" borderId="14" xfId="0" applyFont="1" applyBorder="1" applyAlignment="1">
      <alignment horizontal="right"/>
    </xf>
    <xf numFmtId="1" fontId="10" fillId="2" borderId="19" xfId="0" applyNumberFormat="1" applyFont="1" applyFill="1" applyBorder="1"/>
    <xf numFmtId="0" fontId="0" fillId="2" borderId="36" xfId="0" applyFill="1" applyBorder="1"/>
    <xf numFmtId="0" fontId="6" fillId="0" borderId="29" xfId="0" applyFont="1" applyBorder="1" applyAlignment="1">
      <alignment vertical="top" wrapText="1"/>
    </xf>
    <xf numFmtId="0" fontId="6" fillId="2" borderId="30" xfId="0" applyFont="1" applyFill="1" applyBorder="1" applyAlignment="1">
      <alignment vertical="top" wrapText="1"/>
    </xf>
    <xf numFmtId="3" fontId="23" fillId="0" borderId="30" xfId="0" applyNumberFormat="1" applyFont="1" applyBorder="1" applyAlignment="1">
      <alignment vertical="top"/>
    </xf>
    <xf numFmtId="0" fontId="36" fillId="0" borderId="30" xfId="0" applyFont="1" applyBorder="1" applyAlignment="1">
      <alignment horizontal="right"/>
    </xf>
    <xf numFmtId="1" fontId="10" fillId="2" borderId="31" xfId="0" applyNumberFormat="1" applyFont="1" applyFill="1" applyBorder="1"/>
    <xf numFmtId="0" fontId="25" fillId="3" borderId="13" xfId="0" applyFont="1" applyFill="1" applyBorder="1"/>
    <xf numFmtId="0" fontId="25" fillId="8" borderId="15" xfId="0" applyFont="1" applyFill="1" applyBorder="1"/>
    <xf numFmtId="0" fontId="11" fillId="0" borderId="13" xfId="0" applyFont="1" applyBorder="1"/>
    <xf numFmtId="0" fontId="25" fillId="8" borderId="17" xfId="0" applyFont="1" applyFill="1" applyBorder="1"/>
    <xf numFmtId="0" fontId="12" fillId="8" borderId="2" xfId="0" applyFont="1" applyFill="1" applyBorder="1"/>
    <xf numFmtId="0" fontId="6" fillId="2" borderId="44" xfId="0" applyFont="1" applyFill="1" applyBorder="1" applyAlignment="1">
      <alignment vertical="top"/>
    </xf>
    <xf numFmtId="0" fontId="0" fillId="4" borderId="25" xfId="0" applyFill="1" applyBorder="1" applyAlignment="1">
      <alignment vertical="center"/>
    </xf>
    <xf numFmtId="0" fontId="0" fillId="0" borderId="25" xfId="0" applyBorder="1" applyAlignment="1">
      <alignment vertical="center" wrapText="1"/>
    </xf>
    <xf numFmtId="0" fontId="0" fillId="0" borderId="5" xfId="0"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0"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Border="1" applyAlignment="1">
      <alignment vertical="center" wrapText="1"/>
    </xf>
    <xf numFmtId="0" fontId="10"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9" fillId="0" borderId="2" xfId="0" applyNumberFormat="1" applyFont="1" applyBorder="1"/>
    <xf numFmtId="3" fontId="9" fillId="0" borderId="0" xfId="0" applyNumberFormat="1" applyFont="1"/>
    <xf numFmtId="3" fontId="9" fillId="0" borderId="7" xfId="0" applyNumberFormat="1" applyFont="1" applyBorder="1"/>
    <xf numFmtId="3" fontId="9" fillId="0" borderId="6" xfId="0" applyNumberFormat="1" applyFont="1" applyBorder="1"/>
    <xf numFmtId="4" fontId="6" fillId="0" borderId="4" xfId="0" applyNumberFormat="1" applyFont="1" applyBorder="1"/>
    <xf numFmtId="0" fontId="6" fillId="2" borderId="5" xfId="0" applyFont="1" applyFill="1" applyBorder="1" applyAlignment="1">
      <alignment wrapText="1"/>
    </xf>
    <xf numFmtId="9" fontId="6" fillId="0" borderId="6" xfId="1" applyFont="1" applyFill="1" applyBorder="1"/>
    <xf numFmtId="9" fontId="6" fillId="0" borderId="7" xfId="1" applyFont="1" applyFill="1" applyBorder="1"/>
    <xf numFmtId="9" fontId="6" fillId="0" borderId="16" xfId="1" applyFont="1" applyFill="1" applyBorder="1"/>
    <xf numFmtId="4" fontId="6" fillId="2" borderId="61" xfId="0" applyNumberFormat="1" applyFont="1" applyFill="1" applyBorder="1"/>
    <xf numFmtId="165" fontId="23" fillId="2" borderId="0" xfId="818" applyNumberFormat="1" applyFont="1" applyFill="1"/>
    <xf numFmtId="3" fontId="23" fillId="2" borderId="0" xfId="818" applyNumberFormat="1" applyFont="1" applyFill="1"/>
    <xf numFmtId="3" fontId="16" fillId="2" borderId="0" xfId="1524" applyNumberFormat="1" applyFont="1" applyFill="1" applyBorder="1"/>
    <xf numFmtId="0" fontId="12" fillId="3" borderId="18" xfId="0" applyFont="1" applyFill="1" applyBorder="1"/>
    <xf numFmtId="0" fontId="12" fillId="3" borderId="19" xfId="0" applyFont="1" applyFill="1" applyBorder="1"/>
    <xf numFmtId="0" fontId="12" fillId="2" borderId="7" xfId="0" applyFont="1" applyFill="1" applyBorder="1"/>
    <xf numFmtId="0" fontId="23" fillId="2" borderId="7" xfId="0" applyFont="1" applyFill="1" applyBorder="1"/>
    <xf numFmtId="0" fontId="16" fillId="2" borderId="7" xfId="0" applyFont="1" applyFill="1" applyBorder="1"/>
    <xf numFmtId="0" fontId="16" fillId="2" borderId="16" xfId="0" applyFont="1" applyFill="1" applyBorder="1"/>
    <xf numFmtId="165" fontId="23" fillId="2" borderId="2" xfId="818" applyNumberFormat="1" applyFont="1" applyFill="1" applyBorder="1"/>
    <xf numFmtId="3" fontId="23" fillId="2" borderId="2" xfId="818" applyNumberFormat="1" applyFont="1" applyFill="1" applyBorder="1"/>
    <xf numFmtId="3" fontId="16" fillId="2" borderId="2" xfId="1524" applyNumberFormat="1" applyFont="1" applyFill="1" applyBorder="1"/>
    <xf numFmtId="165" fontId="16" fillId="2" borderId="33" xfId="1524" applyNumberFormat="1" applyFont="1" applyFill="1" applyBorder="1"/>
    <xf numFmtId="0" fontId="12" fillId="3" borderId="7" xfId="0" applyFont="1" applyFill="1" applyBorder="1"/>
    <xf numFmtId="0" fontId="23" fillId="3" borderId="7" xfId="0" applyFont="1" applyFill="1" applyBorder="1"/>
    <xf numFmtId="0" fontId="16" fillId="3" borderId="7" xfId="0" applyFont="1" applyFill="1" applyBorder="1"/>
    <xf numFmtId="0" fontId="16" fillId="3" borderId="16" xfId="0" applyFont="1" applyFill="1" applyBorder="1"/>
    <xf numFmtId="0" fontId="5" fillId="3" borderId="13" xfId="0" applyFont="1" applyFill="1" applyBorder="1"/>
    <xf numFmtId="0" fontId="12" fillId="3" borderId="13" xfId="0" applyFont="1" applyFill="1" applyBorder="1"/>
    <xf numFmtId="0" fontId="12" fillId="3" borderId="0" xfId="0" applyFont="1" applyFill="1"/>
    <xf numFmtId="0" fontId="23" fillId="3" borderId="0" xfId="0" applyFont="1" applyFill="1"/>
    <xf numFmtId="0" fontId="16" fillId="3" borderId="0" xfId="0" applyFont="1" applyFill="1"/>
    <xf numFmtId="0" fontId="16" fillId="3" borderId="14" xfId="0" applyFont="1" applyFill="1" applyBorder="1"/>
    <xf numFmtId="2" fontId="9" fillId="0" borderId="0" xfId="0" applyNumberFormat="1" applyFont="1" applyAlignment="1">
      <alignment horizontal="right" wrapText="1"/>
    </xf>
    <xf numFmtId="165" fontId="16" fillId="0" borderId="33" xfId="1524" applyNumberFormat="1" applyFont="1" applyBorder="1"/>
    <xf numFmtId="0" fontId="6" fillId="2" borderId="2" xfId="0" applyFont="1" applyFill="1" applyBorder="1" applyAlignment="1">
      <alignment vertical="top" wrapText="1"/>
    </xf>
    <xf numFmtId="3" fontId="6" fillId="2" borderId="2" xfId="0" applyNumberFormat="1" applyFont="1" applyFill="1" applyBorder="1" applyAlignment="1">
      <alignment vertical="top" wrapText="1"/>
    </xf>
    <xf numFmtId="3" fontId="6" fillId="2" borderId="33" xfId="0" applyNumberFormat="1" applyFont="1" applyFill="1" applyBorder="1" applyAlignment="1">
      <alignment vertical="top" wrapText="1"/>
    </xf>
    <xf numFmtId="3" fontId="0" fillId="0" borderId="38" xfId="0" applyNumberFormat="1" applyBorder="1" applyAlignment="1">
      <alignment vertical="top" wrapText="1"/>
    </xf>
    <xf numFmtId="3" fontId="0" fillId="0" borderId="37" xfId="0" applyNumberFormat="1" applyBorder="1" applyAlignment="1">
      <alignment vertical="top" wrapText="1"/>
    </xf>
    <xf numFmtId="3" fontId="0" fillId="0" borderId="62" xfId="0" applyNumberFormat="1" applyBorder="1" applyAlignment="1">
      <alignment vertical="top" wrapText="1"/>
    </xf>
    <xf numFmtId="0" fontId="17" fillId="8" borderId="12" xfId="0" applyFont="1" applyFill="1" applyBorder="1"/>
    <xf numFmtId="2" fontId="12" fillId="8" borderId="0" xfId="0" applyNumberFormat="1" applyFont="1" applyFill="1"/>
    <xf numFmtId="0" fontId="12" fillId="8" borderId="19" xfId="0" applyFont="1" applyFill="1" applyBorder="1"/>
    <xf numFmtId="0" fontId="12" fillId="0" borderId="13" xfId="0" applyFont="1" applyBorder="1"/>
    <xf numFmtId="0" fontId="25" fillId="8" borderId="13" xfId="0" applyFont="1" applyFill="1" applyBorder="1" applyAlignment="1">
      <alignment vertical="top"/>
    </xf>
    <xf numFmtId="0" fontId="16" fillId="2" borderId="4" xfId="0" applyFont="1" applyFill="1" applyBorder="1"/>
    <xf numFmtId="0" fontId="10" fillId="2" borderId="39" xfId="0" quotePrefix="1" applyFont="1" applyFill="1" applyBorder="1"/>
    <xf numFmtId="0" fontId="10" fillId="2" borderId="39" xfId="0" applyFont="1" applyFill="1" applyBorder="1"/>
    <xf numFmtId="0" fontId="10" fillId="2" borderId="7" xfId="0" applyFont="1" applyFill="1" applyBorder="1" applyAlignment="1">
      <alignment horizontal="left"/>
    </xf>
    <xf numFmtId="165" fontId="2" fillId="0" borderId="14" xfId="1" applyNumberFormat="1" applyFont="1" applyFill="1" applyBorder="1"/>
    <xf numFmtId="168" fontId="10" fillId="0" borderId="0" xfId="0" applyNumberFormat="1" applyFont="1" applyAlignment="1">
      <alignment vertical="top" wrapText="1"/>
    </xf>
    <xf numFmtId="2" fontId="10" fillId="0" borderId="0" xfId="0" applyNumberFormat="1" applyFont="1"/>
    <xf numFmtId="2" fontId="10" fillId="2" borderId="7" xfId="0" applyNumberFormat="1" applyFont="1" applyFill="1" applyBorder="1"/>
    <xf numFmtId="0" fontId="6" fillId="2" borderId="63" xfId="0" applyFont="1" applyFill="1" applyBorder="1"/>
    <xf numFmtId="0" fontId="0" fillId="2" borderId="39" xfId="0" applyFill="1" applyBorder="1"/>
    <xf numFmtId="170" fontId="0" fillId="0" borderId="0" xfId="0" applyNumberFormat="1"/>
    <xf numFmtId="170" fontId="0" fillId="2" borderId="7" xfId="0" applyNumberFormat="1" applyFill="1" applyBorder="1"/>
    <xf numFmtId="170" fontId="0" fillId="2" borderId="0" xfId="0" applyNumberFormat="1" applyFill="1"/>
    <xf numFmtId="170" fontId="0" fillId="2" borderId="2" xfId="0" applyNumberFormat="1" applyFill="1" applyBorder="1"/>
    <xf numFmtId="170" fontId="0" fillId="0" borderId="7" xfId="0" applyNumberFormat="1" applyBorder="1"/>
    <xf numFmtId="170" fontId="0" fillId="2" borderId="18" xfId="0" applyNumberFormat="1" applyFill="1" applyBorder="1"/>
    <xf numFmtId="0" fontId="0" fillId="2" borderId="27" xfId="0" applyFill="1" applyBorder="1"/>
    <xf numFmtId="0" fontId="0" fillId="2" borderId="6" xfId="0" applyFill="1" applyBorder="1" applyAlignment="1">
      <alignment horizontal="left"/>
    </xf>
    <xf numFmtId="0" fontId="0" fillId="2" borderId="7" xfId="0" applyFill="1" applyBorder="1" applyAlignment="1">
      <alignment horizontal="left"/>
    </xf>
    <xf numFmtId="0" fontId="6" fillId="2" borderId="13" xfId="0" applyFont="1" applyFill="1" applyBorder="1" applyAlignment="1">
      <alignment wrapText="1"/>
    </xf>
    <xf numFmtId="0" fontId="6" fillId="2" borderId="0" xfId="0" applyFont="1" applyFill="1" applyAlignment="1">
      <alignment wrapText="1"/>
    </xf>
    <xf numFmtId="0" fontId="10" fillId="2" borderId="44" xfId="0" applyFont="1" applyFill="1" applyBorder="1"/>
    <xf numFmtId="0" fontId="10" fillId="2" borderId="3" xfId="0" applyFont="1" applyFill="1" applyBorder="1" applyAlignment="1">
      <alignment horizontal="left"/>
    </xf>
    <xf numFmtId="2" fontId="0" fillId="2" borderId="16" xfId="0" applyNumberFormat="1" applyFill="1" applyBorder="1"/>
    <xf numFmtId="0" fontId="0" fillId="2" borderId="32" xfId="0" applyFill="1" applyBorder="1"/>
    <xf numFmtId="2" fontId="0" fillId="2" borderId="12" xfId="0" applyNumberFormat="1" applyFill="1" applyBorder="1"/>
    <xf numFmtId="0" fontId="6" fillId="2" borderId="4" xfId="0" applyFont="1" applyFill="1" applyBorder="1" applyAlignment="1">
      <alignment vertical="center" wrapText="1"/>
    </xf>
    <xf numFmtId="0" fontId="6" fillId="2" borderId="0" xfId="0" applyFont="1" applyFill="1" applyAlignment="1">
      <alignment vertical="center" wrapText="1"/>
    </xf>
    <xf numFmtId="2" fontId="6" fillId="2" borderId="14" xfId="0" applyNumberFormat="1" applyFont="1" applyFill="1" applyBorder="1" applyAlignment="1">
      <alignment vertical="center" wrapText="1"/>
    </xf>
    <xf numFmtId="0" fontId="16" fillId="2" borderId="64" xfId="0" quotePrefix="1" applyFont="1" applyFill="1" applyBorder="1"/>
    <xf numFmtId="0" fontId="10" fillId="8" borderId="6" xfId="0" applyFont="1" applyFill="1" applyBorder="1" applyAlignment="1">
      <alignment horizontal="left"/>
    </xf>
    <xf numFmtId="170" fontId="0" fillId="0" borderId="5" xfId="0" applyNumberFormat="1" applyBorder="1"/>
    <xf numFmtId="170" fontId="0" fillId="2" borderId="8" xfId="0" applyNumberFormat="1" applyFill="1" applyBorder="1"/>
    <xf numFmtId="170" fontId="0" fillId="2" borderId="5" xfId="0" applyNumberFormat="1" applyFill="1" applyBorder="1"/>
    <xf numFmtId="170" fontId="0" fillId="2" borderId="3" xfId="0" applyNumberFormat="1" applyFill="1" applyBorder="1"/>
    <xf numFmtId="0" fontId="0" fillId="0" borderId="6" xfId="0" applyBorder="1"/>
    <xf numFmtId="170" fontId="0" fillId="0" borderId="8" xfId="0" applyNumberFormat="1" applyBorder="1"/>
    <xf numFmtId="170" fontId="0" fillId="2" borderId="65" xfId="0" applyNumberFormat="1" applyFill="1" applyBorder="1"/>
    <xf numFmtId="0" fontId="0" fillId="2" borderId="8" xfId="0" applyFill="1" applyBorder="1" applyAlignment="1">
      <alignment horizontal="left"/>
    </xf>
    <xf numFmtId="169" fontId="12" fillId="0" borderId="4" xfId="0" applyNumberFormat="1" applyFont="1" applyBorder="1" applyAlignment="1">
      <alignment horizontal="left" vertical="center"/>
    </xf>
    <xf numFmtId="0" fontId="6" fillId="2" borderId="23" xfId="0" applyFont="1" applyFill="1" applyBorder="1" applyAlignment="1">
      <alignment wrapText="1"/>
    </xf>
    <xf numFmtId="0" fontId="0" fillId="10" borderId="23" xfId="0" applyFill="1" applyBorder="1" applyAlignment="1">
      <alignment horizontal="center"/>
    </xf>
    <xf numFmtId="164" fontId="10" fillId="2" borderId="0" xfId="1" applyNumberFormat="1" applyFont="1" applyFill="1" applyBorder="1" applyAlignment="1">
      <alignment horizontal="right"/>
    </xf>
    <xf numFmtId="0" fontId="0" fillId="0" borderId="23" xfId="0" applyBorder="1" applyAlignment="1">
      <alignment horizontal="left" indent="2"/>
    </xf>
    <xf numFmtId="9" fontId="0" fillId="10" borderId="23" xfId="1" applyFont="1" applyFill="1" applyBorder="1" applyAlignment="1">
      <alignment horizontal="center"/>
    </xf>
    <xf numFmtId="0" fontId="0" fillId="2" borderId="24" xfId="0" applyFill="1" applyBorder="1" applyAlignment="1">
      <alignment horizontal="left"/>
    </xf>
    <xf numFmtId="10" fontId="0" fillId="2" borderId="0" xfId="1" applyNumberFormat="1" applyFont="1" applyFill="1" applyBorder="1" applyAlignment="1">
      <alignment horizontal="right"/>
    </xf>
    <xf numFmtId="10" fontId="10" fillId="15" borderId="23" xfId="1" applyNumberFormat="1" applyFont="1" applyFill="1" applyBorder="1"/>
    <xf numFmtId="9" fontId="0" fillId="15" borderId="23" xfId="1" applyFont="1" applyFill="1" applyBorder="1" applyAlignment="1">
      <alignment horizontal="center"/>
    </xf>
    <xf numFmtId="2" fontId="0" fillId="0" borderId="8" xfId="1" applyNumberFormat="1" applyFont="1" applyBorder="1"/>
    <xf numFmtId="0" fontId="6" fillId="0" borderId="14" xfId="1" applyNumberFormat="1" applyFont="1" applyFill="1" applyBorder="1"/>
    <xf numFmtId="0" fontId="10" fillId="2" borderId="7" xfId="0" quotePrefix="1" applyFont="1" applyFill="1" applyBorder="1"/>
    <xf numFmtId="9" fontId="0" fillId="0" borderId="5" xfId="1" applyFont="1" applyBorder="1"/>
    <xf numFmtId="0" fontId="12" fillId="2" borderId="2" xfId="0" applyFont="1" applyFill="1" applyBorder="1"/>
    <xf numFmtId="0" fontId="12" fillId="2" borderId="33" xfId="0" applyFont="1" applyFill="1" applyBorder="1"/>
    <xf numFmtId="3" fontId="16" fillId="0" borderId="2" xfId="1524" applyNumberFormat="1" applyFont="1" applyBorder="1"/>
    <xf numFmtId="2" fontId="23" fillId="0" borderId="0" xfId="818" applyNumberFormat="1" applyFont="1"/>
    <xf numFmtId="2" fontId="23" fillId="0" borderId="7" xfId="818" applyNumberFormat="1" applyFont="1" applyBorder="1"/>
    <xf numFmtId="2" fontId="23" fillId="8" borderId="7" xfId="0" applyNumberFormat="1" applyFont="1" applyFill="1" applyBorder="1"/>
    <xf numFmtId="2" fontId="23" fillId="2" borderId="0" xfId="818" applyNumberFormat="1" applyFont="1" applyFill="1"/>
    <xf numFmtId="2" fontId="23" fillId="3" borderId="0" xfId="0" applyNumberFormat="1" applyFont="1" applyFill="1"/>
    <xf numFmtId="2" fontId="23" fillId="8" borderId="38" xfId="0" applyNumberFormat="1" applyFont="1" applyFill="1" applyBorder="1"/>
    <xf numFmtId="2" fontId="23" fillId="2" borderId="2" xfId="818" applyNumberFormat="1" applyFont="1" applyFill="1" applyBorder="1"/>
    <xf numFmtId="2" fontId="23" fillId="3" borderId="7" xfId="0" applyNumberFormat="1" applyFont="1" applyFill="1" applyBorder="1"/>
    <xf numFmtId="2" fontId="23" fillId="2" borderId="7" xfId="0" applyNumberFormat="1" applyFont="1" applyFill="1" applyBorder="1"/>
    <xf numFmtId="2" fontId="12" fillId="3" borderId="18" xfId="0" applyNumberFormat="1" applyFont="1" applyFill="1" applyBorder="1"/>
    <xf numFmtId="0" fontId="11" fillId="2" borderId="66" xfId="0" applyFont="1" applyFill="1" applyBorder="1"/>
    <xf numFmtId="0" fontId="0" fillId="2" borderId="69" xfId="0" applyFill="1" applyBorder="1" applyAlignment="1">
      <alignment wrapText="1"/>
    </xf>
    <xf numFmtId="0" fontId="39" fillId="0" borderId="4" xfId="0" applyFont="1" applyBorder="1"/>
    <xf numFmtId="0" fontId="5" fillId="2" borderId="11" xfId="0" applyFont="1" applyFill="1" applyBorder="1"/>
    <xf numFmtId="0" fontId="5" fillId="2" borderId="7" xfId="0" applyFont="1" applyFill="1" applyBorder="1" applyAlignment="1">
      <alignment horizontal="left"/>
    </xf>
    <xf numFmtId="170" fontId="5" fillId="0" borderId="0" xfId="0" applyNumberFormat="1" applyFont="1"/>
    <xf numFmtId="0" fontId="5" fillId="2" borderId="0" xfId="0" applyFont="1" applyFill="1"/>
    <xf numFmtId="0" fontId="5" fillId="2" borderId="0" xfId="0" applyFont="1" applyFill="1" applyAlignment="1">
      <alignment horizontal="left"/>
    </xf>
    <xf numFmtId="170" fontId="5" fillId="2" borderId="7" xfId="0" applyNumberFormat="1" applyFont="1" applyFill="1" applyBorder="1"/>
    <xf numFmtId="170" fontId="5" fillId="2" borderId="0" xfId="0" applyNumberFormat="1" applyFont="1" applyFill="1"/>
    <xf numFmtId="170" fontId="5" fillId="2" borderId="67" xfId="0" applyNumberFormat="1" applyFont="1" applyFill="1" applyBorder="1"/>
    <xf numFmtId="170" fontId="5" fillId="0" borderId="7" xfId="0" applyNumberFormat="1" applyFont="1" applyBorder="1"/>
    <xf numFmtId="170" fontId="5" fillId="2" borderId="18" xfId="0" applyNumberFormat="1" applyFont="1" applyFill="1" applyBorder="1"/>
    <xf numFmtId="0" fontId="5" fillId="2" borderId="70" xfId="0" applyFont="1" applyFill="1" applyBorder="1"/>
    <xf numFmtId="0" fontId="5" fillId="2" borderId="5" xfId="0" applyFont="1" applyFill="1" applyBorder="1"/>
    <xf numFmtId="0" fontId="5" fillId="2" borderId="71" xfId="0" applyFont="1" applyFill="1" applyBorder="1"/>
    <xf numFmtId="0" fontId="5" fillId="2" borderId="72" xfId="0" applyFont="1" applyFill="1" applyBorder="1"/>
    <xf numFmtId="0" fontId="5" fillId="2" borderId="4" xfId="0" applyFont="1" applyFill="1" applyBorder="1"/>
    <xf numFmtId="0" fontId="5" fillId="2" borderId="0" xfId="0" applyFont="1" applyFill="1" applyAlignment="1">
      <alignment wrapText="1"/>
    </xf>
    <xf numFmtId="2" fontId="5" fillId="2" borderId="4" xfId="0" applyNumberFormat="1" applyFont="1" applyFill="1" applyBorder="1"/>
    <xf numFmtId="4" fontId="5" fillId="2" borderId="0" xfId="0" applyNumberFormat="1" applyFont="1" applyFill="1"/>
    <xf numFmtId="0" fontId="5" fillId="2" borderId="6" xfId="0" applyFont="1" applyFill="1" applyBorder="1"/>
    <xf numFmtId="0" fontId="5" fillId="2" borderId="7" xfId="0" applyFont="1" applyFill="1" applyBorder="1"/>
    <xf numFmtId="0" fontId="5" fillId="2" borderId="8" xfId="0" applyFont="1" applyFill="1" applyBorder="1"/>
    <xf numFmtId="0" fontId="12" fillId="8" borderId="13" xfId="0" applyFont="1" applyFill="1" applyBorder="1"/>
    <xf numFmtId="0" fontId="17" fillId="8" borderId="73" xfId="0" applyFont="1" applyFill="1" applyBorder="1"/>
    <xf numFmtId="0" fontId="12" fillId="8" borderId="74" xfId="0" applyFont="1" applyFill="1" applyBorder="1"/>
    <xf numFmtId="0" fontId="12" fillId="8" borderId="74" xfId="0" applyFont="1" applyFill="1" applyBorder="1" applyAlignment="1">
      <alignment wrapText="1"/>
    </xf>
    <xf numFmtId="0" fontId="0" fillId="2" borderId="74" xfId="0" applyFill="1" applyBorder="1"/>
    <xf numFmtId="0" fontId="12" fillId="8" borderId="75" xfId="0" applyFont="1" applyFill="1" applyBorder="1" applyAlignment="1">
      <alignment wrapText="1"/>
    </xf>
    <xf numFmtId="3" fontId="12" fillId="8" borderId="0" xfId="0" applyNumberFormat="1" applyFont="1" applyFill="1"/>
    <xf numFmtId="0" fontId="12" fillId="8" borderId="73" xfId="0" applyFont="1" applyFill="1" applyBorder="1"/>
    <xf numFmtId="0" fontId="8" fillId="3" borderId="70" xfId="0" applyFont="1" applyFill="1" applyBorder="1" applyAlignment="1">
      <alignment vertical="center"/>
    </xf>
    <xf numFmtId="0" fontId="6" fillId="2" borderId="71" xfId="0" applyFont="1" applyFill="1" applyBorder="1"/>
    <xf numFmtId="0" fontId="6" fillId="2" borderId="72" xfId="0" applyFont="1" applyFill="1" applyBorder="1"/>
    <xf numFmtId="0" fontId="12" fillId="0" borderId="0" xfId="0" applyFont="1" applyAlignment="1">
      <alignment wrapText="1"/>
    </xf>
    <xf numFmtId="0" fontId="0" fillId="0" borderId="0" xfId="0" quotePrefix="1" applyAlignment="1">
      <alignment wrapText="1"/>
    </xf>
    <xf numFmtId="169" fontId="0" fillId="0" borderId="6" xfId="0" applyNumberFormat="1" applyBorder="1" applyAlignment="1">
      <alignment horizontal="left"/>
    </xf>
    <xf numFmtId="0" fontId="0" fillId="0" borderId="74" xfId="0" applyBorder="1" applyAlignment="1">
      <alignment wrapText="1"/>
    </xf>
    <xf numFmtId="0" fontId="0" fillId="0" borderId="8" xfId="0" applyBorder="1"/>
    <xf numFmtId="0" fontId="0" fillId="0" borderId="9" xfId="1" applyNumberFormat="1" applyFont="1" applyFill="1" applyBorder="1" applyAlignment="1">
      <alignment horizontal="right"/>
    </xf>
    <xf numFmtId="0" fontId="0" fillId="0" borderId="0" xfId="1" applyNumberFormat="1" applyFont="1" applyFill="1" applyBorder="1" applyAlignment="1">
      <alignment horizontal="right"/>
    </xf>
    <xf numFmtId="0" fontId="17" fillId="0" borderId="74" xfId="0" applyFont="1" applyBorder="1"/>
    <xf numFmtId="0" fontId="0" fillId="10" borderId="69" xfId="0" applyFill="1" applyBorder="1" applyAlignment="1">
      <alignment horizontal="center"/>
    </xf>
    <xf numFmtId="0" fontId="6" fillId="2" borderId="73" xfId="0" applyFont="1" applyFill="1" applyBorder="1"/>
    <xf numFmtId="0" fontId="6" fillId="2" borderId="74" xfId="0" applyFont="1" applyFill="1" applyBorder="1"/>
    <xf numFmtId="0" fontId="6" fillId="2" borderId="74" xfId="0" applyFont="1" applyFill="1" applyBorder="1" applyAlignment="1">
      <alignment horizontal="center"/>
    </xf>
    <xf numFmtId="0" fontId="6" fillId="2" borderId="74" xfId="0" applyFont="1" applyFill="1" applyBorder="1" applyAlignment="1">
      <alignment horizontal="right"/>
    </xf>
    <xf numFmtId="0" fontId="11" fillId="2" borderId="73" xfId="0" applyFont="1" applyFill="1" applyBorder="1"/>
    <xf numFmtId="0" fontId="0" fillId="2" borderId="74" xfId="0" applyFill="1" applyBorder="1" applyAlignment="1">
      <alignment horizontal="right"/>
    </xf>
    <xf numFmtId="0" fontId="0" fillId="2" borderId="74" xfId="0" applyFill="1" applyBorder="1" applyAlignment="1">
      <alignment horizontal="left"/>
    </xf>
    <xf numFmtId="10" fontId="9" fillId="2" borderId="74" xfId="1" applyNumberFormat="1" applyFont="1" applyFill="1" applyBorder="1" applyAlignment="1">
      <alignment horizontal="right"/>
    </xf>
    <xf numFmtId="0" fontId="9" fillId="2" borderId="74" xfId="0" applyFont="1" applyFill="1" applyBorder="1" applyAlignment="1">
      <alignment horizontal="left"/>
    </xf>
    <xf numFmtId="10" fontId="0" fillId="2" borderId="74" xfId="1" applyNumberFormat="1" applyFont="1" applyFill="1" applyBorder="1" applyAlignment="1">
      <alignment horizontal="right"/>
    </xf>
    <xf numFmtId="0" fontId="0" fillId="2" borderId="76" xfId="0" applyFill="1" applyBorder="1" applyAlignment="1">
      <alignment horizontal="left"/>
    </xf>
    <xf numFmtId="0" fontId="0" fillId="2" borderId="77" xfId="0" applyFill="1" applyBorder="1" applyAlignment="1">
      <alignment horizontal="center"/>
    </xf>
    <xf numFmtId="0" fontId="0" fillId="2" borderId="68" xfId="0" applyFill="1" applyBorder="1" applyAlignment="1">
      <alignment horizontal="left"/>
    </xf>
    <xf numFmtId="0" fontId="0" fillId="2" borderId="76" xfId="0" applyFill="1" applyBorder="1" applyAlignment="1">
      <alignment wrapText="1"/>
    </xf>
    <xf numFmtId="0" fontId="0" fillId="0" borderId="24" xfId="0" applyBorder="1"/>
    <xf numFmtId="0" fontId="0" fillId="0" borderId="0" xfId="0" applyAlignment="1">
      <alignment horizontal="center"/>
    </xf>
    <xf numFmtId="0" fontId="0" fillId="0" borderId="0" xfId="0" applyAlignment="1">
      <alignment horizontal="left"/>
    </xf>
    <xf numFmtId="0" fontId="6" fillId="2" borderId="0" xfId="0" applyFont="1" applyFill="1" applyAlignment="1">
      <alignment horizontal="center"/>
    </xf>
    <xf numFmtId="0" fontId="6" fillId="2" borderId="0" xfId="0" applyFont="1" applyFill="1" applyAlignment="1">
      <alignment horizontal="right"/>
    </xf>
    <xf numFmtId="3" fontId="0" fillId="0" borderId="0" xfId="0" applyNumberFormat="1" applyAlignment="1">
      <alignment horizontal="right"/>
    </xf>
    <xf numFmtId="0" fontId="9" fillId="0" borderId="0" xfId="0" applyFont="1" applyAlignment="1">
      <alignment horizontal="left"/>
    </xf>
    <xf numFmtId="0" fontId="9" fillId="2" borderId="0" xfId="0" applyFont="1" applyFill="1" applyAlignment="1">
      <alignment horizontal="left"/>
    </xf>
    <xf numFmtId="0" fontId="0" fillId="0" borderId="0" xfId="0" applyAlignment="1">
      <alignment horizontal="left" indent="2"/>
    </xf>
    <xf numFmtId="9" fontId="0" fillId="2" borderId="2" xfId="1" applyFont="1" applyFill="1" applyBorder="1" applyAlignment="1">
      <alignment horizontal="right"/>
    </xf>
    <xf numFmtId="0" fontId="12" fillId="0" borderId="0" xfId="0" applyFont="1" applyAlignment="1">
      <alignment horizontal="left"/>
    </xf>
    <xf numFmtId="10" fontId="0" fillId="2" borderId="2" xfId="1" applyNumberFormat="1" applyFont="1" applyFill="1" applyBorder="1" applyAlignment="1">
      <alignment horizontal="right"/>
    </xf>
    <xf numFmtId="0" fontId="0" fillId="2" borderId="2" xfId="0" applyFill="1" applyBorder="1" applyAlignment="1">
      <alignment horizontal="left"/>
    </xf>
    <xf numFmtId="10" fontId="0" fillId="0" borderId="0" xfId="1" applyNumberFormat="1" applyFont="1" applyFill="1" applyBorder="1" applyAlignment="1">
      <alignment horizontal="left"/>
    </xf>
    <xf numFmtId="3" fontId="0" fillId="0" borderId="0" xfId="0" applyNumberFormat="1"/>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7" xfId="0" applyFill="1" applyBorder="1" applyAlignment="1">
      <alignment horizontal="left" vertical="top" wrapText="1"/>
    </xf>
    <xf numFmtId="0" fontId="0" fillId="0" borderId="23" xfId="0" applyBorder="1" applyAlignment="1">
      <alignment horizontal="left" wrapText="1"/>
    </xf>
    <xf numFmtId="0" fontId="10" fillId="2" borderId="6" xfId="0" applyFont="1" applyFill="1" applyBorder="1" applyAlignment="1">
      <alignment horizontal="left" vertical="top" wrapText="1"/>
    </xf>
    <xf numFmtId="0" fontId="10" fillId="2" borderId="7" xfId="0" applyFont="1" applyFill="1" applyBorder="1" applyAlignment="1">
      <alignment horizontal="left" vertical="top" wrapText="1"/>
    </xf>
    <xf numFmtId="0" fontId="10" fillId="2" borderId="8" xfId="0" applyFont="1" applyFill="1" applyBorder="1" applyAlignment="1">
      <alignment horizontal="left" vertical="top" wrapText="1"/>
    </xf>
    <xf numFmtId="0" fontId="10" fillId="2" borderId="2" xfId="0" applyFont="1" applyFill="1" applyBorder="1" applyAlignment="1">
      <alignment wrapText="1"/>
    </xf>
    <xf numFmtId="0" fontId="0" fillId="0" borderId="2" xfId="0" applyBorder="1" applyAlignment="1">
      <alignment wrapText="1"/>
    </xf>
    <xf numFmtId="0" fontId="0" fillId="2" borderId="70" xfId="0" applyFill="1" applyBorder="1" applyAlignment="1">
      <alignment horizontal="left" wrapText="1"/>
    </xf>
    <xf numFmtId="0" fontId="0" fillId="2" borderId="72" xfId="0" applyFill="1" applyBorder="1" applyAlignment="1">
      <alignment horizontal="left" wrapText="1"/>
    </xf>
  </cellXfs>
  <cellStyles count="240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Input cel" xfId="712" xr:uid="{00000000-0005-0000-0000-00005C090000}"/>
    <cellStyle name="Linked Cell" xfId="818" builtinId="24" customBuiltin="1"/>
    <cellStyle name="Normal" xfId="0" builtinId="0"/>
    <cellStyle name="Normal 2" xfId="713" xr:uid="{00000000-0005-0000-0000-00005F090000}"/>
    <cellStyle name="Per cent" xfId="1" builtinId="5"/>
    <cellStyle name="Percent 2" xfId="714" xr:uid="{00000000-0005-0000-0000-000061090000}"/>
    <cellStyle name="Percent 3" xfId="892" xr:uid="{00000000-0005-0000-0000-000062090000}"/>
    <cellStyle name="Warning Text 3" xfId="715" xr:uid="{00000000-0005-0000-0000-000063090000}"/>
  </cellStyles>
  <dxfs count="18">
    <dxf>
      <font>
        <color rgb="FFCCFFCC"/>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a:extLst>
            <a:ext uri="{FF2B5EF4-FFF2-40B4-BE49-F238E27FC236}">
              <a16:creationId xmlns:a16="http://schemas.microsoft.com/office/drawing/2014/main" id="{00000000-0008-0000-0400-000031000000}"/>
            </a:ext>
          </a:extLst>
        </xdr:cNvPr>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a:extLst>
            <a:ext uri="{FF2B5EF4-FFF2-40B4-BE49-F238E27FC236}">
              <a16:creationId xmlns:a16="http://schemas.microsoft.com/office/drawing/2014/main" id="{00000000-0008-0000-0400-000009000000}"/>
            </a:ext>
          </a:extLst>
        </xdr:cNvPr>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a:extLst>
            <a:ext uri="{FF2B5EF4-FFF2-40B4-BE49-F238E27FC236}">
              <a16:creationId xmlns:a16="http://schemas.microsoft.com/office/drawing/2014/main" id="{00000000-0008-0000-0400-00000B000000}"/>
            </a:ext>
          </a:extLst>
        </xdr:cNvPr>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a:extLst>
            <a:ext uri="{FF2B5EF4-FFF2-40B4-BE49-F238E27FC236}">
              <a16:creationId xmlns:a16="http://schemas.microsoft.com/office/drawing/2014/main" id="{00000000-0008-0000-0400-00000D000000}"/>
            </a:ext>
          </a:extLst>
        </xdr:cNvPr>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a:extLst>
            <a:ext uri="{FF2B5EF4-FFF2-40B4-BE49-F238E27FC236}">
              <a16:creationId xmlns:a16="http://schemas.microsoft.com/office/drawing/2014/main" id="{00000000-0008-0000-0400-00000E000000}"/>
            </a:ext>
          </a:extLst>
        </xdr:cNvPr>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a:extLst>
            <a:ext uri="{FF2B5EF4-FFF2-40B4-BE49-F238E27FC236}">
              <a16:creationId xmlns:a16="http://schemas.microsoft.com/office/drawing/2014/main" id="{00000000-0008-0000-0400-00000F000000}"/>
            </a:ext>
          </a:extLst>
        </xdr:cNvPr>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a:extLst>
            <a:ext uri="{FF2B5EF4-FFF2-40B4-BE49-F238E27FC236}">
              <a16:creationId xmlns:a16="http://schemas.microsoft.com/office/drawing/2014/main" id="{00000000-0008-0000-0400-000012000000}"/>
            </a:ext>
          </a:extLst>
        </xdr:cNvPr>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a:extLst>
            <a:ext uri="{FF2B5EF4-FFF2-40B4-BE49-F238E27FC236}">
              <a16:creationId xmlns:a16="http://schemas.microsoft.com/office/drawing/2014/main" id="{00000000-0008-0000-0400-000014000000}"/>
            </a:ext>
          </a:extLst>
        </xdr:cNvPr>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a:extLst>
            <a:ext uri="{FF2B5EF4-FFF2-40B4-BE49-F238E27FC236}">
              <a16:creationId xmlns:a16="http://schemas.microsoft.com/office/drawing/2014/main" id="{00000000-0008-0000-0400-000015000000}"/>
            </a:ext>
          </a:extLst>
        </xdr:cNvPr>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a:extLst>
            <a:ext uri="{FF2B5EF4-FFF2-40B4-BE49-F238E27FC236}">
              <a16:creationId xmlns:a16="http://schemas.microsoft.com/office/drawing/2014/main" id="{00000000-0008-0000-0400-000017000000}"/>
            </a:ext>
          </a:extLst>
        </xdr:cNvPr>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a:extLst>
            <a:ext uri="{FF2B5EF4-FFF2-40B4-BE49-F238E27FC236}">
              <a16:creationId xmlns:a16="http://schemas.microsoft.com/office/drawing/2014/main" id="{00000000-0008-0000-0400-000018000000}"/>
            </a:ext>
          </a:extLst>
        </xdr:cNvPr>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a:extLst>
            <a:ext uri="{FF2B5EF4-FFF2-40B4-BE49-F238E27FC236}">
              <a16:creationId xmlns:a16="http://schemas.microsoft.com/office/drawing/2014/main" id="{00000000-0008-0000-0400-00001A000000}"/>
            </a:ext>
          </a:extLst>
        </xdr:cNvPr>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a:extLst>
            <a:ext uri="{FF2B5EF4-FFF2-40B4-BE49-F238E27FC236}">
              <a16:creationId xmlns:a16="http://schemas.microsoft.com/office/drawing/2014/main" id="{00000000-0008-0000-0400-00001B000000}"/>
            </a:ext>
          </a:extLst>
        </xdr:cNvPr>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a:extLst>
            <a:ext uri="{FF2B5EF4-FFF2-40B4-BE49-F238E27FC236}">
              <a16:creationId xmlns:a16="http://schemas.microsoft.com/office/drawing/2014/main" id="{00000000-0008-0000-0400-00001C000000}"/>
            </a:ext>
          </a:extLst>
        </xdr:cNvPr>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a:extLst>
            <a:ext uri="{FF2B5EF4-FFF2-40B4-BE49-F238E27FC236}">
              <a16:creationId xmlns:a16="http://schemas.microsoft.com/office/drawing/2014/main" id="{00000000-0008-0000-0400-000021000000}"/>
            </a:ext>
          </a:extLst>
        </xdr:cNvPr>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a:extLst>
            <a:ext uri="{FF2B5EF4-FFF2-40B4-BE49-F238E27FC236}">
              <a16:creationId xmlns:a16="http://schemas.microsoft.com/office/drawing/2014/main" id="{00000000-0008-0000-0400-000022000000}"/>
            </a:ext>
          </a:extLst>
        </xdr:cNvPr>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a:extLst>
            <a:ext uri="{FF2B5EF4-FFF2-40B4-BE49-F238E27FC236}">
              <a16:creationId xmlns:a16="http://schemas.microsoft.com/office/drawing/2014/main" id="{00000000-0008-0000-0400-00002E000000}"/>
            </a:ext>
          </a:extLst>
        </xdr:cNvPr>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a:extLst>
            <a:ext uri="{FF2B5EF4-FFF2-40B4-BE49-F238E27FC236}">
              <a16:creationId xmlns:a16="http://schemas.microsoft.com/office/drawing/2014/main" id="{00000000-0008-0000-0400-00003E000000}"/>
            </a:ext>
          </a:extLst>
        </xdr:cNvPr>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a:extLst>
            <a:ext uri="{FF2B5EF4-FFF2-40B4-BE49-F238E27FC236}">
              <a16:creationId xmlns:a16="http://schemas.microsoft.com/office/drawing/2014/main" id="{00000000-0008-0000-0400-000041000000}"/>
            </a:ext>
          </a:extLst>
        </xdr:cNvPr>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a:extLst>
            <a:ext uri="{FF2B5EF4-FFF2-40B4-BE49-F238E27FC236}">
              <a16:creationId xmlns:a16="http://schemas.microsoft.com/office/drawing/2014/main" id="{00000000-0008-0000-0400-00004D000000}"/>
            </a:ext>
          </a:extLst>
        </xdr:cNvPr>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a:extLst>
            <a:ext uri="{FF2B5EF4-FFF2-40B4-BE49-F238E27FC236}">
              <a16:creationId xmlns:a16="http://schemas.microsoft.com/office/drawing/2014/main" id="{00000000-0008-0000-0400-000078000000}"/>
            </a:ext>
          </a:extLst>
        </xdr:cNvPr>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a:extLst>
            <a:ext uri="{FF2B5EF4-FFF2-40B4-BE49-F238E27FC236}">
              <a16:creationId xmlns:a16="http://schemas.microsoft.com/office/drawing/2014/main" id="{00000000-0008-0000-0400-000082000000}"/>
            </a:ext>
          </a:extLst>
        </xdr:cNvPr>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a:extLst>
            <a:ext uri="{FF2B5EF4-FFF2-40B4-BE49-F238E27FC236}">
              <a16:creationId xmlns:a16="http://schemas.microsoft.com/office/drawing/2014/main" id="{00000000-0008-0000-0400-000085000000}"/>
            </a:ext>
          </a:extLst>
        </xdr:cNvPr>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a:extLst>
            <a:ext uri="{FF2B5EF4-FFF2-40B4-BE49-F238E27FC236}">
              <a16:creationId xmlns:a16="http://schemas.microsoft.com/office/drawing/2014/main" id="{00000000-0008-0000-0400-00004B000000}"/>
            </a:ext>
          </a:extLst>
        </xdr:cNvPr>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a:extLst>
            <a:ext uri="{FF2B5EF4-FFF2-40B4-BE49-F238E27FC236}">
              <a16:creationId xmlns:a16="http://schemas.microsoft.com/office/drawing/2014/main" id="{00000000-0008-0000-0400-00004C000000}"/>
            </a:ext>
          </a:extLst>
        </xdr:cNvPr>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a:extLst>
            <a:ext uri="{FF2B5EF4-FFF2-40B4-BE49-F238E27FC236}">
              <a16:creationId xmlns:a16="http://schemas.microsoft.com/office/drawing/2014/main" id="{00000000-0008-0000-0400-000050000000}"/>
            </a:ext>
          </a:extLst>
        </xdr:cNvPr>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a:extLst>
            <a:ext uri="{FF2B5EF4-FFF2-40B4-BE49-F238E27FC236}">
              <a16:creationId xmlns:a16="http://schemas.microsoft.com/office/drawing/2014/main" id="{00000000-0008-0000-0400-000051000000}"/>
            </a:ext>
          </a:extLst>
        </xdr:cNvPr>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a:extLst>
            <a:ext uri="{FF2B5EF4-FFF2-40B4-BE49-F238E27FC236}">
              <a16:creationId xmlns:a16="http://schemas.microsoft.com/office/drawing/2014/main" id="{00000000-0008-0000-0400-000060000000}"/>
            </a:ext>
          </a:extLst>
        </xdr:cNvPr>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a:extLst>
            <a:ext uri="{FF2B5EF4-FFF2-40B4-BE49-F238E27FC236}">
              <a16:creationId xmlns:a16="http://schemas.microsoft.com/office/drawing/2014/main" id="{00000000-0008-0000-0400-000063000000}"/>
            </a:ext>
          </a:extLst>
        </xdr:cNvPr>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a:extLst>
            <a:ext uri="{FF2B5EF4-FFF2-40B4-BE49-F238E27FC236}">
              <a16:creationId xmlns:a16="http://schemas.microsoft.com/office/drawing/2014/main" id="{00000000-0008-0000-0400-000032000000}"/>
            </a:ext>
          </a:extLst>
        </xdr:cNvPr>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a:extLst>
            <a:ext uri="{FF2B5EF4-FFF2-40B4-BE49-F238E27FC236}">
              <a16:creationId xmlns:a16="http://schemas.microsoft.com/office/drawing/2014/main" id="{00000000-0008-0000-0400-000033000000}"/>
            </a:ext>
          </a:extLst>
        </xdr:cNvPr>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a:extLst>
            <a:ext uri="{FF2B5EF4-FFF2-40B4-BE49-F238E27FC236}">
              <a16:creationId xmlns:a16="http://schemas.microsoft.com/office/drawing/2014/main" id="{00000000-0008-0000-0400-000038000000}"/>
            </a:ext>
          </a:extLst>
        </xdr:cNvPr>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a:extLst>
            <a:ext uri="{FF2B5EF4-FFF2-40B4-BE49-F238E27FC236}">
              <a16:creationId xmlns:a16="http://schemas.microsoft.com/office/drawing/2014/main" id="{00000000-0008-0000-0400-000054000000}"/>
            </a:ext>
          </a:extLst>
        </xdr:cNvPr>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a:extLst>
            <a:ext uri="{FF2B5EF4-FFF2-40B4-BE49-F238E27FC236}">
              <a16:creationId xmlns:a16="http://schemas.microsoft.com/office/drawing/2014/main" id="{00000000-0008-0000-0400-000064000000}"/>
            </a:ext>
          </a:extLst>
        </xdr:cNvPr>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 uri="{FF2B5EF4-FFF2-40B4-BE49-F238E27FC236}">
                  <a16:creationId xmlns:a16="http://schemas.microsoft.com/office/drawing/2014/main" id="{00000000-0008-0000-0600-000002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 uri="{FF2B5EF4-FFF2-40B4-BE49-F238E27FC236}">
                  <a16:creationId xmlns:a16="http://schemas.microsoft.com/office/drawing/2014/main" id="{00000000-0008-0000-0600-000004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chieldenhaan/Code/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Dashboard"/>
      <sheetName val="analysis_manager"/>
    </sheetNames>
    <definedNames>
      <definedName name="export_data_button"/>
      <definedName name="import_data_button"/>
      <definedName name="select_dashboard_values"/>
    </definedNames>
    <sheetDataSet>
      <sheetData sheetId="0"/>
      <sheetData sheetId="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D39"/>
  <sheetViews>
    <sheetView workbookViewId="0">
      <selection activeCell="C5" sqref="C5"/>
    </sheetView>
  </sheetViews>
  <sheetFormatPr baseColWidth="10" defaultRowHeight="16" x14ac:dyDescent="0.2"/>
  <cols>
    <col min="1" max="1" width="10.83203125" style="1"/>
    <col min="2" max="2" width="14" style="1" customWidth="1"/>
    <col min="3" max="3" width="44" style="1" customWidth="1"/>
    <col min="4" max="4" width="9.33203125" style="1" customWidth="1"/>
    <col min="5" max="16384" width="10.83203125" style="1"/>
  </cols>
  <sheetData>
    <row r="2" spans="2:4" ht="21" x14ac:dyDescent="0.25">
      <c r="B2" s="2" t="s">
        <v>197</v>
      </c>
    </row>
    <row r="4" spans="2:4" x14ac:dyDescent="0.2">
      <c r="B4" s="3" t="s">
        <v>1</v>
      </c>
      <c r="C4" s="4" t="str">
        <f>"Residence analysis "&amp;C6&amp;" "&amp;C7</f>
        <v>Residence analysis nl 2019</v>
      </c>
      <c r="D4" s="5"/>
    </row>
    <row r="5" spans="2:4" x14ac:dyDescent="0.2">
      <c r="B5" s="6" t="s">
        <v>2</v>
      </c>
      <c r="C5" s="365">
        <f>MAX(Changelog!D:D)</f>
        <v>2.2400000000000002</v>
      </c>
      <c r="D5" s="7"/>
    </row>
    <row r="6" spans="2:4" x14ac:dyDescent="0.2">
      <c r="B6" s="132" t="s">
        <v>306</v>
      </c>
      <c r="C6" s="133" t="s">
        <v>806</v>
      </c>
      <c r="D6" s="7"/>
    </row>
    <row r="7" spans="2:4" x14ac:dyDescent="0.2">
      <c r="B7" s="132" t="s">
        <v>307</v>
      </c>
      <c r="C7" s="134">
        <v>2019</v>
      </c>
      <c r="D7" s="7"/>
    </row>
    <row r="8" spans="2:4" x14ac:dyDescent="0.2">
      <c r="B8" s="6" t="s">
        <v>3</v>
      </c>
      <c r="C8" s="335" t="s">
        <v>805</v>
      </c>
      <c r="D8" s="7"/>
    </row>
    <row r="9" spans="2:4" x14ac:dyDescent="0.2">
      <c r="B9" s="6" t="s">
        <v>4</v>
      </c>
      <c r="C9" s="1" t="s">
        <v>804</v>
      </c>
      <c r="D9" s="7"/>
    </row>
    <row r="10" spans="2:4" x14ac:dyDescent="0.2">
      <c r="B10" s="8" t="s">
        <v>18</v>
      </c>
      <c r="C10" s="9" t="s">
        <v>808</v>
      </c>
      <c r="D10" s="10"/>
    </row>
    <row r="12" spans="2:4" x14ac:dyDescent="0.2">
      <c r="B12" s="3" t="s">
        <v>8</v>
      </c>
      <c r="C12" s="4"/>
      <c r="D12" s="5"/>
    </row>
    <row r="13" spans="2:4" x14ac:dyDescent="0.2">
      <c r="B13" s="19"/>
      <c r="D13" s="7"/>
    </row>
    <row r="14" spans="2:4" x14ac:dyDescent="0.2">
      <c r="B14" s="19" t="s">
        <v>9</v>
      </c>
      <c r="C14" s="20" t="s">
        <v>10</v>
      </c>
      <c r="D14" s="7"/>
    </row>
    <row r="15" spans="2:4" ht="17" thickBot="1" x14ac:dyDescent="0.25">
      <c r="B15" s="19"/>
      <c r="C15" s="13" t="s">
        <v>11</v>
      </c>
      <c r="D15" s="7"/>
    </row>
    <row r="16" spans="2:4" ht="17" thickBot="1" x14ac:dyDescent="0.25">
      <c r="B16" s="19"/>
      <c r="C16" s="21" t="s">
        <v>12</v>
      </c>
      <c r="D16" s="7"/>
    </row>
    <row r="17" spans="2:4" x14ac:dyDescent="0.2">
      <c r="B17" s="19"/>
      <c r="C17" s="1" t="s">
        <v>13</v>
      </c>
      <c r="D17" s="7"/>
    </row>
    <row r="18" spans="2:4" x14ac:dyDescent="0.2">
      <c r="B18" s="19"/>
      <c r="D18" s="7"/>
    </row>
    <row r="19" spans="2:4" x14ac:dyDescent="0.2">
      <c r="B19" s="19" t="s">
        <v>604</v>
      </c>
      <c r="C19" s="22" t="s">
        <v>216</v>
      </c>
      <c r="D19" s="7"/>
    </row>
    <row r="20" spans="2:4" x14ac:dyDescent="0.2">
      <c r="B20" s="19"/>
      <c r="C20" s="114" t="s">
        <v>16</v>
      </c>
      <c r="D20" s="7"/>
    </row>
    <row r="21" spans="2:4" x14ac:dyDescent="0.2">
      <c r="B21" s="19"/>
      <c r="C21" s="115" t="s">
        <v>217</v>
      </c>
      <c r="D21" s="7"/>
    </row>
    <row r="22" spans="2:4" x14ac:dyDescent="0.2">
      <c r="B22" s="19"/>
      <c r="C22" s="116" t="s">
        <v>26</v>
      </c>
      <c r="D22" s="7"/>
    </row>
    <row r="23" spans="2:4" x14ac:dyDescent="0.2">
      <c r="B23" s="17"/>
      <c r="C23" s="23" t="s">
        <v>14</v>
      </c>
      <c r="D23" s="7"/>
    </row>
    <row r="24" spans="2:4" x14ac:dyDescent="0.2">
      <c r="B24" s="17"/>
      <c r="C24" s="117" t="s">
        <v>218</v>
      </c>
      <c r="D24" s="7"/>
    </row>
    <row r="25" spans="2:4" x14ac:dyDescent="0.2">
      <c r="B25" s="17"/>
      <c r="C25" s="118" t="s">
        <v>15</v>
      </c>
      <c r="D25" s="7"/>
    </row>
    <row r="26" spans="2:4" x14ac:dyDescent="0.2">
      <c r="B26" s="17"/>
      <c r="C26" s="88" t="s">
        <v>229</v>
      </c>
      <c r="D26" s="7"/>
    </row>
    <row r="27" spans="2:4" x14ac:dyDescent="0.2">
      <c r="B27" s="18"/>
      <c r="C27" s="379"/>
      <c r="D27" s="10"/>
    </row>
    <row r="29" spans="2:4" x14ac:dyDescent="0.2">
      <c r="B29" s="3" t="s">
        <v>17</v>
      </c>
      <c r="C29" s="4"/>
      <c r="D29" s="5"/>
    </row>
    <row r="30" spans="2:4" ht="68" x14ac:dyDescent="0.2">
      <c r="B30" s="17"/>
      <c r="C30" s="67" t="s">
        <v>634</v>
      </c>
      <c r="D30" s="7"/>
    </row>
    <row r="31" spans="2:4" x14ac:dyDescent="0.2">
      <c r="B31" s="17"/>
      <c r="D31" s="7"/>
    </row>
    <row r="32" spans="2:4" x14ac:dyDescent="0.2">
      <c r="B32" s="17"/>
      <c r="D32" s="7"/>
    </row>
    <row r="33" spans="2:4" x14ac:dyDescent="0.2">
      <c r="B33" s="17"/>
      <c r="D33" s="7"/>
    </row>
    <row r="34" spans="2:4" x14ac:dyDescent="0.2">
      <c r="B34" s="17"/>
      <c r="D34" s="7"/>
    </row>
    <row r="35" spans="2:4" x14ac:dyDescent="0.2">
      <c r="B35" s="17"/>
      <c r="D35" s="7"/>
    </row>
    <row r="36" spans="2:4" x14ac:dyDescent="0.2">
      <c r="B36" s="17"/>
      <c r="D36" s="7"/>
    </row>
    <row r="37" spans="2:4" x14ac:dyDescent="0.2">
      <c r="B37" s="17"/>
      <c r="D37" s="7"/>
    </row>
    <row r="38" spans="2:4" x14ac:dyDescent="0.2">
      <c r="B38" s="17"/>
      <c r="D38" s="7"/>
    </row>
    <row r="39" spans="2:4" x14ac:dyDescent="0.2">
      <c r="B39" s="18"/>
      <c r="C39" s="9"/>
      <c r="D39" s="10"/>
    </row>
  </sheetData>
  <phoneticPr fontId="28" type="noConversion"/>
  <pageMargins left="0.75" right="0.75" top="1" bottom="1" header="0.5" footer="0.5"/>
  <pageSetup paperSize="9" orientation="portrait" horizontalDpi="4294967292" verticalDpi="4294967292"/>
  <ignoredErrors>
    <ignoredError sqref="C5" emptyCellReferenc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45"/>
  <sheetViews>
    <sheetView topLeftCell="A2" workbookViewId="0">
      <selection activeCell="C42" sqref="C42"/>
    </sheetView>
  </sheetViews>
  <sheetFormatPr baseColWidth="10" defaultRowHeight="16" x14ac:dyDescent="0.2"/>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1" x14ac:dyDescent="0.25">
      <c r="B2" s="2" t="s">
        <v>0</v>
      </c>
    </row>
    <row r="4" spans="2:4" x14ac:dyDescent="0.2">
      <c r="B4" s="553" t="s">
        <v>3</v>
      </c>
      <c r="C4" s="554" t="s">
        <v>5</v>
      </c>
      <c r="D4" s="555" t="s">
        <v>6</v>
      </c>
    </row>
    <row r="5" spans="2:4" x14ac:dyDescent="0.2">
      <c r="B5" s="6"/>
      <c r="C5" s="13"/>
      <c r="D5" s="14"/>
    </row>
    <row r="6" spans="2:4" x14ac:dyDescent="0.2">
      <c r="B6" s="334">
        <v>41474</v>
      </c>
      <c r="C6" t="s">
        <v>7</v>
      </c>
      <c r="D6" s="24">
        <v>1</v>
      </c>
    </row>
    <row r="7" spans="2:4" x14ac:dyDescent="0.2">
      <c r="B7" s="334">
        <v>41484</v>
      </c>
      <c r="C7" t="s">
        <v>465</v>
      </c>
      <c r="D7" s="24">
        <v>1</v>
      </c>
    </row>
    <row r="8" spans="2:4" x14ac:dyDescent="0.2">
      <c r="B8" s="334">
        <v>41485</v>
      </c>
      <c r="C8" t="s">
        <v>474</v>
      </c>
      <c r="D8" s="24">
        <v>1.01</v>
      </c>
    </row>
    <row r="9" spans="2:4" x14ac:dyDescent="0.2">
      <c r="B9" s="16"/>
      <c r="C9" t="s">
        <v>475</v>
      </c>
      <c r="D9" s="24"/>
    </row>
    <row r="10" spans="2:4" x14ac:dyDescent="0.2">
      <c r="B10" s="334">
        <v>41486</v>
      </c>
      <c r="C10" t="s">
        <v>532</v>
      </c>
      <c r="D10" s="24"/>
    </row>
    <row r="11" spans="2:4" x14ac:dyDescent="0.2">
      <c r="B11" s="106"/>
      <c r="C11" t="s">
        <v>483</v>
      </c>
      <c r="D11" s="24"/>
    </row>
    <row r="12" spans="2:4" x14ac:dyDescent="0.2">
      <c r="B12" s="334">
        <v>41490</v>
      </c>
      <c r="C12" t="s">
        <v>523</v>
      </c>
      <c r="D12" s="24">
        <v>2</v>
      </c>
    </row>
    <row r="13" spans="2:4" x14ac:dyDescent="0.2">
      <c r="B13" s="16"/>
      <c r="C13" t="s">
        <v>524</v>
      </c>
      <c r="D13" s="24"/>
    </row>
    <row r="14" spans="2:4" x14ac:dyDescent="0.2">
      <c r="B14" s="16"/>
      <c r="C14" t="s">
        <v>525</v>
      </c>
      <c r="D14" s="24"/>
    </row>
    <row r="15" spans="2:4" ht="17" x14ac:dyDescent="0.2">
      <c r="B15" s="16"/>
      <c r="C15" s="37" t="s">
        <v>526</v>
      </c>
      <c r="D15" s="24"/>
    </row>
    <row r="16" spans="2:4" x14ac:dyDescent="0.2">
      <c r="B16" s="334">
        <v>41491</v>
      </c>
      <c r="C16" t="s">
        <v>539</v>
      </c>
      <c r="D16" s="24">
        <v>2.0099999999999998</v>
      </c>
    </row>
    <row r="17" spans="2:4" ht="17" x14ac:dyDescent="0.2">
      <c r="B17" s="334">
        <v>41492</v>
      </c>
      <c r="C17" s="37" t="s">
        <v>588</v>
      </c>
      <c r="D17" s="24">
        <v>2.02</v>
      </c>
    </row>
    <row r="18" spans="2:4" x14ac:dyDescent="0.2">
      <c r="B18" s="334">
        <v>41494</v>
      </c>
      <c r="C18" t="s">
        <v>616</v>
      </c>
      <c r="D18" s="24">
        <v>2.02</v>
      </c>
    </row>
    <row r="19" spans="2:4" ht="17" x14ac:dyDescent="0.2">
      <c r="B19" s="334">
        <v>41495</v>
      </c>
      <c r="C19" s="37" t="s">
        <v>621</v>
      </c>
      <c r="D19" s="24">
        <v>2.0299999999999998</v>
      </c>
    </row>
    <row r="20" spans="2:4" ht="17" x14ac:dyDescent="0.2">
      <c r="B20" s="334">
        <v>41500</v>
      </c>
      <c r="C20" s="37" t="s">
        <v>633</v>
      </c>
      <c r="D20" s="24">
        <v>2.04</v>
      </c>
    </row>
    <row r="21" spans="2:4" ht="17" x14ac:dyDescent="0.2">
      <c r="B21" s="334">
        <v>41505</v>
      </c>
      <c r="C21" s="37" t="s">
        <v>636</v>
      </c>
      <c r="D21" s="24">
        <v>2.0499999999999998</v>
      </c>
    </row>
    <row r="22" spans="2:4" ht="17" x14ac:dyDescent="0.2">
      <c r="B22" s="334">
        <v>41507</v>
      </c>
      <c r="C22" s="37" t="s">
        <v>650</v>
      </c>
      <c r="D22" s="24" t="s">
        <v>449</v>
      </c>
    </row>
    <row r="23" spans="2:4" ht="34" x14ac:dyDescent="0.2">
      <c r="B23" s="334">
        <v>41507</v>
      </c>
      <c r="C23" s="37" t="s">
        <v>642</v>
      </c>
      <c r="D23" s="24">
        <v>2.06</v>
      </c>
    </row>
    <row r="24" spans="2:4" ht="34" x14ac:dyDescent="0.2">
      <c r="B24" s="334">
        <v>41512</v>
      </c>
      <c r="C24" s="37" t="s">
        <v>651</v>
      </c>
      <c r="D24" s="24">
        <v>2.0699999999999998</v>
      </c>
    </row>
    <row r="25" spans="2:4" ht="17" x14ac:dyDescent="0.2">
      <c r="B25" s="334">
        <v>41534</v>
      </c>
      <c r="C25" s="37" t="s">
        <v>654</v>
      </c>
      <c r="D25" s="24">
        <v>2.08</v>
      </c>
    </row>
    <row r="26" spans="2:4" ht="17" x14ac:dyDescent="0.2">
      <c r="B26" s="334">
        <v>41535</v>
      </c>
      <c r="C26" s="37" t="s">
        <v>689</v>
      </c>
      <c r="D26" s="24">
        <v>2.09</v>
      </c>
    </row>
    <row r="27" spans="2:4" ht="17" x14ac:dyDescent="0.2">
      <c r="B27" s="334">
        <v>41535</v>
      </c>
      <c r="C27" s="37" t="s">
        <v>696</v>
      </c>
      <c r="D27" s="24">
        <v>2.1</v>
      </c>
    </row>
    <row r="28" spans="2:4" ht="17" x14ac:dyDescent="0.2">
      <c r="B28" s="334">
        <v>41561</v>
      </c>
      <c r="C28" s="37" t="s">
        <v>699</v>
      </c>
      <c r="D28" s="15">
        <v>2.11</v>
      </c>
    </row>
    <row r="29" spans="2:4" ht="17" x14ac:dyDescent="0.2">
      <c r="B29" s="494">
        <v>41562</v>
      </c>
      <c r="C29" s="556" t="s">
        <v>700</v>
      </c>
      <c r="D29" s="15">
        <v>2.12</v>
      </c>
    </row>
    <row r="30" spans="2:4" ht="17" x14ac:dyDescent="0.2">
      <c r="B30" s="494">
        <v>41578</v>
      </c>
      <c r="C30" s="37" t="s">
        <v>702</v>
      </c>
      <c r="D30" s="15">
        <v>2.13</v>
      </c>
    </row>
    <row r="31" spans="2:4" ht="17" x14ac:dyDescent="0.2">
      <c r="B31" s="494">
        <v>41618</v>
      </c>
      <c r="C31" s="37" t="s">
        <v>734</v>
      </c>
      <c r="D31" s="15">
        <v>2.14</v>
      </c>
    </row>
    <row r="32" spans="2:4" ht="34" x14ac:dyDescent="0.2">
      <c r="B32" s="334" t="s">
        <v>738</v>
      </c>
      <c r="C32" s="37" t="s">
        <v>739</v>
      </c>
      <c r="D32" s="15">
        <v>2.15</v>
      </c>
    </row>
    <row r="33" spans="2:4" ht="34" x14ac:dyDescent="0.2">
      <c r="B33" s="334" t="s">
        <v>741</v>
      </c>
      <c r="C33" s="37" t="s">
        <v>740</v>
      </c>
      <c r="D33" s="15">
        <v>2.16</v>
      </c>
    </row>
    <row r="34" spans="2:4" ht="17" x14ac:dyDescent="0.2">
      <c r="B34" s="334" t="s">
        <v>742</v>
      </c>
      <c r="C34" s="37" t="s">
        <v>743</v>
      </c>
      <c r="D34" s="15">
        <v>2.17</v>
      </c>
    </row>
    <row r="35" spans="2:4" ht="34" x14ac:dyDescent="0.2">
      <c r="B35" s="16" t="s">
        <v>767</v>
      </c>
      <c r="C35" s="37" t="s">
        <v>768</v>
      </c>
      <c r="D35" s="15">
        <v>2.1800000000000002</v>
      </c>
    </row>
    <row r="36" spans="2:4" ht="51" x14ac:dyDescent="0.2">
      <c r="B36" s="16" t="s">
        <v>772</v>
      </c>
      <c r="C36" s="557" t="s">
        <v>775</v>
      </c>
      <c r="D36" s="15">
        <v>2.19</v>
      </c>
    </row>
    <row r="37" spans="2:4" ht="34" x14ac:dyDescent="0.2">
      <c r="B37" s="334" t="s">
        <v>772</v>
      </c>
      <c r="C37" s="37" t="s">
        <v>776</v>
      </c>
      <c r="D37" s="15">
        <v>2.2000000000000002</v>
      </c>
    </row>
    <row r="38" spans="2:4" ht="85" x14ac:dyDescent="0.2">
      <c r="B38" s="334" t="s">
        <v>788</v>
      </c>
      <c r="C38" s="37" t="s">
        <v>789</v>
      </c>
      <c r="D38" s="15">
        <v>2.21</v>
      </c>
    </row>
    <row r="39" spans="2:4" ht="17" x14ac:dyDescent="0.2">
      <c r="B39" s="334" t="s">
        <v>805</v>
      </c>
      <c r="C39" s="37" t="s">
        <v>807</v>
      </c>
      <c r="D39" s="15">
        <v>2.2200000000000002</v>
      </c>
    </row>
    <row r="40" spans="2:4" ht="34" x14ac:dyDescent="0.2">
      <c r="B40" s="334" t="s">
        <v>805</v>
      </c>
      <c r="C40" s="37" t="s">
        <v>834</v>
      </c>
      <c r="D40" s="15">
        <v>2.23</v>
      </c>
    </row>
    <row r="41" spans="2:4" ht="34" x14ac:dyDescent="0.2">
      <c r="B41" s="334" t="s">
        <v>805</v>
      </c>
      <c r="C41" s="37" t="s">
        <v>926</v>
      </c>
      <c r="D41" s="15">
        <v>2.2400000000000002</v>
      </c>
    </row>
    <row r="42" spans="2:4" x14ac:dyDescent="0.2">
      <c r="B42" s="334"/>
      <c r="C42" s="37"/>
      <c r="D42" s="15"/>
    </row>
    <row r="43" spans="2:4" x14ac:dyDescent="0.2">
      <c r="B43" s="334"/>
      <c r="C43" s="37"/>
      <c r="D43" s="15"/>
    </row>
    <row r="44" spans="2:4" x14ac:dyDescent="0.2">
      <c r="B44" s="334"/>
      <c r="C44" s="37"/>
      <c r="D44" s="15"/>
    </row>
    <row r="45" spans="2:4" x14ac:dyDescent="0.2">
      <c r="B45" s="558"/>
      <c r="C45" s="559"/>
      <c r="D45" s="560"/>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D42"/>
  <sheetViews>
    <sheetView topLeftCell="A17" workbookViewId="0">
      <selection activeCell="A39" sqref="A39:XFD39"/>
    </sheetView>
  </sheetViews>
  <sheetFormatPr baseColWidth="10" defaultRowHeight="16" x14ac:dyDescent="0.2"/>
  <cols>
    <col min="1" max="1" width="10.83203125" style="1"/>
    <col min="2" max="2" width="56.1640625" style="1" bestFit="1" customWidth="1"/>
    <col min="3" max="3" width="136.1640625" style="1" bestFit="1" customWidth="1"/>
    <col min="4" max="16384" width="10.83203125" style="1"/>
  </cols>
  <sheetData>
    <row r="2" spans="2:3" ht="21" x14ac:dyDescent="0.25">
      <c r="B2" s="2" t="s">
        <v>19</v>
      </c>
    </row>
    <row r="4" spans="2:3" x14ac:dyDescent="0.2">
      <c r="B4" s="75" t="s">
        <v>20</v>
      </c>
      <c r="C4" s="12" t="s">
        <v>21</v>
      </c>
    </row>
    <row r="5" spans="2:3" x14ac:dyDescent="0.2">
      <c r="B5" s="51"/>
      <c r="C5" s="14"/>
    </row>
    <row r="6" spans="2:3" ht="28" customHeight="1" x14ac:dyDescent="0.2">
      <c r="B6" s="395" t="s">
        <v>197</v>
      </c>
      <c r="C6" s="396" t="s">
        <v>199</v>
      </c>
    </row>
    <row r="7" spans="2:3" ht="28" customHeight="1" x14ac:dyDescent="0.2">
      <c r="B7" s="395" t="s">
        <v>0</v>
      </c>
      <c r="C7" s="396" t="s">
        <v>200</v>
      </c>
    </row>
    <row r="8" spans="2:3" ht="28" customHeight="1" x14ac:dyDescent="0.2">
      <c r="B8" s="395" t="s">
        <v>438</v>
      </c>
      <c r="C8" s="397" t="s">
        <v>439</v>
      </c>
    </row>
    <row r="9" spans="2:3" ht="28" customHeight="1" x14ac:dyDescent="0.2">
      <c r="B9" s="395" t="s">
        <v>19</v>
      </c>
      <c r="C9" s="396" t="s">
        <v>22</v>
      </c>
    </row>
    <row r="10" spans="2:3" ht="28" customHeight="1" x14ac:dyDescent="0.2">
      <c r="B10" s="395" t="s">
        <v>23</v>
      </c>
      <c r="C10" s="396" t="s">
        <v>437</v>
      </c>
    </row>
    <row r="11" spans="2:3" ht="28" customHeight="1" x14ac:dyDescent="0.2">
      <c r="B11" s="395" t="s">
        <v>198</v>
      </c>
      <c r="C11" s="396" t="s">
        <v>196</v>
      </c>
    </row>
    <row r="12" spans="2:3" ht="28" customHeight="1" x14ac:dyDescent="0.2">
      <c r="B12" s="395" t="s">
        <v>24</v>
      </c>
      <c r="C12" s="396" t="s">
        <v>25</v>
      </c>
    </row>
    <row r="13" spans="2:3" ht="28" customHeight="1" x14ac:dyDescent="0.2">
      <c r="B13" s="398" t="s">
        <v>632</v>
      </c>
      <c r="C13" s="396" t="s">
        <v>224</v>
      </c>
    </row>
    <row r="14" spans="2:3" ht="28" customHeight="1" x14ac:dyDescent="0.2">
      <c r="B14" s="398" t="s">
        <v>187</v>
      </c>
      <c r="C14" s="396" t="s">
        <v>219</v>
      </c>
    </row>
    <row r="15" spans="2:3" ht="28" customHeight="1" x14ac:dyDescent="0.2">
      <c r="B15" s="399" t="s">
        <v>26</v>
      </c>
      <c r="C15" s="396" t="s">
        <v>27</v>
      </c>
    </row>
    <row r="16" spans="2:3" ht="28" customHeight="1" x14ac:dyDescent="0.2">
      <c r="B16" s="403" t="s">
        <v>442</v>
      </c>
      <c r="C16" s="404" t="s">
        <v>444</v>
      </c>
    </row>
    <row r="17" spans="2:3" ht="28" customHeight="1" x14ac:dyDescent="0.2">
      <c r="B17" s="403" t="s">
        <v>443</v>
      </c>
      <c r="C17" s="404" t="s">
        <v>445</v>
      </c>
    </row>
    <row r="18" spans="2:3" ht="28" customHeight="1" x14ac:dyDescent="0.2">
      <c r="B18" s="403" t="s">
        <v>446</v>
      </c>
      <c r="C18" s="404" t="s">
        <v>447</v>
      </c>
    </row>
    <row r="19" spans="2:3" ht="28" customHeight="1" x14ac:dyDescent="0.2">
      <c r="B19" s="401" t="s">
        <v>183</v>
      </c>
      <c r="C19" s="396" t="s">
        <v>441</v>
      </c>
    </row>
    <row r="20" spans="2:3" ht="28" customHeight="1" x14ac:dyDescent="0.2">
      <c r="B20" s="401" t="s">
        <v>635</v>
      </c>
      <c r="C20" s="396" t="s">
        <v>222</v>
      </c>
    </row>
    <row r="21" spans="2:3" ht="28" customHeight="1" x14ac:dyDescent="0.2">
      <c r="B21" s="400" t="s">
        <v>476</v>
      </c>
      <c r="C21" s="404" t="s">
        <v>477</v>
      </c>
    </row>
    <row r="22" spans="2:3" ht="28" customHeight="1" x14ac:dyDescent="0.2">
      <c r="B22" s="401" t="s">
        <v>212</v>
      </c>
      <c r="C22" s="396" t="s">
        <v>440</v>
      </c>
    </row>
    <row r="23" spans="2:3" ht="28" customHeight="1" x14ac:dyDescent="0.2">
      <c r="B23" s="402" t="s">
        <v>631</v>
      </c>
      <c r="C23" s="396" t="s">
        <v>223</v>
      </c>
    </row>
    <row r="24" spans="2:3" ht="28" customHeight="1" x14ac:dyDescent="0.2">
      <c r="B24" s="405" t="s">
        <v>589</v>
      </c>
      <c r="C24" s="396" t="s">
        <v>464</v>
      </c>
    </row>
    <row r="25" spans="2:3" ht="28" customHeight="1" x14ac:dyDescent="0.2">
      <c r="B25" s="405" t="s">
        <v>590</v>
      </c>
      <c r="C25" s="396" t="s">
        <v>464</v>
      </c>
    </row>
    <row r="26" spans="2:3" ht="28" customHeight="1" x14ac:dyDescent="0.2">
      <c r="B26" s="405" t="s">
        <v>591</v>
      </c>
      <c r="C26" s="396" t="s">
        <v>464</v>
      </c>
    </row>
    <row r="27" spans="2:3" ht="28" customHeight="1" x14ac:dyDescent="0.2">
      <c r="B27" s="405" t="s">
        <v>592</v>
      </c>
      <c r="C27" s="396" t="s">
        <v>464</v>
      </c>
    </row>
    <row r="28" spans="2:3" ht="28" customHeight="1" x14ac:dyDescent="0.2">
      <c r="B28" s="405" t="s">
        <v>593</v>
      </c>
      <c r="C28" s="396" t="s">
        <v>464</v>
      </c>
    </row>
    <row r="29" spans="2:3" ht="28" customHeight="1" x14ac:dyDescent="0.2">
      <c r="B29" s="405" t="s">
        <v>594</v>
      </c>
      <c r="C29" s="396" t="s">
        <v>464</v>
      </c>
    </row>
    <row r="30" spans="2:3" ht="28" customHeight="1" x14ac:dyDescent="0.2">
      <c r="B30" s="405" t="s">
        <v>595</v>
      </c>
      <c r="C30" s="396" t="s">
        <v>464</v>
      </c>
    </row>
    <row r="31" spans="2:3" ht="28" customHeight="1" x14ac:dyDescent="0.2">
      <c r="B31" s="405" t="s">
        <v>596</v>
      </c>
      <c r="C31" s="396" t="s">
        <v>464</v>
      </c>
    </row>
    <row r="32" spans="2:3" ht="28" customHeight="1" x14ac:dyDescent="0.2">
      <c r="B32" s="405" t="s">
        <v>597</v>
      </c>
      <c r="C32" s="396" t="s">
        <v>464</v>
      </c>
    </row>
    <row r="33" spans="2:4" ht="28" customHeight="1" x14ac:dyDescent="0.2">
      <c r="B33" s="405" t="s">
        <v>598</v>
      </c>
      <c r="C33" s="396" t="s">
        <v>464</v>
      </c>
    </row>
    <row r="34" spans="2:4" ht="28" customHeight="1" x14ac:dyDescent="0.2">
      <c r="B34" s="405" t="s">
        <v>599</v>
      </c>
      <c r="C34" s="396" t="s">
        <v>464</v>
      </c>
    </row>
    <row r="35" spans="2:4" ht="28" customHeight="1" x14ac:dyDescent="0.2">
      <c r="B35" s="405" t="s">
        <v>600</v>
      </c>
      <c r="C35" s="396" t="s">
        <v>464</v>
      </c>
    </row>
    <row r="36" spans="2:4" ht="28" customHeight="1" x14ac:dyDescent="0.2">
      <c r="B36" s="405" t="s">
        <v>601</v>
      </c>
      <c r="C36" s="396" t="s">
        <v>464</v>
      </c>
    </row>
    <row r="37" spans="2:4" ht="28" customHeight="1" x14ac:dyDescent="0.2">
      <c r="B37" s="405" t="s">
        <v>602</v>
      </c>
      <c r="C37" s="396" t="s">
        <v>464</v>
      </c>
    </row>
    <row r="38" spans="2:4" ht="28" customHeight="1" x14ac:dyDescent="0.2">
      <c r="B38" s="405" t="s">
        <v>603</v>
      </c>
      <c r="C38" s="396" t="s">
        <v>464</v>
      </c>
    </row>
    <row r="39" spans="2:4" ht="28" customHeight="1" x14ac:dyDescent="0.2">
      <c r="B39" s="405" t="s">
        <v>833</v>
      </c>
      <c r="C39" s="406"/>
    </row>
    <row r="40" spans="2:4" ht="28" customHeight="1" x14ac:dyDescent="0.2">
      <c r="B40" s="405" t="s">
        <v>832</v>
      </c>
      <c r="C40" s="396"/>
      <c r="D40" s="17"/>
    </row>
    <row r="41" spans="2:4" ht="28" customHeight="1" x14ac:dyDescent="0.2">
      <c r="B41" s="405" t="s">
        <v>809</v>
      </c>
      <c r="C41" s="396"/>
    </row>
    <row r="42" spans="2:4" ht="28" customHeight="1" x14ac:dyDescent="0.2"/>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B20"/>
  <sheetViews>
    <sheetView workbookViewId="0"/>
  </sheetViews>
  <sheetFormatPr baseColWidth="10" defaultRowHeight="16" x14ac:dyDescent="0.2"/>
  <cols>
    <col min="1" max="1" width="10.83203125" style="1"/>
    <col min="2" max="2" width="143.83203125" style="1" bestFit="1" customWidth="1"/>
    <col min="3" max="16384" width="10.83203125" style="1"/>
  </cols>
  <sheetData>
    <row r="2" spans="2:2" ht="21" x14ac:dyDescent="0.25">
      <c r="B2" s="2" t="s">
        <v>23</v>
      </c>
    </row>
    <row r="4" spans="2:2" x14ac:dyDescent="0.2">
      <c r="B4" s="75" t="s">
        <v>30</v>
      </c>
    </row>
    <row r="5" spans="2:2" x14ac:dyDescent="0.2">
      <c r="B5" s="57"/>
    </row>
    <row r="6" spans="2:2" ht="102" x14ac:dyDescent="0.2">
      <c r="B6" s="77" t="s">
        <v>737</v>
      </c>
    </row>
    <row r="7" spans="2:2" x14ac:dyDescent="0.2">
      <c r="B7" s="89"/>
    </row>
    <row r="8" spans="2:2" x14ac:dyDescent="0.2">
      <c r="B8" s="90" t="s">
        <v>201</v>
      </c>
    </row>
    <row r="9" spans="2:2" x14ac:dyDescent="0.2">
      <c r="B9" s="91"/>
    </row>
    <row r="10" spans="2:2" x14ac:dyDescent="0.2">
      <c r="B10" s="92" t="s">
        <v>605</v>
      </c>
    </row>
    <row r="11" spans="2:2" x14ac:dyDescent="0.2">
      <c r="B11" s="92" t="s">
        <v>606</v>
      </c>
    </row>
    <row r="12" spans="2:2" x14ac:dyDescent="0.2">
      <c r="B12" s="92" t="s">
        <v>607</v>
      </c>
    </row>
    <row r="13" spans="2:2" x14ac:dyDescent="0.2">
      <c r="B13" s="92" t="s">
        <v>608</v>
      </c>
    </row>
    <row r="14" spans="2:2" x14ac:dyDescent="0.2">
      <c r="B14" s="92" t="s">
        <v>609</v>
      </c>
    </row>
    <row r="15" spans="2:2" x14ac:dyDescent="0.2">
      <c r="B15" s="92" t="s">
        <v>610</v>
      </c>
    </row>
    <row r="16" spans="2:2" x14ac:dyDescent="0.2">
      <c r="B16" s="54"/>
    </row>
    <row r="18" spans="2:2" x14ac:dyDescent="0.2">
      <c r="B18" s="75" t="s">
        <v>29</v>
      </c>
    </row>
    <row r="19" spans="2:2" x14ac:dyDescent="0.2">
      <c r="B19" s="57"/>
    </row>
    <row r="20" spans="2:2" ht="102" x14ac:dyDescent="0.2">
      <c r="B20" s="76" t="s">
        <v>638</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2"/>
  </sheetPr>
  <dimension ref="B2:CR54"/>
  <sheetViews>
    <sheetView workbookViewId="0"/>
  </sheetViews>
  <sheetFormatPr baseColWidth="10" defaultColWidth="2.83203125" defaultRowHeight="16" x14ac:dyDescent="0.2"/>
  <cols>
    <col min="1" max="16384" width="2.83203125" style="1"/>
  </cols>
  <sheetData>
    <row r="2" spans="2:81" ht="31" x14ac:dyDescent="0.2">
      <c r="B2" s="81" t="s">
        <v>230</v>
      </c>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row>
    <row r="3" spans="2:81" ht="31" x14ac:dyDescent="0.2">
      <c r="B3" s="82" t="s">
        <v>78</v>
      </c>
      <c r="C3" s="83"/>
      <c r="D3" s="83"/>
      <c r="E3" s="83"/>
      <c r="F3" s="83"/>
      <c r="G3" s="83"/>
      <c r="H3" s="83"/>
      <c r="I3" s="83"/>
      <c r="J3" s="83"/>
      <c r="K3" s="83"/>
      <c r="L3" s="83"/>
      <c r="M3" s="83"/>
      <c r="N3" s="83"/>
      <c r="O3" s="83"/>
      <c r="P3" s="84"/>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row>
    <row r="4" spans="2:81" ht="15" customHeight="1" x14ac:dyDescent="0.2">
      <c r="B4" s="85" t="s">
        <v>196</v>
      </c>
      <c r="C4" s="86"/>
      <c r="D4" s="86"/>
      <c r="E4" s="86"/>
      <c r="F4" s="86"/>
      <c r="G4" s="86"/>
      <c r="H4" s="86"/>
      <c r="I4" s="86"/>
      <c r="J4" s="86"/>
      <c r="K4" s="86"/>
      <c r="L4" s="86"/>
      <c r="M4" s="86"/>
      <c r="N4" s="86"/>
      <c r="O4" s="86"/>
      <c r="P4" s="87"/>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row>
    <row r="5" spans="2:81" ht="15" customHeight="1" x14ac:dyDescent="0.2">
      <c r="Q5" s="80"/>
      <c r="R5" s="80"/>
      <c r="S5" s="80"/>
      <c r="T5" s="80"/>
      <c r="U5" s="80"/>
      <c r="V5" s="80"/>
      <c r="W5" s="80"/>
      <c r="X5" s="80"/>
      <c r="Y5" s="80"/>
      <c r="Z5" s="80"/>
      <c r="AA5" s="80"/>
      <c r="AB5" s="80"/>
      <c r="AC5" s="80"/>
      <c r="AD5" s="80"/>
      <c r="AE5" s="80"/>
      <c r="AF5" s="80"/>
      <c r="AG5" s="80"/>
      <c r="AH5" s="80"/>
      <c r="AI5" s="80"/>
      <c r="AJ5" s="80"/>
      <c r="AK5" s="80"/>
      <c r="AL5" s="80"/>
      <c r="AM5" s="80"/>
      <c r="AN5" s="80"/>
      <c r="AO5" s="80"/>
      <c r="AP5" s="80"/>
      <c r="AQ5" s="80"/>
      <c r="AR5" s="80"/>
      <c r="AS5" s="80"/>
      <c r="AT5" s="80"/>
      <c r="AU5" s="80"/>
      <c r="AV5" s="80"/>
      <c r="AW5" s="80"/>
      <c r="AX5" s="80"/>
      <c r="AY5" s="80"/>
      <c r="AZ5" s="80"/>
      <c r="BA5" s="80"/>
      <c r="BB5" s="80"/>
      <c r="BC5" s="80"/>
      <c r="BD5" s="80"/>
      <c r="BE5" s="80"/>
      <c r="BF5" s="80"/>
      <c r="BG5" s="80"/>
      <c r="BH5" s="80"/>
      <c r="BI5" s="80"/>
      <c r="BJ5" s="80"/>
      <c r="BK5" s="80"/>
      <c r="BL5" s="80"/>
      <c r="BM5" s="80"/>
      <c r="BN5" s="80"/>
      <c r="BO5" s="80"/>
      <c r="BP5" s="80"/>
      <c r="BQ5" s="80"/>
      <c r="BR5" s="80"/>
      <c r="BS5" s="80"/>
      <c r="BT5" s="80"/>
      <c r="BU5" s="80"/>
      <c r="BV5" s="80"/>
      <c r="BW5" s="80"/>
    </row>
    <row r="6" spans="2:81" ht="24" x14ac:dyDescent="0.2">
      <c r="B6" s="80"/>
      <c r="C6" s="93" t="s">
        <v>193</v>
      </c>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N6" s="80"/>
      <c r="AO6" s="93" t="s">
        <v>194</v>
      </c>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S6" s="80"/>
      <c r="BT6" s="80"/>
      <c r="BU6" s="80"/>
      <c r="BV6" s="93" t="s">
        <v>195</v>
      </c>
    </row>
    <row r="8" spans="2:81" x14ac:dyDescent="0.2">
      <c r="CC8" s="13"/>
    </row>
    <row r="54" spans="96:96" x14ac:dyDescent="0.2">
      <c r="CR54" s="1" t="s">
        <v>434</v>
      </c>
    </row>
  </sheetData>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B2:D185"/>
  <sheetViews>
    <sheetView topLeftCell="A66" workbookViewId="0">
      <selection activeCell="C34" sqref="C34"/>
    </sheetView>
  </sheetViews>
  <sheetFormatPr baseColWidth="10" defaultRowHeight="16" x14ac:dyDescent="0.2"/>
  <cols>
    <col min="1" max="1" width="10.83203125" style="1"/>
    <col min="2" max="2" width="25.5" style="1" customWidth="1"/>
    <col min="3" max="3" width="79.33203125" style="1" customWidth="1"/>
    <col min="4" max="4" width="78.33203125" style="1" customWidth="1"/>
    <col min="5" max="16384" width="10.83203125" style="1"/>
  </cols>
  <sheetData>
    <row r="2" spans="2:4" ht="21" x14ac:dyDescent="0.25">
      <c r="B2" s="2" t="s">
        <v>24</v>
      </c>
      <c r="C2" s="2"/>
    </row>
    <row r="4" spans="2:4" x14ac:dyDescent="0.2">
      <c r="B4" s="3" t="s">
        <v>78</v>
      </c>
      <c r="C4" s="5"/>
    </row>
    <row r="5" spans="2:4" ht="79" customHeight="1" x14ac:dyDescent="0.2">
      <c r="B5" s="594" t="s">
        <v>189</v>
      </c>
      <c r="C5" s="595"/>
    </row>
    <row r="6" spans="2:4" ht="17" thickBot="1" x14ac:dyDescent="0.25"/>
    <row r="7" spans="2:4" x14ac:dyDescent="0.2">
      <c r="B7" s="25" t="s">
        <v>31</v>
      </c>
      <c r="C7" s="26"/>
      <c r="D7" s="27"/>
    </row>
    <row r="8" spans="2:4" x14ac:dyDescent="0.2">
      <c r="B8" s="28"/>
      <c r="D8" s="29"/>
    </row>
    <row r="9" spans="2:4" x14ac:dyDescent="0.2">
      <c r="B9" s="30" t="s">
        <v>32</v>
      </c>
      <c r="C9" s="31" t="s">
        <v>33</v>
      </c>
      <c r="D9" s="32" t="s">
        <v>34</v>
      </c>
    </row>
    <row r="10" spans="2:4" x14ac:dyDescent="0.2">
      <c r="B10" s="35" t="s">
        <v>35</v>
      </c>
      <c r="C10" s="13"/>
      <c r="D10" s="34"/>
    </row>
    <row r="11" spans="2:4" ht="34" x14ac:dyDescent="0.2">
      <c r="B11" s="28"/>
      <c r="C11" s="37" t="s">
        <v>537</v>
      </c>
      <c r="D11" s="38"/>
    </row>
    <row r="12" spans="2:4" x14ac:dyDescent="0.2">
      <c r="B12" s="28"/>
      <c r="C12" s="37"/>
      <c r="D12" s="39"/>
    </row>
    <row r="13" spans="2:4" x14ac:dyDescent="0.2">
      <c r="B13" s="36"/>
      <c r="C13" s="66"/>
      <c r="D13" s="38"/>
    </row>
    <row r="14" spans="2:4" ht="17" x14ac:dyDescent="0.2">
      <c r="B14" s="36"/>
      <c r="C14" s="66" t="s">
        <v>186</v>
      </c>
      <c r="D14" s="38"/>
    </row>
    <row r="15" spans="2:4" x14ac:dyDescent="0.2">
      <c r="B15" s="36"/>
      <c r="C15" s="66"/>
      <c r="D15" s="38"/>
    </row>
    <row r="16" spans="2:4" ht="15" customHeight="1" x14ac:dyDescent="0.2">
      <c r="B16" s="36"/>
      <c r="C16" s="66" t="s">
        <v>623</v>
      </c>
      <c r="D16" s="38"/>
    </row>
    <row r="17" spans="2:4" ht="15" customHeight="1" x14ac:dyDescent="0.2">
      <c r="B17" s="36"/>
      <c r="C17" s="66"/>
      <c r="D17" s="38"/>
    </row>
    <row r="18" spans="2:4" ht="16" customHeight="1" x14ac:dyDescent="0.2">
      <c r="B18" s="36"/>
      <c r="C18" s="66" t="s">
        <v>448</v>
      </c>
      <c r="D18" s="38" t="s">
        <v>624</v>
      </c>
    </row>
    <row r="19" spans="2:4" ht="14" customHeight="1" x14ac:dyDescent="0.2">
      <c r="B19" s="36"/>
      <c r="C19" s="66"/>
      <c r="D19" s="38"/>
    </row>
    <row r="20" spans="2:4" ht="47" customHeight="1" x14ac:dyDescent="0.2">
      <c r="B20" s="36"/>
      <c r="C20" s="66" t="s">
        <v>538</v>
      </c>
      <c r="D20" s="38"/>
    </row>
    <row r="21" spans="2:4" ht="14" customHeight="1" x14ac:dyDescent="0.2">
      <c r="B21" s="36"/>
      <c r="C21" t="s">
        <v>470</v>
      </c>
      <c r="D21" s="38" t="s">
        <v>622</v>
      </c>
    </row>
    <row r="22" spans="2:4" ht="14" customHeight="1" x14ac:dyDescent="0.2">
      <c r="B22" s="36"/>
      <c r="C22" t="s">
        <v>471</v>
      </c>
      <c r="D22" s="38" t="s">
        <v>622</v>
      </c>
    </row>
    <row r="23" spans="2:4" ht="14" customHeight="1" x14ac:dyDescent="0.2">
      <c r="B23" s="36"/>
      <c r="C23" t="s">
        <v>472</v>
      </c>
      <c r="D23" s="38" t="s">
        <v>622</v>
      </c>
    </row>
    <row r="24" spans="2:4" ht="14" customHeight="1" x14ac:dyDescent="0.2">
      <c r="B24" s="36"/>
      <c r="C24" t="s">
        <v>473</v>
      </c>
      <c r="D24" s="38" t="s">
        <v>622</v>
      </c>
    </row>
    <row r="25" spans="2:4" ht="14" customHeight="1" x14ac:dyDescent="0.2">
      <c r="B25" s="36"/>
      <c r="C25"/>
      <c r="D25" s="38"/>
    </row>
    <row r="26" spans="2:4" ht="85" x14ac:dyDescent="0.2">
      <c r="B26" s="36"/>
      <c r="C26" s="37" t="s">
        <v>652</v>
      </c>
      <c r="D26" s="38"/>
    </row>
    <row r="27" spans="2:4" x14ac:dyDescent="0.2">
      <c r="B27" s="36"/>
      <c r="C27" s="37"/>
      <c r="D27" s="38"/>
    </row>
    <row r="28" spans="2:4" ht="14" customHeight="1" x14ac:dyDescent="0.2">
      <c r="B28" s="36"/>
      <c r="C28" t="s">
        <v>690</v>
      </c>
      <c r="D28" s="38" t="s">
        <v>691</v>
      </c>
    </row>
    <row r="29" spans="2:4" ht="14" customHeight="1" x14ac:dyDescent="0.2">
      <c r="B29" s="36"/>
      <c r="C29"/>
      <c r="D29" s="38"/>
    </row>
    <row r="30" spans="2:4" ht="14" customHeight="1" x14ac:dyDescent="0.2">
      <c r="B30" s="36"/>
      <c r="C30" t="s">
        <v>625</v>
      </c>
      <c r="D30" s="38" t="s">
        <v>622</v>
      </c>
    </row>
    <row r="31" spans="2:4" ht="14" customHeight="1" x14ac:dyDescent="0.2">
      <c r="B31" s="36"/>
      <c r="C31" t="s">
        <v>288</v>
      </c>
      <c r="D31" s="38"/>
    </row>
    <row r="32" spans="2:4" ht="14" customHeight="1" x14ac:dyDescent="0.2">
      <c r="B32" s="36"/>
      <c r="C32" t="s">
        <v>626</v>
      </c>
      <c r="D32" s="38"/>
    </row>
    <row r="33" spans="2:4" ht="14" customHeight="1" x14ac:dyDescent="0.2">
      <c r="B33" s="36"/>
      <c r="C33" t="s">
        <v>627</v>
      </c>
      <c r="D33" s="38"/>
    </row>
    <row r="34" spans="2:4" ht="14" customHeight="1" x14ac:dyDescent="0.2">
      <c r="B34" s="36"/>
      <c r="C34" t="s">
        <v>628</v>
      </c>
      <c r="D34" s="38"/>
    </row>
    <row r="35" spans="2:4" ht="14" customHeight="1" x14ac:dyDescent="0.2">
      <c r="B35" s="36"/>
      <c r="C35"/>
      <c r="D35" s="38"/>
    </row>
    <row r="36" spans="2:4" ht="14" customHeight="1" x14ac:dyDescent="0.2">
      <c r="B36" s="36"/>
      <c r="C36"/>
      <c r="D36" s="38"/>
    </row>
    <row r="37" spans="2:4" ht="14" customHeight="1" x14ac:dyDescent="0.2">
      <c r="B37" s="36"/>
      <c r="C37"/>
      <c r="D37" s="38"/>
    </row>
    <row r="38" spans="2:4" ht="14" customHeight="1" x14ac:dyDescent="0.2">
      <c r="B38" s="36"/>
      <c r="C38" s="66"/>
      <c r="D38" s="38"/>
    </row>
    <row r="39" spans="2:4" ht="17" thickBot="1" x14ac:dyDescent="0.25">
      <c r="B39" s="44"/>
      <c r="C39" s="97"/>
      <c r="D39" s="98"/>
    </row>
    <row r="40" spans="2:4" ht="17" thickBot="1" x14ac:dyDescent="0.25">
      <c r="C40" s="67"/>
      <c r="D40" s="68"/>
    </row>
    <row r="41" spans="2:4" x14ac:dyDescent="0.2">
      <c r="B41" s="25" t="s">
        <v>188</v>
      </c>
      <c r="C41" s="26"/>
      <c r="D41" s="27"/>
    </row>
    <row r="42" spans="2:4" x14ac:dyDescent="0.2">
      <c r="B42" s="28"/>
      <c r="D42" s="29"/>
    </row>
    <row r="43" spans="2:4" x14ac:dyDescent="0.2">
      <c r="B43" s="30" t="s">
        <v>32</v>
      </c>
      <c r="C43" s="31" t="s">
        <v>33</v>
      </c>
      <c r="D43" s="32" t="s">
        <v>202</v>
      </c>
    </row>
    <row r="44" spans="2:4" x14ac:dyDescent="0.2">
      <c r="B44" s="35" t="s">
        <v>450</v>
      </c>
      <c r="C44" s="13"/>
      <c r="D44" s="34"/>
    </row>
    <row r="45" spans="2:4" x14ac:dyDescent="0.2">
      <c r="B45" s="36"/>
      <c r="C45" s="220" t="s">
        <v>86</v>
      </c>
      <c r="D45" s="38" t="s">
        <v>449</v>
      </c>
    </row>
    <row r="46" spans="2:4" x14ac:dyDescent="0.2">
      <c r="B46" s="36"/>
      <c r="C46" s="220" t="s">
        <v>274</v>
      </c>
      <c r="D46" s="38" t="s">
        <v>449</v>
      </c>
    </row>
    <row r="47" spans="2:4" x14ac:dyDescent="0.2">
      <c r="B47" s="36"/>
      <c r="C47" s="220" t="s">
        <v>89</v>
      </c>
      <c r="D47" s="38" t="s">
        <v>449</v>
      </c>
    </row>
    <row r="48" spans="2:4" x14ac:dyDescent="0.2">
      <c r="B48" s="36"/>
      <c r="C48" s="220" t="s">
        <v>87</v>
      </c>
      <c r="D48" s="38" t="s">
        <v>449</v>
      </c>
    </row>
    <row r="49" spans="2:4" x14ac:dyDescent="0.2">
      <c r="B49" s="36"/>
      <c r="C49" s="220" t="s">
        <v>275</v>
      </c>
      <c r="D49" s="38" t="s">
        <v>449</v>
      </c>
    </row>
    <row r="50" spans="2:4" x14ac:dyDescent="0.2">
      <c r="B50" s="36"/>
      <c r="C50" s="220" t="s">
        <v>209</v>
      </c>
      <c r="D50" s="38" t="s">
        <v>449</v>
      </c>
    </row>
    <row r="51" spans="2:4" x14ac:dyDescent="0.2">
      <c r="B51" s="36"/>
      <c r="C51" s="9"/>
      <c r="D51" s="173"/>
    </row>
    <row r="52" spans="2:4" x14ac:dyDescent="0.2">
      <c r="B52" s="94" t="s">
        <v>76</v>
      </c>
      <c r="C52" s="174"/>
      <c r="D52" s="175"/>
    </row>
    <row r="53" spans="2:4" x14ac:dyDescent="0.2">
      <c r="B53" s="35"/>
      <c r="C53" t="s">
        <v>280</v>
      </c>
      <c r="D53" s="40" t="s">
        <v>449</v>
      </c>
    </row>
    <row r="54" spans="2:4" x14ac:dyDescent="0.2">
      <c r="B54" s="28"/>
      <c r="C54" t="s">
        <v>90</v>
      </c>
      <c r="D54" s="40" t="s">
        <v>449</v>
      </c>
    </row>
    <row r="55" spans="2:4" x14ac:dyDescent="0.2">
      <c r="B55" s="28"/>
      <c r="C55" t="s">
        <v>281</v>
      </c>
      <c r="D55" s="40" t="s">
        <v>449</v>
      </c>
    </row>
    <row r="56" spans="2:4" x14ac:dyDescent="0.2">
      <c r="B56" s="28"/>
      <c r="C56" t="s">
        <v>282</v>
      </c>
      <c r="D56" s="40" t="s">
        <v>449</v>
      </c>
    </row>
    <row r="57" spans="2:4" x14ac:dyDescent="0.2">
      <c r="B57" s="28"/>
      <c r="C57" t="s">
        <v>283</v>
      </c>
      <c r="D57" s="40" t="s">
        <v>449</v>
      </c>
    </row>
    <row r="58" spans="2:4" x14ac:dyDescent="0.2">
      <c r="B58" s="28"/>
      <c r="C58" t="s">
        <v>364</v>
      </c>
      <c r="D58" s="40" t="s">
        <v>449</v>
      </c>
    </row>
    <row r="59" spans="2:4" x14ac:dyDescent="0.2">
      <c r="B59" s="28"/>
      <c r="C59" t="s">
        <v>284</v>
      </c>
      <c r="D59" s="40" t="s">
        <v>449</v>
      </c>
    </row>
    <row r="60" spans="2:4" x14ac:dyDescent="0.2">
      <c r="B60" s="28"/>
      <c r="C60" t="s">
        <v>386</v>
      </c>
      <c r="D60" s="40" t="s">
        <v>449</v>
      </c>
    </row>
    <row r="61" spans="2:4" x14ac:dyDescent="0.2">
      <c r="B61" s="28"/>
      <c r="C61" t="s">
        <v>285</v>
      </c>
      <c r="D61" s="40" t="s">
        <v>449</v>
      </c>
    </row>
    <row r="62" spans="2:4" x14ac:dyDescent="0.2">
      <c r="B62" s="28"/>
      <c r="C62" t="s">
        <v>286</v>
      </c>
      <c r="D62" s="40" t="s">
        <v>449</v>
      </c>
    </row>
    <row r="63" spans="2:4" x14ac:dyDescent="0.2">
      <c r="B63" s="28"/>
      <c r="C63" t="s">
        <v>287</v>
      </c>
      <c r="D63" s="40" t="s">
        <v>449</v>
      </c>
    </row>
    <row r="64" spans="2:4" x14ac:dyDescent="0.2">
      <c r="B64" s="28"/>
      <c r="C64" t="s">
        <v>289</v>
      </c>
      <c r="D64" s="40" t="s">
        <v>449</v>
      </c>
    </row>
    <row r="65" spans="2:4" x14ac:dyDescent="0.2">
      <c r="B65" s="28"/>
      <c r="D65" s="29"/>
    </row>
    <row r="66" spans="2:4" x14ac:dyDescent="0.2">
      <c r="B66" s="45" t="s">
        <v>88</v>
      </c>
      <c r="C66" s="4"/>
      <c r="D66" s="95"/>
    </row>
    <row r="67" spans="2:4" x14ac:dyDescent="0.2">
      <c r="B67" s="28"/>
      <c r="C67" t="s">
        <v>291</v>
      </c>
      <c r="D67" s="40" t="s">
        <v>449</v>
      </c>
    </row>
    <row r="68" spans="2:4" x14ac:dyDescent="0.2">
      <c r="B68" s="28"/>
      <c r="C68" t="s">
        <v>294</v>
      </c>
      <c r="D68" s="40" t="s">
        <v>449</v>
      </c>
    </row>
    <row r="69" spans="2:4" x14ac:dyDescent="0.2">
      <c r="B69" s="28"/>
      <c r="C69" t="s">
        <v>292</v>
      </c>
      <c r="D69" s="40" t="s">
        <v>449</v>
      </c>
    </row>
    <row r="70" spans="2:4" x14ac:dyDescent="0.2">
      <c r="B70" s="28"/>
      <c r="C70" t="s">
        <v>293</v>
      </c>
      <c r="D70" s="40" t="s">
        <v>449</v>
      </c>
    </row>
    <row r="71" spans="2:4" x14ac:dyDescent="0.2">
      <c r="B71" s="28"/>
      <c r="C71" t="s">
        <v>295</v>
      </c>
      <c r="D71" s="40" t="s">
        <v>449</v>
      </c>
    </row>
    <row r="72" spans="2:4" x14ac:dyDescent="0.2">
      <c r="B72" s="28"/>
      <c r="C72" t="s">
        <v>365</v>
      </c>
      <c r="D72" s="40" t="s">
        <v>449</v>
      </c>
    </row>
    <row r="73" spans="2:4" x14ac:dyDescent="0.2">
      <c r="B73" s="28"/>
      <c r="C73" t="s">
        <v>296</v>
      </c>
      <c r="D73" s="40" t="s">
        <v>449</v>
      </c>
    </row>
    <row r="74" spans="2:4" x14ac:dyDescent="0.2">
      <c r="B74" s="28"/>
      <c r="C74" t="s">
        <v>387</v>
      </c>
      <c r="D74" s="40" t="s">
        <v>449</v>
      </c>
    </row>
    <row r="75" spans="2:4" x14ac:dyDescent="0.2">
      <c r="B75" s="28"/>
      <c r="C75" t="s">
        <v>297</v>
      </c>
      <c r="D75" s="40" t="s">
        <v>449</v>
      </c>
    </row>
    <row r="76" spans="2:4" x14ac:dyDescent="0.2">
      <c r="B76" s="28"/>
      <c r="C76" t="s">
        <v>298</v>
      </c>
      <c r="D76" s="40" t="s">
        <v>449</v>
      </c>
    </row>
    <row r="77" spans="2:4" x14ac:dyDescent="0.2">
      <c r="B77" s="28"/>
      <c r="C77" t="s">
        <v>299</v>
      </c>
      <c r="D77" s="40" t="s">
        <v>449</v>
      </c>
    </row>
    <row r="78" spans="2:4" x14ac:dyDescent="0.2">
      <c r="B78" s="28"/>
      <c r="C78" t="s">
        <v>300</v>
      </c>
      <c r="D78" s="40" t="s">
        <v>449</v>
      </c>
    </row>
    <row r="79" spans="2:4" x14ac:dyDescent="0.2">
      <c r="B79" s="28"/>
      <c r="D79" s="29"/>
    </row>
    <row r="80" spans="2:4" x14ac:dyDescent="0.2">
      <c r="B80" s="45" t="s">
        <v>75</v>
      </c>
      <c r="C80" s="4"/>
      <c r="D80" s="95"/>
    </row>
    <row r="81" spans="2:4" x14ac:dyDescent="0.2">
      <c r="B81" s="28"/>
      <c r="C81" t="s">
        <v>184</v>
      </c>
      <c r="D81" s="40" t="s">
        <v>449</v>
      </c>
    </row>
    <row r="82" spans="2:4" x14ac:dyDescent="0.2">
      <c r="B82" s="28"/>
      <c r="C82" t="s">
        <v>332</v>
      </c>
      <c r="D82" s="40" t="s">
        <v>449</v>
      </c>
    </row>
    <row r="83" spans="2:4" x14ac:dyDescent="0.2">
      <c r="B83" s="28"/>
      <c r="C83" t="s">
        <v>185</v>
      </c>
      <c r="D83" s="40" t="s">
        <v>449</v>
      </c>
    </row>
    <row r="84" spans="2:4" x14ac:dyDescent="0.2">
      <c r="B84" s="28"/>
      <c r="D84" s="29"/>
    </row>
    <row r="85" spans="2:4" x14ac:dyDescent="0.2">
      <c r="B85" s="45" t="s">
        <v>88</v>
      </c>
      <c r="C85" s="4"/>
      <c r="D85" s="95"/>
    </row>
    <row r="86" spans="2:4" x14ac:dyDescent="0.2">
      <c r="B86" s="35"/>
      <c r="C86" t="s">
        <v>301</v>
      </c>
      <c r="D86" s="40" t="s">
        <v>449</v>
      </c>
    </row>
    <row r="87" spans="2:4" x14ac:dyDescent="0.2">
      <c r="B87" s="28"/>
      <c r="C87" t="s">
        <v>302</v>
      </c>
      <c r="D87" s="40" t="s">
        <v>449</v>
      </c>
    </row>
    <row r="88" spans="2:4" x14ac:dyDescent="0.2">
      <c r="B88" s="28"/>
      <c r="C88" s="96" t="s">
        <v>91</v>
      </c>
      <c r="D88" s="40" t="s">
        <v>449</v>
      </c>
    </row>
    <row r="89" spans="2:4" x14ac:dyDescent="0.2">
      <c r="B89" s="28"/>
      <c r="C89" s="96"/>
      <c r="D89" s="40"/>
    </row>
    <row r="90" spans="2:4" x14ac:dyDescent="0.2">
      <c r="B90" s="45" t="s">
        <v>92</v>
      </c>
      <c r="C90" s="4"/>
      <c r="D90" s="95"/>
    </row>
    <row r="91" spans="2:4" x14ac:dyDescent="0.2">
      <c r="B91" s="28"/>
      <c r="C91" t="s">
        <v>93</v>
      </c>
      <c r="D91" s="40" t="s">
        <v>449</v>
      </c>
    </row>
    <row r="92" spans="2:4" x14ac:dyDescent="0.2">
      <c r="B92" s="41"/>
      <c r="C92" s="9"/>
      <c r="D92" s="176"/>
    </row>
    <row r="93" spans="2:4" x14ac:dyDescent="0.2">
      <c r="B93" s="35" t="s">
        <v>276</v>
      </c>
      <c r="D93" s="29"/>
    </row>
    <row r="94" spans="2:4" x14ac:dyDescent="0.2">
      <c r="B94" s="28"/>
      <c r="C94" t="s">
        <v>371</v>
      </c>
      <c r="D94" s="40" t="s">
        <v>449</v>
      </c>
    </row>
    <row r="95" spans="2:4" x14ac:dyDescent="0.2">
      <c r="B95" s="28"/>
      <c r="C95" t="s">
        <v>388</v>
      </c>
      <c r="D95" s="40" t="s">
        <v>449</v>
      </c>
    </row>
    <row r="96" spans="2:4" x14ac:dyDescent="0.2">
      <c r="B96" s="28"/>
      <c r="C96" t="s">
        <v>372</v>
      </c>
      <c r="D96" s="40" t="s">
        <v>449</v>
      </c>
    </row>
    <row r="97" spans="2:4" x14ac:dyDescent="0.2">
      <c r="B97" s="28"/>
      <c r="C97" t="s">
        <v>373</v>
      </c>
      <c r="D97" s="40" t="s">
        <v>449</v>
      </c>
    </row>
    <row r="98" spans="2:4" x14ac:dyDescent="0.2">
      <c r="B98" s="28"/>
      <c r="C98" t="s">
        <v>374</v>
      </c>
      <c r="D98" s="40" t="s">
        <v>449</v>
      </c>
    </row>
    <row r="99" spans="2:4" x14ac:dyDescent="0.2">
      <c r="B99" s="28"/>
      <c r="D99" s="29"/>
    </row>
    <row r="100" spans="2:4" x14ac:dyDescent="0.2">
      <c r="B100" s="45" t="s">
        <v>378</v>
      </c>
      <c r="C100" s="4"/>
      <c r="D100" s="95"/>
    </row>
    <row r="101" spans="2:4" x14ac:dyDescent="0.2">
      <c r="B101" s="28"/>
      <c r="C101" t="s">
        <v>366</v>
      </c>
      <c r="D101" s="40" t="s">
        <v>449</v>
      </c>
    </row>
    <row r="102" spans="2:4" x14ac:dyDescent="0.2">
      <c r="B102" s="28"/>
      <c r="C102" t="s">
        <v>303</v>
      </c>
      <c r="D102" s="40" t="s">
        <v>449</v>
      </c>
    </row>
    <row r="103" spans="2:4" x14ac:dyDescent="0.2">
      <c r="B103" s="28"/>
      <c r="C103" t="s">
        <v>304</v>
      </c>
      <c r="D103" s="40" t="s">
        <v>449</v>
      </c>
    </row>
    <row r="104" spans="2:4" x14ac:dyDescent="0.2">
      <c r="B104" s="28"/>
      <c r="C104" t="s">
        <v>305</v>
      </c>
      <c r="D104" s="40" t="s">
        <v>449</v>
      </c>
    </row>
    <row r="105" spans="2:4" x14ac:dyDescent="0.2">
      <c r="B105" s="28"/>
      <c r="C105" t="s">
        <v>367</v>
      </c>
      <c r="D105" s="40" t="s">
        <v>449</v>
      </c>
    </row>
    <row r="106" spans="2:4" x14ac:dyDescent="0.2">
      <c r="B106" s="28"/>
      <c r="C106" t="s">
        <v>368</v>
      </c>
      <c r="D106" s="40" t="s">
        <v>449</v>
      </c>
    </row>
    <row r="107" spans="2:4" x14ac:dyDescent="0.2">
      <c r="B107" s="28"/>
      <c r="C107" t="s">
        <v>369</v>
      </c>
      <c r="D107" s="40" t="s">
        <v>449</v>
      </c>
    </row>
    <row r="108" spans="2:4" x14ac:dyDescent="0.2">
      <c r="B108" s="28"/>
      <c r="C108" t="s">
        <v>370</v>
      </c>
      <c r="D108" s="40" t="s">
        <v>449</v>
      </c>
    </row>
    <row r="109" spans="2:4" x14ac:dyDescent="0.2">
      <c r="B109" s="28"/>
      <c r="D109" s="29"/>
    </row>
    <row r="110" spans="2:4" x14ac:dyDescent="0.2">
      <c r="B110" s="357"/>
      <c r="C110" s="358"/>
      <c r="D110" s="359"/>
    </row>
    <row r="111" spans="2:4" x14ac:dyDescent="0.2">
      <c r="B111" s="35" t="s">
        <v>620</v>
      </c>
      <c r="D111" s="360"/>
    </row>
    <row r="112" spans="2:4" x14ac:dyDescent="0.2">
      <c r="B112" s="35"/>
      <c r="C112" t="s">
        <v>617</v>
      </c>
      <c r="D112" s="361"/>
    </row>
    <row r="113" spans="2:4" x14ac:dyDescent="0.2">
      <c r="B113" s="35"/>
      <c r="C113" t="s">
        <v>619</v>
      </c>
      <c r="D113" s="361"/>
    </row>
    <row r="114" spans="2:4" x14ac:dyDescent="0.2">
      <c r="B114" s="35"/>
      <c r="C114"/>
      <c r="D114" s="361"/>
    </row>
    <row r="115" spans="2:4" x14ac:dyDescent="0.2">
      <c r="B115" s="35"/>
      <c r="C115" t="s">
        <v>618</v>
      </c>
      <c r="D115" s="361"/>
    </row>
    <row r="116" spans="2:4" x14ac:dyDescent="0.2">
      <c r="B116" s="35"/>
      <c r="D116" s="360"/>
    </row>
    <row r="117" spans="2:4" x14ac:dyDescent="0.2">
      <c r="B117" s="101"/>
      <c r="C117" s="9"/>
      <c r="D117" s="362"/>
    </row>
    <row r="118" spans="2:4" x14ac:dyDescent="0.2">
      <c r="B118" s="35" t="s">
        <v>415</v>
      </c>
      <c r="D118" s="360"/>
    </row>
    <row r="119" spans="2:4" x14ac:dyDescent="0.2">
      <c r="B119" s="35"/>
      <c r="C119" t="s">
        <v>416</v>
      </c>
      <c r="D119" s="40" t="s">
        <v>449</v>
      </c>
    </row>
    <row r="120" spans="2:4" x14ac:dyDescent="0.2">
      <c r="B120" s="35"/>
      <c r="C120" t="s">
        <v>417</v>
      </c>
      <c r="D120" s="40" t="s">
        <v>449</v>
      </c>
    </row>
    <row r="121" spans="2:4" x14ac:dyDescent="0.2">
      <c r="B121" s="35"/>
      <c r="D121" s="364"/>
    </row>
    <row r="122" spans="2:4" x14ac:dyDescent="0.2">
      <c r="B122" s="35"/>
      <c r="C122" t="s">
        <v>518</v>
      </c>
      <c r="D122" s="40" t="s">
        <v>449</v>
      </c>
    </row>
    <row r="123" spans="2:4" x14ac:dyDescent="0.2">
      <c r="B123" s="35"/>
      <c r="C123" t="s">
        <v>519</v>
      </c>
      <c r="D123" s="40" t="s">
        <v>449</v>
      </c>
    </row>
    <row r="124" spans="2:4" x14ac:dyDescent="0.2">
      <c r="B124" s="35"/>
      <c r="D124" s="364"/>
    </row>
    <row r="125" spans="2:4" x14ac:dyDescent="0.2">
      <c r="B125" s="35"/>
      <c r="C125" t="s">
        <v>520</v>
      </c>
      <c r="D125" s="40" t="s">
        <v>449</v>
      </c>
    </row>
    <row r="126" spans="2:4" x14ac:dyDescent="0.2">
      <c r="B126" s="35"/>
      <c r="C126" t="s">
        <v>521</v>
      </c>
      <c r="D126" s="40" t="s">
        <v>449</v>
      </c>
    </row>
    <row r="127" spans="2:4" ht="17" thickBot="1" x14ac:dyDescent="0.25">
      <c r="B127" s="356"/>
      <c r="C127" s="69"/>
      <c r="D127" s="363"/>
    </row>
    <row r="128" spans="2:4" ht="17" thickBot="1" x14ac:dyDescent="0.25"/>
    <row r="129" spans="2:3" x14ac:dyDescent="0.2">
      <c r="B129" s="25" t="s">
        <v>203</v>
      </c>
      <c r="C129" s="27"/>
    </row>
    <row r="130" spans="2:3" x14ac:dyDescent="0.2">
      <c r="B130" s="28"/>
      <c r="C130" s="29"/>
    </row>
    <row r="131" spans="2:3" x14ac:dyDescent="0.2">
      <c r="B131" s="30" t="s">
        <v>225</v>
      </c>
      <c r="C131" s="99" t="s">
        <v>204</v>
      </c>
    </row>
    <row r="132" spans="2:3" x14ac:dyDescent="0.2">
      <c r="B132" s="35" t="s">
        <v>205</v>
      </c>
      <c r="C132" s="40" t="s">
        <v>36</v>
      </c>
    </row>
    <row r="133" spans="2:3" x14ac:dyDescent="0.2">
      <c r="B133" s="28"/>
      <c r="C133" s="40" t="s">
        <v>37</v>
      </c>
    </row>
    <row r="134" spans="2:3" x14ac:dyDescent="0.2">
      <c r="B134" s="28"/>
      <c r="C134" s="40" t="s">
        <v>38</v>
      </c>
    </row>
    <row r="135" spans="2:3" x14ac:dyDescent="0.2">
      <c r="B135" s="28"/>
      <c r="C135" s="40" t="s">
        <v>39</v>
      </c>
    </row>
    <row r="136" spans="2:3" x14ac:dyDescent="0.2">
      <c r="B136" s="28"/>
      <c r="C136" s="40" t="s">
        <v>40</v>
      </c>
    </row>
    <row r="137" spans="2:3" x14ac:dyDescent="0.2">
      <c r="B137" s="28"/>
      <c r="C137" s="40" t="s">
        <v>41</v>
      </c>
    </row>
    <row r="138" spans="2:3" x14ac:dyDescent="0.2">
      <c r="B138" s="28"/>
      <c r="C138" s="100" t="s">
        <v>42</v>
      </c>
    </row>
    <row r="139" spans="2:3" x14ac:dyDescent="0.2">
      <c r="B139" s="46"/>
      <c r="C139" s="100" t="s">
        <v>48</v>
      </c>
    </row>
    <row r="140" spans="2:3" x14ac:dyDescent="0.2">
      <c r="B140" s="28"/>
      <c r="C140" s="40" t="s">
        <v>43</v>
      </c>
    </row>
    <row r="141" spans="2:3" x14ac:dyDescent="0.2">
      <c r="B141" s="28"/>
      <c r="C141" s="40" t="s">
        <v>44</v>
      </c>
    </row>
    <row r="142" spans="2:3" x14ac:dyDescent="0.2">
      <c r="B142" s="28"/>
      <c r="C142" s="40" t="s">
        <v>45</v>
      </c>
    </row>
    <row r="143" spans="2:3" x14ac:dyDescent="0.2">
      <c r="B143" s="28"/>
      <c r="C143" s="40" t="s">
        <v>46</v>
      </c>
    </row>
    <row r="144" spans="2:3" x14ac:dyDescent="0.2">
      <c r="B144" s="28"/>
      <c r="C144" s="40" t="s">
        <v>47</v>
      </c>
    </row>
    <row r="145" spans="2:3" x14ac:dyDescent="0.2">
      <c r="B145" s="41"/>
      <c r="C145" s="176"/>
    </row>
    <row r="146" spans="2:3" x14ac:dyDescent="0.2">
      <c r="B146" s="35" t="s">
        <v>384</v>
      </c>
      <c r="C146" s="40" t="s">
        <v>206</v>
      </c>
    </row>
    <row r="147" spans="2:3" x14ac:dyDescent="0.2">
      <c r="B147" s="35"/>
      <c r="C147" s="40" t="s">
        <v>72</v>
      </c>
    </row>
    <row r="148" spans="2:3" x14ac:dyDescent="0.2">
      <c r="B148" s="101"/>
      <c r="C148" s="176"/>
    </row>
    <row r="149" spans="2:3" x14ac:dyDescent="0.2">
      <c r="B149" s="35" t="s">
        <v>207</v>
      </c>
      <c r="C149" s="40" t="s">
        <v>49</v>
      </c>
    </row>
    <row r="150" spans="2:3" x14ac:dyDescent="0.2">
      <c r="B150" s="35"/>
      <c r="C150" s="40" t="s">
        <v>50</v>
      </c>
    </row>
    <row r="151" spans="2:3" x14ac:dyDescent="0.2">
      <c r="B151" s="28"/>
      <c r="C151" s="40" t="s">
        <v>51</v>
      </c>
    </row>
    <row r="152" spans="2:3" x14ac:dyDescent="0.2">
      <c r="B152" s="28"/>
      <c r="C152" s="40" t="s">
        <v>52</v>
      </c>
    </row>
    <row r="153" spans="2:3" x14ac:dyDescent="0.2">
      <c r="B153" s="28"/>
      <c r="C153" s="40" t="s">
        <v>53</v>
      </c>
    </row>
    <row r="154" spans="2:3" x14ac:dyDescent="0.2">
      <c r="B154" s="28"/>
      <c r="C154" s="40" t="s">
        <v>54</v>
      </c>
    </row>
    <row r="155" spans="2:3" x14ac:dyDescent="0.2">
      <c r="B155" s="28"/>
      <c r="C155" s="40" t="s">
        <v>55</v>
      </c>
    </row>
    <row r="156" spans="2:3" x14ac:dyDescent="0.2">
      <c r="B156" s="28"/>
      <c r="C156" s="40" t="s">
        <v>56</v>
      </c>
    </row>
    <row r="157" spans="2:3" x14ac:dyDescent="0.2">
      <c r="B157" s="28"/>
      <c r="C157" s="40" t="s">
        <v>57</v>
      </c>
    </row>
    <row r="158" spans="2:3" x14ac:dyDescent="0.2">
      <c r="B158" s="28"/>
      <c r="C158" s="40" t="s">
        <v>58</v>
      </c>
    </row>
    <row r="159" spans="2:3" x14ac:dyDescent="0.2">
      <c r="B159" s="28"/>
      <c r="C159" s="40" t="s">
        <v>59</v>
      </c>
    </row>
    <row r="160" spans="2:3" x14ac:dyDescent="0.2">
      <c r="B160" s="28"/>
      <c r="C160" s="40" t="s">
        <v>60</v>
      </c>
    </row>
    <row r="161" spans="2:3" x14ac:dyDescent="0.2">
      <c r="B161" s="28"/>
      <c r="C161" s="40" t="s">
        <v>61</v>
      </c>
    </row>
    <row r="162" spans="2:3" x14ac:dyDescent="0.2">
      <c r="B162" s="28"/>
      <c r="C162" s="40" t="s">
        <v>62</v>
      </c>
    </row>
    <row r="163" spans="2:3" x14ac:dyDescent="0.2">
      <c r="B163" s="28"/>
      <c r="C163" s="40" t="s">
        <v>63</v>
      </c>
    </row>
    <row r="164" spans="2:3" x14ac:dyDescent="0.2">
      <c r="B164" s="28"/>
      <c r="C164" s="40" t="s">
        <v>64</v>
      </c>
    </row>
    <row r="165" spans="2:3" x14ac:dyDescent="0.2">
      <c r="B165" s="28"/>
      <c r="C165" s="40" t="s">
        <v>65</v>
      </c>
    </row>
    <row r="166" spans="2:3" x14ac:dyDescent="0.2">
      <c r="B166" s="28"/>
      <c r="C166" s="40" t="s">
        <v>66</v>
      </c>
    </row>
    <row r="167" spans="2:3" x14ac:dyDescent="0.2">
      <c r="B167" s="28"/>
      <c r="C167" s="40" t="s">
        <v>67</v>
      </c>
    </row>
    <row r="168" spans="2:3" x14ac:dyDescent="0.2">
      <c r="B168" s="28"/>
      <c r="C168" s="40" t="s">
        <v>68</v>
      </c>
    </row>
    <row r="169" spans="2:3" x14ac:dyDescent="0.2">
      <c r="B169" s="28"/>
      <c r="C169" s="40" t="s">
        <v>69</v>
      </c>
    </row>
    <row r="170" spans="2:3" x14ac:dyDescent="0.2">
      <c r="B170" s="28"/>
      <c r="C170" s="40" t="s">
        <v>70</v>
      </c>
    </row>
    <row r="171" spans="2:3" x14ac:dyDescent="0.2">
      <c r="B171" s="28"/>
      <c r="C171" s="40" t="s">
        <v>71</v>
      </c>
    </row>
    <row r="172" spans="2:3" x14ac:dyDescent="0.2">
      <c r="B172" s="41"/>
      <c r="C172" s="176"/>
    </row>
    <row r="173" spans="2:3" x14ac:dyDescent="0.2">
      <c r="B173" s="35" t="s">
        <v>208</v>
      </c>
      <c r="C173" s="40" t="s">
        <v>73</v>
      </c>
    </row>
    <row r="174" spans="2:3" x14ac:dyDescent="0.2">
      <c r="B174" s="28"/>
      <c r="C174" s="40" t="s">
        <v>74</v>
      </c>
    </row>
    <row r="175" spans="2:3" x14ac:dyDescent="0.2">
      <c r="B175" s="28"/>
      <c r="C175" s="29"/>
    </row>
    <row r="176" spans="2:3" x14ac:dyDescent="0.2">
      <c r="B176" s="45" t="s">
        <v>211</v>
      </c>
      <c r="C176" s="107" t="s">
        <v>211</v>
      </c>
    </row>
    <row r="177" spans="2:3" x14ac:dyDescent="0.2">
      <c r="B177" s="35"/>
      <c r="C177" s="29"/>
    </row>
    <row r="178" spans="2:3" x14ac:dyDescent="0.2">
      <c r="B178" s="45" t="s">
        <v>106</v>
      </c>
      <c r="C178" s="107" t="s">
        <v>106</v>
      </c>
    </row>
    <row r="179" spans="2:3" x14ac:dyDescent="0.2">
      <c r="B179" s="35"/>
      <c r="C179" s="29"/>
    </row>
    <row r="180" spans="2:3" x14ac:dyDescent="0.2">
      <c r="B180" s="45" t="s">
        <v>105</v>
      </c>
      <c r="C180" s="107" t="s">
        <v>105</v>
      </c>
    </row>
    <row r="181" spans="2:3" x14ac:dyDescent="0.2">
      <c r="B181" s="101"/>
      <c r="C181" s="176"/>
    </row>
    <row r="182" spans="2:3" x14ac:dyDescent="0.2">
      <c r="B182" s="46" t="s">
        <v>698</v>
      </c>
      <c r="C182" s="40" t="s">
        <v>103</v>
      </c>
    </row>
    <row r="183" spans="2:3" x14ac:dyDescent="0.2">
      <c r="B183" s="28"/>
      <c r="C183" s="40"/>
    </row>
    <row r="184" spans="2:3" x14ac:dyDescent="0.2">
      <c r="B184" s="28"/>
      <c r="C184" s="29"/>
    </row>
    <row r="185" spans="2:3" ht="17" thickBot="1" x14ac:dyDescent="0.25">
      <c r="B185" s="44"/>
      <c r="C185" s="47"/>
    </row>
  </sheetData>
  <mergeCells count="1">
    <mergeCell ref="B5:C5"/>
  </mergeCell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P143"/>
  <sheetViews>
    <sheetView tabSelected="1" topLeftCell="A46" workbookViewId="0">
      <selection activeCell="E87" sqref="E87"/>
    </sheetView>
  </sheetViews>
  <sheetFormatPr baseColWidth="10" defaultRowHeight="16" x14ac:dyDescent="0.2"/>
  <cols>
    <col min="1" max="1" width="10.83203125" style="1"/>
    <col min="2" max="2" width="17.1640625" style="1" customWidth="1"/>
    <col min="3" max="3" width="83.6640625" style="1" bestFit="1" customWidth="1"/>
    <col min="4" max="4" width="7.1640625" style="204" bestFit="1" customWidth="1"/>
    <col min="5" max="5" width="17.1640625" style="203" customWidth="1"/>
    <col min="6" max="6" width="3.83203125" style="203"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84" style="1" bestFit="1" customWidth="1"/>
    <col min="16" max="16" width="12.1640625" style="1" bestFit="1" customWidth="1"/>
    <col min="17" max="16384" width="10.83203125" style="1"/>
  </cols>
  <sheetData>
    <row r="2" spans="2:16" ht="21" x14ac:dyDescent="0.25">
      <c r="B2" s="2" t="s">
        <v>26</v>
      </c>
      <c r="I2" s="366" t="s">
        <v>629</v>
      </c>
      <c r="J2" s="11"/>
      <c r="K2" s="4"/>
      <c r="L2" s="5"/>
    </row>
    <row r="3" spans="2:16" x14ac:dyDescent="0.2">
      <c r="B3" s="211"/>
      <c r="I3" s="367"/>
      <c r="L3" s="7"/>
    </row>
    <row r="4" spans="2:16" x14ac:dyDescent="0.2">
      <c r="B4" s="48" t="s">
        <v>78</v>
      </c>
      <c r="C4" s="4"/>
      <c r="D4" s="205"/>
      <c r="E4" s="212"/>
      <c r="I4" s="368"/>
      <c r="L4" s="7"/>
    </row>
    <row r="5" spans="2:16" ht="45" customHeight="1" x14ac:dyDescent="0.2">
      <c r="B5" s="594" t="s">
        <v>226</v>
      </c>
      <c r="C5" s="596"/>
      <c r="D5" s="596"/>
      <c r="E5" s="595"/>
      <c r="F5" s="143"/>
      <c r="I5" s="369"/>
      <c r="J5" s="9"/>
      <c r="K5" s="9"/>
      <c r="L5" s="10"/>
    </row>
    <row r="6" spans="2:16" ht="17" thickBot="1" x14ac:dyDescent="0.25"/>
    <row r="7" spans="2:16" x14ac:dyDescent="0.2">
      <c r="B7" s="25" t="s">
        <v>24</v>
      </c>
      <c r="C7" s="49"/>
      <c r="D7" s="206"/>
      <c r="E7" s="213"/>
      <c r="F7" s="213"/>
      <c r="G7" s="49"/>
      <c r="H7" s="49"/>
      <c r="I7" s="49"/>
      <c r="J7" s="49"/>
      <c r="K7" s="112" t="s">
        <v>79</v>
      </c>
      <c r="L7" s="49"/>
      <c r="M7" s="27"/>
      <c r="O7" s="371"/>
      <c r="P7" s="372"/>
    </row>
    <row r="8" spans="2:16" x14ac:dyDescent="0.2">
      <c r="B8" s="28"/>
      <c r="K8" s="17"/>
      <c r="M8" s="29"/>
      <c r="O8" s="368"/>
      <c r="P8" s="370"/>
    </row>
    <row r="9" spans="2:16" x14ac:dyDescent="0.2">
      <c r="B9" s="546" t="s">
        <v>80</v>
      </c>
      <c r="C9" s="563" t="s">
        <v>33</v>
      </c>
      <c r="D9" s="563" t="s">
        <v>82</v>
      </c>
      <c r="E9" s="563" t="s">
        <v>81</v>
      </c>
      <c r="F9" s="563"/>
      <c r="G9" s="563" t="s">
        <v>653</v>
      </c>
      <c r="H9" s="563"/>
      <c r="I9" s="563" t="s">
        <v>34</v>
      </c>
      <c r="J9" s="563"/>
      <c r="K9" s="51" t="s">
        <v>83</v>
      </c>
      <c r="L9" s="51" t="s">
        <v>84</v>
      </c>
      <c r="M9" s="52" t="s">
        <v>78</v>
      </c>
      <c r="N9" s="13"/>
      <c r="O9" s="375" t="s">
        <v>697</v>
      </c>
      <c r="P9" s="376" t="s">
        <v>615</v>
      </c>
    </row>
    <row r="10" spans="2:16" x14ac:dyDescent="0.2">
      <c r="B10" s="454" t="s">
        <v>35</v>
      </c>
      <c r="C10" s="13"/>
      <c r="D10" s="582"/>
      <c r="E10" s="583"/>
      <c r="F10" s="583"/>
      <c r="G10" s="13"/>
      <c r="H10" s="13"/>
      <c r="I10" s="13"/>
      <c r="J10" s="14"/>
      <c r="K10" s="455" t="s">
        <v>611</v>
      </c>
      <c r="L10" s="564" t="b">
        <f>IF(COUNTIF(P:P,0)+COUNTIF(P:P,FALSE)=0,TRUE,FALSE)</f>
        <v>0</v>
      </c>
      <c r="M10" s="58"/>
      <c r="N10" s="13"/>
      <c r="O10" s="368"/>
      <c r="P10" s="370"/>
    </row>
    <row r="11" spans="2:16" x14ac:dyDescent="0.2">
      <c r="B11" s="33"/>
      <c r="C11" t="s">
        <v>306</v>
      </c>
      <c r="D11" s="353"/>
      <c r="E11" t="s">
        <v>803</v>
      </c>
      <c r="F11" s="1"/>
      <c r="G11" s="20" t="s">
        <v>614</v>
      </c>
      <c r="H11" s="13"/>
      <c r="I11" s="13"/>
      <c r="J11" s="14"/>
      <c r="L11" s="53"/>
      <c r="M11" s="284"/>
      <c r="N11" s="354"/>
      <c r="O11" s="368" t="s">
        <v>614</v>
      </c>
      <c r="P11" s="370"/>
    </row>
    <row r="12" spans="2:16" x14ac:dyDescent="0.2">
      <c r="B12" s="33"/>
      <c r="C12" t="s">
        <v>612</v>
      </c>
      <c r="D12" s="353"/>
      <c r="E12">
        <v>2011</v>
      </c>
      <c r="F12" s="1"/>
      <c r="G12" s="20" t="s">
        <v>613</v>
      </c>
      <c r="H12" s="13"/>
      <c r="I12" s="13"/>
      <c r="J12" s="14"/>
      <c r="K12" s="57" t="s">
        <v>215</v>
      </c>
      <c r="L12" s="496" t="b">
        <f>IF(COUNTBLANK(E11:E85)-COUNTBLANK(C11:C85)=7,TRUE,FALSE)</f>
        <v>0</v>
      </c>
      <c r="M12" s="284"/>
      <c r="N12" s="354"/>
      <c r="O12" s="368" t="s">
        <v>613</v>
      </c>
      <c r="P12" s="370">
        <f>IF(L12=TRUE,1,0)</f>
        <v>0</v>
      </c>
    </row>
    <row r="13" spans="2:16" x14ac:dyDescent="0.2">
      <c r="B13" s="33"/>
      <c r="C13" s="13"/>
      <c r="D13" s="582"/>
      <c r="E13" s="583"/>
      <c r="F13" s="583"/>
      <c r="G13" s="13"/>
      <c r="H13" s="13"/>
      <c r="I13" s="13"/>
      <c r="J13" s="14"/>
      <c r="K13" s="53"/>
      <c r="L13" s="111"/>
      <c r="M13" s="284"/>
      <c r="N13" s="354"/>
      <c r="O13" s="368"/>
      <c r="P13" s="370"/>
    </row>
    <row r="14" spans="2:16" x14ac:dyDescent="0.2">
      <c r="B14" s="33"/>
      <c r="C14" s="13"/>
      <c r="D14" s="582"/>
      <c r="E14" s="583"/>
      <c r="F14" s="583"/>
      <c r="G14" s="13"/>
      <c r="H14" s="13"/>
      <c r="I14" s="13"/>
      <c r="J14" s="14"/>
      <c r="K14" s="53"/>
      <c r="L14" s="111"/>
      <c r="M14" s="130"/>
      <c r="N14" s="67"/>
      <c r="O14" s="368"/>
      <c r="P14" s="370"/>
    </row>
    <row r="15" spans="2:16" x14ac:dyDescent="0.2">
      <c r="B15" s="565"/>
      <c r="C15" s="566"/>
      <c r="D15" s="567"/>
      <c r="E15" s="568"/>
      <c r="F15" s="568"/>
      <c r="G15" s="566"/>
      <c r="H15" s="566"/>
      <c r="I15" s="566"/>
      <c r="J15" s="113"/>
      <c r="K15" s="51"/>
      <c r="L15" s="51"/>
      <c r="M15" s="52"/>
      <c r="N15" s="13"/>
      <c r="O15" s="368"/>
      <c r="P15" s="370"/>
    </row>
    <row r="16" spans="2:16" x14ac:dyDescent="0.2">
      <c r="B16" s="35" t="s">
        <v>85</v>
      </c>
      <c r="C16" s="13"/>
      <c r="D16" s="582"/>
      <c r="E16" s="583"/>
      <c r="F16" s="583"/>
      <c r="G16" s="13"/>
      <c r="H16" s="13"/>
      <c r="I16" s="13"/>
      <c r="J16" s="13"/>
      <c r="K16" s="57"/>
      <c r="L16" s="57"/>
      <c r="M16" s="58"/>
      <c r="N16" s="13"/>
      <c r="O16" s="368"/>
      <c r="P16" s="370"/>
    </row>
    <row r="17" spans="2:16" ht="15" customHeight="1" x14ac:dyDescent="0.2">
      <c r="B17" s="28"/>
      <c r="C17" t="s">
        <v>353</v>
      </c>
      <c r="D17" s="353" t="s">
        <v>213</v>
      </c>
      <c r="E17" s="584">
        <f>Final_demand_residences</f>
        <v>0</v>
      </c>
      <c r="F17"/>
      <c r="G17" s="344"/>
      <c r="H17" s="585"/>
      <c r="I17" t="s">
        <v>885</v>
      </c>
      <c r="K17" s="597" t="s">
        <v>882</v>
      </c>
      <c r="L17" s="285"/>
      <c r="M17" s="130"/>
      <c r="N17" s="67"/>
      <c r="O17" s="368"/>
      <c r="P17" s="370"/>
    </row>
    <row r="18" spans="2:16" x14ac:dyDescent="0.2">
      <c r="B18" s="35"/>
      <c r="D18" s="324"/>
      <c r="E18" s="216"/>
      <c r="F18" s="216"/>
      <c r="G18" s="343"/>
      <c r="H18" s="586"/>
      <c r="K18" s="597"/>
      <c r="L18" s="339"/>
      <c r="M18" s="130"/>
      <c r="N18" s="67"/>
      <c r="O18" s="368"/>
      <c r="P18" s="370"/>
    </row>
    <row r="19" spans="2:16" ht="16" customHeight="1" thickBot="1" x14ac:dyDescent="0.25">
      <c r="B19" s="35"/>
      <c r="C19" s="581" t="s">
        <v>703</v>
      </c>
      <c r="D19" s="324"/>
      <c r="E19" s="216"/>
      <c r="F19" s="216"/>
      <c r="G19" s="343"/>
      <c r="H19" s="586"/>
      <c r="K19" s="498" t="str">
        <f t="array" ref="K19:K25">TRANSPOSE('Final demand per energy carrier'!E71:K71)</f>
        <v>Network gas</v>
      </c>
      <c r="L19" s="502" t="e">
        <f t="array" ref="L19:L25">TRANSPOSE('Final demand per energy carrier'!E74:K74)</f>
        <v>#DIV/0!</v>
      </c>
      <c r="M19" s="292" t="e">
        <f>IF(ABS(L19)&lt;0.03," ","Consider adjusting your inputs that influence the demand for gas.")</f>
        <v>#DIV/0!</v>
      </c>
      <c r="N19" s="67"/>
      <c r="O19" s="368"/>
      <c r="P19" s="370"/>
    </row>
    <row r="20" spans="2:16" ht="17" thickBot="1" x14ac:dyDescent="0.25">
      <c r="B20" s="35"/>
      <c r="C20" s="587" t="s">
        <v>76</v>
      </c>
      <c r="D20" s="325" t="s">
        <v>213</v>
      </c>
      <c r="E20" s="321"/>
      <c r="F20" s="584"/>
      <c r="G20" s="344" t="s">
        <v>347</v>
      </c>
      <c r="H20" s="585"/>
      <c r="I20" s="340"/>
      <c r="J20" s="7"/>
      <c r="K20" s="498" t="str">
        <v>Electricity</v>
      </c>
      <c r="L20" s="502" t="e">
        <v>#DIV/0!</v>
      </c>
      <c r="M20" s="292" t="e">
        <f>IF(ABS(L20)&lt;0.03," ","Consider adjusting your inputs that influence the demand for electricity.")</f>
        <v>#DIV/0!</v>
      </c>
      <c r="N20" s="67"/>
      <c r="O20" s="368" t="s">
        <v>540</v>
      </c>
      <c r="P20" s="370"/>
    </row>
    <row r="21" spans="2:16" ht="17" thickBot="1" x14ac:dyDescent="0.25">
      <c r="B21" s="35"/>
      <c r="C21" s="587" t="s">
        <v>290</v>
      </c>
      <c r="D21" s="325" t="s">
        <v>213</v>
      </c>
      <c r="E21" s="321"/>
      <c r="F21" s="584"/>
      <c r="G21" s="344" t="s">
        <v>348</v>
      </c>
      <c r="H21" s="585"/>
      <c r="I21" s="340"/>
      <c r="J21" s="7"/>
      <c r="K21" s="498" t="str">
        <v>Solar thermal</v>
      </c>
      <c r="L21" s="502">
        <v>0</v>
      </c>
      <c r="M21" s="292" t="s">
        <v>774</v>
      </c>
      <c r="N21" s="67"/>
      <c r="O21" s="368" t="s">
        <v>541</v>
      </c>
      <c r="P21" s="370"/>
    </row>
    <row r="22" spans="2:16" ht="17" thickBot="1" x14ac:dyDescent="0.25">
      <c r="B22" s="35"/>
      <c r="C22" s="587" t="s">
        <v>88</v>
      </c>
      <c r="D22" s="325" t="s">
        <v>213</v>
      </c>
      <c r="E22" s="321"/>
      <c r="F22" s="584"/>
      <c r="G22" s="344" t="s">
        <v>349</v>
      </c>
      <c r="H22" s="585"/>
      <c r="I22" s="340"/>
      <c r="J22" s="7"/>
      <c r="K22" s="498" t="str">
        <v>Coal</v>
      </c>
      <c r="L22" s="502" t="e">
        <v>#DIV/0!</v>
      </c>
      <c r="M22" s="292" t="e">
        <f>IF(ABS(L22)&lt;0.03," ","Consider adjusting your inputs that influence the demand for coal.")</f>
        <v>#DIV/0!</v>
      </c>
      <c r="N22" s="67"/>
      <c r="O22" s="368" t="s">
        <v>542</v>
      </c>
      <c r="P22" s="370"/>
    </row>
    <row r="23" spans="2:16" ht="17" thickBot="1" x14ac:dyDescent="0.25">
      <c r="B23" s="35"/>
      <c r="C23" s="587" t="s">
        <v>75</v>
      </c>
      <c r="D23" s="325" t="s">
        <v>213</v>
      </c>
      <c r="E23" s="321"/>
      <c r="F23" s="584"/>
      <c r="G23" s="344" t="s">
        <v>350</v>
      </c>
      <c r="H23" s="585"/>
      <c r="I23" s="340"/>
      <c r="J23" s="7"/>
      <c r="K23" s="498" t="str">
        <v>Oil</v>
      </c>
      <c r="L23" s="502" t="e">
        <v>#DIV/0!</v>
      </c>
      <c r="M23" s="292" t="e">
        <f>IF(ABS(L23)&lt;0.03," ","Consider adjusting your inputs that influence the demand for oil.")</f>
        <v>#DIV/0!</v>
      </c>
      <c r="N23" s="67"/>
      <c r="O23" s="368" t="s">
        <v>543</v>
      </c>
      <c r="P23" s="370"/>
    </row>
    <row r="24" spans="2:16" ht="17" thickBot="1" x14ac:dyDescent="0.25">
      <c r="B24" s="35"/>
      <c r="C24" s="587" t="s">
        <v>276</v>
      </c>
      <c r="D24" s="325" t="s">
        <v>213</v>
      </c>
      <c r="E24" s="321"/>
      <c r="F24" s="584"/>
      <c r="G24" s="344" t="s">
        <v>351</v>
      </c>
      <c r="H24" s="585"/>
      <c r="I24" s="340"/>
      <c r="K24" s="498" t="str">
        <v>Woodpellets</v>
      </c>
      <c r="L24" s="502" t="e">
        <v>#DIV/0!</v>
      </c>
      <c r="M24" s="292" t="e">
        <f>IF(ABS(L24)&lt;0.03," ","Consider adjusting your inputs that influence the demand for wood pellets.")</f>
        <v>#DIV/0!</v>
      </c>
      <c r="N24" s="67"/>
      <c r="O24" s="368" t="s">
        <v>544</v>
      </c>
      <c r="P24" s="370"/>
    </row>
    <row r="25" spans="2:16" ht="17" thickBot="1" x14ac:dyDescent="0.25">
      <c r="B25" s="35"/>
      <c r="C25" s="587" t="s">
        <v>378</v>
      </c>
      <c r="D25" s="325" t="s">
        <v>213</v>
      </c>
      <c r="E25" s="321"/>
      <c r="F25" s="584"/>
      <c r="G25" s="344" t="s">
        <v>352</v>
      </c>
      <c r="H25" s="585"/>
      <c r="I25" s="340"/>
      <c r="K25" s="498" t="str">
        <v>District heat</v>
      </c>
      <c r="L25" s="502" t="e">
        <v>#DIV/0!</v>
      </c>
      <c r="M25" s="292" t="e">
        <f>IF(ABS(L25)&lt;0.03," ","Consider adjusting your inputs that influence the demand for district heat.")</f>
        <v>#DIV/0!</v>
      </c>
      <c r="N25" s="67"/>
      <c r="O25" s="368" t="s">
        <v>545</v>
      </c>
      <c r="P25" s="370"/>
    </row>
    <row r="26" spans="2:16" x14ac:dyDescent="0.2">
      <c r="B26" s="35"/>
      <c r="D26" s="324"/>
      <c r="G26" s="345"/>
      <c r="H26" s="135"/>
      <c r="K26" s="285"/>
      <c r="L26" s="288"/>
      <c r="M26" s="130"/>
      <c r="N26" s="67"/>
      <c r="O26" s="368"/>
      <c r="P26" s="370"/>
    </row>
    <row r="27" spans="2:16" ht="17" x14ac:dyDescent="0.2">
      <c r="B27" s="35"/>
      <c r="C27" s="1" t="s">
        <v>701</v>
      </c>
      <c r="D27" s="324" t="s">
        <v>213</v>
      </c>
      <c r="E27" s="497">
        <f>E17-SUM(E20:E25)</f>
        <v>0</v>
      </c>
      <c r="F27" s="209"/>
      <c r="G27" s="345"/>
      <c r="H27" s="135"/>
      <c r="K27" s="285" t="s">
        <v>522</v>
      </c>
      <c r="L27" s="503" t="e">
        <f>IF(ABS(E27)/E17&lt;0.05,TRUE,E27/E17)</f>
        <v>#DIV/0!</v>
      </c>
      <c r="M27" s="292" t="e">
        <f>IF(L27=TRUE," ","Consider adjusting the final demands for space heating, space cooling....")</f>
        <v>#DIV/0!</v>
      </c>
      <c r="N27" s="67"/>
      <c r="O27" s="368"/>
      <c r="P27" s="370"/>
    </row>
    <row r="28" spans="2:16" x14ac:dyDescent="0.2">
      <c r="B28" s="569"/>
      <c r="C28" s="549"/>
      <c r="D28" s="326"/>
      <c r="E28" s="570"/>
      <c r="F28" s="570"/>
      <c r="G28" s="346"/>
      <c r="H28" s="571"/>
      <c r="I28" s="549"/>
      <c r="J28" s="549"/>
      <c r="K28" s="289"/>
      <c r="L28" s="289"/>
      <c r="M28" s="286"/>
      <c r="N28" s="67"/>
      <c r="O28" s="368"/>
      <c r="P28" s="370"/>
    </row>
    <row r="29" spans="2:16" ht="16" customHeight="1" x14ac:dyDescent="0.2">
      <c r="B29" s="35" t="s">
        <v>76</v>
      </c>
      <c r="D29" s="324"/>
      <c r="E29" s="588"/>
      <c r="F29" s="208"/>
      <c r="G29" s="345"/>
      <c r="H29" s="135"/>
      <c r="K29" s="495" t="s">
        <v>190</v>
      </c>
      <c r="L29" s="499">
        <f>IF(SUM(E31:E40)=1,TRUE,SUM(E31:E40))</f>
        <v>0</v>
      </c>
      <c r="M29" s="292"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355"/>
      <c r="O29" s="368"/>
      <c r="P29" s="370">
        <f>IF(L29=TRUE,1,0)</f>
        <v>0</v>
      </c>
    </row>
    <row r="30" spans="2:16" ht="16" customHeight="1" thickBot="1" x14ac:dyDescent="0.25">
      <c r="B30" s="35"/>
      <c r="C30" s="581" t="s">
        <v>733</v>
      </c>
      <c r="D30" s="324"/>
      <c r="E30" s="208"/>
      <c r="F30" s="208"/>
      <c r="G30" s="345"/>
      <c r="H30" s="135"/>
      <c r="K30" s="495"/>
      <c r="L30" s="287"/>
      <c r="M30" s="292"/>
      <c r="N30" s="355"/>
      <c r="O30" s="368"/>
      <c r="P30" s="370"/>
    </row>
    <row r="31" spans="2:16" ht="17" thickBot="1" x14ac:dyDescent="0.25">
      <c r="B31" s="35"/>
      <c r="C31" s="587" t="s">
        <v>704</v>
      </c>
      <c r="D31" s="327"/>
      <c r="E31" s="322"/>
      <c r="F31" s="336"/>
      <c r="G31" s="347"/>
      <c r="H31" s="581"/>
      <c r="I31" s="340"/>
      <c r="K31" s="285"/>
      <c r="L31" s="287"/>
      <c r="M31" s="292"/>
      <c r="N31" s="355"/>
      <c r="O31" s="368" t="s">
        <v>546</v>
      </c>
      <c r="P31" s="370"/>
    </row>
    <row r="32" spans="2:16" ht="17" thickBot="1" x14ac:dyDescent="0.25">
      <c r="B32" s="35"/>
      <c r="C32" s="587" t="s">
        <v>777</v>
      </c>
      <c r="D32" s="327"/>
      <c r="E32" s="322"/>
      <c r="F32" s="336"/>
      <c r="G32" s="347"/>
      <c r="H32" s="581"/>
      <c r="I32" s="340"/>
      <c r="K32" s="285"/>
      <c r="L32" s="287"/>
      <c r="M32" s="292"/>
      <c r="N32" s="355"/>
      <c r="O32" s="368" t="s">
        <v>547</v>
      </c>
      <c r="P32" s="370"/>
    </row>
    <row r="33" spans="2:16" ht="17" thickBot="1" x14ac:dyDescent="0.25">
      <c r="B33" s="35"/>
      <c r="C33" s="587" t="s">
        <v>705</v>
      </c>
      <c r="D33" s="327"/>
      <c r="E33" s="322"/>
      <c r="F33" s="336"/>
      <c r="G33" s="347"/>
      <c r="H33" s="581"/>
      <c r="I33" s="340"/>
      <c r="K33" s="285"/>
      <c r="L33" s="287"/>
      <c r="M33" s="130"/>
      <c r="N33" s="67"/>
      <c r="O33" s="368" t="s">
        <v>550</v>
      </c>
      <c r="P33" s="370"/>
    </row>
    <row r="34" spans="2:16" ht="17" thickBot="1" x14ac:dyDescent="0.25">
      <c r="B34" s="35"/>
      <c r="C34" s="587" t="s">
        <v>706</v>
      </c>
      <c r="D34" s="327"/>
      <c r="E34" s="322"/>
      <c r="F34" s="336"/>
      <c r="G34" s="347"/>
      <c r="H34" s="581"/>
      <c r="I34" s="340"/>
      <c r="K34" s="285"/>
      <c r="L34" s="287"/>
      <c r="M34" s="130"/>
      <c r="N34" s="67"/>
      <c r="O34" s="368" t="s">
        <v>548</v>
      </c>
      <c r="P34" s="370"/>
    </row>
    <row r="35" spans="2:16" ht="17" thickBot="1" x14ac:dyDescent="0.25">
      <c r="B35" s="35"/>
      <c r="C35" s="587" t="s">
        <v>707</v>
      </c>
      <c r="D35" s="327"/>
      <c r="E35" s="322"/>
      <c r="F35" s="336"/>
      <c r="G35" s="347"/>
      <c r="H35" s="581"/>
      <c r="I35" s="340"/>
      <c r="K35" s="285"/>
      <c r="L35" s="287"/>
      <c r="M35" s="130"/>
      <c r="N35" s="67"/>
      <c r="O35" s="368" t="s">
        <v>549</v>
      </c>
      <c r="P35" s="370"/>
    </row>
    <row r="36" spans="2:16" ht="17" thickBot="1" x14ac:dyDescent="0.25">
      <c r="B36" s="35"/>
      <c r="C36" s="587" t="s">
        <v>708</v>
      </c>
      <c r="D36" s="327"/>
      <c r="E36" s="322"/>
      <c r="F36" s="336"/>
      <c r="G36" s="347"/>
      <c r="H36" s="581"/>
      <c r="I36" s="340"/>
      <c r="K36" s="285"/>
      <c r="L36" s="287"/>
      <c r="M36" s="130"/>
      <c r="N36" s="67"/>
      <c r="O36" s="373" t="s">
        <v>551</v>
      </c>
      <c r="P36" s="370"/>
    </row>
    <row r="37" spans="2:16" ht="17" thickBot="1" x14ac:dyDescent="0.25">
      <c r="B37" s="35"/>
      <c r="C37" s="587" t="s">
        <v>709</v>
      </c>
      <c r="D37" s="327"/>
      <c r="E37" s="322"/>
      <c r="F37" s="336"/>
      <c r="G37" s="347"/>
      <c r="H37" s="581"/>
      <c r="I37" s="340"/>
      <c r="K37" s="285"/>
      <c r="L37" s="287"/>
      <c r="M37" s="130"/>
      <c r="N37" s="67"/>
      <c r="O37" s="373" t="s">
        <v>553</v>
      </c>
      <c r="P37" s="370"/>
    </row>
    <row r="38" spans="2:16" ht="17" thickBot="1" x14ac:dyDescent="0.25">
      <c r="B38" s="35"/>
      <c r="C38" s="587" t="s">
        <v>710</v>
      </c>
      <c r="D38" s="327"/>
      <c r="E38" s="322"/>
      <c r="F38" s="336"/>
      <c r="G38" s="347"/>
      <c r="H38" s="581"/>
      <c r="I38" s="340"/>
      <c r="K38" s="285"/>
      <c r="L38" s="287"/>
      <c r="M38" s="130"/>
      <c r="N38" s="67"/>
      <c r="O38" s="373" t="s">
        <v>552</v>
      </c>
      <c r="P38" s="370"/>
    </row>
    <row r="39" spans="2:16" ht="17" thickBot="1" x14ac:dyDescent="0.25">
      <c r="B39" s="35"/>
      <c r="C39" s="587" t="s">
        <v>711</v>
      </c>
      <c r="D39" s="327"/>
      <c r="E39" s="322"/>
      <c r="F39" s="336"/>
      <c r="G39" s="347"/>
      <c r="H39" s="581"/>
      <c r="I39" s="340"/>
      <c r="K39" s="285"/>
      <c r="L39" s="287"/>
      <c r="M39" s="292"/>
      <c r="O39" s="373" t="s">
        <v>554</v>
      </c>
      <c r="P39" s="370"/>
    </row>
    <row r="40" spans="2:16" ht="17" thickBot="1" x14ac:dyDescent="0.25">
      <c r="B40" s="35"/>
      <c r="C40" s="587" t="s">
        <v>747</v>
      </c>
      <c r="D40" s="327"/>
      <c r="E40" s="322"/>
      <c r="F40" s="336"/>
      <c r="G40" s="347"/>
      <c r="H40" s="581"/>
      <c r="I40" s="340"/>
      <c r="K40" s="285"/>
      <c r="L40" s="67"/>
      <c r="M40" s="130"/>
      <c r="N40" s="67"/>
      <c r="O40" s="373" t="s">
        <v>756</v>
      </c>
      <c r="P40" s="370"/>
    </row>
    <row r="41" spans="2:16" x14ac:dyDescent="0.2">
      <c r="B41" s="569"/>
      <c r="C41" s="549"/>
      <c r="D41" s="326"/>
      <c r="E41" s="572"/>
      <c r="F41" s="572"/>
      <c r="G41" s="348"/>
      <c r="H41" s="573"/>
      <c r="I41" s="549"/>
      <c r="J41" s="549"/>
      <c r="K41" s="289"/>
      <c r="L41" s="289"/>
      <c r="M41" s="286"/>
      <c r="N41" s="67"/>
      <c r="O41" s="374"/>
      <c r="P41" s="370"/>
    </row>
    <row r="42" spans="2:16" ht="16" customHeight="1" x14ac:dyDescent="0.2">
      <c r="B42" s="35" t="s">
        <v>290</v>
      </c>
      <c r="D42" s="324"/>
      <c r="E42" s="210"/>
      <c r="F42" s="210"/>
      <c r="G42" s="345"/>
      <c r="H42" s="135"/>
      <c r="K42" s="495" t="s">
        <v>190</v>
      </c>
      <c r="L42" s="499">
        <f>IF(SUM(E44:E53)=1,TRUE,SUM(E44:E53))</f>
        <v>0</v>
      </c>
      <c r="M42" s="292" t="str">
        <f>IF(L42=TRUE," ","Please adjust the percentages on the left. You might find it usefule to temporarily define one share as '1-sum( all others )' ")</f>
        <v xml:space="preserve">Please adjust the percentages on the left. You might find it usefule to temporarily define one share as '1-sum( all others )' </v>
      </c>
      <c r="N42" s="355"/>
      <c r="O42" s="368"/>
      <c r="P42" s="370">
        <f>IF(L42=TRUE,1,0)</f>
        <v>0</v>
      </c>
    </row>
    <row r="43" spans="2:16" ht="16" customHeight="1" thickBot="1" x14ac:dyDescent="0.25">
      <c r="B43" s="35"/>
      <c r="C43" s="581" t="s">
        <v>732</v>
      </c>
      <c r="D43" s="324"/>
      <c r="E43" s="210"/>
      <c r="F43" s="210"/>
      <c r="G43" s="345"/>
      <c r="H43" s="135"/>
      <c r="K43" s="495"/>
      <c r="L43" s="287"/>
      <c r="M43" s="292"/>
      <c r="N43" s="355"/>
      <c r="O43" s="368"/>
      <c r="P43" s="370"/>
    </row>
    <row r="44" spans="2:16" ht="17" thickBot="1" x14ac:dyDescent="0.25">
      <c r="B44" s="35"/>
      <c r="C44" s="587" t="s">
        <v>704</v>
      </c>
      <c r="D44" s="327"/>
      <c r="E44" s="322"/>
      <c r="F44" s="336"/>
      <c r="G44" s="347"/>
      <c r="H44" s="581"/>
      <c r="I44" s="340"/>
      <c r="K44" s="285"/>
      <c r="L44" s="287"/>
      <c r="M44" s="130"/>
      <c r="N44" s="355"/>
      <c r="O44" s="368" t="s">
        <v>555</v>
      </c>
      <c r="P44" s="370"/>
    </row>
    <row r="45" spans="2:16" ht="17" thickBot="1" x14ac:dyDescent="0.25">
      <c r="B45" s="35"/>
      <c r="C45" s="587" t="s">
        <v>778</v>
      </c>
      <c r="D45" s="327"/>
      <c r="E45" s="322"/>
      <c r="F45" s="336"/>
      <c r="G45" s="347"/>
      <c r="H45" s="581"/>
      <c r="I45" s="342"/>
      <c r="K45" s="285"/>
      <c r="L45" s="287"/>
      <c r="M45" s="29"/>
      <c r="N45" s="355"/>
      <c r="O45" s="368" t="s">
        <v>556</v>
      </c>
      <c r="P45" s="370"/>
    </row>
    <row r="46" spans="2:16" ht="17" thickBot="1" x14ac:dyDescent="0.25">
      <c r="B46" s="35"/>
      <c r="C46" s="587" t="s">
        <v>712</v>
      </c>
      <c r="D46" s="327"/>
      <c r="E46" s="322"/>
      <c r="F46" s="336"/>
      <c r="G46" s="347"/>
      <c r="H46" s="581"/>
      <c r="I46" s="342"/>
      <c r="K46" s="285"/>
      <c r="L46" s="287"/>
      <c r="M46" s="29"/>
      <c r="N46" s="67"/>
      <c r="O46" s="368" t="s">
        <v>557</v>
      </c>
      <c r="P46" s="370"/>
    </row>
    <row r="47" spans="2:16" ht="17" thickBot="1" x14ac:dyDescent="0.25">
      <c r="B47" s="35"/>
      <c r="C47" s="587" t="s">
        <v>744</v>
      </c>
      <c r="D47" s="327"/>
      <c r="E47" s="322"/>
      <c r="F47" s="336"/>
      <c r="G47" s="347"/>
      <c r="H47" s="581"/>
      <c r="I47" s="342"/>
      <c r="K47" s="285"/>
      <c r="L47" s="287"/>
      <c r="M47" s="29"/>
      <c r="N47" s="67"/>
      <c r="O47" s="368" t="s">
        <v>558</v>
      </c>
      <c r="P47" s="370"/>
    </row>
    <row r="48" spans="2:16" ht="17" thickBot="1" x14ac:dyDescent="0.25">
      <c r="B48" s="35"/>
      <c r="C48" s="587" t="s">
        <v>713</v>
      </c>
      <c r="D48" s="327"/>
      <c r="E48" s="322"/>
      <c r="F48" s="336"/>
      <c r="G48" s="347"/>
      <c r="H48" s="581"/>
      <c r="I48" s="341"/>
      <c r="K48" s="285"/>
      <c r="L48" s="287"/>
      <c r="M48" s="130"/>
      <c r="N48" s="67"/>
      <c r="O48" s="368" t="s">
        <v>559</v>
      </c>
      <c r="P48" s="370"/>
    </row>
    <row r="49" spans="2:16" ht="17" thickBot="1" x14ac:dyDescent="0.25">
      <c r="B49" s="35"/>
      <c r="C49" s="587" t="s">
        <v>714</v>
      </c>
      <c r="D49" s="327"/>
      <c r="E49" s="322"/>
      <c r="F49" s="336"/>
      <c r="G49" s="347"/>
      <c r="H49" s="581"/>
      <c r="I49" s="342"/>
      <c r="K49" s="285"/>
      <c r="L49" s="287"/>
      <c r="M49" s="130"/>
      <c r="N49" s="67"/>
      <c r="O49" s="373" t="s">
        <v>560</v>
      </c>
      <c r="P49" s="370"/>
    </row>
    <row r="50" spans="2:16" ht="17" thickBot="1" x14ac:dyDescent="0.25">
      <c r="B50" s="35"/>
      <c r="C50" s="587" t="s">
        <v>715</v>
      </c>
      <c r="D50" s="327"/>
      <c r="E50" s="322"/>
      <c r="F50" s="336"/>
      <c r="G50" s="347"/>
      <c r="H50" s="581"/>
      <c r="I50" s="342"/>
      <c r="K50" s="285"/>
      <c r="L50" s="287"/>
      <c r="M50" s="130"/>
      <c r="N50" s="67"/>
      <c r="O50" s="373" t="s">
        <v>561</v>
      </c>
      <c r="P50" s="370"/>
    </row>
    <row r="51" spans="2:16" ht="17" thickBot="1" x14ac:dyDescent="0.25">
      <c r="B51" s="35"/>
      <c r="C51" s="587" t="s">
        <v>716</v>
      </c>
      <c r="D51" s="327"/>
      <c r="E51" s="322"/>
      <c r="F51" s="336"/>
      <c r="G51" s="347"/>
      <c r="H51" s="581"/>
      <c r="I51" s="342"/>
      <c r="K51" s="285"/>
      <c r="L51" s="287"/>
      <c r="M51" s="130"/>
      <c r="N51" s="67"/>
      <c r="O51" s="373" t="s">
        <v>562</v>
      </c>
      <c r="P51" s="370"/>
    </row>
    <row r="52" spans="2:16" ht="17" thickBot="1" x14ac:dyDescent="0.25">
      <c r="B52" s="35"/>
      <c r="C52" s="587" t="s">
        <v>717</v>
      </c>
      <c r="D52" s="327"/>
      <c r="E52" s="322"/>
      <c r="F52" s="336"/>
      <c r="G52" s="347"/>
      <c r="H52" s="581"/>
      <c r="I52" s="342"/>
      <c r="K52" s="285"/>
      <c r="L52" s="287"/>
      <c r="M52" s="130"/>
      <c r="N52" s="67"/>
      <c r="O52" s="373" t="s">
        <v>563</v>
      </c>
      <c r="P52" s="370"/>
    </row>
    <row r="53" spans="2:16" ht="17" thickBot="1" x14ac:dyDescent="0.25">
      <c r="B53" s="35"/>
      <c r="C53" s="587" t="s">
        <v>747</v>
      </c>
      <c r="D53" s="327"/>
      <c r="E53" s="322"/>
      <c r="F53" s="336"/>
      <c r="G53" s="347"/>
      <c r="H53" s="581"/>
      <c r="I53" s="342"/>
      <c r="K53" s="285"/>
      <c r="L53" s="285"/>
      <c r="M53" s="130"/>
      <c r="N53" s="67"/>
      <c r="O53" s="373" t="s">
        <v>765</v>
      </c>
      <c r="P53" s="370"/>
    </row>
    <row r="54" spans="2:16" x14ac:dyDescent="0.2">
      <c r="B54" s="569"/>
      <c r="C54" s="549"/>
      <c r="D54" s="326"/>
      <c r="E54" s="574"/>
      <c r="F54" s="574"/>
      <c r="G54" s="346"/>
      <c r="H54" s="571"/>
      <c r="I54" s="549"/>
      <c r="J54" s="549"/>
      <c r="K54" s="290"/>
      <c r="L54" s="290"/>
      <c r="M54" s="286"/>
      <c r="N54" s="67"/>
      <c r="O54" s="368"/>
      <c r="P54" s="370">
        <f>IF(L55=TRUE,1,0)</f>
        <v>0</v>
      </c>
    </row>
    <row r="55" spans="2:16" ht="17" x14ac:dyDescent="0.2">
      <c r="B55" s="35" t="s">
        <v>88</v>
      </c>
      <c r="C55" s="56"/>
      <c r="D55" s="328"/>
      <c r="E55" s="501"/>
      <c r="F55" s="501"/>
      <c r="G55" s="345"/>
      <c r="H55" s="135"/>
      <c r="K55" s="495" t="s">
        <v>190</v>
      </c>
      <c r="L55" s="499">
        <f>IF(SUM(E57:E59)=1,TRUE,SUM(E57:E59))</f>
        <v>0</v>
      </c>
      <c r="M55" s="575" t="str">
        <f>IF(L55=TRUE," ","Please adjust the percentages on the left. ")</f>
        <v xml:space="preserve">Please adjust the percentages on the left. </v>
      </c>
      <c r="N55" s="67"/>
      <c r="O55" s="368"/>
      <c r="P55" s="370"/>
    </row>
    <row r="56" spans="2:16" ht="17" thickBot="1" x14ac:dyDescent="0.25">
      <c r="B56" s="35"/>
      <c r="C56" s="581" t="s">
        <v>731</v>
      </c>
      <c r="D56" s="328"/>
      <c r="E56" s="501"/>
      <c r="F56" s="501"/>
      <c r="G56" s="345"/>
      <c r="H56" s="135"/>
      <c r="K56" s="495"/>
      <c r="L56" s="287"/>
      <c r="M56" s="500"/>
      <c r="N56" s="67"/>
      <c r="O56" s="368"/>
      <c r="P56" s="370"/>
    </row>
    <row r="57" spans="2:16" ht="17" thickBot="1" x14ac:dyDescent="0.25">
      <c r="B57" s="35"/>
      <c r="C57" s="587" t="s">
        <v>718</v>
      </c>
      <c r="D57" s="329"/>
      <c r="E57" s="323"/>
      <c r="F57" s="337"/>
      <c r="G57" s="347"/>
      <c r="H57" s="581"/>
      <c r="I57" s="341"/>
      <c r="K57" s="285"/>
      <c r="L57" s="287"/>
      <c r="M57" s="130"/>
      <c r="N57" s="67"/>
      <c r="O57" s="373" t="s">
        <v>564</v>
      </c>
      <c r="P57" s="370"/>
    </row>
    <row r="58" spans="2:16" ht="17" thickBot="1" x14ac:dyDescent="0.25">
      <c r="B58" s="35"/>
      <c r="C58" s="587" t="s">
        <v>719</v>
      </c>
      <c r="D58" s="329"/>
      <c r="E58" s="323"/>
      <c r="F58" s="337"/>
      <c r="G58" s="347"/>
      <c r="H58" s="581"/>
      <c r="I58" s="342"/>
      <c r="K58" s="285"/>
      <c r="L58" s="287"/>
      <c r="M58" s="130"/>
      <c r="N58" s="67"/>
      <c r="O58" s="373" t="s">
        <v>565</v>
      </c>
      <c r="P58" s="370"/>
    </row>
    <row r="59" spans="2:16" ht="17" thickBot="1" x14ac:dyDescent="0.25">
      <c r="B59" s="35"/>
      <c r="C59" s="587" t="s">
        <v>720</v>
      </c>
      <c r="D59" s="330"/>
      <c r="E59" s="323"/>
      <c r="F59" s="337"/>
      <c r="G59" s="349"/>
      <c r="H59" s="589"/>
      <c r="I59" s="342"/>
      <c r="K59" s="285"/>
      <c r="L59" s="287"/>
      <c r="M59" s="130"/>
      <c r="N59" s="67"/>
      <c r="O59" s="373" t="s">
        <v>566</v>
      </c>
      <c r="P59" s="370"/>
    </row>
    <row r="60" spans="2:16" x14ac:dyDescent="0.2">
      <c r="B60" s="569"/>
      <c r="C60" s="549"/>
      <c r="D60" s="326"/>
      <c r="E60" s="574"/>
      <c r="F60" s="574"/>
      <c r="G60" s="346"/>
      <c r="H60" s="571"/>
      <c r="I60" s="549"/>
      <c r="J60" s="549"/>
      <c r="K60" s="290"/>
      <c r="L60" s="289"/>
      <c r="M60" s="286"/>
      <c r="N60" s="67"/>
      <c r="O60" s="368"/>
      <c r="P60" s="370">
        <f>IF(L61=TRUE,1,0)</f>
        <v>0</v>
      </c>
    </row>
    <row r="61" spans="2:16" ht="17" x14ac:dyDescent="0.2">
      <c r="B61" s="35" t="s">
        <v>75</v>
      </c>
      <c r="D61" s="324"/>
      <c r="E61" s="501"/>
      <c r="F61" s="337"/>
      <c r="G61" s="347"/>
      <c r="H61" s="581"/>
      <c r="K61" s="495" t="s">
        <v>190</v>
      </c>
      <c r="L61" s="499">
        <f>IF(SUM(E63:E65)=1,TRUE,SUM(E63:E65))</f>
        <v>0</v>
      </c>
      <c r="M61" s="575" t="str">
        <f>IF(L61=TRUE," ","Please adjust the percentages on the left. ")</f>
        <v xml:space="preserve">Please adjust the percentages on the left. </v>
      </c>
      <c r="N61" s="67"/>
      <c r="O61" s="368"/>
      <c r="P61" s="370"/>
    </row>
    <row r="62" spans="2:16" ht="17" thickBot="1" x14ac:dyDescent="0.25">
      <c r="B62" s="35"/>
      <c r="C62" s="581" t="s">
        <v>730</v>
      </c>
      <c r="D62" s="324"/>
      <c r="E62" s="501"/>
      <c r="F62" s="337"/>
      <c r="G62" s="347"/>
      <c r="H62" s="581"/>
      <c r="K62" s="495"/>
      <c r="L62" s="287"/>
      <c r="M62" s="500"/>
      <c r="N62" s="67"/>
      <c r="O62" s="368"/>
      <c r="P62" s="370"/>
    </row>
    <row r="63" spans="2:16" ht="17" thickBot="1" x14ac:dyDescent="0.25">
      <c r="B63" s="35"/>
      <c r="C63" s="587" t="s">
        <v>721</v>
      </c>
      <c r="D63" s="329"/>
      <c r="E63" s="323"/>
      <c r="F63" s="337"/>
      <c r="G63" s="347"/>
      <c r="H63" s="581"/>
      <c r="I63" s="341"/>
      <c r="K63" s="285"/>
      <c r="L63" s="285"/>
      <c r="M63" s="130"/>
      <c r="N63" s="67"/>
      <c r="O63" s="373" t="s">
        <v>567</v>
      </c>
      <c r="P63" s="370"/>
    </row>
    <row r="64" spans="2:16" ht="17" thickBot="1" x14ac:dyDescent="0.25">
      <c r="B64" s="35"/>
      <c r="C64" s="587" t="s">
        <v>722</v>
      </c>
      <c r="D64" s="329"/>
      <c r="E64" s="323"/>
      <c r="F64" s="337"/>
      <c r="G64" s="347"/>
      <c r="H64" s="581"/>
      <c r="I64" s="341"/>
      <c r="K64" s="285"/>
      <c r="L64" s="285"/>
      <c r="M64" s="130"/>
      <c r="N64" s="67"/>
      <c r="O64" s="373" t="s">
        <v>568</v>
      </c>
      <c r="P64" s="370"/>
    </row>
    <row r="65" spans="2:16" ht="17" thickBot="1" x14ac:dyDescent="0.25">
      <c r="B65" s="35"/>
      <c r="C65" s="587" t="s">
        <v>99</v>
      </c>
      <c r="D65" s="329"/>
      <c r="E65" s="323"/>
      <c r="F65" s="337"/>
      <c r="G65" s="349"/>
      <c r="H65" s="589"/>
      <c r="I65" s="341"/>
      <c r="K65" s="285"/>
      <c r="L65" s="285"/>
      <c r="M65" s="130"/>
      <c r="N65" s="67"/>
      <c r="O65" s="373" t="s">
        <v>569</v>
      </c>
      <c r="P65" s="370"/>
    </row>
    <row r="66" spans="2:16" x14ac:dyDescent="0.2">
      <c r="B66" s="569"/>
      <c r="C66" s="549"/>
      <c r="D66" s="326"/>
      <c r="E66" s="574"/>
      <c r="F66" s="574"/>
      <c r="G66" s="346"/>
      <c r="H66" s="571"/>
      <c r="I66" s="549"/>
      <c r="J66" s="549"/>
      <c r="K66" s="290"/>
      <c r="L66" s="290"/>
      <c r="M66" s="286"/>
      <c r="N66" s="67"/>
      <c r="O66" s="368"/>
      <c r="P66" s="370">
        <f>IF(L67=TRUE,1,0)</f>
        <v>0</v>
      </c>
    </row>
    <row r="67" spans="2:16" ht="17" x14ac:dyDescent="0.2">
      <c r="B67" s="35" t="s">
        <v>276</v>
      </c>
      <c r="D67" s="324"/>
      <c r="E67" s="501"/>
      <c r="F67" s="501"/>
      <c r="G67" s="345"/>
      <c r="H67" s="135"/>
      <c r="K67" s="495" t="s">
        <v>190</v>
      </c>
      <c r="L67" s="499">
        <f>IF(SUM(E69:E73)=1,TRUE,SUM(E69:E73))</f>
        <v>0</v>
      </c>
      <c r="M67" s="575" t="str">
        <f>IF(L67=TRUE," ","Please adjust the percentages on the left. ")</f>
        <v xml:space="preserve">Please adjust the percentages on the left. </v>
      </c>
      <c r="N67" s="67"/>
      <c r="O67" s="368"/>
      <c r="P67" s="370"/>
    </row>
    <row r="68" spans="2:16" ht="17" thickBot="1" x14ac:dyDescent="0.25">
      <c r="B68" s="35"/>
      <c r="C68" s="581" t="s">
        <v>729</v>
      </c>
      <c r="D68" s="324"/>
      <c r="E68" s="501"/>
      <c r="F68" s="501"/>
      <c r="G68" s="345"/>
      <c r="H68" s="135"/>
      <c r="K68" s="495"/>
      <c r="L68" s="287"/>
      <c r="M68" s="500"/>
      <c r="N68" s="67"/>
      <c r="O68" s="368"/>
      <c r="P68" s="370"/>
    </row>
    <row r="69" spans="2:16" ht="17" thickBot="1" x14ac:dyDescent="0.25">
      <c r="B69" s="35"/>
      <c r="C69" s="587" t="s">
        <v>723</v>
      </c>
      <c r="D69" s="329"/>
      <c r="E69" s="323"/>
      <c r="F69" s="337"/>
      <c r="G69" s="347"/>
      <c r="H69" s="581"/>
      <c r="I69" s="341"/>
      <c r="K69" s="285"/>
      <c r="L69" s="285"/>
      <c r="M69" s="130"/>
      <c r="N69" s="67"/>
      <c r="O69" s="373" t="s">
        <v>571</v>
      </c>
      <c r="P69" s="370"/>
    </row>
    <row r="70" spans="2:16" ht="17" thickBot="1" x14ac:dyDescent="0.25">
      <c r="B70" s="35"/>
      <c r="C70" s="587" t="s">
        <v>724</v>
      </c>
      <c r="D70" s="329"/>
      <c r="E70" s="323"/>
      <c r="F70" s="337"/>
      <c r="G70" s="347"/>
      <c r="H70" s="581"/>
      <c r="I70" s="341"/>
      <c r="K70" s="285"/>
      <c r="L70" s="285"/>
      <c r="M70" s="130"/>
      <c r="N70" s="67"/>
      <c r="O70" s="373" t="s">
        <v>570</v>
      </c>
      <c r="P70" s="370"/>
    </row>
    <row r="71" spans="2:16" ht="17" thickBot="1" x14ac:dyDescent="0.25">
      <c r="B71" s="35"/>
      <c r="C71" s="587" t="s">
        <v>725</v>
      </c>
      <c r="D71" s="329"/>
      <c r="E71" s="323"/>
      <c r="F71" s="337"/>
      <c r="G71" s="349"/>
      <c r="H71" s="589"/>
      <c r="I71" s="341"/>
      <c r="K71" s="285"/>
      <c r="L71" s="285"/>
      <c r="M71" s="130"/>
      <c r="N71" s="67"/>
      <c r="O71" s="373" t="s">
        <v>572</v>
      </c>
      <c r="P71" s="370"/>
    </row>
    <row r="72" spans="2:16" ht="17" thickBot="1" x14ac:dyDescent="0.25">
      <c r="B72" s="35"/>
      <c r="C72" s="587" t="s">
        <v>726</v>
      </c>
      <c r="D72" s="329"/>
      <c r="E72" s="323"/>
      <c r="F72" s="337"/>
      <c r="G72" s="349"/>
      <c r="H72" s="589"/>
      <c r="I72" s="341"/>
      <c r="K72" s="285"/>
      <c r="L72" s="285"/>
      <c r="M72" s="130"/>
      <c r="N72" s="67"/>
      <c r="O72" s="373" t="s">
        <v>573</v>
      </c>
      <c r="P72" s="370"/>
    </row>
    <row r="73" spans="2:16" ht="17" thickBot="1" x14ac:dyDescent="0.25">
      <c r="B73" s="35"/>
      <c r="C73" s="587" t="s">
        <v>727</v>
      </c>
      <c r="D73" s="329"/>
      <c r="E73" s="323"/>
      <c r="F73" s="337"/>
      <c r="G73" s="349"/>
      <c r="H73" s="589"/>
      <c r="I73" s="341"/>
      <c r="K73" s="285"/>
      <c r="L73" s="285"/>
      <c r="M73" s="130"/>
      <c r="N73" s="67"/>
      <c r="O73" s="373" t="s">
        <v>574</v>
      </c>
      <c r="P73" s="370"/>
    </row>
    <row r="74" spans="2:16" x14ac:dyDescent="0.2">
      <c r="B74" s="569"/>
      <c r="C74" s="549"/>
      <c r="D74" s="326"/>
      <c r="E74" s="574"/>
      <c r="F74" s="574"/>
      <c r="G74" s="346"/>
      <c r="H74" s="571"/>
      <c r="I74" s="549"/>
      <c r="J74" s="549"/>
      <c r="K74" s="290"/>
      <c r="L74" s="290"/>
      <c r="M74" s="286"/>
      <c r="N74" s="67"/>
      <c r="O74" s="368"/>
      <c r="P74" s="370">
        <f>IF(L75=TRUE,1,0)</f>
        <v>0</v>
      </c>
    </row>
    <row r="75" spans="2:16" ht="17" x14ac:dyDescent="0.2">
      <c r="B75" s="35" t="s">
        <v>835</v>
      </c>
      <c r="D75" s="324"/>
      <c r="E75" s="501"/>
      <c r="F75" s="501"/>
      <c r="G75" s="345"/>
      <c r="H75" s="135"/>
      <c r="K75" s="495" t="s">
        <v>190</v>
      </c>
      <c r="L75" s="499">
        <f>IF(SUM(E77:E84)=1,TRUE,SUM(E77:E84))</f>
        <v>0</v>
      </c>
      <c r="M75" s="575" t="str">
        <f>IF(L75=TRUE," ","Please adjust the percentages on the left. ")</f>
        <v xml:space="preserve">Please adjust the percentages on the left. </v>
      </c>
      <c r="N75" s="67"/>
      <c r="O75" s="368"/>
      <c r="P75" s="370"/>
    </row>
    <row r="76" spans="2:16" ht="17" thickBot="1" x14ac:dyDescent="0.25">
      <c r="B76" s="35"/>
      <c r="C76" s="581" t="s">
        <v>728</v>
      </c>
      <c r="D76" s="324"/>
      <c r="E76" s="501"/>
      <c r="F76" s="501"/>
      <c r="G76" s="345"/>
      <c r="H76" s="135"/>
      <c r="K76" s="495"/>
      <c r="L76" s="287"/>
      <c r="M76" s="500"/>
      <c r="N76" s="67"/>
      <c r="O76" s="368"/>
      <c r="P76" s="370"/>
    </row>
    <row r="77" spans="2:16" ht="17" thickBot="1" x14ac:dyDescent="0.25">
      <c r="B77" s="35"/>
      <c r="C77" s="587" t="s">
        <v>517</v>
      </c>
      <c r="D77" s="329"/>
      <c r="E77" s="323"/>
      <c r="F77" s="337"/>
      <c r="G77" s="349"/>
      <c r="H77" s="589"/>
      <c r="I77" s="341"/>
      <c r="K77" s="285"/>
      <c r="L77" s="285"/>
      <c r="M77" s="130"/>
      <c r="N77" s="67"/>
      <c r="O77" s="373" t="s">
        <v>575</v>
      </c>
      <c r="P77" s="370"/>
    </row>
    <row r="78" spans="2:16" ht="17" thickBot="1" x14ac:dyDescent="0.25">
      <c r="B78" s="35"/>
      <c r="C78" s="587" t="s">
        <v>303</v>
      </c>
      <c r="D78" s="329"/>
      <c r="E78" s="323"/>
      <c r="F78" s="337"/>
      <c r="G78" s="347"/>
      <c r="H78" s="581"/>
      <c r="I78" s="341"/>
      <c r="K78" s="285"/>
      <c r="L78" s="285"/>
      <c r="M78" s="130"/>
      <c r="N78" s="67"/>
      <c r="O78" s="373" t="s">
        <v>576</v>
      </c>
      <c r="P78" s="370"/>
    </row>
    <row r="79" spans="2:16" ht="17" thickBot="1" x14ac:dyDescent="0.25">
      <c r="B79" s="35"/>
      <c r="C79" s="587" t="s">
        <v>304</v>
      </c>
      <c r="D79" s="329"/>
      <c r="E79" s="323"/>
      <c r="F79" s="337"/>
      <c r="G79" s="347"/>
      <c r="H79" s="581"/>
      <c r="I79" s="341"/>
      <c r="K79" s="285"/>
      <c r="L79" s="285"/>
      <c r="M79" s="130"/>
      <c r="N79" s="67"/>
      <c r="O79" s="373" t="s">
        <v>578</v>
      </c>
      <c r="P79" s="370"/>
    </row>
    <row r="80" spans="2:16" ht="17" thickBot="1" x14ac:dyDescent="0.25">
      <c r="B80" s="35"/>
      <c r="C80" s="587" t="s">
        <v>305</v>
      </c>
      <c r="D80" s="329"/>
      <c r="E80" s="323"/>
      <c r="F80" s="337"/>
      <c r="G80" s="347"/>
      <c r="H80" s="581"/>
      <c r="I80" s="341"/>
      <c r="K80" s="285"/>
      <c r="L80" s="285"/>
      <c r="M80" s="130"/>
      <c r="N80" s="67"/>
      <c r="O80" s="373" t="s">
        <v>577</v>
      </c>
      <c r="P80" s="370"/>
    </row>
    <row r="81" spans="2:16" ht="17" thickBot="1" x14ac:dyDescent="0.25">
      <c r="B81" s="35"/>
      <c r="C81" s="587" t="s">
        <v>367</v>
      </c>
      <c r="D81" s="329"/>
      <c r="E81" s="323"/>
      <c r="F81" s="337"/>
      <c r="G81" s="347"/>
      <c r="H81" s="581"/>
      <c r="I81" s="341"/>
      <c r="K81" s="285"/>
      <c r="L81" s="285"/>
      <c r="M81" s="130"/>
      <c r="N81" s="67"/>
      <c r="O81" s="373" t="s">
        <v>579</v>
      </c>
      <c r="P81" s="370"/>
    </row>
    <row r="82" spans="2:16" ht="17" thickBot="1" x14ac:dyDescent="0.25">
      <c r="B82" s="35"/>
      <c r="C82" s="587" t="s">
        <v>368</v>
      </c>
      <c r="D82" s="329"/>
      <c r="E82" s="323"/>
      <c r="F82" s="337"/>
      <c r="G82" s="347"/>
      <c r="H82" s="581"/>
      <c r="I82" s="341"/>
      <c r="K82" s="285"/>
      <c r="L82" s="285"/>
      <c r="M82" s="130"/>
      <c r="N82" s="67"/>
      <c r="O82" s="373" t="s">
        <v>580</v>
      </c>
      <c r="P82" s="370"/>
    </row>
    <row r="83" spans="2:16" ht="17" thickBot="1" x14ac:dyDescent="0.25">
      <c r="B83" s="35"/>
      <c r="C83" s="587" t="s">
        <v>369</v>
      </c>
      <c r="D83" s="329"/>
      <c r="E83" s="323"/>
      <c r="F83" s="337"/>
      <c r="G83" s="347"/>
      <c r="H83" s="581"/>
      <c r="I83" s="341"/>
      <c r="K83" s="285"/>
      <c r="L83" s="285"/>
      <c r="M83" s="130"/>
      <c r="N83" s="67"/>
      <c r="O83" s="373" t="s">
        <v>581</v>
      </c>
      <c r="P83" s="370"/>
    </row>
    <row r="84" spans="2:16" ht="17" thickBot="1" x14ac:dyDescent="0.25">
      <c r="B84" s="35"/>
      <c r="C84" s="587" t="s">
        <v>370</v>
      </c>
      <c r="D84" s="329"/>
      <c r="E84" s="323"/>
      <c r="F84" s="337"/>
      <c r="G84" s="347"/>
      <c r="H84" s="581"/>
      <c r="I84" s="341"/>
      <c r="K84" s="285"/>
      <c r="L84" s="285"/>
      <c r="M84" s="130"/>
      <c r="N84" s="67"/>
      <c r="O84" s="373" t="s">
        <v>582</v>
      </c>
      <c r="P84" s="370"/>
    </row>
    <row r="85" spans="2:16" x14ac:dyDescent="0.2">
      <c r="B85" s="569"/>
      <c r="C85" s="549"/>
      <c r="D85" s="326"/>
      <c r="E85" s="570"/>
      <c r="F85" s="570"/>
      <c r="G85" s="346"/>
      <c r="H85" s="571"/>
      <c r="I85" s="549"/>
      <c r="J85" s="549"/>
      <c r="K85" s="290"/>
      <c r="L85" s="290"/>
      <c r="M85" s="286"/>
      <c r="N85" s="67"/>
      <c r="O85" s="368"/>
      <c r="P85" s="370">
        <f>IF(L86=TRUE,1,0)</f>
        <v>1</v>
      </c>
    </row>
    <row r="86" spans="2:16" ht="17" thickBot="1" x14ac:dyDescent="0.25">
      <c r="B86" s="521" t="s">
        <v>773</v>
      </c>
      <c r="C86" s="4"/>
      <c r="D86" s="576"/>
      <c r="E86" s="590"/>
      <c r="F86" s="590"/>
      <c r="G86" s="577"/>
      <c r="H86" s="591"/>
      <c r="I86" s="4"/>
      <c r="J86" s="4"/>
      <c r="K86" s="522"/>
      <c r="L86" s="499" t="b">
        <f>IF(SUM(E90:E109)=E87,TRUE,FALSE)</f>
        <v>1</v>
      </c>
      <c r="M86" s="578" t="str">
        <f>IF(L86=FALSE,"Please make sure number of residences per type and construction period match total number of residences","")</f>
        <v/>
      </c>
      <c r="N86" s="67"/>
      <c r="O86" s="368"/>
      <c r="P86" s="370"/>
    </row>
    <row r="87" spans="2:16" ht="17" thickBot="1" x14ac:dyDescent="0.25">
      <c r="B87" s="35"/>
      <c r="C87" t="s">
        <v>810</v>
      </c>
      <c r="D87" s="580" t="s">
        <v>811</v>
      </c>
      <c r="E87" s="321"/>
      <c r="F87" s="337"/>
      <c r="G87" s="347"/>
      <c r="H87" s="581"/>
      <c r="I87" s="340"/>
      <c r="K87" s="495"/>
      <c r="L87" s="285"/>
      <c r="M87" s="579"/>
      <c r="N87"/>
      <c r="O87" s="373" t="s">
        <v>927</v>
      </c>
      <c r="P87" s="370"/>
    </row>
    <row r="88" spans="2:16" x14ac:dyDescent="0.2">
      <c r="B88" s="35"/>
      <c r="C88"/>
      <c r="D88" s="580"/>
      <c r="E88" s="562"/>
      <c r="F88" s="337"/>
      <c r="G88" s="347"/>
      <c r="H88" s="581"/>
      <c r="I88" s="592"/>
      <c r="K88" s="495"/>
      <c r="L88" s="285"/>
      <c r="M88" s="500"/>
      <c r="N88" s="67"/>
      <c r="O88" s="373"/>
      <c r="P88" s="370"/>
    </row>
    <row r="89" spans="2:16" ht="17" thickBot="1" x14ac:dyDescent="0.25">
      <c r="B89" s="35"/>
      <c r="C89" t="s">
        <v>861</v>
      </c>
      <c r="D89" s="580"/>
      <c r="E89" s="562"/>
      <c r="F89" s="337"/>
      <c r="G89" s="347"/>
      <c r="H89" s="581"/>
      <c r="I89" s="581"/>
      <c r="K89" s="285"/>
      <c r="L89" s="285"/>
      <c r="M89" s="500"/>
      <c r="N89" s="67"/>
      <c r="O89" s="373"/>
      <c r="P89" s="7"/>
    </row>
    <row r="90" spans="2:16" ht="17" thickBot="1" x14ac:dyDescent="0.25">
      <c r="B90" s="35"/>
      <c r="C90" s="587" t="s">
        <v>840</v>
      </c>
      <c r="D90" s="580" t="s">
        <v>811</v>
      </c>
      <c r="E90" s="561"/>
      <c r="F90" s="337"/>
      <c r="G90" s="347"/>
      <c r="H90" s="581"/>
      <c r="I90" s="340"/>
      <c r="K90" s="495"/>
      <c r="L90" s="285"/>
      <c r="M90" s="500"/>
      <c r="N90" s="67"/>
      <c r="O90" s="523" t="s">
        <v>812</v>
      </c>
      <c r="P90" s="370"/>
    </row>
    <row r="91" spans="2:16" ht="17" thickBot="1" x14ac:dyDescent="0.25">
      <c r="B91" s="35"/>
      <c r="C91" s="587" t="s">
        <v>841</v>
      </c>
      <c r="D91" s="580" t="s">
        <v>811</v>
      </c>
      <c r="E91" s="561"/>
      <c r="F91" s="337"/>
      <c r="G91" s="347"/>
      <c r="H91" s="581"/>
      <c r="I91" s="342"/>
      <c r="K91" s="285"/>
      <c r="L91" s="285"/>
      <c r="M91" s="500"/>
      <c r="N91" s="67"/>
      <c r="O91" s="523" t="s">
        <v>813</v>
      </c>
      <c r="P91" s="7"/>
    </row>
    <row r="92" spans="2:16" ht="17" thickBot="1" x14ac:dyDescent="0.25">
      <c r="B92" s="35"/>
      <c r="C92" s="587" t="s">
        <v>842</v>
      </c>
      <c r="D92" s="580" t="s">
        <v>811</v>
      </c>
      <c r="E92" s="561"/>
      <c r="F92" s="337"/>
      <c r="G92" s="347"/>
      <c r="H92" s="581"/>
      <c r="I92" s="342"/>
      <c r="K92" s="285"/>
      <c r="L92" s="285"/>
      <c r="M92" s="500"/>
      <c r="N92" s="67"/>
      <c r="O92" s="523" t="s">
        <v>814</v>
      </c>
      <c r="P92" s="7"/>
    </row>
    <row r="93" spans="2:16" ht="17" thickBot="1" x14ac:dyDescent="0.25">
      <c r="B93" s="35"/>
      <c r="C93" s="587" t="s">
        <v>843</v>
      </c>
      <c r="D93" s="580" t="s">
        <v>811</v>
      </c>
      <c r="E93" s="561"/>
      <c r="F93" s="337"/>
      <c r="G93" s="347"/>
      <c r="H93" s="581"/>
      <c r="I93" s="342"/>
      <c r="K93" s="285"/>
      <c r="L93" s="285"/>
      <c r="M93" s="500"/>
      <c r="N93" s="67"/>
      <c r="O93" s="523" t="s">
        <v>815</v>
      </c>
      <c r="P93" s="7"/>
    </row>
    <row r="94" spans="2:16" ht="17" thickBot="1" x14ac:dyDescent="0.25">
      <c r="B94" s="35"/>
      <c r="C94" s="587" t="s">
        <v>844</v>
      </c>
      <c r="D94" s="580" t="s">
        <v>811</v>
      </c>
      <c r="E94" s="561"/>
      <c r="F94" s="337"/>
      <c r="G94" s="347"/>
      <c r="H94" s="581"/>
      <c r="I94" s="342"/>
      <c r="K94" s="285"/>
      <c r="L94" s="285"/>
      <c r="M94" s="500"/>
      <c r="N94" s="67"/>
      <c r="O94" s="523" t="s">
        <v>816</v>
      </c>
      <c r="P94" s="7"/>
    </row>
    <row r="95" spans="2:16" ht="17" thickBot="1" x14ac:dyDescent="0.25">
      <c r="B95" s="35"/>
      <c r="C95" s="587" t="s">
        <v>845</v>
      </c>
      <c r="D95" s="580" t="s">
        <v>811</v>
      </c>
      <c r="E95" s="561"/>
      <c r="F95" s="337"/>
      <c r="G95" s="347"/>
      <c r="H95" s="581"/>
      <c r="I95" s="342"/>
      <c r="K95" s="285"/>
      <c r="L95" s="285"/>
      <c r="M95" s="500"/>
      <c r="N95" s="67"/>
      <c r="O95" s="523" t="s">
        <v>817</v>
      </c>
      <c r="P95" s="370"/>
    </row>
    <row r="96" spans="2:16" ht="17" thickBot="1" x14ac:dyDescent="0.25">
      <c r="B96" s="35"/>
      <c r="C96" s="587" t="s">
        <v>846</v>
      </c>
      <c r="D96" s="580" t="s">
        <v>811</v>
      </c>
      <c r="E96" s="561"/>
      <c r="F96" s="337"/>
      <c r="G96" s="347"/>
      <c r="H96" s="581"/>
      <c r="I96" s="342"/>
      <c r="K96" s="285"/>
      <c r="L96" s="285"/>
      <c r="M96" s="500"/>
      <c r="N96" s="67"/>
      <c r="O96" s="523" t="s">
        <v>818</v>
      </c>
      <c r="P96" s="7"/>
    </row>
    <row r="97" spans="2:16" ht="17" thickBot="1" x14ac:dyDescent="0.25">
      <c r="B97" s="35"/>
      <c r="C97" s="587" t="s">
        <v>847</v>
      </c>
      <c r="D97" s="580" t="s">
        <v>811</v>
      </c>
      <c r="E97" s="561"/>
      <c r="F97" s="337"/>
      <c r="G97" s="347"/>
      <c r="H97" s="581"/>
      <c r="I97" s="342"/>
      <c r="K97" s="285"/>
      <c r="L97" s="285"/>
      <c r="M97" s="500"/>
      <c r="N97" s="67"/>
      <c r="O97" s="523" t="s">
        <v>819</v>
      </c>
      <c r="P97" s="7"/>
    </row>
    <row r="98" spans="2:16" ht="17" thickBot="1" x14ac:dyDescent="0.25">
      <c r="B98" s="35"/>
      <c r="C98" s="587" t="s">
        <v>848</v>
      </c>
      <c r="D98" s="580" t="s">
        <v>811</v>
      </c>
      <c r="E98" s="561"/>
      <c r="F98" s="337"/>
      <c r="G98" s="347"/>
      <c r="H98" s="581"/>
      <c r="I98" s="342"/>
      <c r="K98" s="285"/>
      <c r="L98" s="285"/>
      <c r="M98" s="500"/>
      <c r="N98" s="67"/>
      <c r="O98" s="523" t="s">
        <v>820</v>
      </c>
      <c r="P98" s="7"/>
    </row>
    <row r="99" spans="2:16" ht="17" thickBot="1" x14ac:dyDescent="0.25">
      <c r="B99" s="35"/>
      <c r="C99" s="587" t="s">
        <v>849</v>
      </c>
      <c r="D99" s="580" t="s">
        <v>811</v>
      </c>
      <c r="E99" s="561"/>
      <c r="F99" s="337"/>
      <c r="G99" s="347"/>
      <c r="H99" s="581"/>
      <c r="I99" s="342"/>
      <c r="K99" s="285"/>
      <c r="L99" s="285"/>
      <c r="M99" s="500"/>
      <c r="N99" s="67"/>
      <c r="O99" s="523" t="s">
        <v>821</v>
      </c>
      <c r="P99" s="7"/>
    </row>
    <row r="100" spans="2:16" ht="17" thickBot="1" x14ac:dyDescent="0.25">
      <c r="B100" s="35"/>
      <c r="C100" s="587" t="s">
        <v>850</v>
      </c>
      <c r="D100" s="580" t="s">
        <v>811</v>
      </c>
      <c r="E100" s="561"/>
      <c r="F100" s="337"/>
      <c r="G100" s="347"/>
      <c r="H100" s="581"/>
      <c r="I100" s="342"/>
      <c r="K100" s="285"/>
      <c r="L100" s="285"/>
      <c r="M100" s="500"/>
      <c r="N100" s="67"/>
      <c r="O100" s="523" t="s">
        <v>822</v>
      </c>
      <c r="P100" s="370"/>
    </row>
    <row r="101" spans="2:16" ht="17" thickBot="1" x14ac:dyDescent="0.25">
      <c r="B101" s="35"/>
      <c r="C101" s="587" t="s">
        <v>851</v>
      </c>
      <c r="D101" s="580" t="s">
        <v>811</v>
      </c>
      <c r="E101" s="561"/>
      <c r="F101" s="337"/>
      <c r="G101" s="347"/>
      <c r="H101" s="581"/>
      <c r="I101" s="342"/>
      <c r="K101" s="285"/>
      <c r="L101" s="285"/>
      <c r="M101" s="500"/>
      <c r="N101" s="67"/>
      <c r="O101" s="523" t="s">
        <v>823</v>
      </c>
      <c r="P101" s="7"/>
    </row>
    <row r="102" spans="2:16" ht="17" thickBot="1" x14ac:dyDescent="0.25">
      <c r="B102" s="35"/>
      <c r="C102" s="587" t="s">
        <v>852</v>
      </c>
      <c r="D102" s="580" t="s">
        <v>811</v>
      </c>
      <c r="E102" s="561"/>
      <c r="F102" s="337"/>
      <c r="G102" s="347"/>
      <c r="H102" s="581"/>
      <c r="I102" s="342"/>
      <c r="K102" s="285"/>
      <c r="L102" s="285"/>
      <c r="M102" s="500"/>
      <c r="N102" s="67"/>
      <c r="O102" s="523" t="s">
        <v>824</v>
      </c>
      <c r="P102" s="7"/>
    </row>
    <row r="103" spans="2:16" ht="17" thickBot="1" x14ac:dyDescent="0.25">
      <c r="B103" s="35"/>
      <c r="C103" s="587" t="s">
        <v>853</v>
      </c>
      <c r="D103" s="580" t="s">
        <v>811</v>
      </c>
      <c r="E103" s="561"/>
      <c r="F103" s="337"/>
      <c r="G103" s="347"/>
      <c r="H103" s="581"/>
      <c r="I103" s="342"/>
      <c r="K103" s="285"/>
      <c r="L103" s="285"/>
      <c r="M103" s="500"/>
      <c r="N103" s="67"/>
      <c r="O103" s="523" t="s">
        <v>825</v>
      </c>
      <c r="P103" s="7"/>
    </row>
    <row r="104" spans="2:16" ht="17" thickBot="1" x14ac:dyDescent="0.25">
      <c r="B104" s="35"/>
      <c r="C104" s="587" t="s">
        <v>854</v>
      </c>
      <c r="D104" s="580" t="s">
        <v>811</v>
      </c>
      <c r="E104" s="561"/>
      <c r="F104" s="337"/>
      <c r="G104" s="347"/>
      <c r="H104" s="581"/>
      <c r="I104" s="342"/>
      <c r="K104" s="285"/>
      <c r="L104" s="285"/>
      <c r="M104" s="500"/>
      <c r="N104" s="67"/>
      <c r="O104" s="523" t="s">
        <v>826</v>
      </c>
      <c r="P104" s="7"/>
    </row>
    <row r="105" spans="2:16" ht="18" customHeight="1" thickBot="1" x14ac:dyDescent="0.25">
      <c r="B105" s="35"/>
      <c r="C105" s="587" t="s">
        <v>855</v>
      </c>
      <c r="D105" s="580" t="s">
        <v>811</v>
      </c>
      <c r="E105" s="561"/>
      <c r="F105" s="337"/>
      <c r="G105" s="347"/>
      <c r="H105" s="581"/>
      <c r="I105" s="342"/>
      <c r="K105" s="285"/>
      <c r="L105" s="285"/>
      <c r="M105" s="500"/>
      <c r="N105" s="67"/>
      <c r="O105" s="523" t="s">
        <v>827</v>
      </c>
      <c r="P105" s="370"/>
    </row>
    <row r="106" spans="2:16" ht="17" thickBot="1" x14ac:dyDescent="0.25">
      <c r="B106" s="35"/>
      <c r="C106" s="587" t="s">
        <v>856</v>
      </c>
      <c r="D106" s="580" t="s">
        <v>811</v>
      </c>
      <c r="E106" s="561"/>
      <c r="F106" s="337"/>
      <c r="G106" s="347"/>
      <c r="H106" s="581"/>
      <c r="I106" s="342"/>
      <c r="K106" s="285"/>
      <c r="L106" s="285"/>
      <c r="M106" s="500"/>
      <c r="N106" s="67"/>
      <c r="O106" s="523" t="s">
        <v>828</v>
      </c>
      <c r="P106" s="7"/>
    </row>
    <row r="107" spans="2:16" ht="17" thickBot="1" x14ac:dyDescent="0.25">
      <c r="B107" s="35"/>
      <c r="C107" s="587" t="s">
        <v>857</v>
      </c>
      <c r="D107" s="580" t="s">
        <v>811</v>
      </c>
      <c r="E107" s="561"/>
      <c r="F107" s="337"/>
      <c r="G107" s="347"/>
      <c r="H107" s="581"/>
      <c r="I107" s="342"/>
      <c r="K107" s="285"/>
      <c r="L107" s="285"/>
      <c r="M107" s="500"/>
      <c r="N107" s="67"/>
      <c r="O107" s="523" t="s">
        <v>829</v>
      </c>
      <c r="P107" s="7"/>
    </row>
    <row r="108" spans="2:16" ht="17" thickBot="1" x14ac:dyDescent="0.25">
      <c r="B108" s="35"/>
      <c r="C108" s="587" t="s">
        <v>858</v>
      </c>
      <c r="D108" s="580" t="s">
        <v>811</v>
      </c>
      <c r="E108" s="561"/>
      <c r="F108" s="337"/>
      <c r="G108" s="347"/>
      <c r="H108" s="581"/>
      <c r="I108" s="342"/>
      <c r="K108" s="285"/>
      <c r="L108" s="285"/>
      <c r="M108" s="500"/>
      <c r="N108" s="67"/>
      <c r="O108" s="523" t="s">
        <v>830</v>
      </c>
      <c r="P108" s="7"/>
    </row>
    <row r="109" spans="2:16" ht="17" thickBot="1" x14ac:dyDescent="0.25">
      <c r="B109" s="35"/>
      <c r="C109" s="587" t="s">
        <v>859</v>
      </c>
      <c r="D109" s="580" t="s">
        <v>811</v>
      </c>
      <c r="E109" s="561"/>
      <c r="F109" s="337"/>
      <c r="G109" s="347"/>
      <c r="H109" s="581"/>
      <c r="I109" s="342"/>
      <c r="K109" s="285"/>
      <c r="L109" s="285"/>
      <c r="M109" s="500"/>
      <c r="N109" s="67"/>
      <c r="O109" s="523" t="s">
        <v>831</v>
      </c>
      <c r="P109" s="7"/>
    </row>
    <row r="110" spans="2:16" x14ac:dyDescent="0.2">
      <c r="B110" s="35"/>
      <c r="C110"/>
      <c r="D110" s="580"/>
      <c r="E110" s="337"/>
      <c r="F110" s="337"/>
      <c r="G110" s="347"/>
      <c r="H110" s="581"/>
      <c r="I110" s="581"/>
      <c r="K110" s="290"/>
      <c r="L110" s="290"/>
      <c r="M110" s="286"/>
      <c r="N110" s="67"/>
      <c r="O110" s="368"/>
      <c r="P110" s="370">
        <f>IF(L111=TRUE,1,0)</f>
        <v>0</v>
      </c>
    </row>
    <row r="111" spans="2:16" ht="17" x14ac:dyDescent="0.2">
      <c r="B111" s="521" t="s">
        <v>838</v>
      </c>
      <c r="C111" s="4"/>
      <c r="D111" s="205"/>
      <c r="E111" s="590"/>
      <c r="F111" s="590"/>
      <c r="G111" s="577"/>
      <c r="H111" s="591"/>
      <c r="I111" s="591"/>
      <c r="J111" s="4"/>
      <c r="K111" s="495" t="s">
        <v>190</v>
      </c>
      <c r="L111" s="499">
        <f>IF(SUM(E113:E132)=1,TRUE,SUM(E113:E132))</f>
        <v>0</v>
      </c>
      <c r="M111" s="575" t="str">
        <f>IF(L111=TRUE," ","Please adjust the percentages on the left. ")</f>
        <v xml:space="preserve">Please adjust the percentages on the left. </v>
      </c>
      <c r="N111" s="67"/>
      <c r="O111" s="368"/>
      <c r="P111" s="370"/>
    </row>
    <row r="112" spans="2:16" ht="17" thickBot="1" x14ac:dyDescent="0.25">
      <c r="B112" s="35"/>
      <c r="C112" t="s">
        <v>860</v>
      </c>
      <c r="D112" s="580"/>
      <c r="E112" s="562"/>
      <c r="F112" s="337"/>
      <c r="G112" s="347"/>
      <c r="H112" s="581"/>
      <c r="I112" s="581"/>
      <c r="K112" s="285"/>
      <c r="L112" s="285"/>
      <c r="M112" s="500"/>
      <c r="N112" s="67"/>
      <c r="O112" s="373"/>
      <c r="P112" s="7"/>
    </row>
    <row r="113" spans="2:16" ht="17" thickBot="1" x14ac:dyDescent="0.25">
      <c r="B113" s="35"/>
      <c r="C113" s="587" t="s">
        <v>840</v>
      </c>
      <c r="D113" s="580" t="s">
        <v>839</v>
      </c>
      <c r="E113" s="323"/>
      <c r="F113" s="337"/>
      <c r="G113" s="347"/>
      <c r="H113" s="581"/>
      <c r="I113" s="340"/>
      <c r="K113" s="495"/>
      <c r="L113" s="285"/>
      <c r="M113" s="500"/>
      <c r="N113" s="67"/>
      <c r="O113" s="523" t="s">
        <v>862</v>
      </c>
      <c r="P113" s="370"/>
    </row>
    <row r="114" spans="2:16" ht="17" thickBot="1" x14ac:dyDescent="0.25">
      <c r="B114" s="35"/>
      <c r="C114" s="587" t="s">
        <v>841</v>
      </c>
      <c r="D114" s="580" t="s">
        <v>839</v>
      </c>
      <c r="E114" s="323"/>
      <c r="F114" s="337"/>
      <c r="G114" s="347"/>
      <c r="H114" s="581"/>
      <c r="I114" s="342"/>
      <c r="K114" s="285"/>
      <c r="L114" s="285"/>
      <c r="M114" s="500"/>
      <c r="N114" s="67"/>
      <c r="O114" s="523" t="s">
        <v>863</v>
      </c>
      <c r="P114" s="7"/>
    </row>
    <row r="115" spans="2:16" ht="17" thickBot="1" x14ac:dyDescent="0.25">
      <c r="B115" s="35"/>
      <c r="C115" s="587" t="s">
        <v>842</v>
      </c>
      <c r="D115" s="580" t="s">
        <v>839</v>
      </c>
      <c r="E115" s="323"/>
      <c r="F115" s="337"/>
      <c r="G115" s="347"/>
      <c r="H115" s="581"/>
      <c r="I115" s="342"/>
      <c r="K115" s="285"/>
      <c r="L115" s="285"/>
      <c r="M115" s="500"/>
      <c r="N115" s="67"/>
      <c r="O115" s="523" t="s">
        <v>864</v>
      </c>
      <c r="P115" s="7"/>
    </row>
    <row r="116" spans="2:16" ht="17" thickBot="1" x14ac:dyDescent="0.25">
      <c r="B116" s="35"/>
      <c r="C116" s="587" t="s">
        <v>843</v>
      </c>
      <c r="D116" s="580" t="s">
        <v>839</v>
      </c>
      <c r="E116" s="323"/>
      <c r="F116" s="337"/>
      <c r="G116" s="347"/>
      <c r="H116" s="581"/>
      <c r="I116" s="342"/>
      <c r="K116" s="285"/>
      <c r="L116" s="285"/>
      <c r="M116" s="500"/>
      <c r="N116" s="67"/>
      <c r="O116" s="523" t="s">
        <v>865</v>
      </c>
      <c r="P116" s="7"/>
    </row>
    <row r="117" spans="2:16" ht="17" thickBot="1" x14ac:dyDescent="0.25">
      <c r="B117" s="35"/>
      <c r="C117" s="587" t="s">
        <v>844</v>
      </c>
      <c r="D117" s="580" t="s">
        <v>839</v>
      </c>
      <c r="E117" s="323"/>
      <c r="F117" s="337"/>
      <c r="G117" s="347"/>
      <c r="H117" s="581"/>
      <c r="I117" s="342"/>
      <c r="K117" s="285"/>
      <c r="L117" s="285"/>
      <c r="M117" s="500"/>
      <c r="N117" s="67"/>
      <c r="O117" s="523" t="s">
        <v>866</v>
      </c>
      <c r="P117" s="7"/>
    </row>
    <row r="118" spans="2:16" ht="17" thickBot="1" x14ac:dyDescent="0.25">
      <c r="B118" s="35"/>
      <c r="C118" s="587" t="s">
        <v>845</v>
      </c>
      <c r="D118" s="580" t="s">
        <v>839</v>
      </c>
      <c r="E118" s="323"/>
      <c r="F118" s="337"/>
      <c r="G118" s="347"/>
      <c r="H118" s="581"/>
      <c r="I118" s="342"/>
      <c r="K118" s="285"/>
      <c r="L118" s="285"/>
      <c r="M118" s="500"/>
      <c r="N118" s="67"/>
      <c r="O118" s="523" t="s">
        <v>867</v>
      </c>
      <c r="P118" s="7"/>
    </row>
    <row r="119" spans="2:16" ht="17" thickBot="1" x14ac:dyDescent="0.25">
      <c r="B119" s="35"/>
      <c r="C119" s="587" t="s">
        <v>846</v>
      </c>
      <c r="D119" s="580" t="s">
        <v>839</v>
      </c>
      <c r="E119" s="323"/>
      <c r="F119" s="337"/>
      <c r="G119" s="347"/>
      <c r="H119" s="581"/>
      <c r="I119" s="342"/>
      <c r="K119" s="285"/>
      <c r="L119" s="285"/>
      <c r="M119" s="500"/>
      <c r="N119" s="67"/>
      <c r="O119" s="523" t="s">
        <v>868</v>
      </c>
      <c r="P119" s="370"/>
    </row>
    <row r="120" spans="2:16" ht="17" thickBot="1" x14ac:dyDescent="0.25">
      <c r="B120" s="35"/>
      <c r="C120" s="587" t="s">
        <v>847</v>
      </c>
      <c r="D120" s="580" t="s">
        <v>839</v>
      </c>
      <c r="E120" s="323"/>
      <c r="F120" s="337"/>
      <c r="G120" s="347"/>
      <c r="H120" s="581"/>
      <c r="I120" s="342"/>
      <c r="K120" s="285"/>
      <c r="L120" s="285"/>
      <c r="M120" s="500"/>
      <c r="N120" s="67"/>
      <c r="O120" s="523" t="s">
        <v>869</v>
      </c>
      <c r="P120" s="7"/>
    </row>
    <row r="121" spans="2:16" ht="17" thickBot="1" x14ac:dyDescent="0.25">
      <c r="B121" s="35"/>
      <c r="C121" s="587" t="s">
        <v>848</v>
      </c>
      <c r="D121" s="580" t="s">
        <v>839</v>
      </c>
      <c r="E121" s="323"/>
      <c r="F121" s="337"/>
      <c r="G121" s="347"/>
      <c r="H121" s="581"/>
      <c r="I121" s="342"/>
      <c r="K121" s="285"/>
      <c r="L121" s="285"/>
      <c r="M121" s="500"/>
      <c r="N121" s="67"/>
      <c r="O121" s="523" t="s">
        <v>870</v>
      </c>
      <c r="P121" s="7"/>
    </row>
    <row r="122" spans="2:16" ht="17" thickBot="1" x14ac:dyDescent="0.25">
      <c r="B122" s="35"/>
      <c r="C122" s="587" t="s">
        <v>849</v>
      </c>
      <c r="D122" s="580" t="s">
        <v>839</v>
      </c>
      <c r="E122" s="323"/>
      <c r="F122" s="337"/>
      <c r="G122" s="347"/>
      <c r="H122" s="581"/>
      <c r="I122" s="342"/>
      <c r="K122" s="285"/>
      <c r="L122" s="285"/>
      <c r="M122" s="500"/>
      <c r="N122" s="67"/>
      <c r="O122" s="523" t="s">
        <v>871</v>
      </c>
      <c r="P122" s="7"/>
    </row>
    <row r="123" spans="2:16" ht="17" thickBot="1" x14ac:dyDescent="0.25">
      <c r="B123" s="35"/>
      <c r="C123" s="587" t="s">
        <v>850</v>
      </c>
      <c r="D123" s="580" t="s">
        <v>839</v>
      </c>
      <c r="E123" s="323"/>
      <c r="F123" s="337"/>
      <c r="G123" s="347"/>
      <c r="H123" s="581"/>
      <c r="I123" s="342"/>
      <c r="K123" s="285"/>
      <c r="L123" s="285"/>
      <c r="M123" s="500"/>
      <c r="N123" s="67"/>
      <c r="O123" s="523" t="s">
        <v>872</v>
      </c>
      <c r="P123" s="7"/>
    </row>
    <row r="124" spans="2:16" ht="17" thickBot="1" x14ac:dyDescent="0.25">
      <c r="B124" s="35"/>
      <c r="C124" s="587" t="s">
        <v>851</v>
      </c>
      <c r="D124" s="580" t="s">
        <v>839</v>
      </c>
      <c r="E124" s="323"/>
      <c r="F124" s="337"/>
      <c r="G124" s="347"/>
      <c r="H124" s="581"/>
      <c r="I124" s="342"/>
      <c r="K124" s="285"/>
      <c r="L124" s="285"/>
      <c r="M124" s="500"/>
      <c r="N124" s="67"/>
      <c r="O124" s="523" t="s">
        <v>873</v>
      </c>
      <c r="P124" s="7"/>
    </row>
    <row r="125" spans="2:16" ht="17" thickBot="1" x14ac:dyDescent="0.25">
      <c r="B125" s="35"/>
      <c r="C125" s="587" t="s">
        <v>852</v>
      </c>
      <c r="D125" s="580" t="s">
        <v>839</v>
      </c>
      <c r="E125" s="323"/>
      <c r="F125" s="337"/>
      <c r="G125" s="347"/>
      <c r="H125" s="581"/>
      <c r="I125" s="342"/>
      <c r="K125" s="285"/>
      <c r="L125" s="285"/>
      <c r="M125" s="500"/>
      <c r="N125" s="67"/>
      <c r="O125" s="523" t="s">
        <v>874</v>
      </c>
      <c r="P125" s="370"/>
    </row>
    <row r="126" spans="2:16" ht="17" thickBot="1" x14ac:dyDescent="0.25">
      <c r="B126" s="35"/>
      <c r="C126" s="587" t="s">
        <v>853</v>
      </c>
      <c r="D126" s="580" t="s">
        <v>839</v>
      </c>
      <c r="E126" s="323"/>
      <c r="F126" s="337"/>
      <c r="G126" s="347"/>
      <c r="H126" s="581"/>
      <c r="I126" s="342"/>
      <c r="K126" s="285"/>
      <c r="L126" s="285"/>
      <c r="M126" s="500"/>
      <c r="N126" s="67"/>
      <c r="O126" s="523" t="s">
        <v>875</v>
      </c>
      <c r="P126" s="7"/>
    </row>
    <row r="127" spans="2:16" ht="17" thickBot="1" x14ac:dyDescent="0.25">
      <c r="B127" s="35"/>
      <c r="C127" s="587" t="s">
        <v>854</v>
      </c>
      <c r="D127" s="580" t="s">
        <v>839</v>
      </c>
      <c r="E127" s="323"/>
      <c r="F127" s="337"/>
      <c r="G127" s="347"/>
      <c r="H127" s="581"/>
      <c r="I127" s="342"/>
      <c r="K127" s="285"/>
      <c r="L127" s="285"/>
      <c r="M127" s="500"/>
      <c r="N127" s="67"/>
      <c r="O127" s="523" t="s">
        <v>876</v>
      </c>
      <c r="P127" s="7"/>
    </row>
    <row r="128" spans="2:16" ht="17" thickBot="1" x14ac:dyDescent="0.25">
      <c r="B128" s="35"/>
      <c r="C128" s="587" t="s">
        <v>855</v>
      </c>
      <c r="D128" s="580" t="s">
        <v>839</v>
      </c>
      <c r="E128" s="323"/>
      <c r="F128" s="337"/>
      <c r="G128" s="347"/>
      <c r="H128" s="581"/>
      <c r="I128" s="342"/>
      <c r="K128" s="285"/>
      <c r="L128" s="285"/>
      <c r="M128" s="500"/>
      <c r="N128" s="67"/>
      <c r="O128" s="523" t="s">
        <v>877</v>
      </c>
      <c r="P128" s="7"/>
    </row>
    <row r="129" spans="2:16" ht="17" thickBot="1" x14ac:dyDescent="0.25">
      <c r="B129" s="35"/>
      <c r="C129" s="587" t="s">
        <v>856</v>
      </c>
      <c r="D129" s="580" t="s">
        <v>839</v>
      </c>
      <c r="E129" s="323"/>
      <c r="F129" s="337"/>
      <c r="G129" s="347"/>
      <c r="H129" s="581"/>
      <c r="I129" s="342"/>
      <c r="K129" s="285"/>
      <c r="L129" s="285"/>
      <c r="M129" s="500"/>
      <c r="N129" s="67"/>
      <c r="O129" s="523" t="s">
        <v>878</v>
      </c>
      <c r="P129" s="7"/>
    </row>
    <row r="130" spans="2:16" ht="17" thickBot="1" x14ac:dyDescent="0.25">
      <c r="B130" s="35"/>
      <c r="C130" s="587" t="s">
        <v>857</v>
      </c>
      <c r="D130" s="580" t="s">
        <v>839</v>
      </c>
      <c r="E130" s="323"/>
      <c r="F130" s="337"/>
      <c r="G130" s="347"/>
      <c r="H130" s="581"/>
      <c r="I130" s="342"/>
      <c r="K130" s="285"/>
      <c r="L130" s="285"/>
      <c r="M130" s="500"/>
      <c r="N130" s="67"/>
      <c r="O130" s="523" t="s">
        <v>879</v>
      </c>
      <c r="P130" s="7"/>
    </row>
    <row r="131" spans="2:16" ht="17" thickBot="1" x14ac:dyDescent="0.25">
      <c r="B131" s="35"/>
      <c r="C131" s="587" t="s">
        <v>858</v>
      </c>
      <c r="D131" s="580" t="s">
        <v>839</v>
      </c>
      <c r="E131" s="323"/>
      <c r="F131" s="337"/>
      <c r="G131" s="347"/>
      <c r="H131" s="581"/>
      <c r="I131" s="342"/>
      <c r="K131" s="285"/>
      <c r="L131" s="285"/>
      <c r="M131" s="500"/>
      <c r="N131" s="67"/>
      <c r="O131" s="523" t="s">
        <v>880</v>
      </c>
      <c r="P131" s="370"/>
    </row>
    <row r="132" spans="2:16" ht="17" thickBot="1" x14ac:dyDescent="0.25">
      <c r="B132" s="35"/>
      <c r="C132" s="587" t="s">
        <v>859</v>
      </c>
      <c r="D132" s="580" t="s">
        <v>839</v>
      </c>
      <c r="E132" s="323"/>
      <c r="F132" s="337"/>
      <c r="G132" s="347"/>
      <c r="H132" s="581"/>
      <c r="I132" s="342"/>
      <c r="K132" s="285"/>
      <c r="L132" s="285"/>
      <c r="M132" s="500"/>
      <c r="N132" s="67"/>
      <c r="O132" s="523" t="s">
        <v>881</v>
      </c>
      <c r="P132" s="7"/>
    </row>
    <row r="133" spans="2:16" ht="17" thickBot="1" x14ac:dyDescent="0.25">
      <c r="B133" s="44"/>
      <c r="C133" s="69"/>
      <c r="D133" s="207"/>
      <c r="E133" s="214"/>
      <c r="F133" s="214"/>
      <c r="G133" s="350"/>
      <c r="H133" s="338"/>
      <c r="I133" s="338"/>
      <c r="J133" s="69"/>
      <c r="K133" s="471"/>
      <c r="L133" s="471"/>
      <c r="M133" s="70"/>
      <c r="O133" s="18"/>
      <c r="P133" s="10"/>
    </row>
    <row r="134" spans="2:16" x14ac:dyDescent="0.2">
      <c r="G134" s="345"/>
      <c r="H134" s="135"/>
    </row>
    <row r="135" spans="2:16" x14ac:dyDescent="0.2">
      <c r="G135" s="351"/>
    </row>
    <row r="136" spans="2:16" x14ac:dyDescent="0.2">
      <c r="G136" s="351"/>
    </row>
    <row r="137" spans="2:16" x14ac:dyDescent="0.2">
      <c r="G137" s="352"/>
      <c r="H137" s="148"/>
      <c r="I137" s="148"/>
      <c r="J137" s="148"/>
      <c r="K137" s="148"/>
    </row>
    <row r="138" spans="2:16" x14ac:dyDescent="0.2">
      <c r="G138" s="352"/>
      <c r="H138" s="148"/>
      <c r="I138" s="148"/>
      <c r="J138" s="148"/>
      <c r="K138" s="148"/>
    </row>
    <row r="139" spans="2:16" x14ac:dyDescent="0.2">
      <c r="G139" s="352"/>
      <c r="H139" s="148"/>
      <c r="I139" s="148"/>
      <c r="J139" s="148"/>
      <c r="K139" s="148"/>
    </row>
    <row r="140" spans="2:16" x14ac:dyDescent="0.2">
      <c r="G140" s="352"/>
      <c r="H140" s="148"/>
      <c r="I140" s="148"/>
      <c r="J140" s="148"/>
      <c r="K140" s="148"/>
    </row>
    <row r="141" spans="2:16" x14ac:dyDescent="0.2">
      <c r="G141" s="352"/>
      <c r="H141" s="148"/>
      <c r="I141" s="148"/>
      <c r="J141" s="148"/>
      <c r="K141" s="148"/>
    </row>
    <row r="142" spans="2:16" x14ac:dyDescent="0.2">
      <c r="G142" s="352"/>
      <c r="H142" s="148"/>
      <c r="I142" s="148"/>
      <c r="J142" s="148"/>
      <c r="K142" s="148"/>
    </row>
    <row r="143" spans="2:16" x14ac:dyDescent="0.2">
      <c r="G143" s="352"/>
      <c r="H143" s="148"/>
      <c r="I143" s="148"/>
      <c r="J143" s="148"/>
      <c r="K143" s="148"/>
    </row>
  </sheetData>
  <mergeCells count="2">
    <mergeCell ref="B5:E5"/>
    <mergeCell ref="K17:K18"/>
  </mergeCells>
  <conditionalFormatting sqref="L10">
    <cfRule type="cellIs" dxfId="17" priority="17" operator="equal">
      <formula>TRUE</formula>
    </cfRule>
  </conditionalFormatting>
  <conditionalFormatting sqref="L12">
    <cfRule type="cellIs" dxfId="16" priority="16" operator="equal">
      <formula>TRUE</formula>
    </cfRule>
  </conditionalFormatting>
  <conditionalFormatting sqref="L19:L25">
    <cfRule type="cellIs" dxfId="15" priority="32" operator="between">
      <formula>-0.03</formula>
      <formula>0.03</formula>
    </cfRule>
  </conditionalFormatting>
  <conditionalFormatting sqref="L27">
    <cfRule type="cellIs" dxfId="14" priority="5" operator="equal">
      <formula>TRUE</formula>
    </cfRule>
  </conditionalFormatting>
  <conditionalFormatting sqref="L29">
    <cfRule type="cellIs" dxfId="13" priority="14" operator="equal">
      <formula>TRUE</formula>
    </cfRule>
  </conditionalFormatting>
  <conditionalFormatting sqref="L42">
    <cfRule type="cellIs" dxfId="12" priority="15" operator="equal">
      <formula>TRUE</formula>
    </cfRule>
  </conditionalFormatting>
  <conditionalFormatting sqref="L55">
    <cfRule type="cellIs" dxfId="11" priority="13" operator="equal">
      <formula>TRUE</formula>
    </cfRule>
  </conditionalFormatting>
  <conditionalFormatting sqref="L61">
    <cfRule type="cellIs" dxfId="10" priority="12" operator="equal">
      <formula>TRUE</formula>
    </cfRule>
  </conditionalFormatting>
  <conditionalFormatting sqref="L67">
    <cfRule type="cellIs" dxfId="9" priority="7" operator="equal">
      <formula>TRUE</formula>
    </cfRule>
  </conditionalFormatting>
  <conditionalFormatting sqref="L75">
    <cfRule type="cellIs" dxfId="8" priority="6" operator="equal">
      <formula>TRUE</formula>
    </cfRule>
  </conditionalFormatting>
  <conditionalFormatting sqref="L111">
    <cfRule type="cellIs" dxfId="7" priority="2" operator="equal">
      <formula>TRUE</formula>
    </cfRule>
  </conditionalFormatting>
  <conditionalFormatting sqref="L86">
    <cfRule type="cellIs" dxfId="0" priority="1" operator="equal">
      <formula>TRUE</formula>
    </cfRule>
  </conditionalFormatting>
  <dataValidations count="2">
    <dataValidation type="decimal" operator="greaterThanOrEqual" allowBlank="1" showInputMessage="1" showErrorMessage="1" errorTitle="Number Range" error="You may only enter positive numbers here. " sqref="E20:E25" xr:uid="{00000000-0002-0000-0600-000000000000}">
      <formula1>0</formula1>
    </dataValidation>
    <dataValidation type="decimal" operator="greaterThanOrEqual" showInputMessage="1" showErrorMessage="1" errorTitle="Number Range" error="You may only add positive numbers. _x000d_" sqref="I87:I88 E31:E132" xr:uid="{00000000-0002-0000-0600-000001000000}">
      <formula1>0</formula1>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macro="[1]!import_data_button">
                <anchor moveWithCells="1" sizeWithCells="1">
                  <from>
                    <xdr:col>8</xdr:col>
                    <xdr:colOff>101600</xdr:colOff>
                    <xdr:row>2</xdr:row>
                    <xdr:rowOff>38100</xdr:rowOff>
                  </from>
                  <to>
                    <xdr:col>10</xdr:col>
                    <xdr:colOff>3771900</xdr:colOff>
                    <xdr:row>3</xdr:row>
                    <xdr:rowOff>63500</xdr:rowOff>
                  </to>
                </anchor>
              </controlPr>
            </control>
          </mc:Choice>
        </mc:AlternateContent>
        <mc:AlternateContent xmlns:mc="http://schemas.openxmlformats.org/markup-compatibility/2006">
          <mc:Choice Requires="x14">
            <control shapeId="3074" r:id="rId4" name="export_data">
              <controlPr defaultSize="0" print="0" autoFill="0" autoPict="0" macro="[1]!export_data_button">
                <anchor moveWithCells="1" sizeWithCells="1">
                  <from>
                    <xdr:col>8</xdr:col>
                    <xdr:colOff>139700</xdr:colOff>
                    <xdr:row>4</xdr:row>
                    <xdr:rowOff>279400</xdr:rowOff>
                  </from>
                  <to>
                    <xdr:col>10</xdr:col>
                    <xdr:colOff>3810000</xdr:colOff>
                    <xdr:row>4</xdr:row>
                    <xdr:rowOff>495300</xdr:rowOff>
                  </to>
                </anchor>
              </controlPr>
            </control>
          </mc:Choice>
        </mc:AlternateContent>
        <mc:AlternateContent xmlns:mc="http://schemas.openxmlformats.org/markup-compatibility/2006">
          <mc:Choice Requires="x14">
            <control shapeId="3076" r:id="rId5" name="select_dashboard">
              <controlPr defaultSize="0" print="0" autoFill="0" autoPict="0" macro="[1]!select_dashboard_values">
                <anchor moveWithCells="1" sizeWithCells="1">
                  <from>
                    <xdr:col>8</xdr:col>
                    <xdr:colOff>2273300</xdr:colOff>
                    <xdr:row>3</xdr:row>
                    <xdr:rowOff>152400</xdr:rowOff>
                  </from>
                  <to>
                    <xdr:col>10</xdr:col>
                    <xdr:colOff>3784600</xdr:colOff>
                    <xdr:row>4</xdr:row>
                    <xdr:rowOff>177800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7" topLeftCell="AD8" activePane="bottomRight" state="frozen"/>
      <selection activeCell="Z57" sqref="Z57"/>
      <selection pane="topRight" activeCell="Z57" sqref="Z57"/>
      <selection pane="bottomLeft" activeCell="Z57" sqref="Z57"/>
      <selection pane="bottomRight" activeCell="B25" sqref="B25"/>
    </sheetView>
  </sheetViews>
  <sheetFormatPr baseColWidth="10" defaultRowHeight="16" x14ac:dyDescent="0.2"/>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1" x14ac:dyDescent="0.25">
      <c r="B2" s="2" t="s">
        <v>632</v>
      </c>
    </row>
    <row r="3" spans="2:67" ht="15" customHeight="1" x14ac:dyDescent="0.25">
      <c r="B3" s="2"/>
    </row>
    <row r="4" spans="2:67" ht="15" customHeight="1" x14ac:dyDescent="0.2">
      <c r="B4" s="64" t="s">
        <v>78</v>
      </c>
      <c r="C4" s="4"/>
      <c r="D4" s="4"/>
      <c r="E4" s="4"/>
      <c r="F4" s="4"/>
      <c r="G4" s="4"/>
      <c r="H4" s="5"/>
    </row>
    <row r="5" spans="2:67" ht="30" customHeight="1" x14ac:dyDescent="0.2">
      <c r="B5" s="598"/>
      <c r="C5" s="599"/>
      <c r="D5" s="599"/>
      <c r="E5" s="599"/>
      <c r="F5" s="599"/>
      <c r="G5" s="599"/>
      <c r="H5" s="600"/>
    </row>
    <row r="6" spans="2:67" ht="15" customHeight="1" thickBot="1" x14ac:dyDescent="0.3">
      <c r="B6" s="2"/>
    </row>
    <row r="7" spans="2:67" ht="30" customHeight="1" x14ac:dyDescent="0.2">
      <c r="B7" s="300" t="s">
        <v>102</v>
      </c>
      <c r="C7" s="301" t="s">
        <v>36</v>
      </c>
      <c r="D7" s="301" t="s">
        <v>37</v>
      </c>
      <c r="E7" s="301" t="s">
        <v>38</v>
      </c>
      <c r="F7" s="301" t="s">
        <v>39</v>
      </c>
      <c r="G7" s="301" t="s">
        <v>40</v>
      </c>
      <c r="H7" s="301" t="s">
        <v>41</v>
      </c>
      <c r="I7" s="301" t="s">
        <v>48</v>
      </c>
      <c r="J7" s="301" t="s">
        <v>43</v>
      </c>
      <c r="K7" s="301" t="s">
        <v>44</v>
      </c>
      <c r="L7" s="301" t="s">
        <v>45</v>
      </c>
      <c r="M7" s="301" t="s">
        <v>46</v>
      </c>
      <c r="N7" s="301" t="s">
        <v>47</v>
      </c>
      <c r="O7" s="301" t="s">
        <v>485</v>
      </c>
      <c r="P7" s="301" t="s">
        <v>486</v>
      </c>
      <c r="Q7" s="301" t="s">
        <v>487</v>
      </c>
      <c r="R7" s="301" t="s">
        <v>488</v>
      </c>
      <c r="S7" s="301" t="s">
        <v>42</v>
      </c>
      <c r="T7" s="301" t="s">
        <v>489</v>
      </c>
      <c r="U7" s="301" t="s">
        <v>49</v>
      </c>
      <c r="V7" s="301" t="s">
        <v>50</v>
      </c>
      <c r="W7" s="301" t="s">
        <v>51</v>
      </c>
      <c r="X7" s="301" t="s">
        <v>52</v>
      </c>
      <c r="Y7" s="301" t="s">
        <v>53</v>
      </c>
      <c r="Z7" s="301" t="s">
        <v>54</v>
      </c>
      <c r="AA7" s="301" t="s">
        <v>55</v>
      </c>
      <c r="AB7" s="301" t="s">
        <v>56</v>
      </c>
      <c r="AC7" s="301" t="s">
        <v>57</v>
      </c>
      <c r="AD7" s="301" t="s">
        <v>58</v>
      </c>
      <c r="AE7" s="301" t="s">
        <v>59</v>
      </c>
      <c r="AF7" s="301" t="s">
        <v>60</v>
      </c>
      <c r="AG7" s="301" t="s">
        <v>61</v>
      </c>
      <c r="AH7" s="301" t="s">
        <v>62</v>
      </c>
      <c r="AI7" s="301" t="s">
        <v>63</v>
      </c>
      <c r="AJ7" s="301" t="s">
        <v>64</v>
      </c>
      <c r="AK7" s="301" t="s">
        <v>65</v>
      </c>
      <c r="AL7" s="301" t="s">
        <v>66</v>
      </c>
      <c r="AM7" s="301" t="s">
        <v>67</v>
      </c>
      <c r="AN7" s="301" t="s">
        <v>68</v>
      </c>
      <c r="AO7" s="301" t="s">
        <v>69</v>
      </c>
      <c r="AP7" s="301" t="s">
        <v>70</v>
      </c>
      <c r="AQ7" s="301" t="s">
        <v>71</v>
      </c>
      <c r="AR7" s="301" t="s">
        <v>490</v>
      </c>
      <c r="AS7" s="301" t="s">
        <v>491</v>
      </c>
      <c r="AT7" s="301" t="s">
        <v>492</v>
      </c>
      <c r="AU7" s="301" t="s">
        <v>73</v>
      </c>
      <c r="AV7" s="301" t="s">
        <v>72</v>
      </c>
      <c r="AW7" s="301" t="s">
        <v>493</v>
      </c>
      <c r="AX7" s="301" t="s">
        <v>494</v>
      </c>
      <c r="AY7" s="301" t="s">
        <v>495</v>
      </c>
      <c r="AZ7" s="301" t="s">
        <v>74</v>
      </c>
      <c r="BA7" s="301" t="s">
        <v>103</v>
      </c>
      <c r="BB7" s="301" t="s">
        <v>496</v>
      </c>
      <c r="BC7" s="301" t="s">
        <v>497</v>
      </c>
      <c r="BD7" s="301" t="s">
        <v>498</v>
      </c>
      <c r="BE7" s="301" t="s">
        <v>499</v>
      </c>
      <c r="BF7" s="301" t="s">
        <v>500</v>
      </c>
      <c r="BG7" s="301" t="s">
        <v>501</v>
      </c>
      <c r="BH7" s="301" t="s">
        <v>104</v>
      </c>
      <c r="BI7" s="301" t="s">
        <v>502</v>
      </c>
      <c r="BJ7" s="301" t="s">
        <v>503</v>
      </c>
      <c r="BK7" s="301" t="s">
        <v>504</v>
      </c>
      <c r="BL7" s="301" t="s">
        <v>105</v>
      </c>
      <c r="BM7" s="301" t="s">
        <v>106</v>
      </c>
      <c r="BN7" s="302" t="s">
        <v>100</v>
      </c>
      <c r="BO7" s="303" t="s">
        <v>505</v>
      </c>
    </row>
    <row r="8" spans="2:67" x14ac:dyDescent="0.2">
      <c r="B8" s="304" t="s">
        <v>107</v>
      </c>
      <c r="C8" s="305"/>
      <c r="D8" s="305"/>
      <c r="E8" s="305"/>
      <c r="F8" s="305"/>
      <c r="G8" s="305"/>
      <c r="H8" s="305"/>
      <c r="I8" s="305"/>
      <c r="J8" s="305"/>
      <c r="K8" s="305"/>
      <c r="L8" s="305"/>
      <c r="M8" s="305"/>
      <c r="N8" s="305"/>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6"/>
      <c r="BO8" s="307"/>
    </row>
    <row r="9" spans="2:67" x14ac:dyDescent="0.2">
      <c r="B9" s="308" t="s">
        <v>108</v>
      </c>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s="309"/>
      <c r="BO9" s="40"/>
    </row>
    <row r="10" spans="2:67" x14ac:dyDescent="0.2">
      <c r="B10" s="308" t="s">
        <v>109</v>
      </c>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s="309"/>
      <c r="BO10" s="40"/>
    </row>
    <row r="11" spans="2:67" x14ac:dyDescent="0.2">
      <c r="B11" s="308" t="s">
        <v>110</v>
      </c>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s="309"/>
      <c r="BO11" s="40"/>
    </row>
    <row r="12" spans="2:67" x14ac:dyDescent="0.2">
      <c r="B12" s="308" t="s">
        <v>111</v>
      </c>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s="309"/>
      <c r="BO12" s="40"/>
    </row>
    <row r="13" spans="2:67" x14ac:dyDescent="0.2">
      <c r="B13" s="308" t="s">
        <v>112</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s="309"/>
      <c r="BO13" s="40"/>
    </row>
    <row r="14" spans="2:67" ht="17" thickBot="1" x14ac:dyDescent="0.25">
      <c r="B14" s="308" t="s">
        <v>113</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s="309"/>
      <c r="BO14" s="40"/>
    </row>
    <row r="15" spans="2:67" ht="17" thickBot="1" x14ac:dyDescent="0.25">
      <c r="B15" s="310" t="s">
        <v>114</v>
      </c>
      <c r="C15" s="311"/>
      <c r="D15" s="311"/>
      <c r="E15" s="311"/>
      <c r="F15" s="311"/>
      <c r="G15" s="311"/>
      <c r="H15" s="311"/>
      <c r="I15" s="311"/>
      <c r="J15" s="311"/>
      <c r="K15" s="311"/>
      <c r="L15" s="311"/>
      <c r="M15" s="311"/>
      <c r="N15" s="311"/>
      <c r="O15" s="311"/>
      <c r="P15" s="311"/>
      <c r="Q15" s="311"/>
      <c r="R15" s="311"/>
      <c r="S15" s="311"/>
      <c r="T15" s="311"/>
      <c r="U15" s="311"/>
      <c r="V15" s="311"/>
      <c r="W15" s="311"/>
      <c r="X15" s="312"/>
      <c r="Y15" s="311"/>
      <c r="Z15" s="311"/>
      <c r="AA15" s="311"/>
      <c r="AB15" s="311"/>
      <c r="AC15" s="311"/>
      <c r="AD15" s="311"/>
      <c r="AE15" s="311"/>
      <c r="AF15" s="311"/>
      <c r="AG15" s="311"/>
      <c r="AH15" s="311"/>
      <c r="AI15" s="311"/>
      <c r="AJ15" s="311"/>
      <c r="AK15" s="311"/>
      <c r="AL15" s="311"/>
      <c r="AM15" s="311"/>
      <c r="AN15" s="311"/>
      <c r="AO15" s="311"/>
      <c r="AP15" s="311"/>
      <c r="AQ15" s="311"/>
      <c r="AR15" s="311"/>
      <c r="AS15" s="311"/>
      <c r="AT15" s="311"/>
      <c r="AU15" s="311"/>
      <c r="AV15" s="311"/>
      <c r="AW15" s="311"/>
      <c r="AX15" s="311"/>
      <c r="AY15" s="311"/>
      <c r="AZ15" s="311"/>
      <c r="BA15" s="311"/>
      <c r="BB15" s="311"/>
      <c r="BC15" s="311"/>
      <c r="BD15" s="311"/>
      <c r="BE15" s="311"/>
      <c r="BF15" s="311"/>
      <c r="BG15" s="311"/>
      <c r="BH15" s="311"/>
      <c r="BI15" s="311"/>
      <c r="BJ15" s="311"/>
      <c r="BK15" s="311"/>
      <c r="BL15" s="311"/>
      <c r="BM15" s="311"/>
      <c r="BN15" s="313"/>
      <c r="BO15" s="314"/>
    </row>
    <row r="16" spans="2:67" x14ac:dyDescent="0.2">
      <c r="B16" s="308" t="s">
        <v>115</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s="309"/>
      <c r="BO16" s="40"/>
    </row>
    <row r="17" spans="2:67" ht="17" thickBot="1" x14ac:dyDescent="0.25">
      <c r="B17" s="308" t="s">
        <v>116</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s="309"/>
      <c r="BO17" s="40"/>
    </row>
    <row r="18" spans="2:67" ht="17" thickBot="1" x14ac:dyDescent="0.25">
      <c r="B18" s="310" t="s">
        <v>117</v>
      </c>
      <c r="C18" s="311"/>
      <c r="D18" s="311"/>
      <c r="E18" s="311"/>
      <c r="F18" s="311"/>
      <c r="G18" s="311"/>
      <c r="H18" s="311"/>
      <c r="I18" s="311"/>
      <c r="J18" s="311"/>
      <c r="K18" s="311"/>
      <c r="L18" s="311"/>
      <c r="M18" s="311"/>
      <c r="N18" s="311"/>
      <c r="O18" s="311"/>
      <c r="P18" s="311"/>
      <c r="Q18" s="311"/>
      <c r="R18" s="311"/>
      <c r="S18" s="311"/>
      <c r="T18" s="311"/>
      <c r="U18" s="311"/>
      <c r="V18" s="311"/>
      <c r="W18" s="311"/>
      <c r="X18" s="311"/>
      <c r="Y18" s="311"/>
      <c r="Z18" s="311"/>
      <c r="AA18" s="311"/>
      <c r="AB18" s="311"/>
      <c r="AC18" s="311"/>
      <c r="AD18" s="311"/>
      <c r="AE18" s="311"/>
      <c r="AF18" s="311"/>
      <c r="AG18" s="311"/>
      <c r="AH18" s="311"/>
      <c r="AI18" s="311"/>
      <c r="AJ18" s="311"/>
      <c r="AK18" s="311"/>
      <c r="AL18" s="311"/>
      <c r="AM18" s="311"/>
      <c r="AN18" s="311"/>
      <c r="AO18" s="311"/>
      <c r="AP18" s="311"/>
      <c r="AQ18" s="311"/>
      <c r="AR18" s="311"/>
      <c r="AS18" s="311"/>
      <c r="AT18" s="311"/>
      <c r="AU18" s="311"/>
      <c r="AV18" s="311"/>
      <c r="AW18" s="311"/>
      <c r="AX18" s="311"/>
      <c r="AY18" s="311"/>
      <c r="AZ18" s="311"/>
      <c r="BA18" s="311"/>
      <c r="BB18" s="311"/>
      <c r="BC18" s="311"/>
      <c r="BD18" s="311"/>
      <c r="BE18" s="311"/>
      <c r="BF18" s="311"/>
      <c r="BG18" s="311"/>
      <c r="BH18" s="311"/>
      <c r="BI18" s="311"/>
      <c r="BJ18" s="311"/>
      <c r="BK18" s="311"/>
      <c r="BL18" s="311"/>
      <c r="BM18" s="311"/>
      <c r="BN18" s="313"/>
      <c r="BO18" s="314"/>
    </row>
    <row r="19" spans="2:67" x14ac:dyDescent="0.2">
      <c r="B19" s="308" t="s">
        <v>118</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s="309"/>
      <c r="BO19" s="40"/>
    </row>
    <row r="20" spans="2:67" x14ac:dyDescent="0.2">
      <c r="B20" s="308" t="s">
        <v>119</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s="309"/>
      <c r="BO20" s="40"/>
    </row>
    <row r="21" spans="2:67" x14ac:dyDescent="0.2">
      <c r="B21" s="308" t="s">
        <v>120</v>
      </c>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s="309"/>
      <c r="BO21" s="40"/>
    </row>
    <row r="22" spans="2:67" x14ac:dyDescent="0.2">
      <c r="B22" s="308" t="s">
        <v>121</v>
      </c>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s="309"/>
      <c r="BO22" s="40"/>
    </row>
    <row r="23" spans="2:67" x14ac:dyDescent="0.2">
      <c r="B23" s="308" t="s">
        <v>122</v>
      </c>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s="309"/>
      <c r="BO23" s="40"/>
    </row>
    <row r="24" spans="2:67" x14ac:dyDescent="0.2">
      <c r="B24" s="315" t="s">
        <v>123</v>
      </c>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316"/>
      <c r="BO24" s="43"/>
    </row>
    <row r="25" spans="2:67" x14ac:dyDescent="0.2">
      <c r="B25" s="308" t="s">
        <v>124</v>
      </c>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s="309"/>
      <c r="BO25" s="40"/>
    </row>
    <row r="26" spans="2:67" x14ac:dyDescent="0.2">
      <c r="B26" s="308" t="s">
        <v>125</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s="309"/>
      <c r="BO26" s="40"/>
    </row>
    <row r="27" spans="2:67" x14ac:dyDescent="0.2">
      <c r="B27" s="308" t="s">
        <v>126</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s="309"/>
      <c r="BO27" s="40"/>
    </row>
    <row r="28" spans="2:67" x14ac:dyDescent="0.2">
      <c r="B28" s="308" t="s">
        <v>418</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s="309"/>
      <c r="BO28" s="40"/>
    </row>
    <row r="29" spans="2:67" x14ac:dyDescent="0.2">
      <c r="B29" s="308" t="s">
        <v>419</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s="309"/>
      <c r="BO29" s="40"/>
    </row>
    <row r="30" spans="2:67" x14ac:dyDescent="0.2">
      <c r="B30" s="308" t="s">
        <v>420</v>
      </c>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s="309"/>
      <c r="BO30" s="40"/>
    </row>
    <row r="31" spans="2:67" x14ac:dyDescent="0.2">
      <c r="B31" s="308" t="s">
        <v>421</v>
      </c>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s="309"/>
      <c r="BO31" s="40"/>
    </row>
    <row r="32" spans="2:67" x14ac:dyDescent="0.2">
      <c r="B32" s="308" t="s">
        <v>422</v>
      </c>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s="309"/>
      <c r="BO32" s="40"/>
    </row>
    <row r="33" spans="2:67" x14ac:dyDescent="0.2">
      <c r="B33" s="308" t="s">
        <v>423</v>
      </c>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s="309"/>
      <c r="BO33" s="40"/>
    </row>
    <row r="34" spans="2:67" x14ac:dyDescent="0.2">
      <c r="B34" s="308" t="s">
        <v>127</v>
      </c>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s="309"/>
      <c r="BO34" s="40"/>
    </row>
    <row r="35" spans="2:67" x14ac:dyDescent="0.2">
      <c r="B35" s="308" t="s">
        <v>424</v>
      </c>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s="309"/>
      <c r="BO35" s="40"/>
    </row>
    <row r="36" spans="2:67" x14ac:dyDescent="0.2">
      <c r="B36" s="308" t="s">
        <v>425</v>
      </c>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s="309"/>
      <c r="BO36" s="40"/>
    </row>
    <row r="37" spans="2:67" x14ac:dyDescent="0.2">
      <c r="B37" s="308" t="s">
        <v>128</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s="309"/>
      <c r="BO37" s="40"/>
    </row>
    <row r="38" spans="2:67" x14ac:dyDescent="0.2">
      <c r="B38" s="308" t="s">
        <v>129</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s="309"/>
      <c r="BO38" s="40"/>
    </row>
    <row r="39" spans="2:67" ht="17" thickBot="1" x14ac:dyDescent="0.25">
      <c r="B39" s="308" t="s">
        <v>130</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s="309"/>
      <c r="BO39" s="40"/>
    </row>
    <row r="40" spans="2:67" ht="17" thickBot="1" x14ac:dyDescent="0.25">
      <c r="B40" s="310" t="s">
        <v>131</v>
      </c>
      <c r="C40" s="311"/>
      <c r="D40" s="311"/>
      <c r="E40" s="311"/>
      <c r="F40" s="311"/>
      <c r="G40" s="311"/>
      <c r="H40" s="311"/>
      <c r="I40" s="311"/>
      <c r="J40" s="311"/>
      <c r="K40" s="311"/>
      <c r="L40" s="311"/>
      <c r="M40" s="311"/>
      <c r="N40" s="311"/>
      <c r="O40" s="311"/>
      <c r="P40" s="311"/>
      <c r="Q40" s="311"/>
      <c r="R40" s="311"/>
      <c r="S40" s="311"/>
      <c r="T40" s="311"/>
      <c r="U40" s="311"/>
      <c r="V40" s="311"/>
      <c r="W40" s="311"/>
      <c r="X40" s="311"/>
      <c r="Y40" s="311"/>
      <c r="Z40" s="311"/>
      <c r="AA40" s="311"/>
      <c r="AB40" s="311"/>
      <c r="AC40" s="311"/>
      <c r="AD40" s="311"/>
      <c r="AE40" s="311"/>
      <c r="AF40" s="311"/>
      <c r="AG40" s="311"/>
      <c r="AH40" s="311"/>
      <c r="AI40" s="311"/>
      <c r="AJ40" s="311"/>
      <c r="AK40" s="311"/>
      <c r="AL40" s="311"/>
      <c r="AM40" s="311"/>
      <c r="AN40" s="311"/>
      <c r="AO40" s="311"/>
      <c r="AP40" s="311"/>
      <c r="AQ40" s="311"/>
      <c r="AR40" s="311"/>
      <c r="AS40" s="311"/>
      <c r="AT40" s="311"/>
      <c r="AU40" s="311"/>
      <c r="AV40" s="311"/>
      <c r="AW40" s="311"/>
      <c r="AX40" s="311"/>
      <c r="AY40" s="311"/>
      <c r="AZ40" s="311"/>
      <c r="BA40" s="311"/>
      <c r="BB40" s="311"/>
      <c r="BC40" s="311"/>
      <c r="BD40" s="311"/>
      <c r="BE40" s="311"/>
      <c r="BF40" s="311"/>
      <c r="BG40" s="311"/>
      <c r="BH40" s="311"/>
      <c r="BI40" s="311"/>
      <c r="BJ40" s="311"/>
      <c r="BK40" s="311"/>
      <c r="BL40" s="311"/>
      <c r="BM40" s="311"/>
      <c r="BN40" s="313"/>
      <c r="BO40" s="314"/>
    </row>
    <row r="41" spans="2:67" x14ac:dyDescent="0.2">
      <c r="B41" s="308" t="s">
        <v>132</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s="309"/>
      <c r="BO41" s="40"/>
    </row>
    <row r="42" spans="2:67" x14ac:dyDescent="0.2">
      <c r="B42" s="308" t="s">
        <v>133</v>
      </c>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s="309"/>
      <c r="BO42" s="40"/>
    </row>
    <row r="43" spans="2:67" x14ac:dyDescent="0.2">
      <c r="B43" s="308" t="s">
        <v>426</v>
      </c>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s="309"/>
      <c r="BO43" s="40"/>
    </row>
    <row r="44" spans="2:67" x14ac:dyDescent="0.2">
      <c r="B44" s="308" t="s">
        <v>427</v>
      </c>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s="309"/>
      <c r="BO44" s="40"/>
    </row>
    <row r="45" spans="2:67" x14ac:dyDescent="0.2">
      <c r="B45" s="308" t="s">
        <v>134</v>
      </c>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s="309"/>
      <c r="BO45" s="40"/>
    </row>
    <row r="46" spans="2:67" x14ac:dyDescent="0.2">
      <c r="B46" s="308" t="s">
        <v>428</v>
      </c>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s="309"/>
      <c r="BO46" s="40"/>
    </row>
    <row r="47" spans="2:67" x14ac:dyDescent="0.2">
      <c r="B47" s="308" t="s">
        <v>429</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s="309"/>
      <c r="BO47" s="40"/>
    </row>
    <row r="48" spans="2:67" x14ac:dyDescent="0.2">
      <c r="B48" s="308" t="s">
        <v>430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s="309"/>
      <c r="BO48" s="40"/>
    </row>
    <row r="49" spans="2:67" x14ac:dyDescent="0.2">
      <c r="B49" s="308" t="s">
        <v>431</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s="309"/>
      <c r="BO49" s="40"/>
    </row>
    <row r="50" spans="2:67" x14ac:dyDescent="0.2">
      <c r="B50" s="308" t="s">
        <v>432</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s="309"/>
      <c r="BO50" s="40"/>
    </row>
    <row r="51" spans="2:67" x14ac:dyDescent="0.2">
      <c r="B51" s="308" t="s">
        <v>135</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s="309"/>
      <c r="BO51" s="40"/>
    </row>
    <row r="52" spans="2:67" x14ac:dyDescent="0.2">
      <c r="B52" s="308" t="s">
        <v>433</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s="309"/>
      <c r="BO52" s="40"/>
    </row>
    <row r="53" spans="2:67" x14ac:dyDescent="0.2">
      <c r="B53" s="308" t="s">
        <v>136</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s="309"/>
      <c r="BO53" s="40"/>
    </row>
    <row r="54" spans="2:67" x14ac:dyDescent="0.2">
      <c r="B54" s="308" t="s">
        <v>137</v>
      </c>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s="309"/>
      <c r="BO54" s="40"/>
    </row>
    <row r="55" spans="2:67" x14ac:dyDescent="0.2">
      <c r="B55" s="308" t="s">
        <v>138</v>
      </c>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s="309"/>
      <c r="BO55" s="40"/>
    </row>
    <row r="56" spans="2:67" x14ac:dyDescent="0.2">
      <c r="B56" s="308" t="s">
        <v>129</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s="309"/>
      <c r="BO56" s="40"/>
    </row>
    <row r="57" spans="2:67" x14ac:dyDescent="0.2">
      <c r="B57" s="308" t="s">
        <v>139</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s="309"/>
      <c r="BO57" s="40"/>
    </row>
    <row r="58" spans="2:67" ht="17" thickBot="1" x14ac:dyDescent="0.25">
      <c r="B58" s="308" t="s">
        <v>140</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s="309"/>
      <c r="BO58" s="40"/>
    </row>
    <row r="59" spans="2:67" ht="17" thickBot="1" x14ac:dyDescent="0.25">
      <c r="B59" s="310" t="s">
        <v>141</v>
      </c>
      <c r="C59" s="311"/>
      <c r="D59" s="311"/>
      <c r="E59" s="311"/>
      <c r="F59" s="311"/>
      <c r="G59" s="311"/>
      <c r="H59" s="311"/>
      <c r="I59" s="311"/>
      <c r="J59" s="311"/>
      <c r="K59" s="311"/>
      <c r="L59" s="311"/>
      <c r="M59" s="311"/>
      <c r="N59" s="311"/>
      <c r="O59" s="311"/>
      <c r="P59" s="311"/>
      <c r="Q59" s="311"/>
      <c r="R59" s="311"/>
      <c r="S59" s="311"/>
      <c r="T59" s="311"/>
      <c r="U59" s="311"/>
      <c r="V59" s="311"/>
      <c r="W59" s="311"/>
      <c r="X59" s="311"/>
      <c r="Y59" s="311"/>
      <c r="Z59" s="311"/>
      <c r="AA59" s="311"/>
      <c r="AB59" s="311"/>
      <c r="AC59" s="311"/>
      <c r="AD59" s="311"/>
      <c r="AE59" s="311"/>
      <c r="AF59" s="311"/>
      <c r="AG59" s="311"/>
      <c r="AH59" s="311"/>
      <c r="AI59" s="311"/>
      <c r="AJ59" s="311"/>
      <c r="AK59" s="311"/>
      <c r="AL59" s="311"/>
      <c r="AM59" s="311"/>
      <c r="AN59" s="311"/>
      <c r="AO59" s="311"/>
      <c r="AP59" s="311"/>
      <c r="AQ59" s="311"/>
      <c r="AR59" s="311"/>
      <c r="AS59" s="311"/>
      <c r="AT59" s="311"/>
      <c r="AU59" s="311"/>
      <c r="AV59" s="311"/>
      <c r="AW59" s="311"/>
      <c r="AX59" s="311"/>
      <c r="AY59" s="311"/>
      <c r="AZ59" s="311"/>
      <c r="BA59" s="311"/>
      <c r="BB59" s="311"/>
      <c r="BC59" s="311"/>
      <c r="BD59" s="311"/>
      <c r="BE59" s="311"/>
      <c r="BF59" s="311"/>
      <c r="BG59" s="311"/>
      <c r="BH59" s="311"/>
      <c r="BI59" s="311"/>
      <c r="BJ59" s="311"/>
      <c r="BK59" s="311"/>
      <c r="BL59" s="311"/>
      <c r="BM59" s="311"/>
      <c r="BN59" s="313"/>
      <c r="BO59" s="314"/>
    </row>
    <row r="60" spans="2:67" ht="17" thickBot="1" x14ac:dyDescent="0.25">
      <c r="B60" s="310" t="s">
        <v>28</v>
      </c>
      <c r="C60" s="311"/>
      <c r="D60" s="311"/>
      <c r="E60" s="311"/>
      <c r="F60" s="311"/>
      <c r="G60" s="311"/>
      <c r="H60" s="311"/>
      <c r="I60" s="311"/>
      <c r="J60" s="311"/>
      <c r="K60" s="311"/>
      <c r="L60" s="311"/>
      <c r="M60" s="311"/>
      <c r="N60" s="311"/>
      <c r="O60" s="311"/>
      <c r="P60" s="311"/>
      <c r="Q60" s="311"/>
      <c r="R60" s="311"/>
      <c r="S60" s="311"/>
      <c r="T60" s="311"/>
      <c r="U60" s="311"/>
      <c r="V60" s="311"/>
      <c r="W60" s="311"/>
      <c r="X60" s="311"/>
      <c r="Y60" s="311"/>
      <c r="Z60" s="311"/>
      <c r="AA60" s="311"/>
      <c r="AB60" s="311"/>
      <c r="AC60" s="311"/>
      <c r="AD60" s="311"/>
      <c r="AE60" s="311"/>
      <c r="AF60" s="311"/>
      <c r="AG60" s="311"/>
      <c r="AH60" s="311"/>
      <c r="AI60" s="311"/>
      <c r="AJ60" s="311"/>
      <c r="AK60" s="311"/>
      <c r="AL60" s="311"/>
      <c r="AM60" s="311"/>
      <c r="AN60" s="311"/>
      <c r="AO60" s="311"/>
      <c r="AP60" s="311"/>
      <c r="AQ60" s="311"/>
      <c r="AR60" s="311"/>
      <c r="AS60" s="311"/>
      <c r="AT60" s="311"/>
      <c r="AU60" s="311"/>
      <c r="AV60" s="311"/>
      <c r="AW60" s="311"/>
      <c r="AX60" s="311"/>
      <c r="AY60" s="311"/>
      <c r="AZ60" s="311"/>
      <c r="BA60" s="311"/>
      <c r="BB60" s="311"/>
      <c r="BC60" s="311"/>
      <c r="BD60" s="311"/>
      <c r="BE60" s="311"/>
      <c r="BF60" s="311"/>
      <c r="BG60" s="311"/>
      <c r="BH60" s="311"/>
      <c r="BI60" s="311"/>
      <c r="BJ60" s="311"/>
      <c r="BK60" s="311"/>
      <c r="BL60" s="311"/>
      <c r="BM60" s="311"/>
      <c r="BN60" s="313"/>
      <c r="BO60" s="314"/>
    </row>
    <row r="61" spans="2:67" x14ac:dyDescent="0.2">
      <c r="B61" s="308" t="s">
        <v>142</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s="309"/>
      <c r="BO61" s="40"/>
    </row>
    <row r="62" spans="2:67" x14ac:dyDescent="0.2">
      <c r="B62" s="308" t="s">
        <v>143</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s="309"/>
      <c r="BO62" s="40"/>
    </row>
    <row r="63" spans="2:67" x14ac:dyDescent="0.2">
      <c r="B63" s="308" t="s">
        <v>144</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s="309"/>
      <c r="BO63" s="40"/>
    </row>
    <row r="64" spans="2:67" x14ac:dyDescent="0.2">
      <c r="B64" s="308" t="s">
        <v>145</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s="309"/>
      <c r="BO64" s="40"/>
    </row>
    <row r="65" spans="2:67" x14ac:dyDescent="0.2">
      <c r="B65" s="308" t="s">
        <v>146</v>
      </c>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s="309"/>
      <c r="BO65" s="40"/>
    </row>
    <row r="66" spans="2:67" x14ac:dyDescent="0.2">
      <c r="B66" s="308" t="s">
        <v>147</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s="309"/>
      <c r="BO66" s="40"/>
    </row>
    <row r="67" spans="2:67" x14ac:dyDescent="0.2">
      <c r="B67" s="308" t="s">
        <v>148</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s="309"/>
      <c r="BO67" s="40"/>
    </row>
    <row r="68" spans="2:67" x14ac:dyDescent="0.2">
      <c r="B68" s="308" t="s">
        <v>149</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s="309"/>
      <c r="BO68" s="40"/>
    </row>
    <row r="69" spans="2:67" x14ac:dyDescent="0.2">
      <c r="B69" s="308" t="s">
        <v>150</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s="309"/>
      <c r="BO69" s="40"/>
    </row>
    <row r="70" spans="2:67" x14ac:dyDescent="0.2">
      <c r="B70" s="308" t="s">
        <v>151</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s="309"/>
      <c r="BO70" s="40"/>
    </row>
    <row r="71" spans="2:67" x14ac:dyDescent="0.2">
      <c r="B71" s="308" t="s">
        <v>152</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s="309"/>
      <c r="BO71" s="40"/>
    </row>
    <row r="72" spans="2:67" x14ac:dyDescent="0.2">
      <c r="B72" s="308" t="s">
        <v>153</v>
      </c>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s="309"/>
      <c r="BO72" s="40"/>
    </row>
    <row r="73" spans="2:67" ht="17" thickBot="1" x14ac:dyDescent="0.25">
      <c r="B73" s="308" t="s">
        <v>154</v>
      </c>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s="309"/>
      <c r="BO73" s="40"/>
    </row>
    <row r="74" spans="2:67" ht="17" thickBot="1" x14ac:dyDescent="0.25">
      <c r="B74" s="310" t="s">
        <v>155</v>
      </c>
      <c r="C74" s="311"/>
      <c r="D74" s="311"/>
      <c r="E74" s="311"/>
      <c r="F74" s="311"/>
      <c r="G74" s="311"/>
      <c r="H74" s="311"/>
      <c r="I74" s="311"/>
      <c r="J74" s="311"/>
      <c r="K74" s="311"/>
      <c r="L74" s="311"/>
      <c r="M74" s="311"/>
      <c r="N74" s="311"/>
      <c r="O74" s="311"/>
      <c r="P74" s="311"/>
      <c r="Q74" s="311"/>
      <c r="R74" s="311"/>
      <c r="S74" s="311"/>
      <c r="T74" s="311"/>
      <c r="U74" s="311"/>
      <c r="V74" s="311"/>
      <c r="W74" s="311"/>
      <c r="X74" s="311"/>
      <c r="Y74" s="311"/>
      <c r="Z74" s="311"/>
      <c r="AA74" s="311"/>
      <c r="AB74" s="311"/>
      <c r="AC74" s="311"/>
      <c r="AD74" s="311"/>
      <c r="AE74" s="311"/>
      <c r="AF74" s="311"/>
      <c r="AG74" s="311"/>
      <c r="AH74" s="311"/>
      <c r="AI74" s="311"/>
      <c r="AJ74" s="311"/>
      <c r="AK74" s="311"/>
      <c r="AL74" s="311"/>
      <c r="AM74" s="311"/>
      <c r="AN74" s="311"/>
      <c r="AO74" s="311"/>
      <c r="AP74" s="311"/>
      <c r="AQ74" s="311"/>
      <c r="AR74" s="311"/>
      <c r="AS74" s="311"/>
      <c r="AT74" s="311"/>
      <c r="AU74" s="311"/>
      <c r="AV74" s="311"/>
      <c r="AW74" s="311"/>
      <c r="AX74" s="311"/>
      <c r="AY74" s="311"/>
      <c r="AZ74" s="311"/>
      <c r="BA74" s="311"/>
      <c r="BB74" s="311"/>
      <c r="BC74" s="311"/>
      <c r="BD74" s="311"/>
      <c r="BE74" s="311"/>
      <c r="BF74" s="311"/>
      <c r="BG74" s="311"/>
      <c r="BH74" s="311"/>
      <c r="BI74" s="311"/>
      <c r="BJ74" s="311"/>
      <c r="BK74" s="311"/>
      <c r="BL74" s="311"/>
      <c r="BM74" s="311"/>
      <c r="BN74" s="313"/>
      <c r="BO74" s="314"/>
    </row>
    <row r="75" spans="2:67" x14ac:dyDescent="0.2">
      <c r="B75" s="308" t="s">
        <v>156</v>
      </c>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s="309"/>
      <c r="BO75" s="40"/>
    </row>
    <row r="76" spans="2:67" x14ac:dyDescent="0.2">
      <c r="B76" s="308" t="s">
        <v>157</v>
      </c>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s="309"/>
      <c r="BO76" s="40"/>
    </row>
    <row r="77" spans="2:67" x14ac:dyDescent="0.2">
      <c r="B77" s="308" t="s">
        <v>158</v>
      </c>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s="309"/>
      <c r="BO77" s="40"/>
    </row>
    <row r="78" spans="2:67" x14ac:dyDescent="0.2">
      <c r="B78" s="308" t="s">
        <v>159</v>
      </c>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s="309"/>
      <c r="BO78" s="40"/>
    </row>
    <row r="79" spans="2:67" x14ac:dyDescent="0.2">
      <c r="B79" s="308" t="s">
        <v>160</v>
      </c>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s="309"/>
      <c r="BO79" s="40"/>
    </row>
    <row r="80" spans="2:67" ht="17" thickBot="1" x14ac:dyDescent="0.25">
      <c r="B80" s="308" t="s">
        <v>161</v>
      </c>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s="309"/>
      <c r="BO80" s="40"/>
    </row>
    <row r="81" spans="2:67" ht="17" thickBot="1" x14ac:dyDescent="0.25">
      <c r="B81" s="310" t="s">
        <v>77</v>
      </c>
      <c r="C81" s="311"/>
      <c r="D81" s="311"/>
      <c r="E81" s="311"/>
      <c r="F81" s="311"/>
      <c r="G81" s="311"/>
      <c r="H81" s="311"/>
      <c r="I81" s="311"/>
      <c r="J81" s="311"/>
      <c r="K81" s="311"/>
      <c r="L81" s="311"/>
      <c r="M81" s="311"/>
      <c r="N81" s="311"/>
      <c r="O81" s="311"/>
      <c r="P81" s="311"/>
      <c r="Q81" s="311"/>
      <c r="R81" s="311"/>
      <c r="S81" s="311"/>
      <c r="T81" s="311"/>
      <c r="U81" s="311"/>
      <c r="V81" s="311"/>
      <c r="W81" s="311"/>
      <c r="X81" s="311"/>
      <c r="Y81" s="311"/>
      <c r="Z81" s="311"/>
      <c r="AA81" s="311"/>
      <c r="AB81" s="311"/>
      <c r="AC81" s="311"/>
      <c r="AD81" s="311"/>
      <c r="AE81" s="311"/>
      <c r="AF81" s="311"/>
      <c r="AG81" s="311"/>
      <c r="AH81" s="311"/>
      <c r="AI81" s="311"/>
      <c r="AJ81" s="311"/>
      <c r="AK81" s="311"/>
      <c r="AL81" s="311"/>
      <c r="AM81" s="311"/>
      <c r="AN81" s="311"/>
      <c r="AO81" s="311"/>
      <c r="AP81" s="311"/>
      <c r="AQ81" s="311"/>
      <c r="AR81" s="311"/>
      <c r="AS81" s="311"/>
      <c r="AT81" s="311"/>
      <c r="AU81" s="311"/>
      <c r="AV81" s="311"/>
      <c r="AW81" s="311"/>
      <c r="AX81" s="311"/>
      <c r="AY81" s="311"/>
      <c r="AZ81" s="311"/>
      <c r="BA81" s="311"/>
      <c r="BB81" s="311"/>
      <c r="BC81" s="311"/>
      <c r="BD81" s="311"/>
      <c r="BE81" s="311"/>
      <c r="BF81" s="311"/>
      <c r="BG81" s="311"/>
      <c r="BH81" s="311"/>
      <c r="BI81" s="311"/>
      <c r="BJ81" s="311"/>
      <c r="BK81" s="311"/>
      <c r="BL81" s="311"/>
      <c r="BM81" s="311"/>
      <c r="BN81" s="313"/>
      <c r="BO81" s="314"/>
    </row>
    <row r="82" spans="2:67" x14ac:dyDescent="0.2">
      <c r="B82" s="308" t="s">
        <v>162</v>
      </c>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s="309"/>
      <c r="BO82" s="40"/>
    </row>
    <row r="83" spans="2:67" x14ac:dyDescent="0.2">
      <c r="B83" s="308" t="s">
        <v>163</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s="309"/>
      <c r="BO83" s="40"/>
    </row>
    <row r="84" spans="2:67" x14ac:dyDescent="0.2">
      <c r="B84" s="308" t="s">
        <v>164</v>
      </c>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s="309"/>
      <c r="BO84" s="40"/>
    </row>
    <row r="85" spans="2:67" x14ac:dyDescent="0.2">
      <c r="B85" s="308" t="s">
        <v>165</v>
      </c>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s="309"/>
      <c r="BO85" s="40"/>
    </row>
    <row r="86" spans="2:67" ht="17" thickBot="1" x14ac:dyDescent="0.25">
      <c r="B86" s="308" t="s">
        <v>166</v>
      </c>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s="309"/>
      <c r="BO86" s="40"/>
    </row>
    <row r="87" spans="2:67" ht="17" thickBot="1" x14ac:dyDescent="0.25">
      <c r="B87" s="310" t="s">
        <v>167</v>
      </c>
      <c r="C87" s="311"/>
      <c r="D87" s="311"/>
      <c r="E87" s="311"/>
      <c r="F87" s="311"/>
      <c r="G87" s="311"/>
      <c r="H87" s="311"/>
      <c r="I87" s="311"/>
      <c r="J87" s="311"/>
      <c r="K87" s="311"/>
      <c r="L87" s="311"/>
      <c r="M87" s="311"/>
      <c r="N87" s="311"/>
      <c r="O87" s="311"/>
      <c r="P87" s="311"/>
      <c r="Q87" s="311"/>
      <c r="R87" s="311"/>
      <c r="S87" s="311"/>
      <c r="T87" s="311"/>
      <c r="U87" s="311"/>
      <c r="V87" s="311"/>
      <c r="W87" s="311"/>
      <c r="X87" s="311"/>
      <c r="Y87" s="311"/>
      <c r="Z87" s="311"/>
      <c r="AA87" s="311"/>
      <c r="AB87" s="311"/>
      <c r="AC87" s="311"/>
      <c r="AD87" s="311"/>
      <c r="AE87" s="311"/>
      <c r="AF87" s="311"/>
      <c r="AG87" s="311"/>
      <c r="AH87" s="311"/>
      <c r="AI87" s="311"/>
      <c r="AJ87" s="311"/>
      <c r="AK87" s="311"/>
      <c r="AL87" s="311"/>
      <c r="AM87" s="311"/>
      <c r="AN87" s="311"/>
      <c r="AO87" s="311"/>
      <c r="AP87" s="311"/>
      <c r="AQ87" s="311"/>
      <c r="AR87" s="311"/>
      <c r="AS87" s="311"/>
      <c r="AT87" s="311"/>
      <c r="AU87" s="311"/>
      <c r="AV87" s="311"/>
      <c r="AW87" s="311"/>
      <c r="AX87" s="311"/>
      <c r="AY87" s="311"/>
      <c r="AZ87" s="311"/>
      <c r="BA87" s="311"/>
      <c r="BB87" s="311"/>
      <c r="BC87" s="311"/>
      <c r="BD87" s="311"/>
      <c r="BE87" s="311"/>
      <c r="BF87" s="311"/>
      <c r="BG87" s="311"/>
      <c r="BH87" s="311"/>
      <c r="BI87" s="311"/>
      <c r="BJ87" s="311"/>
      <c r="BK87" s="311"/>
      <c r="BL87" s="311"/>
      <c r="BM87" s="311"/>
      <c r="BN87" s="313"/>
      <c r="BO87" s="314"/>
    </row>
    <row r="88" spans="2:67" x14ac:dyDescent="0.2">
      <c r="B88" s="308" t="s">
        <v>168</v>
      </c>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s="309"/>
      <c r="BO88" s="40"/>
    </row>
    <row r="89" spans="2:67" x14ac:dyDescent="0.2">
      <c r="B89" s="308" t="s">
        <v>169</v>
      </c>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s="309"/>
      <c r="BO89" s="40"/>
    </row>
    <row r="90" spans="2:67" x14ac:dyDescent="0.2">
      <c r="B90" s="308" t="s">
        <v>170</v>
      </c>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s="309"/>
      <c r="BO90" s="40"/>
    </row>
    <row r="91" spans="2:67" ht="17" thickBot="1" x14ac:dyDescent="0.25">
      <c r="B91" s="308" t="s">
        <v>171</v>
      </c>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s="309"/>
      <c r="BO91" s="40"/>
    </row>
    <row r="92" spans="2:67" ht="17" thickBot="1" x14ac:dyDescent="0.25">
      <c r="B92" s="310" t="s">
        <v>172</v>
      </c>
      <c r="C92" s="311"/>
      <c r="D92" s="311"/>
      <c r="E92" s="311"/>
      <c r="F92" s="311"/>
      <c r="G92" s="311"/>
      <c r="H92" s="311"/>
      <c r="I92" s="311"/>
      <c r="J92" s="311"/>
      <c r="K92" s="311"/>
      <c r="L92" s="311"/>
      <c r="M92" s="311"/>
      <c r="N92" s="311"/>
      <c r="O92" s="311"/>
      <c r="P92" s="311"/>
      <c r="Q92" s="311"/>
      <c r="R92" s="311"/>
      <c r="S92" s="311"/>
      <c r="T92" s="311"/>
      <c r="U92" s="311"/>
      <c r="V92" s="311"/>
      <c r="W92" s="311"/>
      <c r="X92" s="311"/>
      <c r="Y92" s="311"/>
      <c r="Z92" s="311"/>
      <c r="AA92" s="311"/>
      <c r="AB92" s="311"/>
      <c r="AC92" s="311"/>
      <c r="AD92" s="311"/>
      <c r="AE92" s="311"/>
      <c r="AF92" s="311"/>
      <c r="AG92" s="311"/>
      <c r="AH92" s="311"/>
      <c r="AI92" s="311"/>
      <c r="AJ92" s="311"/>
      <c r="AK92" s="311"/>
      <c r="AL92" s="311"/>
      <c r="AM92" s="311"/>
      <c r="AN92" s="311"/>
      <c r="AO92" s="311"/>
      <c r="AP92" s="311"/>
      <c r="AQ92" s="311"/>
      <c r="AR92" s="311"/>
      <c r="AS92" s="311"/>
      <c r="AT92" s="311"/>
      <c r="AU92" s="311"/>
      <c r="AV92" s="311"/>
      <c r="AW92" s="311"/>
      <c r="AX92" s="311"/>
      <c r="AY92" s="311"/>
      <c r="AZ92" s="311"/>
      <c r="BA92" s="311"/>
      <c r="BB92" s="311"/>
      <c r="BC92" s="311"/>
      <c r="BD92" s="311"/>
      <c r="BE92" s="311"/>
      <c r="BF92" s="311"/>
      <c r="BG92" s="311"/>
      <c r="BH92" s="311"/>
      <c r="BI92" s="311"/>
      <c r="BJ92" s="311"/>
      <c r="BK92" s="311"/>
      <c r="BL92" s="311"/>
      <c r="BM92" s="311"/>
      <c r="BN92" s="313"/>
      <c r="BO92" s="314"/>
    </row>
    <row r="93" spans="2:67" x14ac:dyDescent="0.2">
      <c r="B93" s="308" t="s">
        <v>173</v>
      </c>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s="309"/>
      <c r="BO93" s="40"/>
    </row>
    <row r="94" spans="2:67" x14ac:dyDescent="0.2">
      <c r="B94" s="308" t="s">
        <v>174</v>
      </c>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s="309"/>
      <c r="BO94" s="40"/>
    </row>
    <row r="95" spans="2:67" x14ac:dyDescent="0.2">
      <c r="B95" s="308" t="s">
        <v>175</v>
      </c>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s="309"/>
      <c r="BO95" s="40"/>
    </row>
    <row r="96" spans="2:67" ht="17" thickBot="1" x14ac:dyDescent="0.25">
      <c r="B96" s="308" t="s">
        <v>176</v>
      </c>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s="309"/>
      <c r="BO96" s="40"/>
    </row>
    <row r="97" spans="2:67" ht="17" thickBot="1" x14ac:dyDescent="0.25">
      <c r="B97" s="310" t="s">
        <v>177</v>
      </c>
      <c r="C97" s="311"/>
      <c r="D97" s="311"/>
      <c r="E97" s="311"/>
      <c r="F97" s="311"/>
      <c r="G97" s="311"/>
      <c r="H97" s="311"/>
      <c r="I97" s="311"/>
      <c r="J97" s="311"/>
      <c r="K97" s="311"/>
      <c r="L97" s="311"/>
      <c r="M97" s="311"/>
      <c r="N97" s="311"/>
      <c r="O97" s="311"/>
      <c r="P97" s="311"/>
      <c r="Q97" s="311"/>
      <c r="R97" s="311"/>
      <c r="S97" s="311"/>
      <c r="T97" s="311"/>
      <c r="U97" s="311"/>
      <c r="V97" s="311"/>
      <c r="W97" s="311"/>
      <c r="X97" s="311"/>
      <c r="Y97" s="311"/>
      <c r="Z97" s="311"/>
      <c r="AA97" s="311"/>
      <c r="AB97" s="311"/>
      <c r="AC97" s="311"/>
      <c r="AD97" s="311"/>
      <c r="AE97" s="311"/>
      <c r="AF97" s="311"/>
      <c r="AG97" s="311"/>
      <c r="AH97" s="311"/>
      <c r="AI97" s="311"/>
      <c r="AJ97" s="311"/>
      <c r="AK97" s="311"/>
      <c r="AL97" s="311"/>
      <c r="AM97" s="311"/>
      <c r="AN97" s="311"/>
      <c r="AO97" s="311"/>
      <c r="AP97" s="311"/>
      <c r="AQ97" s="311"/>
      <c r="AR97" s="311"/>
      <c r="AS97" s="311"/>
      <c r="AT97" s="311"/>
      <c r="AU97" s="311"/>
      <c r="AV97" s="311"/>
      <c r="AW97" s="311"/>
      <c r="AX97" s="311"/>
      <c r="AY97" s="311"/>
      <c r="AZ97" s="311"/>
      <c r="BA97" s="311"/>
      <c r="BB97" s="311"/>
      <c r="BC97" s="311"/>
      <c r="BD97" s="311"/>
      <c r="BE97" s="311"/>
      <c r="BF97" s="311"/>
      <c r="BG97" s="311"/>
      <c r="BH97" s="311"/>
      <c r="BI97" s="311"/>
      <c r="BJ97" s="311"/>
      <c r="BK97" s="311"/>
      <c r="BL97" s="311"/>
      <c r="BM97" s="311"/>
      <c r="BN97" s="313"/>
      <c r="BO97" s="314"/>
    </row>
    <row r="98" spans="2:67" x14ac:dyDescent="0.2">
      <c r="B98" s="308" t="s">
        <v>178</v>
      </c>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s="309"/>
      <c r="BO98" s="40"/>
    </row>
    <row r="99" spans="2:67" x14ac:dyDescent="0.2">
      <c r="B99" s="308" t="s">
        <v>179</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s="309"/>
      <c r="BO99" s="40"/>
    </row>
    <row r="100" spans="2:67" x14ac:dyDescent="0.2">
      <c r="B100" s="308" t="s">
        <v>180</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s="309"/>
      <c r="BO100" s="40"/>
    </row>
    <row r="101" spans="2:67" ht="17" thickBot="1" x14ac:dyDescent="0.25">
      <c r="B101" s="317" t="s">
        <v>181</v>
      </c>
      <c r="C101" s="318"/>
      <c r="D101" s="318"/>
      <c r="E101" s="318"/>
      <c r="F101" s="318"/>
      <c r="G101" s="318"/>
      <c r="H101" s="318"/>
      <c r="I101" s="318"/>
      <c r="J101" s="318"/>
      <c r="K101" s="318"/>
      <c r="L101" s="318"/>
      <c r="M101" s="318"/>
      <c r="N101" s="318"/>
      <c r="O101" s="318"/>
      <c r="P101" s="318"/>
      <c r="Q101" s="318"/>
      <c r="R101" s="318"/>
      <c r="S101" s="318"/>
      <c r="T101" s="318"/>
      <c r="U101" s="318"/>
      <c r="V101" s="318"/>
      <c r="W101" s="318"/>
      <c r="X101" s="318"/>
      <c r="Y101" s="318"/>
      <c r="Z101" s="318"/>
      <c r="AA101" s="318"/>
      <c r="AB101" s="318"/>
      <c r="AC101" s="318"/>
      <c r="AD101" s="318"/>
      <c r="AE101" s="318"/>
      <c r="AF101" s="318"/>
      <c r="AG101" s="318"/>
      <c r="AH101" s="318"/>
      <c r="AI101" s="318"/>
      <c r="AJ101" s="318"/>
      <c r="AK101" s="318"/>
      <c r="AL101" s="318"/>
      <c r="AM101" s="318"/>
      <c r="AN101" s="318"/>
      <c r="AO101" s="318"/>
      <c r="AP101" s="318"/>
      <c r="AQ101" s="318"/>
      <c r="AR101" s="318"/>
      <c r="AS101" s="318"/>
      <c r="AT101" s="318"/>
      <c r="AU101" s="318"/>
      <c r="AV101" s="318"/>
      <c r="AW101" s="318"/>
      <c r="AX101" s="318"/>
      <c r="AY101" s="318"/>
      <c r="AZ101" s="318"/>
      <c r="BA101" s="318"/>
      <c r="BB101" s="318"/>
      <c r="BC101" s="318"/>
      <c r="BD101" s="318"/>
      <c r="BE101" s="318"/>
      <c r="BF101" s="318"/>
      <c r="BG101" s="318"/>
      <c r="BH101" s="318"/>
      <c r="BI101" s="318"/>
      <c r="BJ101" s="318"/>
      <c r="BK101" s="318"/>
      <c r="BL101" s="318"/>
      <c r="BM101" s="318"/>
      <c r="BN101" s="319"/>
      <c r="BO101" s="47"/>
    </row>
  </sheetData>
  <mergeCells count="1">
    <mergeCell ref="B5:H5"/>
  </mergeCells>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S53"/>
  <sheetViews>
    <sheetView workbookViewId="0">
      <selection activeCell="E27" sqref="E27"/>
    </sheetView>
  </sheetViews>
  <sheetFormatPr baseColWidth="10" defaultRowHeight="16" x14ac:dyDescent="0.2"/>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29" style="1" customWidth="1"/>
    <col min="8" max="8" width="14" style="1" bestFit="1" customWidth="1"/>
    <col min="9" max="9" width="17.5" style="1" customWidth="1"/>
    <col min="10" max="10" width="16.83203125" style="1" bestFit="1" customWidth="1"/>
    <col min="11" max="11" width="13.1640625" style="1" bestFit="1" customWidth="1"/>
    <col min="12" max="12" width="17.5" style="527" customWidth="1"/>
    <col min="13" max="13" width="16.6640625" style="527" customWidth="1"/>
    <col min="14" max="14" width="16.6640625" style="1" customWidth="1"/>
    <col min="15" max="15" width="16.83203125" style="1" customWidth="1"/>
    <col min="16" max="17" width="17.1640625" style="1" customWidth="1"/>
    <col min="18" max="18" width="22.83203125" style="109" customWidth="1"/>
    <col min="19" max="19" width="29.1640625" style="1" bestFit="1" customWidth="1"/>
    <col min="20" max="16384" width="10.83203125" style="1"/>
  </cols>
  <sheetData>
    <row r="2" spans="2:19" ht="21" x14ac:dyDescent="0.25">
      <c r="B2" s="2" t="s">
        <v>187</v>
      </c>
    </row>
    <row r="4" spans="2:19" x14ac:dyDescent="0.2">
      <c r="B4" s="3" t="s">
        <v>78</v>
      </c>
      <c r="C4" s="4"/>
      <c r="D4" s="4"/>
      <c r="E4" s="5"/>
      <c r="F4" s="17"/>
    </row>
    <row r="5" spans="2:19" x14ac:dyDescent="0.2">
      <c r="B5" s="472" t="s">
        <v>695</v>
      </c>
      <c r="C5" s="473"/>
      <c r="D5" s="473"/>
      <c r="E5" s="493"/>
      <c r="F5" s="407"/>
      <c r="G5" s="135"/>
      <c r="H5" s="135"/>
      <c r="I5" s="135"/>
      <c r="J5" s="135"/>
      <c r="K5" s="135"/>
      <c r="L5" s="528"/>
      <c r="M5" s="528"/>
      <c r="N5" s="135"/>
      <c r="O5" s="135"/>
      <c r="P5" s="135"/>
      <c r="Q5" s="135"/>
    </row>
    <row r="6" spans="2:19" ht="17" thickBot="1" x14ac:dyDescent="0.25"/>
    <row r="7" spans="2:19" x14ac:dyDescent="0.2">
      <c r="B7" s="463" t="s">
        <v>587</v>
      </c>
      <c r="C7" s="464"/>
      <c r="D7" s="464"/>
      <c r="E7" s="484" t="s">
        <v>694</v>
      </c>
      <c r="F7" s="457" t="s">
        <v>692</v>
      </c>
      <c r="G7" s="457"/>
      <c r="H7" s="456"/>
      <c r="I7" s="456"/>
      <c r="J7" s="457"/>
      <c r="K7" s="476"/>
      <c r="L7" s="524" t="s">
        <v>790</v>
      </c>
      <c r="M7" s="524"/>
      <c r="N7" s="479"/>
      <c r="O7" s="49"/>
      <c r="P7" s="49"/>
      <c r="Q7" s="49"/>
      <c r="R7" s="480"/>
    </row>
    <row r="8" spans="2:19" ht="30" customHeight="1" x14ac:dyDescent="0.2">
      <c r="B8" s="474" t="s">
        <v>279</v>
      </c>
      <c r="C8" s="475" t="s">
        <v>182</v>
      </c>
      <c r="E8" s="485" t="s">
        <v>231</v>
      </c>
      <c r="F8" s="1" t="s">
        <v>656</v>
      </c>
      <c r="G8" s="1" t="s">
        <v>769</v>
      </c>
      <c r="H8" s="1" t="s">
        <v>660</v>
      </c>
      <c r="I8" s="1" t="s">
        <v>750</v>
      </c>
      <c r="J8" s="1" t="s">
        <v>657</v>
      </c>
      <c r="K8" s="477" t="s">
        <v>693</v>
      </c>
      <c r="L8" s="528" t="s">
        <v>786</v>
      </c>
      <c r="M8" s="528" t="s">
        <v>787</v>
      </c>
      <c r="N8" s="481" t="s">
        <v>639</v>
      </c>
      <c r="O8" s="482" t="s">
        <v>640</v>
      </c>
      <c r="P8" s="482" t="s">
        <v>478</v>
      </c>
      <c r="Q8" s="482" t="s">
        <v>771</v>
      </c>
      <c r="R8" s="483" t="s">
        <v>641</v>
      </c>
      <c r="S8" s="215" t="s">
        <v>346</v>
      </c>
    </row>
    <row r="9" spans="2:19" ht="15" customHeight="1" x14ac:dyDescent="0.2">
      <c r="B9" s="41"/>
      <c r="C9" s="9"/>
      <c r="D9" s="63"/>
      <c r="E9" s="485"/>
      <c r="F9" s="458" t="s">
        <v>658</v>
      </c>
      <c r="G9" s="458" t="s">
        <v>770</v>
      </c>
      <c r="H9" s="458" t="s">
        <v>659</v>
      </c>
      <c r="I9" s="458" t="s">
        <v>749</v>
      </c>
      <c r="J9" s="458" t="s">
        <v>655</v>
      </c>
      <c r="K9" s="10" t="s">
        <v>688</v>
      </c>
      <c r="L9" s="525"/>
      <c r="M9" s="525"/>
      <c r="N9" s="18"/>
      <c r="O9" s="9"/>
      <c r="P9" s="9"/>
      <c r="Q9" s="9"/>
      <c r="R9" s="478"/>
    </row>
    <row r="10" spans="2:19" x14ac:dyDescent="0.2">
      <c r="B10" s="46" t="s">
        <v>76</v>
      </c>
      <c r="E10" s="17"/>
      <c r="K10" s="7"/>
      <c r="N10" s="65"/>
      <c r="R10" s="128"/>
      <c r="S10" s="215"/>
    </row>
    <row r="11" spans="2:19" x14ac:dyDescent="0.2">
      <c r="B11" s="46"/>
      <c r="C11" t="s">
        <v>389</v>
      </c>
      <c r="D11"/>
      <c r="E11" s="16" t="s">
        <v>661</v>
      </c>
      <c r="F11" s="465"/>
      <c r="G11" s="465"/>
      <c r="H11" s="465"/>
      <c r="I11" s="465"/>
      <c r="J11" s="465"/>
      <c r="K11" s="486"/>
      <c r="L11" s="526"/>
      <c r="M11" s="526"/>
      <c r="N11" s="184">
        <f>F11</f>
        <v>0</v>
      </c>
      <c r="O11" s="166"/>
      <c r="P11"/>
      <c r="Q11"/>
      <c r="R11" s="190">
        <f>N11</f>
        <v>0</v>
      </c>
      <c r="S11" s="215" t="s">
        <v>308</v>
      </c>
    </row>
    <row r="12" spans="2:19" x14ac:dyDescent="0.2">
      <c r="B12" s="46"/>
      <c r="C12" t="s">
        <v>391</v>
      </c>
      <c r="D12"/>
      <c r="E12" s="16" t="s">
        <v>662</v>
      </c>
      <c r="F12" s="465"/>
      <c r="G12" s="465"/>
      <c r="H12" s="465"/>
      <c r="I12" s="465"/>
      <c r="J12" s="465"/>
      <c r="K12" s="486"/>
      <c r="L12" s="526"/>
      <c r="M12" s="526"/>
      <c r="N12" s="184"/>
      <c r="O12" s="166" t="e">
        <f>1/H12</f>
        <v>#DIV/0!</v>
      </c>
      <c r="P12"/>
      <c r="Q12"/>
      <c r="R12" s="190" t="e">
        <f>O12</f>
        <v>#DIV/0!</v>
      </c>
      <c r="S12" s="215" t="s">
        <v>309</v>
      </c>
    </row>
    <row r="13" spans="2:19" x14ac:dyDescent="0.2">
      <c r="B13" s="46"/>
      <c r="C13" t="s">
        <v>393</v>
      </c>
      <c r="D13"/>
      <c r="E13" s="16" t="s">
        <v>883</v>
      </c>
      <c r="F13" s="465"/>
      <c r="G13" s="465"/>
      <c r="H13" s="465"/>
      <c r="I13" s="465"/>
      <c r="J13" s="465"/>
      <c r="K13" s="486"/>
      <c r="L13" s="526"/>
      <c r="M13" s="526"/>
      <c r="N13" s="184">
        <f>F13</f>
        <v>0</v>
      </c>
      <c r="O13" s="166"/>
      <c r="P13"/>
      <c r="Q13"/>
      <c r="R13" s="190">
        <f>N13</f>
        <v>0</v>
      </c>
      <c r="S13" s="215" t="s">
        <v>310</v>
      </c>
    </row>
    <row r="14" spans="2:19" x14ac:dyDescent="0.2">
      <c r="B14" s="62"/>
      <c r="C14" t="s">
        <v>394</v>
      </c>
      <c r="D14"/>
      <c r="E14" s="16" t="s">
        <v>663</v>
      </c>
      <c r="F14" s="465"/>
      <c r="G14" s="465"/>
      <c r="H14" s="465"/>
      <c r="I14" s="465"/>
      <c r="J14" s="465"/>
      <c r="K14" s="486"/>
      <c r="L14" s="526"/>
      <c r="M14" s="526"/>
      <c r="N14" s="184"/>
      <c r="O14" s="166" t="e">
        <f>1/H14</f>
        <v>#DIV/0!</v>
      </c>
      <c r="P14"/>
      <c r="Q14"/>
      <c r="R14" s="190" t="e">
        <f>O14</f>
        <v>#DIV/0!</v>
      </c>
      <c r="S14" s="215" t="s">
        <v>311</v>
      </c>
    </row>
    <row r="15" spans="2:19" x14ac:dyDescent="0.2">
      <c r="B15" s="62"/>
      <c r="C15" t="s">
        <v>396</v>
      </c>
      <c r="D15"/>
      <c r="E15" s="16" t="s">
        <v>664</v>
      </c>
      <c r="F15" s="465"/>
      <c r="G15" s="465"/>
      <c r="H15" s="465"/>
      <c r="I15" s="465"/>
      <c r="J15" s="465"/>
      <c r="K15" s="486"/>
      <c r="L15" s="526"/>
      <c r="M15" s="526"/>
      <c r="N15" s="184">
        <f>F15</f>
        <v>0</v>
      </c>
      <c r="O15" s="166"/>
      <c r="P15"/>
      <c r="Q15"/>
      <c r="R15" s="190">
        <f>N15</f>
        <v>0</v>
      </c>
      <c r="S15" s="215" t="s">
        <v>312</v>
      </c>
    </row>
    <row r="16" spans="2:19" x14ac:dyDescent="0.2">
      <c r="B16" s="62"/>
      <c r="C16" t="s">
        <v>397</v>
      </c>
      <c r="D16"/>
      <c r="E16" s="16" t="s">
        <v>665</v>
      </c>
      <c r="F16" s="465"/>
      <c r="G16" s="465"/>
      <c r="H16" s="465"/>
      <c r="I16" s="465"/>
      <c r="J16" s="465"/>
      <c r="K16" s="486"/>
      <c r="L16" s="526"/>
      <c r="M16" s="526"/>
      <c r="N16" s="184">
        <f>F16</f>
        <v>0</v>
      </c>
      <c r="O16" s="166"/>
      <c r="P16"/>
      <c r="Q16"/>
      <c r="R16" s="190">
        <f>N16</f>
        <v>0</v>
      </c>
      <c r="S16" s="215" t="s">
        <v>313</v>
      </c>
    </row>
    <row r="17" spans="2:19" x14ac:dyDescent="0.2">
      <c r="B17" s="62"/>
      <c r="C17" t="s">
        <v>398</v>
      </c>
      <c r="D17"/>
      <c r="E17" s="16" t="s">
        <v>666</v>
      </c>
      <c r="F17" s="465"/>
      <c r="G17" s="465"/>
      <c r="H17" s="465"/>
      <c r="I17" s="465"/>
      <c r="J17" s="465"/>
      <c r="K17" s="486"/>
      <c r="L17" s="526"/>
      <c r="M17" s="526"/>
      <c r="N17" s="184">
        <f>F17</f>
        <v>0</v>
      </c>
      <c r="O17" s="166"/>
      <c r="P17"/>
      <c r="Q17"/>
      <c r="R17" s="190">
        <f>N17</f>
        <v>0</v>
      </c>
      <c r="S17" s="215" t="s">
        <v>314</v>
      </c>
    </row>
    <row r="18" spans="2:19" x14ac:dyDescent="0.2">
      <c r="B18" s="62"/>
      <c r="C18" t="s">
        <v>399</v>
      </c>
      <c r="D18"/>
      <c r="E18" s="16" t="s">
        <v>667</v>
      </c>
      <c r="F18" s="465"/>
      <c r="G18" s="465"/>
      <c r="H18" s="465"/>
      <c r="I18" s="465"/>
      <c r="J18" s="465"/>
      <c r="K18" s="486"/>
      <c r="L18" s="526"/>
      <c r="M18" s="526"/>
      <c r="N18" s="184">
        <f>F18</f>
        <v>0</v>
      </c>
      <c r="O18" s="166"/>
      <c r="P18"/>
      <c r="Q18"/>
      <c r="R18" s="190">
        <f>N18</f>
        <v>0</v>
      </c>
      <c r="S18" s="215" t="s">
        <v>315</v>
      </c>
    </row>
    <row r="19" spans="2:19" x14ac:dyDescent="0.2">
      <c r="B19" s="62"/>
      <c r="C19" t="s">
        <v>400</v>
      </c>
      <c r="D19"/>
      <c r="E19" s="16" t="s">
        <v>668</v>
      </c>
      <c r="F19" s="465"/>
      <c r="G19" s="465"/>
      <c r="H19" s="465"/>
      <c r="I19" s="465"/>
      <c r="J19" s="465"/>
      <c r="K19" s="486"/>
      <c r="L19" s="526"/>
      <c r="M19" s="526"/>
      <c r="N19" s="184">
        <f>F19</f>
        <v>0</v>
      </c>
      <c r="O19" s="166"/>
      <c r="P19"/>
      <c r="Q19"/>
      <c r="R19" s="190">
        <f>N19</f>
        <v>0</v>
      </c>
      <c r="S19" s="215" t="s">
        <v>316</v>
      </c>
    </row>
    <row r="20" spans="2:19" x14ac:dyDescent="0.2">
      <c r="B20" s="62"/>
      <c r="C20" t="s">
        <v>754</v>
      </c>
      <c r="D20"/>
      <c r="E20" s="16" t="s">
        <v>745</v>
      </c>
      <c r="F20" s="465"/>
      <c r="G20" s="465"/>
      <c r="H20" s="465"/>
      <c r="I20" s="465"/>
      <c r="J20" s="465"/>
      <c r="K20" s="486"/>
      <c r="L20" s="526">
        <v>0.18056857232115001</v>
      </c>
      <c r="M20" s="526">
        <v>0.18744142455482701</v>
      </c>
      <c r="N20" s="184"/>
      <c r="O20" s="166">
        <f>(1-M20)/L20</f>
        <v>4.4999999999999885</v>
      </c>
      <c r="P20"/>
      <c r="Q20"/>
      <c r="R20" s="190">
        <f>O20</f>
        <v>4.4999999999999885</v>
      </c>
      <c r="S20" s="215" t="s">
        <v>748</v>
      </c>
    </row>
    <row r="21" spans="2:19" x14ac:dyDescent="0.2">
      <c r="B21" s="62"/>
      <c r="C21" t="s">
        <v>753</v>
      </c>
      <c r="D21"/>
      <c r="E21" s="16"/>
      <c r="F21" s="465">
        <f t="shared" ref="F21:K21" si="0">F20</f>
        <v>0</v>
      </c>
      <c r="G21" s="465">
        <f t="shared" si="0"/>
        <v>0</v>
      </c>
      <c r="H21" s="465">
        <f>L20</f>
        <v>0.18056857232115001</v>
      </c>
      <c r="I21" s="465">
        <f>M20</f>
        <v>0.18744142455482701</v>
      </c>
      <c r="J21" s="465">
        <f t="shared" si="0"/>
        <v>0</v>
      </c>
      <c r="K21" s="486">
        <f t="shared" si="0"/>
        <v>0</v>
      </c>
      <c r="L21" s="526"/>
      <c r="M21" s="526"/>
      <c r="N21" s="184">
        <f>G21</f>
        <v>0</v>
      </c>
      <c r="O21" s="166"/>
      <c r="P21"/>
      <c r="Q21" s="465">
        <f>G21*I21/((G21*I21)+((1-(SUM(H21:I21))+H21)))</f>
        <v>0</v>
      </c>
      <c r="R21" s="190">
        <f>N21</f>
        <v>0</v>
      </c>
      <c r="S21" s="215" t="s">
        <v>762</v>
      </c>
    </row>
    <row r="22" spans="2:19" x14ac:dyDescent="0.2">
      <c r="B22" s="41"/>
      <c r="C22" s="9"/>
      <c r="D22" s="9"/>
      <c r="E22" s="18"/>
      <c r="F22" s="466"/>
      <c r="G22" s="466"/>
      <c r="H22" s="466"/>
      <c r="I22" s="466"/>
      <c r="J22" s="466"/>
      <c r="K22" s="487"/>
      <c r="L22" s="529"/>
      <c r="M22" s="529"/>
      <c r="N22" s="185"/>
      <c r="O22" s="170"/>
      <c r="P22" s="9"/>
      <c r="Q22" s="9"/>
      <c r="R22" s="191"/>
      <c r="S22" s="183"/>
    </row>
    <row r="23" spans="2:19" x14ac:dyDescent="0.2">
      <c r="B23" s="46" t="s">
        <v>290</v>
      </c>
      <c r="E23" s="17"/>
      <c r="F23" s="467"/>
      <c r="G23" s="467"/>
      <c r="H23" s="467"/>
      <c r="I23" s="467"/>
      <c r="J23" s="467"/>
      <c r="K23" s="488"/>
      <c r="L23" s="530"/>
      <c r="M23" s="530"/>
      <c r="N23" s="186"/>
      <c r="O23" s="109"/>
      <c r="R23" s="128"/>
      <c r="S23" s="183"/>
    </row>
    <row r="24" spans="2:19" x14ac:dyDescent="0.2">
      <c r="B24" s="46"/>
      <c r="C24" t="s">
        <v>390</v>
      </c>
      <c r="D24"/>
      <c r="E24" s="16" t="s">
        <v>669</v>
      </c>
      <c r="F24" s="465"/>
      <c r="G24" s="465"/>
      <c r="H24" s="465"/>
      <c r="I24" s="465"/>
      <c r="J24" s="465"/>
      <c r="K24" s="486"/>
      <c r="L24" s="526"/>
      <c r="M24" s="526"/>
      <c r="N24" s="184">
        <f>F24</f>
        <v>0</v>
      </c>
      <c r="O24" s="166"/>
      <c r="P24"/>
      <c r="Q24"/>
      <c r="R24" s="190">
        <f>N24</f>
        <v>0</v>
      </c>
      <c r="S24" s="215" t="s">
        <v>317</v>
      </c>
    </row>
    <row r="25" spans="2:19" x14ac:dyDescent="0.2">
      <c r="B25" s="46"/>
      <c r="C25" t="s">
        <v>406</v>
      </c>
      <c r="D25"/>
      <c r="E25" s="16" t="s">
        <v>670</v>
      </c>
      <c r="F25" s="465"/>
      <c r="G25" s="465"/>
      <c r="H25" s="465"/>
      <c r="I25" s="465"/>
      <c r="J25" s="465"/>
      <c r="K25" s="486"/>
      <c r="L25" s="526"/>
      <c r="M25" s="526"/>
      <c r="N25" s="184"/>
      <c r="O25" s="166" t="e">
        <f>1/H25</f>
        <v>#DIV/0!</v>
      </c>
      <c r="P25"/>
      <c r="Q25"/>
      <c r="R25" s="190" t="e">
        <f>O25</f>
        <v>#DIV/0!</v>
      </c>
      <c r="S25" s="215" t="s">
        <v>318</v>
      </c>
    </row>
    <row r="26" spans="2:19" x14ac:dyDescent="0.2">
      <c r="B26" s="46"/>
      <c r="C26" t="s">
        <v>392</v>
      </c>
      <c r="D26"/>
      <c r="E26" s="16" t="s">
        <v>884</v>
      </c>
      <c r="F26" s="465"/>
      <c r="G26" s="465"/>
      <c r="H26" s="465"/>
      <c r="I26" s="465"/>
      <c r="J26" s="465"/>
      <c r="K26" s="486"/>
      <c r="L26" s="526"/>
      <c r="M26" s="526"/>
      <c r="N26" s="184">
        <f>F26</f>
        <v>0</v>
      </c>
      <c r="O26" s="166"/>
      <c r="P26"/>
      <c r="Q26"/>
      <c r="R26" s="190">
        <f>N26</f>
        <v>0</v>
      </c>
      <c r="S26" s="215" t="s">
        <v>319</v>
      </c>
    </row>
    <row r="27" spans="2:19" x14ac:dyDescent="0.2">
      <c r="B27" s="62"/>
      <c r="C27" t="s">
        <v>395</v>
      </c>
      <c r="D27"/>
      <c r="E27" s="16" t="s">
        <v>671</v>
      </c>
      <c r="F27" s="465"/>
      <c r="G27" s="465"/>
      <c r="H27" s="465"/>
      <c r="I27" s="465"/>
      <c r="J27" s="465"/>
      <c r="K27" s="486"/>
      <c r="L27" s="526"/>
      <c r="M27" s="526"/>
      <c r="N27" s="184"/>
      <c r="O27" s="166" t="e">
        <f>1/H27</f>
        <v>#DIV/0!</v>
      </c>
      <c r="P27"/>
      <c r="Q27"/>
      <c r="R27" s="190" t="e">
        <f>O27</f>
        <v>#DIV/0!</v>
      </c>
      <c r="S27" s="215" t="s">
        <v>320</v>
      </c>
    </row>
    <row r="28" spans="2:19" x14ac:dyDescent="0.2">
      <c r="B28" s="62"/>
      <c r="C28" t="s">
        <v>401</v>
      </c>
      <c r="D28"/>
      <c r="E28" s="16" t="s">
        <v>672</v>
      </c>
      <c r="F28" s="465"/>
      <c r="G28" s="465"/>
      <c r="H28" s="465"/>
      <c r="I28" s="465"/>
      <c r="J28" s="465"/>
      <c r="K28" s="486"/>
      <c r="L28" s="526"/>
      <c r="M28" s="526"/>
      <c r="N28" s="184">
        <f t="shared" ref="N28:N32" si="1">F28</f>
        <v>0</v>
      </c>
      <c r="O28" s="166"/>
      <c r="P28"/>
      <c r="Q28"/>
      <c r="R28" s="190">
        <f t="shared" ref="R28:R32" si="2">N28</f>
        <v>0</v>
      </c>
      <c r="S28" s="215" t="s">
        <v>321</v>
      </c>
    </row>
    <row r="29" spans="2:19" x14ac:dyDescent="0.2">
      <c r="B29" s="62"/>
      <c r="C29" t="s">
        <v>402</v>
      </c>
      <c r="D29"/>
      <c r="E29" s="16" t="s">
        <v>673</v>
      </c>
      <c r="F29" s="465"/>
      <c r="G29" s="465"/>
      <c r="H29" s="465"/>
      <c r="I29" s="465"/>
      <c r="J29" s="465"/>
      <c r="K29" s="486"/>
      <c r="L29" s="526"/>
      <c r="M29" s="526"/>
      <c r="N29" s="184">
        <f t="shared" si="1"/>
        <v>0</v>
      </c>
      <c r="O29" s="166"/>
      <c r="P29"/>
      <c r="Q29"/>
      <c r="R29" s="190">
        <f t="shared" si="2"/>
        <v>0</v>
      </c>
      <c r="S29" s="215" t="s">
        <v>322</v>
      </c>
    </row>
    <row r="30" spans="2:19" x14ac:dyDescent="0.2">
      <c r="B30" s="62"/>
      <c r="C30" t="s">
        <v>403</v>
      </c>
      <c r="D30"/>
      <c r="E30" s="16" t="s">
        <v>674</v>
      </c>
      <c r="F30" s="465"/>
      <c r="G30" s="465"/>
      <c r="H30" s="465"/>
      <c r="I30" s="465"/>
      <c r="J30" s="465"/>
      <c r="K30" s="486"/>
      <c r="L30" s="526"/>
      <c r="M30" s="526"/>
      <c r="N30" s="184">
        <f t="shared" si="1"/>
        <v>0</v>
      </c>
      <c r="O30" s="166"/>
      <c r="P30"/>
      <c r="Q30"/>
      <c r="R30" s="190">
        <f t="shared" si="2"/>
        <v>0</v>
      </c>
      <c r="S30" s="215" t="s">
        <v>323</v>
      </c>
    </row>
    <row r="31" spans="2:19" x14ac:dyDescent="0.2">
      <c r="B31" s="62"/>
      <c r="C31" t="s">
        <v>404</v>
      </c>
      <c r="D31"/>
      <c r="E31" s="16" t="s">
        <v>675</v>
      </c>
      <c r="F31" s="465"/>
      <c r="G31" s="465"/>
      <c r="H31" s="465"/>
      <c r="I31" s="465"/>
      <c r="J31" s="465"/>
      <c r="K31" s="486"/>
      <c r="L31" s="526"/>
      <c r="M31" s="526"/>
      <c r="N31" s="184">
        <f t="shared" si="1"/>
        <v>0</v>
      </c>
      <c r="O31" s="166"/>
      <c r="P31"/>
      <c r="Q31"/>
      <c r="R31" s="190">
        <f t="shared" si="2"/>
        <v>0</v>
      </c>
      <c r="S31" s="215" t="s">
        <v>324</v>
      </c>
    </row>
    <row r="32" spans="2:19" x14ac:dyDescent="0.2">
      <c r="B32" s="62"/>
      <c r="C32" t="s">
        <v>405</v>
      </c>
      <c r="D32"/>
      <c r="E32" s="16" t="s">
        <v>676</v>
      </c>
      <c r="F32" s="465"/>
      <c r="G32" s="465"/>
      <c r="H32" s="465"/>
      <c r="I32" s="465"/>
      <c r="J32" s="465"/>
      <c r="K32" s="486"/>
      <c r="L32" s="526"/>
      <c r="M32" s="526"/>
      <c r="N32" s="184">
        <f t="shared" si="1"/>
        <v>0</v>
      </c>
      <c r="O32" s="166"/>
      <c r="P32"/>
      <c r="Q32"/>
      <c r="R32" s="190">
        <f t="shared" si="2"/>
        <v>0</v>
      </c>
      <c r="S32" s="215" t="s">
        <v>325</v>
      </c>
    </row>
    <row r="33" spans="2:19" x14ac:dyDescent="0.2">
      <c r="B33" s="62"/>
      <c r="C33" t="s">
        <v>759</v>
      </c>
      <c r="D33"/>
      <c r="E33" s="16" t="s">
        <v>761</v>
      </c>
      <c r="F33" s="465"/>
      <c r="G33" s="465"/>
      <c r="H33" s="465"/>
      <c r="I33" s="465"/>
      <c r="J33" s="465"/>
      <c r="K33" s="486"/>
      <c r="L33" s="526">
        <v>0.22222222222222199</v>
      </c>
      <c r="M33" s="526">
        <v>0.33333333333333298</v>
      </c>
      <c r="N33" s="184"/>
      <c r="O33" s="166">
        <f>(1-M33)/L33</f>
        <v>3.0000000000000044</v>
      </c>
      <c r="P33" s="408"/>
      <c r="Q33" s="408"/>
      <c r="R33" s="190">
        <f>O33</f>
        <v>3.0000000000000044</v>
      </c>
      <c r="S33" s="215" t="s">
        <v>763</v>
      </c>
    </row>
    <row r="34" spans="2:19" x14ac:dyDescent="0.2">
      <c r="B34" s="62"/>
      <c r="C34" t="s">
        <v>760</v>
      </c>
      <c r="D34"/>
      <c r="E34" s="16"/>
      <c r="F34" s="465">
        <f t="shared" ref="F34:K34" si="3">F33</f>
        <v>0</v>
      </c>
      <c r="G34" s="465">
        <f t="shared" si="3"/>
        <v>0</v>
      </c>
      <c r="H34" s="465">
        <f>L33</f>
        <v>0.22222222222222199</v>
      </c>
      <c r="I34" s="465">
        <f>M33</f>
        <v>0.33333333333333298</v>
      </c>
      <c r="J34" s="465">
        <f t="shared" si="3"/>
        <v>0</v>
      </c>
      <c r="K34" s="486">
        <f t="shared" si="3"/>
        <v>0</v>
      </c>
      <c r="L34" s="526"/>
      <c r="M34" s="526"/>
      <c r="N34" s="184">
        <f>G34</f>
        <v>0</v>
      </c>
      <c r="O34" s="166"/>
      <c r="P34"/>
      <c r="Q34" s="465">
        <f>G34*I34/((G34*I34)+((1-(SUM(H34:I34))+H34)))</f>
        <v>0</v>
      </c>
      <c r="R34" s="190">
        <f>N34</f>
        <v>0</v>
      </c>
      <c r="S34" s="215" t="s">
        <v>764</v>
      </c>
    </row>
    <row r="35" spans="2:19" x14ac:dyDescent="0.2">
      <c r="B35" s="28"/>
      <c r="E35" s="17"/>
      <c r="F35" s="467"/>
      <c r="G35" s="467"/>
      <c r="H35" s="467"/>
      <c r="I35" s="467"/>
      <c r="J35" s="467"/>
      <c r="K35" s="488"/>
      <c r="L35" s="530"/>
      <c r="M35" s="530"/>
      <c r="N35" s="187"/>
      <c r="O35" s="109"/>
      <c r="R35" s="192"/>
      <c r="S35" s="183"/>
    </row>
    <row r="36" spans="2:19" x14ac:dyDescent="0.2">
      <c r="B36" s="45" t="s">
        <v>88</v>
      </c>
      <c r="C36" s="4"/>
      <c r="D36" s="4"/>
      <c r="E36" s="270"/>
      <c r="F36" s="468"/>
      <c r="G36" s="468"/>
      <c r="H36" s="468"/>
      <c r="I36" s="468"/>
      <c r="J36" s="468"/>
      <c r="K36" s="489"/>
      <c r="L36" s="531"/>
      <c r="M36" s="531"/>
      <c r="N36" s="188"/>
      <c r="O36" s="193"/>
      <c r="P36" s="4"/>
      <c r="Q36" s="4"/>
      <c r="R36" s="194"/>
      <c r="S36" s="183"/>
    </row>
    <row r="37" spans="2:19" x14ac:dyDescent="0.2">
      <c r="B37" s="62"/>
      <c r="C37" t="s">
        <v>327</v>
      </c>
      <c r="D37"/>
      <c r="E37" s="16" t="s">
        <v>677</v>
      </c>
      <c r="F37" s="465"/>
      <c r="G37" s="465"/>
      <c r="H37" s="465"/>
      <c r="I37" s="465"/>
      <c r="J37" s="465"/>
      <c r="K37" s="486"/>
      <c r="L37" s="526"/>
      <c r="M37" s="526"/>
      <c r="N37" s="184"/>
      <c r="O37" s="166" t="e">
        <f>1/H37</f>
        <v>#DIV/0!</v>
      </c>
      <c r="P37"/>
      <c r="Q37"/>
      <c r="R37" s="190" t="e">
        <f>O37</f>
        <v>#DIV/0!</v>
      </c>
      <c r="S37" s="215" t="s">
        <v>329</v>
      </c>
    </row>
    <row r="38" spans="2:19" x14ac:dyDescent="0.2">
      <c r="B38" s="62"/>
      <c r="C38" t="s">
        <v>326</v>
      </c>
      <c r="D38"/>
      <c r="E38" s="16" t="s">
        <v>678</v>
      </c>
      <c r="F38" s="465"/>
      <c r="G38" s="465"/>
      <c r="H38" s="465"/>
      <c r="I38" s="465"/>
      <c r="J38" s="465"/>
      <c r="K38" s="486"/>
      <c r="L38" s="526"/>
      <c r="M38" s="526"/>
      <c r="N38" s="184"/>
      <c r="O38" s="166" t="e">
        <f>1/H38</f>
        <v>#DIV/0!</v>
      </c>
      <c r="P38"/>
      <c r="Q38"/>
      <c r="R38" s="190" t="e">
        <f>O38</f>
        <v>#DIV/0!</v>
      </c>
      <c r="S38" s="215" t="s">
        <v>330</v>
      </c>
    </row>
    <row r="39" spans="2:19" x14ac:dyDescent="0.2">
      <c r="B39" s="62"/>
      <c r="C39" t="s">
        <v>328</v>
      </c>
      <c r="D39"/>
      <c r="E39" s="16" t="s">
        <v>679</v>
      </c>
      <c r="F39" s="465"/>
      <c r="G39" s="465"/>
      <c r="H39" s="465"/>
      <c r="I39" s="465"/>
      <c r="J39" s="465"/>
      <c r="K39" s="486"/>
      <c r="L39" s="526"/>
      <c r="M39" s="526"/>
      <c r="N39" s="184"/>
      <c r="O39" s="166" t="e">
        <f>1/H39</f>
        <v>#DIV/0!</v>
      </c>
      <c r="P39"/>
      <c r="Q39"/>
      <c r="R39" s="190" t="e">
        <f>O39</f>
        <v>#DIV/0!</v>
      </c>
      <c r="S39" s="215" t="s">
        <v>331</v>
      </c>
    </row>
    <row r="40" spans="2:19" x14ac:dyDescent="0.2">
      <c r="B40" s="41"/>
      <c r="C40" s="9"/>
      <c r="D40" s="9"/>
      <c r="E40" s="18"/>
      <c r="F40" s="466"/>
      <c r="G40" s="466"/>
      <c r="H40" s="466"/>
      <c r="I40" s="466"/>
      <c r="J40" s="466"/>
      <c r="K40" s="487"/>
      <c r="L40" s="529"/>
      <c r="M40" s="529"/>
      <c r="N40" s="185"/>
      <c r="O40" s="170"/>
      <c r="P40" s="9"/>
      <c r="Q40" s="9"/>
      <c r="R40" s="191"/>
      <c r="S40" s="183"/>
    </row>
    <row r="41" spans="2:19" x14ac:dyDescent="0.2">
      <c r="B41" s="46" t="s">
        <v>276</v>
      </c>
      <c r="E41" s="17"/>
      <c r="F41" s="467"/>
      <c r="G41" s="467"/>
      <c r="H41" s="467"/>
      <c r="I41" s="467"/>
      <c r="J41" s="467"/>
      <c r="K41" s="488"/>
      <c r="L41" s="530"/>
      <c r="M41" s="530"/>
      <c r="N41" s="186"/>
      <c r="O41" s="109"/>
      <c r="R41" s="128"/>
      <c r="S41" s="183"/>
    </row>
    <row r="42" spans="2:19" x14ac:dyDescent="0.2">
      <c r="B42" s="46"/>
      <c r="C42" t="s">
        <v>337</v>
      </c>
      <c r="D42"/>
      <c r="E42" s="16" t="s">
        <v>680</v>
      </c>
      <c r="F42" s="465"/>
      <c r="G42" s="465"/>
      <c r="H42" s="465"/>
      <c r="I42" s="465"/>
      <c r="J42" s="465"/>
      <c r="K42" s="486"/>
      <c r="L42" s="526"/>
      <c r="M42" s="526"/>
      <c r="N42" s="184">
        <f>F42</f>
        <v>0</v>
      </c>
      <c r="O42" s="166"/>
      <c r="P42"/>
      <c r="Q42"/>
      <c r="R42" s="190">
        <f>N42</f>
        <v>0</v>
      </c>
      <c r="S42" s="215" t="s">
        <v>342</v>
      </c>
    </row>
    <row r="43" spans="2:19" x14ac:dyDescent="0.2">
      <c r="B43" s="46"/>
      <c r="C43" t="s">
        <v>385</v>
      </c>
      <c r="D43"/>
      <c r="E43" s="16" t="s">
        <v>681</v>
      </c>
      <c r="F43" s="465"/>
      <c r="G43" s="465"/>
      <c r="H43" s="465"/>
      <c r="I43" s="465"/>
      <c r="J43" s="465"/>
      <c r="K43" s="486"/>
      <c r="L43" s="526"/>
      <c r="M43" s="526"/>
      <c r="N43" s="184">
        <f>F43</f>
        <v>0</v>
      </c>
      <c r="O43" s="166"/>
      <c r="P43"/>
      <c r="Q43"/>
      <c r="R43" s="190">
        <f t="shared" ref="R43:R46" si="4">N43</f>
        <v>0</v>
      </c>
      <c r="S43" s="215" t="s">
        <v>341</v>
      </c>
    </row>
    <row r="44" spans="2:19" x14ac:dyDescent="0.2">
      <c r="B44" s="46"/>
      <c r="C44" t="s">
        <v>338</v>
      </c>
      <c r="D44"/>
      <c r="E44" s="16" t="s">
        <v>682</v>
      </c>
      <c r="F44" s="465"/>
      <c r="G44" s="465"/>
      <c r="H44" s="465"/>
      <c r="I44" s="465"/>
      <c r="J44" s="465"/>
      <c r="K44" s="486"/>
      <c r="L44" s="526"/>
      <c r="M44" s="526"/>
      <c r="N44" s="184">
        <f>F44</f>
        <v>0</v>
      </c>
      <c r="O44" s="166"/>
      <c r="P44"/>
      <c r="Q44"/>
      <c r="R44" s="190">
        <f t="shared" si="4"/>
        <v>0</v>
      </c>
      <c r="S44" s="215" t="s">
        <v>343</v>
      </c>
    </row>
    <row r="45" spans="2:19" x14ac:dyDescent="0.2">
      <c r="B45" s="46"/>
      <c r="C45" t="s">
        <v>339</v>
      </c>
      <c r="D45"/>
      <c r="E45" s="16" t="s">
        <v>683</v>
      </c>
      <c r="F45" s="465"/>
      <c r="G45" s="465"/>
      <c r="H45" s="465"/>
      <c r="I45" s="465"/>
      <c r="J45" s="465"/>
      <c r="K45" s="486"/>
      <c r="L45" s="526"/>
      <c r="M45" s="526"/>
      <c r="N45" s="184">
        <f>F45</f>
        <v>0</v>
      </c>
      <c r="O45" s="166"/>
      <c r="P45"/>
      <c r="Q45"/>
      <c r="R45" s="190">
        <f t="shared" si="4"/>
        <v>0</v>
      </c>
      <c r="S45" s="215" t="s">
        <v>344</v>
      </c>
    </row>
    <row r="46" spans="2:19" x14ac:dyDescent="0.2">
      <c r="B46" s="62"/>
      <c r="C46" t="s">
        <v>340</v>
      </c>
      <c r="D46"/>
      <c r="E46" s="16" t="s">
        <v>684</v>
      </c>
      <c r="F46" s="465"/>
      <c r="G46" s="465"/>
      <c r="H46" s="465"/>
      <c r="I46" s="465"/>
      <c r="J46" s="465"/>
      <c r="K46" s="486"/>
      <c r="L46" s="526"/>
      <c r="M46" s="526"/>
      <c r="N46" s="184">
        <f>F46</f>
        <v>0</v>
      </c>
      <c r="O46" s="166"/>
      <c r="P46"/>
      <c r="Q46"/>
      <c r="R46" s="190">
        <f t="shared" si="4"/>
        <v>0</v>
      </c>
      <c r="S46" s="215" t="s">
        <v>345</v>
      </c>
    </row>
    <row r="47" spans="2:19" x14ac:dyDescent="0.2">
      <c r="B47" s="108"/>
      <c r="C47" s="42"/>
      <c r="D47" s="42"/>
      <c r="E47" s="490"/>
      <c r="F47" s="469"/>
      <c r="G47" s="469"/>
      <c r="H47" s="469"/>
      <c r="I47" s="469"/>
      <c r="J47" s="469"/>
      <c r="K47" s="491"/>
      <c r="L47" s="532"/>
      <c r="M47" s="532"/>
      <c r="N47" s="189"/>
      <c r="O47" s="195"/>
      <c r="P47" s="42"/>
      <c r="Q47" s="42"/>
      <c r="R47" s="196"/>
      <c r="S47" s="183"/>
    </row>
    <row r="48" spans="2:19" x14ac:dyDescent="0.2">
      <c r="B48" s="35" t="s">
        <v>75</v>
      </c>
      <c r="E48" s="17"/>
      <c r="F48" s="467"/>
      <c r="G48" s="467"/>
      <c r="H48" s="467"/>
      <c r="I48" s="467"/>
      <c r="J48" s="467"/>
      <c r="K48" s="488"/>
      <c r="L48" s="530"/>
      <c r="M48" s="530"/>
      <c r="N48" s="187"/>
      <c r="O48" s="109"/>
      <c r="R48" s="192"/>
      <c r="S48" s="183"/>
    </row>
    <row r="49" spans="2:19" x14ac:dyDescent="0.2">
      <c r="B49" s="62"/>
      <c r="C49" t="s">
        <v>98</v>
      </c>
      <c r="D49"/>
      <c r="E49" s="16" t="s">
        <v>685</v>
      </c>
      <c r="F49" s="465"/>
      <c r="G49" s="465"/>
      <c r="H49" s="465"/>
      <c r="I49" s="465"/>
      <c r="J49" s="465"/>
      <c r="K49" s="486"/>
      <c r="L49" s="526"/>
      <c r="M49" s="526"/>
      <c r="N49" s="184"/>
      <c r="O49" s="166"/>
      <c r="P49"/>
      <c r="Q49"/>
      <c r="R49" s="459">
        <f>K49</f>
        <v>0</v>
      </c>
      <c r="S49" s="215" t="s">
        <v>334</v>
      </c>
    </row>
    <row r="50" spans="2:19" x14ac:dyDescent="0.2">
      <c r="B50" s="62"/>
      <c r="C50" t="s">
        <v>333</v>
      </c>
      <c r="D50"/>
      <c r="E50" s="16" t="s">
        <v>686</v>
      </c>
      <c r="F50" s="465"/>
      <c r="G50" s="465"/>
      <c r="H50" s="465"/>
      <c r="I50" s="465"/>
      <c r="J50" s="465"/>
      <c r="K50" s="486"/>
      <c r="L50" s="526"/>
      <c r="M50" s="526"/>
      <c r="N50" s="184"/>
      <c r="O50" s="166"/>
      <c r="P50"/>
      <c r="Q50"/>
      <c r="R50" s="459">
        <f>K50</f>
        <v>0</v>
      </c>
      <c r="S50" s="215" t="s">
        <v>335</v>
      </c>
    </row>
    <row r="51" spans="2:19" x14ac:dyDescent="0.2">
      <c r="B51" s="62"/>
      <c r="C51" t="s">
        <v>99</v>
      </c>
      <c r="D51"/>
      <c r="E51" s="16" t="s">
        <v>687</v>
      </c>
      <c r="F51" s="465"/>
      <c r="G51" s="465"/>
      <c r="H51" s="465"/>
      <c r="I51" s="465"/>
      <c r="J51" s="465"/>
      <c r="K51" s="486"/>
      <c r="L51" s="526"/>
      <c r="M51" s="526"/>
      <c r="N51" s="184"/>
      <c r="O51" s="166"/>
      <c r="P51"/>
      <c r="Q51"/>
      <c r="R51" s="459">
        <f>K51</f>
        <v>0</v>
      </c>
      <c r="S51" s="215" t="s">
        <v>336</v>
      </c>
    </row>
    <row r="52" spans="2:19" ht="17" thickBot="1" x14ac:dyDescent="0.25">
      <c r="B52" s="44"/>
      <c r="C52" s="69"/>
      <c r="D52" s="69"/>
      <c r="E52" s="119"/>
      <c r="F52" s="470"/>
      <c r="G52" s="470"/>
      <c r="H52" s="470"/>
      <c r="I52" s="470"/>
      <c r="J52" s="470"/>
      <c r="K52" s="492"/>
      <c r="L52" s="533"/>
      <c r="M52" s="533"/>
      <c r="N52" s="119"/>
      <c r="O52" s="69"/>
      <c r="P52" s="69"/>
      <c r="Q52" s="69"/>
      <c r="R52" s="129"/>
    </row>
    <row r="53" spans="2:19" x14ac:dyDescent="0.2">
      <c r="F53" s="467"/>
      <c r="G53" s="467"/>
      <c r="H53" s="467"/>
      <c r="I53" s="467"/>
      <c r="J53" s="467"/>
      <c r="K53" s="467"/>
      <c r="L53" s="530"/>
      <c r="M53" s="530"/>
    </row>
  </sheetData>
  <pageMargins left="0.75" right="0.75" top="1" bottom="1" header="0.5" footer="0.5"/>
  <pageSetup paperSize="9" orientation="portrait" horizontalDpi="4294967292" verticalDpi="4294967292"/>
  <ignoredErrors>
    <ignoredError sqref="R27 R12 R13:R14"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5" tint="0.39997558519241921"/>
  </sheetPr>
  <dimension ref="B2:F38"/>
  <sheetViews>
    <sheetView workbookViewId="0">
      <selection activeCell="D17" sqref="D17"/>
    </sheetView>
  </sheetViews>
  <sheetFormatPr baseColWidth="10" defaultRowHeight="16" x14ac:dyDescent="0.2"/>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1" x14ac:dyDescent="0.25">
      <c r="B2" s="2" t="s">
        <v>534</v>
      </c>
    </row>
    <row r="4" spans="2:6" x14ac:dyDescent="0.2">
      <c r="B4" s="3" t="s">
        <v>78</v>
      </c>
      <c r="C4" s="4"/>
      <c r="D4" s="4"/>
      <c r="E4" s="5"/>
    </row>
    <row r="5" spans="2:6" x14ac:dyDescent="0.2">
      <c r="B5" s="594" t="s">
        <v>379</v>
      </c>
      <c r="C5" s="596"/>
      <c r="D5" s="596"/>
      <c r="E5" s="595"/>
      <c r="F5" s="143"/>
    </row>
    <row r="6" spans="2:6" ht="17" thickBot="1" x14ac:dyDescent="0.25"/>
    <row r="7" spans="2:6" ht="34" x14ac:dyDescent="0.2">
      <c r="B7" s="140" t="s">
        <v>383</v>
      </c>
      <c r="C7" s="394" t="s">
        <v>279</v>
      </c>
      <c r="D7" s="120" t="s">
        <v>411</v>
      </c>
      <c r="E7" s="121" t="s">
        <v>277</v>
      </c>
      <c r="F7" s="144"/>
    </row>
    <row r="8" spans="2:6" x14ac:dyDescent="0.2">
      <c r="B8" s="158" t="s">
        <v>205</v>
      </c>
      <c r="D8" s="270"/>
      <c r="E8" s="95"/>
    </row>
    <row r="9" spans="2:6" x14ac:dyDescent="0.2">
      <c r="B9" s="160"/>
      <c r="C9" t="s">
        <v>96</v>
      </c>
      <c r="D9" s="275" t="e">
        <f>SUM('Final demand per energy carrier'!H15:H25)</f>
        <v>#DIV/0!</v>
      </c>
      <c r="E9" s="272" t="e">
        <f>IF(SUM($D$9:$D$10)=0,1,D9/SUM($D$9:$D$10))</f>
        <v>#DIV/0!</v>
      </c>
    </row>
    <row r="10" spans="2:6" x14ac:dyDescent="0.2">
      <c r="B10" s="160"/>
      <c r="C10" t="s">
        <v>381</v>
      </c>
      <c r="D10" s="275" t="e">
        <f>SUM('Final demand per energy carrier'!H28:H38)</f>
        <v>#DIV/0!</v>
      </c>
      <c r="E10" s="272" t="e">
        <f>IF(SUM($D$9:$D$10)=0,0,D10/SUM($D$9:$D$10))</f>
        <v>#DIV/0!</v>
      </c>
    </row>
    <row r="11" spans="2:6" x14ac:dyDescent="0.2">
      <c r="B11" s="160"/>
      <c r="C11" s="9"/>
      <c r="D11" s="276"/>
      <c r="E11" s="273"/>
    </row>
    <row r="12" spans="2:6" x14ac:dyDescent="0.2">
      <c r="B12" s="158" t="s">
        <v>207</v>
      </c>
      <c r="D12" s="277"/>
      <c r="E12" s="274"/>
    </row>
    <row r="13" spans="2:6" x14ac:dyDescent="0.2">
      <c r="B13" s="160"/>
      <c r="C13" t="s">
        <v>96</v>
      </c>
      <c r="D13" s="275" t="e">
        <f>SUM('Final demand per energy carrier'!I15:I25)</f>
        <v>#DIV/0!</v>
      </c>
      <c r="E13" s="272" t="e">
        <f>IF(SUM($D$13:$D$14)=0,1,D13/SUM($D$13:$D$14))</f>
        <v>#DIV/0!</v>
      </c>
    </row>
    <row r="14" spans="2:6" x14ac:dyDescent="0.2">
      <c r="B14" s="160"/>
      <c r="C14" t="s">
        <v>290</v>
      </c>
      <c r="D14" s="275" t="e">
        <f>SUM('Final demand per energy carrier'!I28:I38)</f>
        <v>#DIV/0!</v>
      </c>
      <c r="E14" s="272" t="e">
        <f>IF(SUM($D$13:$D$14)=0,0,D14/SUM($D$13:$D$14))</f>
        <v>#DIV/0!</v>
      </c>
    </row>
    <row r="15" spans="2:6" x14ac:dyDescent="0.2">
      <c r="B15" s="160"/>
      <c r="D15" s="276"/>
      <c r="E15" s="273"/>
    </row>
    <row r="16" spans="2:6" x14ac:dyDescent="0.2">
      <c r="B16" s="158" t="s">
        <v>384</v>
      </c>
      <c r="C16" s="271"/>
      <c r="D16" s="277"/>
      <c r="E16" s="274"/>
    </row>
    <row r="17" spans="2:5" x14ac:dyDescent="0.2">
      <c r="B17" s="160"/>
      <c r="C17" t="s">
        <v>96</v>
      </c>
      <c r="D17" s="275" t="e">
        <f>SUM('Final demand per energy carrier'!E15:E25)</f>
        <v>#DIV/0!</v>
      </c>
      <c r="E17" s="272" t="e">
        <f>IF(SUM($D$17:$D$20)=0,1,D17/SUM($D$17:$D$20))</f>
        <v>#DIV/0!</v>
      </c>
    </row>
    <row r="18" spans="2:5" x14ac:dyDescent="0.2">
      <c r="B18" s="160"/>
      <c r="C18" t="s">
        <v>381</v>
      </c>
      <c r="D18" s="275" t="e">
        <f>SUM('Final demand per energy carrier'!E28:E38)</f>
        <v>#DIV/0!</v>
      </c>
      <c r="E18" s="272" t="e">
        <f>IF(SUM($D$17:$D$20)=0,0,D18/SUM($D$17:$D$20))</f>
        <v>#DIV/0!</v>
      </c>
    </row>
    <row r="19" spans="2:5" x14ac:dyDescent="0.2">
      <c r="B19" s="160"/>
      <c r="C19" t="s">
        <v>95</v>
      </c>
      <c r="D19" s="275">
        <f>SUM('Final demand per energy carrier'!E41:E43)</f>
        <v>0</v>
      </c>
      <c r="E19" s="272" t="e">
        <f>IF(SUM($D$17:$D$20)=0,0,D19/SUM($D$17:$D$20))</f>
        <v>#DIV/0!</v>
      </c>
    </row>
    <row r="20" spans="2:5" x14ac:dyDescent="0.2">
      <c r="B20" s="389"/>
      <c r="C20" t="s">
        <v>276</v>
      </c>
      <c r="D20" s="275" t="e">
        <f>SUM('Final demand per energy carrier'!E47:E51)</f>
        <v>#DIV/0!</v>
      </c>
      <c r="E20" s="272" t="e">
        <f>IF(SUM($D$17:$D$20)=0,0,D20/SUM($D$17:$D$20))</f>
        <v>#DIV/0!</v>
      </c>
    </row>
    <row r="21" spans="2:5" x14ac:dyDescent="0.2">
      <c r="B21" s="35"/>
      <c r="D21" s="276"/>
      <c r="E21" s="273"/>
    </row>
    <row r="22" spans="2:5" x14ac:dyDescent="0.2">
      <c r="B22" s="158" t="s">
        <v>377</v>
      </c>
      <c r="C22" s="271"/>
      <c r="D22" s="277"/>
      <c r="E22" s="274"/>
    </row>
    <row r="23" spans="2:5" x14ac:dyDescent="0.2">
      <c r="B23" s="160"/>
      <c r="C23" t="s">
        <v>96</v>
      </c>
      <c r="D23" s="275" t="e">
        <f>SUM('Final demand per energy carrier'!J15:J25)</f>
        <v>#DIV/0!</v>
      </c>
      <c r="E23" s="272" t="e">
        <f>IF(SUM($D$23:$D$25)=0,1,D23/SUM($D$23:$D$25))</f>
        <v>#DIV/0!</v>
      </c>
    </row>
    <row r="24" spans="2:5" x14ac:dyDescent="0.2">
      <c r="B24" s="160"/>
      <c r="C24" t="s">
        <v>381</v>
      </c>
      <c r="D24" s="275" t="e">
        <f>SUM('Final demand per energy carrier'!J28:J38)</f>
        <v>#DIV/0!</v>
      </c>
      <c r="E24" s="272" t="e">
        <f>IF(SUM($D$23:$D$25)=0,0,D24/SUM($D$23:$D$25))</f>
        <v>#DIV/0!</v>
      </c>
    </row>
    <row r="25" spans="2:5" x14ac:dyDescent="0.2">
      <c r="B25" s="160"/>
      <c r="C25" t="s">
        <v>276</v>
      </c>
      <c r="D25" s="275" t="e">
        <f>SUM('Final demand per energy carrier'!J47:J51)</f>
        <v>#DIV/0!</v>
      </c>
      <c r="E25" s="272" t="e">
        <f>IF(SUM($D$23:$D$25)=0,0,D25/SUM($D$23:$D$25))</f>
        <v>#DIV/0!</v>
      </c>
    </row>
    <row r="26" spans="2:5" x14ac:dyDescent="0.2">
      <c r="B26" s="160"/>
      <c r="D26" s="276"/>
      <c r="E26" s="273"/>
    </row>
    <row r="27" spans="2:5" x14ac:dyDescent="0.2">
      <c r="B27" s="158" t="s">
        <v>220</v>
      </c>
      <c r="C27" s="271"/>
      <c r="D27" s="277"/>
      <c r="E27" s="274"/>
    </row>
    <row r="28" spans="2:5" x14ac:dyDescent="0.2">
      <c r="B28" s="160"/>
      <c r="C28" t="s">
        <v>96</v>
      </c>
      <c r="D28" s="275" t="e">
        <f>SUM('Final demand per energy carrier'!F15:F25)</f>
        <v>#DIV/0!</v>
      </c>
      <c r="E28" s="272" t="e">
        <f>IF(SUM($D$28:$D$33)=0,1,D28/SUM($D$28:$D$33))</f>
        <v>#DIV/0!</v>
      </c>
    </row>
    <row r="29" spans="2:5" x14ac:dyDescent="0.2">
      <c r="B29" s="160"/>
      <c r="C29" t="s">
        <v>381</v>
      </c>
      <c r="D29" s="275" t="e">
        <f>SUM('Final demand per energy carrier'!F28:F38)</f>
        <v>#DIV/0!</v>
      </c>
      <c r="E29" s="272" t="e">
        <f>IF(SUM($D$28:$D$33)=0,0,D29/SUM($D$28:$D$33))</f>
        <v>#DIV/0!</v>
      </c>
    </row>
    <row r="30" spans="2:5" x14ac:dyDescent="0.2">
      <c r="B30" s="160"/>
      <c r="C30" t="s">
        <v>276</v>
      </c>
      <c r="D30" s="275" t="e">
        <f>SUM('Final demand per energy carrier'!F47:F51)</f>
        <v>#DIV/0!</v>
      </c>
      <c r="E30" s="272" t="e">
        <f>IF(SUM($D$28:$D$33)=0,0,D30/SUM($D$28:$D$33))</f>
        <v>#DIV/0!</v>
      </c>
    </row>
    <row r="31" spans="2:5" x14ac:dyDescent="0.2">
      <c r="B31" s="160"/>
      <c r="C31" t="s">
        <v>75</v>
      </c>
      <c r="D31" s="275" t="e">
        <f>SUM('Final demand per energy carrier'!F55:F57)</f>
        <v>#DIV/0!</v>
      </c>
      <c r="E31" s="272" t="e">
        <f>IF(SUM($D$28:$D$33)=0,0,D31/SUM($D$28:$D$33))</f>
        <v>#DIV/0!</v>
      </c>
    </row>
    <row r="32" spans="2:5" x14ac:dyDescent="0.2">
      <c r="B32" s="160"/>
      <c r="C32" t="s">
        <v>649</v>
      </c>
      <c r="D32" s="275">
        <f>SUM('Final demand per energy carrier'!F61:F68)</f>
        <v>0</v>
      </c>
      <c r="E32" s="272" t="e">
        <f>IF(SUM($D$28:$D$33)=0,0,D32/SUM($D$28:$D$33))</f>
        <v>#DIV/0!</v>
      </c>
    </row>
    <row r="33" spans="2:5" x14ac:dyDescent="0.2">
      <c r="B33" s="160"/>
      <c r="C33" t="s">
        <v>95</v>
      </c>
      <c r="D33" s="275" t="e">
        <f>SUM('Final demand per energy carrier'!F41:F43)</f>
        <v>#DIV/0!</v>
      </c>
      <c r="E33" s="272" t="e">
        <f>IF(SUM($D$28:$D$33)=0,0,D33/SUM($D$28:$D$33))</f>
        <v>#DIV/0!</v>
      </c>
    </row>
    <row r="34" spans="2:5" x14ac:dyDescent="0.2">
      <c r="B34" s="390"/>
      <c r="D34" s="276"/>
      <c r="E34" s="273"/>
    </row>
    <row r="35" spans="2:5" x14ac:dyDescent="0.2">
      <c r="B35" s="391" t="s">
        <v>637</v>
      </c>
      <c r="C35" s="271"/>
      <c r="D35" s="277"/>
      <c r="E35" s="274"/>
    </row>
    <row r="36" spans="2:5" x14ac:dyDescent="0.2">
      <c r="B36" s="160"/>
      <c r="C36" t="s">
        <v>96</v>
      </c>
      <c r="D36" s="275" t="e">
        <f>SUM('Final demand per energy carrier'!K15:K25)</f>
        <v>#DIV/0!</v>
      </c>
      <c r="E36" s="272" t="e">
        <f>IF(SUM($D$36:$D$37)=0,1,D36/SUM($D$36:$D$37))</f>
        <v>#DIV/0!</v>
      </c>
    </row>
    <row r="37" spans="2:5" x14ac:dyDescent="0.2">
      <c r="B37" s="160"/>
      <c r="C37" t="s">
        <v>381</v>
      </c>
      <c r="D37" s="275" t="e">
        <f>SUM('Final demand per energy carrier'!K28:K38)</f>
        <v>#DIV/0!</v>
      </c>
      <c r="E37" s="272" t="e">
        <f>IF(SUM($D$36:$D$37)=0,0,D37/SUM($D$36:$D$37))</f>
        <v>#DIV/0!</v>
      </c>
    </row>
    <row r="38" spans="2:5" ht="17" thickBot="1" x14ac:dyDescent="0.25">
      <c r="B38" s="392"/>
      <c r="C38" s="69"/>
      <c r="D38" s="119"/>
      <c r="E38" s="70"/>
    </row>
  </sheetData>
  <mergeCells count="1">
    <mergeCell ref="B5:E5"/>
  </mergeCells>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5" tint="0.39997558519241921"/>
  </sheetPr>
  <dimension ref="B2:G57"/>
  <sheetViews>
    <sheetView workbookViewId="0">
      <selection activeCell="H58" sqref="H58"/>
    </sheetView>
  </sheetViews>
  <sheetFormatPr baseColWidth="10" defaultRowHeight="16" x14ac:dyDescent="0.2"/>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1" x14ac:dyDescent="0.25">
      <c r="B2" s="2" t="s">
        <v>536</v>
      </c>
      <c r="C2" s="2"/>
    </row>
    <row r="4" spans="2:7" x14ac:dyDescent="0.2">
      <c r="B4" s="3" t="s">
        <v>78</v>
      </c>
      <c r="C4" s="11"/>
      <c r="D4" s="4"/>
      <c r="E4" s="4"/>
      <c r="F4" s="5"/>
    </row>
    <row r="5" spans="2:7" ht="33" customHeight="1" x14ac:dyDescent="0.2">
      <c r="B5" s="594" t="s">
        <v>514</v>
      </c>
      <c r="C5" s="596"/>
      <c r="D5" s="596"/>
      <c r="E5" s="596"/>
      <c r="F5" s="595"/>
      <c r="G5" s="144"/>
    </row>
    <row r="6" spans="2:7" ht="17" thickBot="1" x14ac:dyDescent="0.25"/>
    <row r="7" spans="2:7" ht="51" x14ac:dyDescent="0.2">
      <c r="B7" s="140" t="s">
        <v>279</v>
      </c>
      <c r="C7" s="145" t="s">
        <v>383</v>
      </c>
      <c r="D7" s="122"/>
      <c r="E7" s="120" t="s">
        <v>380</v>
      </c>
      <c r="F7" s="121" t="s">
        <v>412</v>
      </c>
    </row>
    <row r="8" spans="2:7" x14ac:dyDescent="0.2">
      <c r="B8" s="158" t="s">
        <v>96</v>
      </c>
      <c r="C8" s="393"/>
      <c r="D8" s="142"/>
      <c r="E8" s="270"/>
      <c r="F8" s="95"/>
    </row>
    <row r="9" spans="2:7" x14ac:dyDescent="0.2">
      <c r="B9" s="160"/>
      <c r="C9" s="56" t="s">
        <v>384</v>
      </c>
      <c r="D9" t="str">
        <f>technical_specs!C17</f>
        <v>Gas-fired Heaters (space heating)</v>
      </c>
      <c r="E9" s="278" t="e">
        <f>'Technology split final demand'!I17</f>
        <v>#DIV/0!</v>
      </c>
      <c r="F9" s="281" t="e">
        <f>IF(SUM($E$9:$E$11)=0,0,E9/SUM($E$9:$E$11))</f>
        <v>#DIV/0!</v>
      </c>
    </row>
    <row r="10" spans="2:7" x14ac:dyDescent="0.2">
      <c r="B10" s="160"/>
      <c r="C10" s="56"/>
      <c r="D10" t="str">
        <f>technical_specs!C11</f>
        <v>Condensing Combi Boiler (space heating)</v>
      </c>
      <c r="E10" s="278" t="e">
        <f>'Technology split final demand'!I11</f>
        <v>#DIV/0!</v>
      </c>
      <c r="F10" s="281" t="e">
        <f>IF(SUM($E$9:$E$11)=0,0,E10/SUM($E$9:$E$11))</f>
        <v>#DIV/0!</v>
      </c>
    </row>
    <row r="11" spans="2:7" x14ac:dyDescent="0.2">
      <c r="B11" s="160"/>
      <c r="C11" s="56"/>
      <c r="D11" t="str">
        <f>technical_specs!C21</f>
        <v>Hybrid heatpump, gas part (space heating)</v>
      </c>
      <c r="E11" s="278" t="e">
        <f>'Technology split final demand'!I21</f>
        <v>#DIV/0!</v>
      </c>
      <c r="F11" s="281" t="e">
        <f>IF(SUM($E$9:$E$11)=0,0,E11/SUM($E$9:$E$11))</f>
        <v>#DIV/0!</v>
      </c>
    </row>
    <row r="12" spans="2:7" x14ac:dyDescent="0.2">
      <c r="B12" s="35"/>
      <c r="E12" s="279"/>
      <c r="F12" s="274"/>
    </row>
    <row r="13" spans="2:7" x14ac:dyDescent="0.2">
      <c r="B13" s="35"/>
      <c r="C13" s="56" t="s">
        <v>105</v>
      </c>
      <c r="D13" t="str">
        <f>technical_specs!C16</f>
        <v>Electric Heaters (resistance) (space heating)</v>
      </c>
      <c r="E13" s="278" t="e">
        <f>'Technology split final demand'!I16</f>
        <v>#DIV/0!</v>
      </c>
      <c r="F13" s="281" t="e">
        <f>IF(SUM($E$13:$E$16)=0,1,E13/SUM($E$13:$E$16))</f>
        <v>#DIV/0!</v>
      </c>
    </row>
    <row r="14" spans="2:7" x14ac:dyDescent="0.2">
      <c r="B14" s="35"/>
      <c r="D14" t="str">
        <f>technical_specs!C14</f>
        <v>electricity-driven Heat pump (air) (space heating)</v>
      </c>
      <c r="E14" s="278" t="e">
        <f>'Technology split final demand'!I14</f>
        <v>#DIV/0!</v>
      </c>
      <c r="F14" s="281" t="e">
        <f>IF(SUM($E$13:$E$16)=0,0,E14/SUM($E$13:$E$16))</f>
        <v>#DIV/0!</v>
      </c>
    </row>
    <row r="15" spans="2:7" x14ac:dyDescent="0.2">
      <c r="B15" s="35"/>
      <c r="D15" t="str">
        <f>technical_specs!C12</f>
        <v>Electric Heat Pump (ground) (space heating)</v>
      </c>
      <c r="E15" s="278" t="e">
        <f>'Technology split final demand'!I12</f>
        <v>#DIV/0!</v>
      </c>
      <c r="F15" s="281" t="e">
        <f t="shared" ref="F15" si="0">IF(SUM($E$13:$E$16)=0,0,E15/SUM($E$13:$E$16))</f>
        <v>#DIV/0!</v>
      </c>
    </row>
    <row r="16" spans="2:7" x14ac:dyDescent="0.2">
      <c r="B16" s="35"/>
      <c r="D16" t="str">
        <f>technical_specs!C20</f>
        <v>Hybrid heatpump, heatpump part (space heating)</v>
      </c>
      <c r="E16" s="278" t="e">
        <f>'Technology split final demand'!I20</f>
        <v>#DIV/0!</v>
      </c>
      <c r="F16" s="281" t="e">
        <f>IF(SUM($E$13:$E$16)=0,0,E16/SUM($E$13:$E$16))</f>
        <v>#DIV/0!</v>
      </c>
    </row>
    <row r="17" spans="2:6" x14ac:dyDescent="0.2">
      <c r="B17" s="101"/>
      <c r="C17" s="9"/>
      <c r="D17" s="9"/>
      <c r="E17" s="280"/>
      <c r="F17" s="273"/>
    </row>
    <row r="18" spans="2:6" x14ac:dyDescent="0.2">
      <c r="B18" s="160" t="s">
        <v>381</v>
      </c>
      <c r="E18" s="279"/>
      <c r="F18" s="274"/>
    </row>
    <row r="19" spans="2:6" x14ac:dyDescent="0.2">
      <c r="B19" s="35"/>
      <c r="C19" s="56" t="s">
        <v>384</v>
      </c>
      <c r="D19" t="str">
        <f>technical_specs!C24</f>
        <v>Condensing Combi Boiler (hot water)</v>
      </c>
      <c r="E19" s="278" t="e">
        <f>'Technology split final demand'!I24</f>
        <v>#DIV/0!</v>
      </c>
      <c r="F19" s="281" t="e">
        <f>IF(SUM($E$19:$E$21)=0,0,E19/SUM($E$19:$E$21))</f>
        <v>#DIV/0!</v>
      </c>
    </row>
    <row r="20" spans="2:6" x14ac:dyDescent="0.2">
      <c r="B20" s="35"/>
      <c r="D20" t="str">
        <f>technical_specs!C30</f>
        <v>Gas-fired Heaters (hot water)</v>
      </c>
      <c r="E20" s="278" t="e">
        <f>'Technology split final demand'!I30</f>
        <v>#DIV/0!</v>
      </c>
      <c r="F20" s="281" t="e">
        <f>IF(SUM($E$19:$E$21)=0,0,E20/SUM($E$19:$E$21))</f>
        <v>#DIV/0!</v>
      </c>
    </row>
    <row r="21" spans="2:6" x14ac:dyDescent="0.2">
      <c r="B21" s="35"/>
      <c r="D21" t="str">
        <f>technical_specs!C34</f>
        <v>Hybrid heatpump, gas part (hot water)</v>
      </c>
      <c r="E21" s="278" t="e">
        <f>'Technology split final demand'!I34</f>
        <v>#DIV/0!</v>
      </c>
      <c r="F21" s="281" t="e">
        <f>IF(SUM($E$19:$E$21)=0,0,E21/SUM($E$19:$E$21))</f>
        <v>#DIV/0!</v>
      </c>
    </row>
    <row r="22" spans="2:6" x14ac:dyDescent="0.2">
      <c r="B22" s="35"/>
      <c r="E22" s="279"/>
      <c r="F22" s="282"/>
    </row>
    <row r="23" spans="2:6" x14ac:dyDescent="0.2">
      <c r="B23" s="35"/>
      <c r="C23" s="56" t="s">
        <v>105</v>
      </c>
      <c r="D23" t="str">
        <f>technical_specs!C27</f>
        <v>electricity-driven Heat pump (air) (hot water)</v>
      </c>
      <c r="E23" s="278" t="e">
        <f>'Technology split final demand'!I27</f>
        <v>#DIV/0!</v>
      </c>
      <c r="F23" s="281" t="e">
        <f>IF(SUM($E$23:$E$26)=0,0,E23/SUM($E$23:$E$26))</f>
        <v>#DIV/0!</v>
      </c>
    </row>
    <row r="24" spans="2:6" x14ac:dyDescent="0.2">
      <c r="B24" s="35"/>
      <c r="D24" t="str">
        <f>technical_specs!C25</f>
        <v>Electric Heat Pump (ground) (hot water)</v>
      </c>
      <c r="E24" s="278" t="e">
        <f>'Technology split final demand'!I25</f>
        <v>#DIV/0!</v>
      </c>
      <c r="F24" s="281" t="e">
        <f t="shared" ref="F24:F26" si="1">IF(SUM($E$23:$E$26)=0,0,E24/SUM($E$23:$E$26))</f>
        <v>#DIV/0!</v>
      </c>
    </row>
    <row r="25" spans="2:6" x14ac:dyDescent="0.2">
      <c r="B25" s="35"/>
      <c r="D25" t="str">
        <f>technical_specs!C29</f>
        <v>Electric Heaters (resistance) (hot water)</v>
      </c>
      <c r="E25" s="278" t="e">
        <f>'Technology split final demand'!I29</f>
        <v>#DIV/0!</v>
      </c>
      <c r="F25" s="281" t="e">
        <f t="shared" si="1"/>
        <v>#DIV/0!</v>
      </c>
    </row>
    <row r="26" spans="2:6" x14ac:dyDescent="0.2">
      <c r="B26" s="35"/>
      <c r="D26" t="str">
        <f>technical_specs!C33</f>
        <v>Hybrid heatpump, heatpump part (hot water)</v>
      </c>
      <c r="E26" s="278" t="e">
        <f>'Technology split final demand'!I33</f>
        <v>#DIV/0!</v>
      </c>
      <c r="F26" s="281" t="e">
        <f t="shared" si="1"/>
        <v>#DIV/0!</v>
      </c>
    </row>
    <row r="27" spans="2:6" x14ac:dyDescent="0.2">
      <c r="B27" s="101"/>
      <c r="C27" s="9"/>
      <c r="D27" s="9"/>
      <c r="E27" s="280"/>
      <c r="F27" s="283"/>
    </row>
    <row r="28" spans="2:6" x14ac:dyDescent="0.2">
      <c r="B28" s="160" t="s">
        <v>413</v>
      </c>
      <c r="E28" s="279"/>
      <c r="F28" s="282"/>
    </row>
    <row r="29" spans="2:6" x14ac:dyDescent="0.2">
      <c r="B29" s="35"/>
      <c r="C29" s="56" t="s">
        <v>104</v>
      </c>
      <c r="D29" t="e">
        <f>'Technology split final demand'!#REF!</f>
        <v>#REF!</v>
      </c>
      <c r="E29" s="278" t="e">
        <f>'Technology split final demand'!#REF!</f>
        <v>#REF!</v>
      </c>
      <c r="F29" s="281" t="e">
        <f>IF(SUM($E$29:$E$29)=0,1,E29/SUM($E$29:$E$29))</f>
        <v>#REF!</v>
      </c>
    </row>
    <row r="30" spans="2:6" x14ac:dyDescent="0.2">
      <c r="B30" s="101"/>
      <c r="C30" s="9"/>
      <c r="D30" s="9"/>
      <c r="E30" s="280"/>
      <c r="F30" s="283"/>
    </row>
    <row r="31" spans="2:6" x14ac:dyDescent="0.2">
      <c r="B31" s="160" t="s">
        <v>95</v>
      </c>
      <c r="E31" s="279"/>
      <c r="F31" s="282"/>
    </row>
    <row r="32" spans="2:6" x14ac:dyDescent="0.2">
      <c r="B32" s="35"/>
      <c r="C32" s="56" t="s">
        <v>105</v>
      </c>
      <c r="D32" t="str">
        <f>technical_specs!C39</f>
        <v>Conventional electric airconditioning</v>
      </c>
      <c r="E32" s="278" t="e">
        <f>'Technology split final demand'!I39</f>
        <v>#DIV/0!</v>
      </c>
      <c r="F32" s="281" t="e">
        <f>IF(SUM($E$32:$E$34)=0,1,E32/SUM($E$32:$E$34))</f>
        <v>#DIV/0!</v>
      </c>
    </row>
    <row r="33" spans="2:6" x14ac:dyDescent="0.2">
      <c r="B33" s="35"/>
      <c r="D33" t="str">
        <f>technical_specs!C37</f>
        <v>Electric heat pump ground</v>
      </c>
      <c r="E33" s="278" t="e">
        <f>'Technology split final demand'!I37</f>
        <v>#DIV/0!</v>
      </c>
      <c r="F33" s="281" t="e">
        <f t="shared" ref="F33:F34" si="2">IF(SUM($E$32:$E$34)=0,0,E33/SUM($E$32:$E$34))</f>
        <v>#DIV/0!</v>
      </c>
    </row>
    <row r="34" spans="2:6" x14ac:dyDescent="0.2">
      <c r="B34" s="35"/>
      <c r="D34" t="str">
        <f>technical_specs!C38</f>
        <v>Electric heat pump air</v>
      </c>
      <c r="E34" s="278" t="e">
        <f>'Technology split final demand'!I38</f>
        <v>#DIV/0!</v>
      </c>
      <c r="F34" s="281" t="e">
        <f t="shared" si="2"/>
        <v>#DIV/0!</v>
      </c>
    </row>
    <row r="35" spans="2:6" x14ac:dyDescent="0.2">
      <c r="B35" s="101"/>
      <c r="C35" s="9"/>
      <c r="D35" s="9"/>
      <c r="E35" s="280"/>
      <c r="F35" s="283"/>
    </row>
    <row r="36" spans="2:6" x14ac:dyDescent="0.2">
      <c r="B36" s="160" t="s">
        <v>276</v>
      </c>
      <c r="E36" s="279"/>
      <c r="F36" s="282"/>
    </row>
    <row r="37" spans="2:6" x14ac:dyDescent="0.2">
      <c r="B37" s="35"/>
      <c r="C37" s="56" t="s">
        <v>105</v>
      </c>
      <c r="D37" t="str">
        <f>technical_specs!C44</f>
        <v>Electric halogen stoves</v>
      </c>
      <c r="E37" s="278" t="e">
        <f>'Technology split final demand'!I44</f>
        <v>#DIV/0!</v>
      </c>
      <c r="F37" s="281" t="e">
        <f>IF(SUM($E$37:$E$39)=0,0,E37/SUM($E$37:$E$39))</f>
        <v>#DIV/0!</v>
      </c>
    </row>
    <row r="38" spans="2:6" x14ac:dyDescent="0.2">
      <c r="B38" s="35"/>
      <c r="D38" t="str">
        <f>technical_specs!C45</f>
        <v>Electric induction stoves</v>
      </c>
      <c r="E38" s="278" t="e">
        <f>'Technology split final demand'!I45</f>
        <v>#DIV/0!</v>
      </c>
      <c r="F38" s="281" t="e">
        <f t="shared" ref="F38" si="3">IF(SUM($E$37:$E$39)=0,0,E38/SUM($E$37:$E$39))</f>
        <v>#DIV/0!</v>
      </c>
    </row>
    <row r="39" spans="2:6" x14ac:dyDescent="0.2">
      <c r="B39" s="35"/>
      <c r="D39" t="str">
        <f>technical_specs!C43</f>
        <v>Electric stoves (resistance)</v>
      </c>
      <c r="E39" s="278" t="e">
        <f>'Technology split final demand'!I43</f>
        <v>#DIV/0!</v>
      </c>
      <c r="F39" s="281" t="e">
        <f>IF(SUM($E$37:$E$39)=0,1,E39/SUM($E$37:$E$39))</f>
        <v>#DIV/0!</v>
      </c>
    </row>
    <row r="40" spans="2:6" x14ac:dyDescent="0.2">
      <c r="B40" s="101"/>
      <c r="C40" s="9"/>
      <c r="D40" s="9"/>
      <c r="E40" s="280"/>
      <c r="F40" s="283"/>
    </row>
    <row r="41" spans="2:6" x14ac:dyDescent="0.2">
      <c r="B41" s="160" t="s">
        <v>75</v>
      </c>
      <c r="E41" s="279"/>
      <c r="F41" s="282"/>
    </row>
    <row r="42" spans="2:6" x14ac:dyDescent="0.2">
      <c r="B42" s="35"/>
      <c r="C42" s="56" t="s">
        <v>105</v>
      </c>
      <c r="E42" s="279"/>
      <c r="F42" s="282"/>
    </row>
    <row r="43" spans="2:6" x14ac:dyDescent="0.2">
      <c r="B43" s="35"/>
      <c r="D43" t="str">
        <f>technical_specs!C50</f>
        <v>Low energy light bulbs / fluorescent lighting</v>
      </c>
      <c r="E43" s="278" t="e">
        <f>'Technology split final demand'!I50</f>
        <v>#DIV/0!</v>
      </c>
      <c r="F43" s="281" t="e">
        <f>IF(SUM($E$43:$E$45)=0,1,E43/SUM($E$43:$E$45))</f>
        <v>#DIV/0!</v>
      </c>
    </row>
    <row r="44" spans="2:6" x14ac:dyDescent="0.2">
      <c r="B44" s="35"/>
      <c r="D44" t="str">
        <f>technical_specs!C49</f>
        <v>Incandescent lamps</v>
      </c>
      <c r="E44" s="278" t="e">
        <f>'Technology split final demand'!I49</f>
        <v>#DIV/0!</v>
      </c>
      <c r="F44" s="281" t="e">
        <f t="shared" ref="F44:F45" si="4">IF(SUM($E$43:$E$45)=0,0,E44/SUM($E$43:$E$45))</f>
        <v>#DIV/0!</v>
      </c>
    </row>
    <row r="45" spans="2:6" x14ac:dyDescent="0.2">
      <c r="B45" s="35"/>
      <c r="D45" t="str">
        <f>technical_specs!C51</f>
        <v>LED lamps</v>
      </c>
      <c r="E45" s="278" t="e">
        <f>'Technology split final demand'!I51</f>
        <v>#DIV/0!</v>
      </c>
      <c r="F45" s="281" t="e">
        <f t="shared" si="4"/>
        <v>#DIV/0!</v>
      </c>
    </row>
    <row r="46" spans="2:6" x14ac:dyDescent="0.2">
      <c r="B46" s="101"/>
      <c r="C46" s="9"/>
      <c r="D46" s="9"/>
      <c r="E46" s="280"/>
      <c r="F46" s="283"/>
    </row>
    <row r="47" spans="2:6" x14ac:dyDescent="0.2">
      <c r="B47" s="160" t="s">
        <v>515</v>
      </c>
      <c r="E47" s="279"/>
      <c r="F47" s="282"/>
    </row>
    <row r="48" spans="2:6" x14ac:dyDescent="0.2">
      <c r="B48" s="35"/>
      <c r="C48" s="56" t="s">
        <v>105</v>
      </c>
      <c r="E48" s="279"/>
      <c r="F48" s="282"/>
    </row>
    <row r="49" spans="2:6" x14ac:dyDescent="0.2">
      <c r="B49" s="35"/>
      <c r="D49" t="str">
        <f>'Final demand per energy carrier'!C61</f>
        <v>Dishwashers</v>
      </c>
      <c r="E49" s="278">
        <f>'Final demand per energy carrier'!D61</f>
        <v>0</v>
      </c>
      <c r="F49" s="281">
        <f>IF(SUM($E$49:$E$56)=0,0,E49/SUM($E$49:$E$56))</f>
        <v>0</v>
      </c>
    </row>
    <row r="50" spans="2:6" x14ac:dyDescent="0.2">
      <c r="B50" s="35"/>
      <c r="D50" t="str">
        <f>'Final demand per energy carrier'!C62</f>
        <v>Fridges / Freezers</v>
      </c>
      <c r="E50" s="278">
        <f>'Final demand per energy carrier'!D62</f>
        <v>0</v>
      </c>
      <c r="F50" s="281">
        <f t="shared" ref="F50:F55" si="5">IF(SUM($E$49:$E$56)=0,0,E50/SUM($E$49:$E$56))</f>
        <v>0</v>
      </c>
    </row>
    <row r="51" spans="2:6" x14ac:dyDescent="0.2">
      <c r="B51" s="35"/>
      <c r="D51" t="str">
        <f>'Final demand per energy carrier'!C63</f>
        <v>Washing Machines</v>
      </c>
      <c r="E51" s="278">
        <f>'Final demand per energy carrier'!D63</f>
        <v>0</v>
      </c>
      <c r="F51" s="281">
        <f t="shared" si="5"/>
        <v>0</v>
      </c>
    </row>
    <row r="52" spans="2:6" x14ac:dyDescent="0.2">
      <c r="B52" s="35"/>
      <c r="D52" t="str">
        <f>'Final demand per energy carrier'!C64</f>
        <v>Dryers</v>
      </c>
      <c r="E52" s="278">
        <f>'Final demand per energy carrier'!D64</f>
        <v>0</v>
      </c>
      <c r="F52" s="281">
        <f t="shared" si="5"/>
        <v>0</v>
      </c>
    </row>
    <row r="53" spans="2:6" x14ac:dyDescent="0.2">
      <c r="B53" s="35"/>
      <c r="D53" t="str">
        <f>'Final demand per energy carrier'!C65</f>
        <v>Television</v>
      </c>
      <c r="E53" s="278">
        <f>'Final demand per energy carrier'!D65</f>
        <v>0</v>
      </c>
      <c r="F53" s="281">
        <f t="shared" si="5"/>
        <v>0</v>
      </c>
    </row>
    <row r="54" spans="2:6" x14ac:dyDescent="0.2">
      <c r="B54" s="35"/>
      <c r="D54" t="str">
        <f>'Final demand per energy carrier'!C66</f>
        <v>Computers / Media</v>
      </c>
      <c r="E54" s="278">
        <f>'Final demand per energy carrier'!D66</f>
        <v>0</v>
      </c>
      <c r="F54" s="281">
        <f t="shared" si="5"/>
        <v>0</v>
      </c>
    </row>
    <row r="55" spans="2:6" x14ac:dyDescent="0.2">
      <c r="B55" s="35"/>
      <c r="D55" t="str">
        <f>'Final demand per energy carrier'!C67</f>
        <v>Vacuum Cleaners</v>
      </c>
      <c r="E55" s="278">
        <f>'Final demand per energy carrier'!D67</f>
        <v>0</v>
      </c>
      <c r="F55" s="281">
        <f t="shared" si="5"/>
        <v>0</v>
      </c>
    </row>
    <row r="56" spans="2:6" x14ac:dyDescent="0.2">
      <c r="B56" s="35"/>
      <c r="D56" t="str">
        <f>'Final demand per energy carrier'!C68</f>
        <v>Others</v>
      </c>
      <c r="E56" s="278">
        <f>'Final demand per energy carrier'!D68</f>
        <v>0</v>
      </c>
      <c r="F56" s="281">
        <f>IF(SUM($E$49:$E$56)=0,1,E56/SUM($E$49:$E$56))</f>
        <v>1</v>
      </c>
    </row>
    <row r="57" spans="2:6" ht="17" thickBot="1" x14ac:dyDescent="0.25">
      <c r="B57" s="356"/>
      <c r="C57" s="69"/>
      <c r="D57" s="69"/>
      <c r="E57" s="119"/>
      <c r="F57" s="70"/>
    </row>
  </sheetData>
  <mergeCells count="1">
    <mergeCell ref="B5:F5"/>
  </mergeCells>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8" tint="0.39997558519241921"/>
  </sheetPr>
  <dimension ref="B2:R76"/>
  <sheetViews>
    <sheetView workbookViewId="0">
      <pane xSplit="2" ySplit="9" topLeftCell="C10" activePane="bottomRight" state="frozen"/>
      <selection pane="topRight" activeCell="C1" sqref="C1"/>
      <selection pane="bottomLeft" activeCell="A10" sqref="A10"/>
      <selection pane="bottomRight" activeCell="F11" sqref="F11"/>
    </sheetView>
  </sheetViews>
  <sheetFormatPr baseColWidth="10" defaultRowHeight="16" x14ac:dyDescent="0.2"/>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8" width="20.83203125" style="1" customWidth="1"/>
    <col min="19" max="16384" width="10.83203125" style="1"/>
  </cols>
  <sheetData>
    <row r="2" spans="2:18" ht="21" x14ac:dyDescent="0.25">
      <c r="B2" s="2" t="s">
        <v>183</v>
      </c>
    </row>
    <row r="4" spans="2:18" x14ac:dyDescent="0.2">
      <c r="B4" s="3" t="s">
        <v>78</v>
      </c>
      <c r="C4" s="4"/>
      <c r="D4" s="4"/>
      <c r="E4" s="4"/>
      <c r="F4" s="4"/>
      <c r="G4" s="5"/>
    </row>
    <row r="5" spans="2:18" ht="30" customHeight="1" x14ac:dyDescent="0.2">
      <c r="B5" s="594" t="s">
        <v>278</v>
      </c>
      <c r="C5" s="596"/>
      <c r="D5" s="596"/>
      <c r="E5" s="596"/>
      <c r="F5" s="596"/>
      <c r="G5" s="595"/>
    </row>
    <row r="6" spans="2:18" ht="17" thickBot="1" x14ac:dyDescent="0.25"/>
    <row r="7" spans="2:18" x14ac:dyDescent="0.2">
      <c r="B7" s="25" t="s">
        <v>183</v>
      </c>
      <c r="C7" s="49"/>
      <c r="D7" s="49"/>
      <c r="E7" s="49"/>
      <c r="F7" s="49"/>
      <c r="G7" s="49"/>
      <c r="H7" s="49"/>
      <c r="I7" s="49"/>
      <c r="J7" s="49"/>
      <c r="K7" s="27"/>
      <c r="M7" s="534" t="s">
        <v>783</v>
      </c>
      <c r="N7" s="536"/>
      <c r="O7" s="536"/>
      <c r="P7" s="536"/>
      <c r="Q7" s="536"/>
      <c r="R7" s="537"/>
    </row>
    <row r="8" spans="2:18" x14ac:dyDescent="0.2">
      <c r="B8" s="28"/>
      <c r="K8" s="29"/>
      <c r="M8" s="538"/>
      <c r="N8" s="527"/>
      <c r="O8" s="527"/>
      <c r="P8" s="527"/>
      <c r="Q8" s="527"/>
      <c r="R8" s="535"/>
    </row>
    <row r="9" spans="2:18" ht="34" x14ac:dyDescent="0.2">
      <c r="B9" s="59" t="s">
        <v>279</v>
      </c>
      <c r="C9" s="63" t="s">
        <v>97</v>
      </c>
      <c r="D9" s="73" t="s">
        <v>375</v>
      </c>
      <c r="E9" s="60" t="s">
        <v>643</v>
      </c>
      <c r="F9" s="60" t="s">
        <v>407</v>
      </c>
      <c r="G9" s="60" t="s">
        <v>644</v>
      </c>
      <c r="H9" s="60" t="s">
        <v>408</v>
      </c>
      <c r="I9" s="60" t="s">
        <v>409</v>
      </c>
      <c r="J9" s="60" t="s">
        <v>410</v>
      </c>
      <c r="K9" s="103" t="s">
        <v>645</v>
      </c>
      <c r="M9" s="538" t="s">
        <v>780</v>
      </c>
      <c r="N9" s="539" t="s">
        <v>779</v>
      </c>
      <c r="O9" s="539" t="s">
        <v>782</v>
      </c>
      <c r="P9" s="527" t="s">
        <v>659</v>
      </c>
      <c r="Q9" s="527" t="s">
        <v>749</v>
      </c>
      <c r="R9" s="535" t="s">
        <v>781</v>
      </c>
    </row>
    <row r="10" spans="2:18" x14ac:dyDescent="0.2">
      <c r="B10" s="46" t="s">
        <v>101</v>
      </c>
      <c r="C10" s="444"/>
      <c r="D10" s="444"/>
      <c r="E10" s="445"/>
      <c r="F10" s="445"/>
      <c r="G10" s="445"/>
      <c r="H10" s="445"/>
      <c r="I10" s="445"/>
      <c r="J10" s="445"/>
      <c r="K10" s="446"/>
      <c r="M10" s="538"/>
      <c r="N10" s="527"/>
      <c r="O10" s="527"/>
      <c r="P10" s="527"/>
      <c r="Q10" s="527"/>
      <c r="R10" s="535"/>
    </row>
    <row r="11" spans="2:18" x14ac:dyDescent="0.2">
      <c r="B11" s="28"/>
      <c r="C11" s="358" t="s">
        <v>94</v>
      </c>
      <c r="D11" s="358"/>
      <c r="E11" s="449">
        <f>Final_demand_gas</f>
        <v>0</v>
      </c>
      <c r="F11" s="447">
        <f>Final_demand_electricity</f>
        <v>0</v>
      </c>
      <c r="G11" s="447">
        <f>Final_demand_solar_thermal</f>
        <v>0</v>
      </c>
      <c r="H11" s="447">
        <f>Final_demand_coal</f>
        <v>0</v>
      </c>
      <c r="I11" s="447">
        <f>Final_demand_oil</f>
        <v>0</v>
      </c>
      <c r="J11" s="447">
        <f>Final_demand_woodpellets</f>
        <v>0</v>
      </c>
      <c r="K11" s="448">
        <f>Final_demand_heat</f>
        <v>0</v>
      </c>
      <c r="L11" s="17"/>
      <c r="M11" s="538"/>
      <c r="N11" s="527"/>
      <c r="O11" s="527"/>
      <c r="P11" s="527"/>
      <c r="Q11" s="527"/>
      <c r="R11" s="535"/>
    </row>
    <row r="12" spans="2:18" x14ac:dyDescent="0.2">
      <c r="B12" s="62"/>
      <c r="C12" s="61"/>
      <c r="D12" s="61"/>
      <c r="E12" s="74"/>
      <c r="F12" s="74"/>
      <c r="G12" s="74"/>
      <c r="H12" s="74"/>
      <c r="I12" s="74"/>
      <c r="J12" s="74"/>
      <c r="K12" s="110"/>
      <c r="M12" s="538"/>
      <c r="N12" s="527"/>
      <c r="O12" s="527"/>
      <c r="P12" s="527"/>
      <c r="Q12" s="527"/>
      <c r="R12" s="535"/>
    </row>
    <row r="13" spans="2:18" x14ac:dyDescent="0.2">
      <c r="B13" s="59"/>
      <c r="C13" s="9"/>
      <c r="D13" s="9"/>
      <c r="E13" s="240"/>
      <c r="F13" s="240"/>
      <c r="G13" s="240"/>
      <c r="H13" s="240"/>
      <c r="I13" s="240"/>
      <c r="J13" s="240"/>
      <c r="K13" s="241"/>
      <c r="M13" s="538"/>
      <c r="N13" s="527"/>
      <c r="O13" s="527"/>
      <c r="P13" s="527"/>
      <c r="Q13" s="527"/>
      <c r="R13" s="535"/>
    </row>
    <row r="14" spans="2:18" x14ac:dyDescent="0.2">
      <c r="B14" s="46" t="str">
        <f>'Technology split final demand'!B10</f>
        <v>Space Heating</v>
      </c>
      <c r="C14" s="141"/>
      <c r="D14" s="9"/>
      <c r="E14" s="240"/>
      <c r="F14" s="240"/>
      <c r="G14" s="240"/>
      <c r="H14" s="240"/>
      <c r="I14" s="240"/>
      <c r="J14" s="240"/>
      <c r="K14" s="241"/>
      <c r="M14" s="538"/>
      <c r="N14" s="527"/>
      <c r="O14" s="527"/>
      <c r="P14" s="527"/>
      <c r="Q14" s="527"/>
      <c r="R14" s="535"/>
    </row>
    <row r="15" spans="2:18" x14ac:dyDescent="0.2">
      <c r="B15" s="46"/>
      <c r="C15" s="220" t="str">
        <f>'Technology split final demand'!C11</f>
        <v>Condensing Combi Boiler (space heating)</v>
      </c>
      <c r="D15" s="162" t="e">
        <f>'Technology split final demand'!I11</f>
        <v>#DIV/0!</v>
      </c>
      <c r="E15" s="267" t="e">
        <f>D15*Final_demand_space_heating</f>
        <v>#DIV/0!</v>
      </c>
      <c r="F15" s="268"/>
      <c r="G15" s="268"/>
      <c r="H15" s="268"/>
      <c r="I15" s="268"/>
      <c r="J15" s="268"/>
      <c r="K15" s="269"/>
      <c r="M15" s="538"/>
      <c r="N15" s="527"/>
      <c r="O15" s="527"/>
      <c r="P15" s="527"/>
      <c r="Q15" s="527"/>
      <c r="R15" s="535"/>
    </row>
    <row r="16" spans="2:18" x14ac:dyDescent="0.2">
      <c r="B16" s="46"/>
      <c r="C16" s="220" t="str">
        <f>'Technology split final demand'!C12</f>
        <v>Electric Heat Pump (ground) (space heating)</v>
      </c>
      <c r="D16" s="162" t="e">
        <f>'Technology split final demand'!I12</f>
        <v>#DIV/0!</v>
      </c>
      <c r="E16" s="251"/>
      <c r="F16" s="252" t="e">
        <f>D16*Final_demand_space_heating</f>
        <v>#DIV/0!</v>
      </c>
      <c r="G16" s="252"/>
      <c r="H16" s="252"/>
      <c r="I16" s="252"/>
      <c r="J16" s="252"/>
      <c r="K16" s="253"/>
      <c r="M16" s="538"/>
      <c r="N16" s="527"/>
      <c r="O16" s="527"/>
      <c r="P16" s="527"/>
      <c r="Q16" s="527"/>
      <c r="R16" s="535"/>
    </row>
    <row r="17" spans="2:18" x14ac:dyDescent="0.2">
      <c r="B17" s="46"/>
      <c r="C17" s="220" t="str">
        <f>'Technology split final demand'!C13</f>
        <v>District Heating (space heating)</v>
      </c>
      <c r="D17" s="162" t="e">
        <f>'Technology split final demand'!I13</f>
        <v>#DIV/0!</v>
      </c>
      <c r="E17" s="251"/>
      <c r="F17" s="252"/>
      <c r="G17" s="252"/>
      <c r="H17" s="252"/>
      <c r="I17" s="252"/>
      <c r="J17" s="252"/>
      <c r="K17" s="253" t="e">
        <f>D17*Final_demand_space_heating</f>
        <v>#DIV/0!</v>
      </c>
      <c r="M17" s="538"/>
      <c r="N17" s="527"/>
      <c r="O17" s="527"/>
      <c r="P17" s="527"/>
      <c r="Q17" s="527"/>
      <c r="R17" s="535"/>
    </row>
    <row r="18" spans="2:18" x14ac:dyDescent="0.2">
      <c r="B18" s="46"/>
      <c r="C18" s="220" t="str">
        <f>'Technology split final demand'!C14</f>
        <v>electricity-driven Heat pump (air) (space heating)</v>
      </c>
      <c r="D18" s="162" t="e">
        <f>'Technology split final demand'!I14</f>
        <v>#DIV/0!</v>
      </c>
      <c r="E18" s="251"/>
      <c r="F18" s="252" t="e">
        <f>D18*Final_demand_space_heating</f>
        <v>#DIV/0!</v>
      </c>
      <c r="G18" s="252"/>
      <c r="H18" s="252"/>
      <c r="I18" s="252"/>
      <c r="J18" s="252"/>
      <c r="K18" s="253"/>
      <c r="M18" s="538"/>
      <c r="N18" s="527"/>
      <c r="O18" s="527"/>
      <c r="P18" s="527"/>
      <c r="Q18" s="527"/>
      <c r="R18" s="535"/>
    </row>
    <row r="19" spans="2:18" x14ac:dyDescent="0.2">
      <c r="B19" s="46"/>
      <c r="C19" s="220" t="str">
        <f>'Technology split final demand'!C15</f>
        <v>woodpellets (biomass) heaters (space heating)</v>
      </c>
      <c r="D19" s="162" t="e">
        <f>'Technology split final demand'!I15</f>
        <v>#DIV/0!</v>
      </c>
      <c r="E19" s="251"/>
      <c r="F19" s="252"/>
      <c r="G19" s="252"/>
      <c r="H19" s="252"/>
      <c r="I19" s="252"/>
      <c r="J19" s="252" t="e">
        <f>D19*Final_demand_space_heating</f>
        <v>#DIV/0!</v>
      </c>
      <c r="K19" s="253"/>
      <c r="M19" s="538"/>
      <c r="N19" s="527"/>
      <c r="O19" s="527"/>
      <c r="P19" s="527"/>
      <c r="Q19" s="527"/>
      <c r="R19" s="535"/>
    </row>
    <row r="20" spans="2:18" x14ac:dyDescent="0.2">
      <c r="B20" s="46"/>
      <c r="C20" s="220" t="str">
        <f>'Technology split final demand'!C16</f>
        <v>Electric Heaters (resistance) (space heating)</v>
      </c>
      <c r="D20" s="162" t="e">
        <f>'Technology split final demand'!I16</f>
        <v>#DIV/0!</v>
      </c>
      <c r="E20" s="251"/>
      <c r="F20" s="252" t="e">
        <f>D20*Final_demand_space_heating</f>
        <v>#DIV/0!</v>
      </c>
      <c r="G20" s="252"/>
      <c r="H20" s="252"/>
      <c r="I20" s="252"/>
      <c r="J20" s="252"/>
      <c r="K20" s="253"/>
      <c r="M20" s="538"/>
      <c r="N20" s="527"/>
      <c r="O20" s="527"/>
      <c r="P20" s="527"/>
      <c r="Q20" s="527"/>
      <c r="R20" s="535"/>
    </row>
    <row r="21" spans="2:18" x14ac:dyDescent="0.2">
      <c r="B21" s="46"/>
      <c r="C21" s="220" t="str">
        <f>'Technology split final demand'!C17</f>
        <v>Gas-fired Heaters (space heating)</v>
      </c>
      <c r="D21" s="162" t="e">
        <f>'Technology split final demand'!I17</f>
        <v>#DIV/0!</v>
      </c>
      <c r="E21" s="251" t="e">
        <f>D21*Final_demand_space_heating</f>
        <v>#DIV/0!</v>
      </c>
      <c r="F21" s="252"/>
      <c r="G21" s="252"/>
      <c r="H21" s="252"/>
      <c r="I21" s="252"/>
      <c r="J21" s="252"/>
      <c r="K21" s="253"/>
      <c r="M21" s="538"/>
      <c r="N21" s="527"/>
      <c r="O21" s="527"/>
      <c r="P21" s="527"/>
      <c r="Q21" s="527"/>
      <c r="R21" s="535"/>
    </row>
    <row r="22" spans="2:18" x14ac:dyDescent="0.2">
      <c r="B22" s="46"/>
      <c r="C22" s="220" t="str">
        <f>'Technology split final demand'!C18</f>
        <v>Oil-fired Heaters (space heating)</v>
      </c>
      <c r="D22" s="162" t="e">
        <f>'Technology split final demand'!I18</f>
        <v>#DIV/0!</v>
      </c>
      <c r="E22" s="251"/>
      <c r="F22" s="252"/>
      <c r="G22" s="252"/>
      <c r="H22" s="252"/>
      <c r="I22" s="252" t="e">
        <f>D22*Final_demand_space_heating</f>
        <v>#DIV/0!</v>
      </c>
      <c r="J22" s="252"/>
      <c r="K22" s="253"/>
      <c r="M22" s="538"/>
      <c r="N22" s="527"/>
      <c r="O22" s="527"/>
      <c r="P22" s="527"/>
      <c r="Q22" s="527"/>
      <c r="R22" s="535"/>
    </row>
    <row r="23" spans="2:18" x14ac:dyDescent="0.2">
      <c r="B23" s="46"/>
      <c r="C23" s="220" t="str">
        <f>'Technology split final demand'!C19</f>
        <v>Coal-fired Heaters (space heating)</v>
      </c>
      <c r="D23" s="162" t="e">
        <f>'Technology split final demand'!I19</f>
        <v>#DIV/0!</v>
      </c>
      <c r="E23" s="251"/>
      <c r="F23" s="252"/>
      <c r="G23" s="252"/>
      <c r="H23" s="252" t="e">
        <f>D23*Final_demand_space_heating</f>
        <v>#DIV/0!</v>
      </c>
      <c r="I23" s="252"/>
      <c r="J23" s="252"/>
      <c r="K23" s="253"/>
      <c r="M23" s="538"/>
      <c r="N23" s="527"/>
      <c r="O23" s="527"/>
      <c r="P23" s="527"/>
      <c r="Q23" s="527"/>
      <c r="R23" s="535"/>
    </row>
    <row r="24" spans="2:18" x14ac:dyDescent="0.2">
      <c r="B24" s="46"/>
      <c r="C24" s="220" t="s">
        <v>757</v>
      </c>
      <c r="D24" s="507" t="e">
        <f>'Technology split final demand'!I20</f>
        <v>#DIV/0!</v>
      </c>
      <c r="E24" s="252"/>
      <c r="F24" s="252" t="e">
        <f>D24*Final_demand_space_heating</f>
        <v>#DIV/0!</v>
      </c>
      <c r="G24" s="252"/>
      <c r="H24" s="252"/>
      <c r="I24" s="252"/>
      <c r="J24" s="252"/>
      <c r="K24" s="253"/>
      <c r="M24" s="540">
        <f>technical_specs!O20</f>
        <v>4.4999999999999885</v>
      </c>
      <c r="N24" s="527" t="e">
        <f>F24*M24</f>
        <v>#DIV/0!</v>
      </c>
      <c r="O24" s="541" t="e">
        <f>SUM(N24,F24,E25)</f>
        <v>#DIV/0!</v>
      </c>
      <c r="P24" s="527" t="e">
        <f>F24/$O24</f>
        <v>#DIV/0!</v>
      </c>
      <c r="Q24" s="527" t="e">
        <f>E25/$O24</f>
        <v>#DIV/0!</v>
      </c>
      <c r="R24" s="535" t="e">
        <f>N24/$O24</f>
        <v>#DIV/0!</v>
      </c>
    </row>
    <row r="25" spans="2:18" x14ac:dyDescent="0.2">
      <c r="B25" s="46"/>
      <c r="C25" s="221" t="s">
        <v>752</v>
      </c>
      <c r="D25" s="504" t="e">
        <f>'Technology split final demand'!I21</f>
        <v>#DIV/0!</v>
      </c>
      <c r="E25" s="254" t="e">
        <f>D25*Final_demand_space_heating</f>
        <v>#DIV/0!</v>
      </c>
      <c r="F25" s="254"/>
      <c r="G25" s="254"/>
      <c r="H25" s="254"/>
      <c r="I25" s="254"/>
      <c r="J25" s="254"/>
      <c r="K25" s="255"/>
      <c r="M25" s="538"/>
      <c r="N25" s="527"/>
      <c r="O25" s="527"/>
      <c r="P25" s="527"/>
      <c r="Q25" s="527"/>
      <c r="R25" s="535"/>
    </row>
    <row r="26" spans="2:18" x14ac:dyDescent="0.2">
      <c r="B26" s="222"/>
      <c r="C26" s="506" t="s">
        <v>758</v>
      </c>
      <c r="D26" s="141"/>
      <c r="E26" s="238"/>
      <c r="F26" s="238"/>
      <c r="G26" s="238"/>
      <c r="H26" s="238"/>
      <c r="I26" s="238"/>
      <c r="J26" s="238"/>
      <c r="K26" s="239"/>
      <c r="M26" s="538"/>
      <c r="N26" s="527"/>
      <c r="O26" s="527"/>
      <c r="P26" s="527"/>
      <c r="Q26" s="527"/>
      <c r="R26" s="535"/>
    </row>
    <row r="27" spans="2:18" x14ac:dyDescent="0.2">
      <c r="B27" s="46" t="str">
        <f>'Technology split final demand'!B23</f>
        <v>Hot Water</v>
      </c>
      <c r="C27" s="218"/>
      <c r="D27" s="141"/>
      <c r="E27" s="163"/>
      <c r="F27" s="163"/>
      <c r="G27" s="163"/>
      <c r="H27" s="163"/>
      <c r="I27" s="163"/>
      <c r="J27" s="163"/>
      <c r="K27" s="164"/>
      <c r="M27" s="538"/>
      <c r="N27" s="527"/>
      <c r="O27" s="527"/>
      <c r="P27" s="527"/>
      <c r="Q27" s="527"/>
      <c r="R27" s="535"/>
    </row>
    <row r="28" spans="2:18" x14ac:dyDescent="0.2">
      <c r="B28" s="46"/>
      <c r="C28" s="220" t="str">
        <f>'Technology split final demand'!C24</f>
        <v>Condensing Combi Boiler (hot water)</v>
      </c>
      <c r="D28" s="162" t="e">
        <f>'Technology split final demand'!I24</f>
        <v>#DIV/0!</v>
      </c>
      <c r="E28" s="251" t="e">
        <f>D28*Final_demand_hot_water</f>
        <v>#DIV/0!</v>
      </c>
      <c r="F28" s="252"/>
      <c r="G28" s="252"/>
      <c r="H28" s="252"/>
      <c r="I28" s="252"/>
      <c r="J28" s="252"/>
      <c r="K28" s="253"/>
      <c r="M28" s="538"/>
      <c r="N28" s="527"/>
      <c r="O28" s="527"/>
      <c r="P28" s="527"/>
      <c r="Q28" s="527"/>
      <c r="R28" s="535"/>
    </row>
    <row r="29" spans="2:18" x14ac:dyDescent="0.2">
      <c r="B29" s="46"/>
      <c r="C29" s="220" t="str">
        <f>'Technology split final demand'!C25</f>
        <v>Electric Heat Pump (ground) (hot water)</v>
      </c>
      <c r="D29" s="162" t="e">
        <f>'Technology split final demand'!I25</f>
        <v>#DIV/0!</v>
      </c>
      <c r="E29" s="251"/>
      <c r="F29" s="252" t="e">
        <f>D29*Final_demand_hot_water</f>
        <v>#DIV/0!</v>
      </c>
      <c r="G29" s="252"/>
      <c r="H29" s="252"/>
      <c r="I29" s="252"/>
      <c r="J29" s="252"/>
      <c r="K29" s="253"/>
      <c r="M29" s="538"/>
      <c r="N29" s="527"/>
      <c r="O29" s="527"/>
      <c r="P29" s="527"/>
      <c r="Q29" s="527"/>
      <c r="R29" s="535"/>
    </row>
    <row r="30" spans="2:18" x14ac:dyDescent="0.2">
      <c r="B30" s="46"/>
      <c r="C30" s="220" t="str">
        <f>'Technology split final demand'!C26</f>
        <v>District Heating (hot water)</v>
      </c>
      <c r="D30" s="162" t="e">
        <f>'Technology split final demand'!I26</f>
        <v>#DIV/0!</v>
      </c>
      <c r="E30" s="251"/>
      <c r="F30" s="252"/>
      <c r="G30" s="252"/>
      <c r="H30" s="252"/>
      <c r="I30" s="252"/>
      <c r="J30" s="252"/>
      <c r="K30" s="253" t="e">
        <f>D30*Final_demand_hot_water</f>
        <v>#DIV/0!</v>
      </c>
      <c r="M30" s="538"/>
      <c r="N30" s="527"/>
      <c r="O30" s="527"/>
      <c r="P30" s="527"/>
      <c r="Q30" s="527"/>
      <c r="R30" s="535"/>
    </row>
    <row r="31" spans="2:18" x14ac:dyDescent="0.2">
      <c r="B31" s="46"/>
      <c r="C31" s="220" t="str">
        <f>'Technology split final demand'!C27</f>
        <v>electricity-driven Heat pump (air) (hot water)</v>
      </c>
      <c r="D31" s="162" t="e">
        <f>'Technology split final demand'!I27</f>
        <v>#DIV/0!</v>
      </c>
      <c r="E31" s="251"/>
      <c r="F31" s="252" t="e">
        <f>D31*Final_demand_hot_water</f>
        <v>#DIV/0!</v>
      </c>
      <c r="G31" s="252"/>
      <c r="H31" s="252"/>
      <c r="I31" s="252"/>
      <c r="J31" s="252"/>
      <c r="K31" s="253"/>
      <c r="M31" s="538"/>
      <c r="N31" s="527"/>
      <c r="O31" s="527"/>
      <c r="P31" s="527"/>
      <c r="Q31" s="527"/>
      <c r="R31" s="535"/>
    </row>
    <row r="32" spans="2:18" x14ac:dyDescent="0.2">
      <c r="B32" s="46"/>
      <c r="C32" s="220" t="str">
        <f>'Technology split final demand'!C28</f>
        <v>woodpellets (biomass) heaters (hot water)</v>
      </c>
      <c r="D32" s="162" t="e">
        <f>'Technology split final demand'!I28</f>
        <v>#DIV/0!</v>
      </c>
      <c r="E32" s="251"/>
      <c r="F32" s="252"/>
      <c r="G32" s="252"/>
      <c r="H32" s="252"/>
      <c r="I32" s="252"/>
      <c r="J32" s="252" t="e">
        <f>D32*Final_demand_hot_water</f>
        <v>#DIV/0!</v>
      </c>
      <c r="K32" s="253"/>
      <c r="M32" s="538"/>
      <c r="N32" s="527"/>
      <c r="O32" s="527"/>
      <c r="P32" s="527"/>
      <c r="Q32" s="527"/>
      <c r="R32" s="535"/>
    </row>
    <row r="33" spans="2:18" x14ac:dyDescent="0.2">
      <c r="B33" s="46"/>
      <c r="C33" s="220" t="str">
        <f>'Technology split final demand'!C29</f>
        <v>Electric Heaters (resistance) (hot water)</v>
      </c>
      <c r="D33" s="162" t="e">
        <f>'Technology split final demand'!I29</f>
        <v>#DIV/0!</v>
      </c>
      <c r="E33" s="251"/>
      <c r="F33" s="252" t="e">
        <f>D33*Final_demand_hot_water</f>
        <v>#DIV/0!</v>
      </c>
      <c r="G33" s="252"/>
      <c r="H33" s="252"/>
      <c r="I33" s="252"/>
      <c r="J33" s="252"/>
      <c r="K33" s="253"/>
      <c r="M33" s="538"/>
      <c r="N33" s="527"/>
      <c r="O33" s="527"/>
      <c r="P33" s="527"/>
      <c r="Q33" s="527"/>
      <c r="R33" s="535"/>
    </row>
    <row r="34" spans="2:18" x14ac:dyDescent="0.2">
      <c r="B34" s="46"/>
      <c r="C34" s="220" t="str">
        <f>'Technology split final demand'!C30</f>
        <v>Gas-fired Heaters (hot water)</v>
      </c>
      <c r="D34" s="162" t="e">
        <f>'Technology split final demand'!I30</f>
        <v>#DIV/0!</v>
      </c>
      <c r="E34" s="251" t="e">
        <f>D34*Final_demand_hot_water</f>
        <v>#DIV/0!</v>
      </c>
      <c r="F34" s="252"/>
      <c r="G34" s="252"/>
      <c r="H34" s="252"/>
      <c r="I34" s="252"/>
      <c r="J34" s="252"/>
      <c r="K34" s="253"/>
      <c r="M34" s="538"/>
      <c r="N34" s="527"/>
      <c r="O34" s="527"/>
      <c r="P34" s="527"/>
      <c r="Q34" s="527"/>
      <c r="R34" s="535"/>
    </row>
    <row r="35" spans="2:18" x14ac:dyDescent="0.2">
      <c r="B35" s="46"/>
      <c r="C35" s="220" t="str">
        <f>'Technology split final demand'!C31</f>
        <v>Oil-fired Heaters (hot water)</v>
      </c>
      <c r="D35" s="162" t="e">
        <f>'Technology split final demand'!I31</f>
        <v>#DIV/0!</v>
      </c>
      <c r="E35" s="251"/>
      <c r="F35" s="252"/>
      <c r="G35" s="252"/>
      <c r="H35" s="252"/>
      <c r="I35" s="252" t="e">
        <f>D35*Final_demand_hot_water</f>
        <v>#DIV/0!</v>
      </c>
      <c r="J35" s="252"/>
      <c r="K35" s="253"/>
      <c r="M35" s="538"/>
      <c r="N35" s="527"/>
      <c r="O35" s="527"/>
      <c r="P35" s="527"/>
      <c r="Q35" s="527"/>
      <c r="R35" s="535"/>
    </row>
    <row r="36" spans="2:18" x14ac:dyDescent="0.2">
      <c r="B36" s="46"/>
      <c r="C36" s="220" t="str">
        <f>'Technology split final demand'!C32</f>
        <v>Coal-fired Heaters (hot water)</v>
      </c>
      <c r="D36" s="162" t="e">
        <f>'Technology split final demand'!I32</f>
        <v>#DIV/0!</v>
      </c>
      <c r="E36" s="251"/>
      <c r="F36" s="252"/>
      <c r="G36" s="252"/>
      <c r="H36" s="252" t="e">
        <f>D36*Final_demand_hot_water</f>
        <v>#DIV/0!</v>
      </c>
      <c r="I36" s="252"/>
      <c r="J36" s="252"/>
      <c r="K36" s="253"/>
      <c r="M36" s="538"/>
      <c r="N36" s="527"/>
      <c r="O36" s="527"/>
      <c r="P36" s="527"/>
      <c r="Q36" s="527"/>
      <c r="R36" s="535"/>
    </row>
    <row r="37" spans="2:18" x14ac:dyDescent="0.2">
      <c r="B37" s="46"/>
      <c r="C37" s="220" t="str">
        <f>'Technology split final demand'!C33</f>
        <v>Hybrid heatpump, heatpump part (hot water)</v>
      </c>
      <c r="D37" s="507" t="e">
        <f>'Technology split final demand'!I33</f>
        <v>#DIV/0!</v>
      </c>
      <c r="E37" s="252"/>
      <c r="F37" s="252" t="e">
        <f>D37*Final_demand_hot_water</f>
        <v>#DIV/0!</v>
      </c>
      <c r="G37" s="252"/>
      <c r="H37" s="252"/>
      <c r="I37" s="252"/>
      <c r="J37" s="252"/>
      <c r="K37" s="253"/>
      <c r="M37" s="540">
        <f>technical_specs!O33</f>
        <v>3.0000000000000044</v>
      </c>
      <c r="N37" s="527" t="e">
        <f>F37*M37</f>
        <v>#DIV/0!</v>
      </c>
      <c r="O37" s="541" t="e">
        <f>SUM(N37,F37,E38)</f>
        <v>#DIV/0!</v>
      </c>
      <c r="P37" s="527" t="e">
        <f>F37/$O37</f>
        <v>#DIV/0!</v>
      </c>
      <c r="Q37" s="527" t="e">
        <f>E38/$O37</f>
        <v>#DIV/0!</v>
      </c>
      <c r="R37" s="535" t="e">
        <f>N37/$O37</f>
        <v>#DIV/0!</v>
      </c>
    </row>
    <row r="38" spans="2:18" x14ac:dyDescent="0.2">
      <c r="B38" s="46"/>
      <c r="C38" s="221" t="str">
        <f>'Technology split final demand'!C34</f>
        <v>Hybrid heatpump, gas part (hot water)</v>
      </c>
      <c r="D38" s="219" t="e">
        <f>'Technology split final demand'!I34</f>
        <v>#DIV/0!</v>
      </c>
      <c r="E38" s="254" t="e">
        <f>D38*Final_demand_hot_water</f>
        <v>#DIV/0!</v>
      </c>
      <c r="F38" s="254"/>
      <c r="G38" s="254"/>
      <c r="H38" s="254"/>
      <c r="I38" s="254"/>
      <c r="J38" s="254"/>
      <c r="K38" s="255"/>
      <c r="M38" s="542"/>
      <c r="N38" s="543"/>
      <c r="O38" s="543"/>
      <c r="P38" s="543"/>
      <c r="Q38" s="543"/>
      <c r="R38" s="544"/>
    </row>
    <row r="39" spans="2:18" x14ac:dyDescent="0.2">
      <c r="B39" s="222"/>
      <c r="C39" s="218"/>
      <c r="D39" s="141"/>
      <c r="E39" s="259"/>
      <c r="F39" s="259"/>
      <c r="G39" s="259"/>
      <c r="H39" s="259"/>
      <c r="I39" s="259"/>
      <c r="J39" s="259"/>
      <c r="K39" s="260"/>
    </row>
    <row r="40" spans="2:18" x14ac:dyDescent="0.2">
      <c r="B40" s="46" t="str">
        <f>'Technology split final demand'!B36</f>
        <v>Space Cooling</v>
      </c>
      <c r="C40" s="218"/>
      <c r="D40" s="141"/>
      <c r="E40" s="261"/>
      <c r="F40" s="259"/>
      <c r="G40" s="259"/>
      <c r="H40" s="259"/>
      <c r="I40" s="259"/>
      <c r="J40" s="259"/>
      <c r="K40" s="260"/>
    </row>
    <row r="41" spans="2:18" x14ac:dyDescent="0.2">
      <c r="B41" s="46"/>
      <c r="C41" s="220" t="str">
        <f>'Technology split final demand'!C37</f>
        <v>Electric heat pump ground</v>
      </c>
      <c r="D41" s="162" t="e">
        <f>'Technology split final demand'!I37</f>
        <v>#DIV/0!</v>
      </c>
      <c r="E41" s="251"/>
      <c r="F41" s="252" t="e">
        <f>D41*Final_demand_cooling</f>
        <v>#DIV/0!</v>
      </c>
      <c r="G41" s="252"/>
      <c r="H41" s="252"/>
      <c r="I41" s="252"/>
      <c r="J41" s="252"/>
      <c r="K41" s="253"/>
    </row>
    <row r="42" spans="2:18" x14ac:dyDescent="0.2">
      <c r="B42" s="46"/>
      <c r="C42" s="220" t="str">
        <f>'Technology split final demand'!C38</f>
        <v>Electric heat pump air</v>
      </c>
      <c r="D42" s="162" t="e">
        <f>'Technology split final demand'!I38</f>
        <v>#DIV/0!</v>
      </c>
      <c r="E42" s="251"/>
      <c r="F42" s="252" t="e">
        <f>D42*Final_demand_cooling</f>
        <v>#DIV/0!</v>
      </c>
      <c r="G42" s="252"/>
      <c r="H42" s="252"/>
      <c r="I42" s="252"/>
      <c r="J42" s="252"/>
      <c r="K42" s="253"/>
    </row>
    <row r="43" spans="2:18" x14ac:dyDescent="0.2">
      <c r="B43" s="46"/>
      <c r="C43" s="221" t="str">
        <f>'Technology split final demand'!C39</f>
        <v>Conventional electric airconditioning</v>
      </c>
      <c r="D43" s="219" t="e">
        <f>'Technology split final demand'!I39</f>
        <v>#DIV/0!</v>
      </c>
      <c r="E43" s="251"/>
      <c r="F43" s="254" t="e">
        <f>D43*Final_demand_cooling</f>
        <v>#DIV/0!</v>
      </c>
      <c r="G43" s="254"/>
      <c r="H43" s="254"/>
      <c r="I43" s="254"/>
      <c r="J43" s="254"/>
      <c r="K43" s="255"/>
    </row>
    <row r="44" spans="2:18" x14ac:dyDescent="0.2">
      <c r="B44" s="46"/>
      <c r="C44" s="102"/>
      <c r="D44" s="139"/>
      <c r="E44" s="256"/>
      <c r="F44" s="262"/>
      <c r="G44" s="262"/>
      <c r="H44" s="262"/>
      <c r="I44" s="262"/>
      <c r="J44" s="262"/>
      <c r="K44" s="263"/>
    </row>
    <row r="45" spans="2:18" x14ac:dyDescent="0.2">
      <c r="B45" s="222"/>
      <c r="C45" s="218"/>
      <c r="D45" s="141"/>
      <c r="E45" s="259"/>
      <c r="F45" s="259"/>
      <c r="G45" s="259"/>
      <c r="H45" s="259"/>
      <c r="I45" s="259"/>
      <c r="J45" s="259"/>
      <c r="K45" s="260"/>
    </row>
    <row r="46" spans="2:18" x14ac:dyDescent="0.2">
      <c r="B46" s="46" t="str">
        <f>'Technology split final demand'!B41</f>
        <v>Cooking</v>
      </c>
      <c r="C46" s="218"/>
      <c r="D46" s="141"/>
      <c r="E46" s="261"/>
      <c r="F46" s="259"/>
      <c r="G46" s="259"/>
      <c r="H46" s="259"/>
      <c r="I46" s="259"/>
      <c r="J46" s="259"/>
      <c r="K46" s="260"/>
    </row>
    <row r="47" spans="2:18" x14ac:dyDescent="0.2">
      <c r="B47" s="46"/>
      <c r="C47" s="220" t="str">
        <f>'Technology split final demand'!C42</f>
        <v>Gas stoves</v>
      </c>
      <c r="D47" s="162" t="e">
        <f>'Technology split final demand'!I42</f>
        <v>#DIV/0!</v>
      </c>
      <c r="E47" s="251" t="e">
        <f>$D47*Final_demand_cooking</f>
        <v>#DIV/0!</v>
      </c>
      <c r="F47" s="252"/>
      <c r="G47" s="252"/>
      <c r="H47" s="252"/>
      <c r="I47" s="252"/>
      <c r="J47" s="252"/>
      <c r="K47" s="253"/>
    </row>
    <row r="48" spans="2:18" x14ac:dyDescent="0.2">
      <c r="B48" s="46"/>
      <c r="C48" s="220" t="str">
        <f>'Technology split final demand'!C43</f>
        <v>Electric stoves (resistance)</v>
      </c>
      <c r="D48" s="162" t="e">
        <f>'Technology split final demand'!I43</f>
        <v>#DIV/0!</v>
      </c>
      <c r="E48" s="251"/>
      <c r="F48" s="252" t="e">
        <f>$D48*Final_demand_cooking</f>
        <v>#DIV/0!</v>
      </c>
      <c r="G48" s="252"/>
      <c r="H48" s="252"/>
      <c r="I48" s="252"/>
      <c r="J48" s="252"/>
      <c r="K48" s="253"/>
      <c r="M48" s="136"/>
    </row>
    <row r="49" spans="2:13" x14ac:dyDescent="0.2">
      <c r="B49" s="46"/>
      <c r="C49" s="220" t="str">
        <f>'Technology split final demand'!C44</f>
        <v>Electric halogen stoves</v>
      </c>
      <c r="D49" s="162" t="e">
        <f>'Technology split final demand'!I44</f>
        <v>#DIV/0!</v>
      </c>
      <c r="E49" s="251"/>
      <c r="F49" s="252" t="e">
        <f>$D49*Final_demand_cooking</f>
        <v>#DIV/0!</v>
      </c>
      <c r="G49" s="252"/>
      <c r="H49" s="252"/>
      <c r="I49" s="252"/>
      <c r="J49" s="252"/>
      <c r="K49" s="253"/>
    </row>
    <row r="50" spans="2:13" x14ac:dyDescent="0.2">
      <c r="B50" s="46"/>
      <c r="C50" s="220" t="str">
        <f>'Technology split final demand'!C45</f>
        <v>Electric induction stoves</v>
      </c>
      <c r="D50" s="162" t="e">
        <f>'Technology split final demand'!I45</f>
        <v>#DIV/0!</v>
      </c>
      <c r="E50" s="251"/>
      <c r="F50" s="252" t="e">
        <f>$D50*Final_demand_cooking</f>
        <v>#DIV/0!</v>
      </c>
      <c r="G50" s="252"/>
      <c r="H50" s="252"/>
      <c r="I50" s="252"/>
      <c r="J50" s="252"/>
      <c r="K50" s="253"/>
    </row>
    <row r="51" spans="2:13" x14ac:dyDescent="0.2">
      <c r="B51" s="46"/>
      <c r="C51" s="221" t="str">
        <f>'Technology split final demand'!C46</f>
        <v>Biomass stoves</v>
      </c>
      <c r="D51" s="219" t="e">
        <f>'Technology split final demand'!I46</f>
        <v>#DIV/0!</v>
      </c>
      <c r="E51" s="251"/>
      <c r="F51" s="254"/>
      <c r="G51" s="254"/>
      <c r="H51" s="254"/>
      <c r="I51" s="254"/>
      <c r="J51" s="254" t="e">
        <f>$D51*Final_demand_cooking</f>
        <v>#DIV/0!</v>
      </c>
      <c r="K51" s="255"/>
    </row>
    <row r="52" spans="2:13" x14ac:dyDescent="0.2">
      <c r="B52" s="46"/>
      <c r="C52" s="102"/>
      <c r="D52" s="139"/>
      <c r="E52" s="256"/>
      <c r="F52" s="257"/>
      <c r="G52" s="257"/>
      <c r="H52" s="257"/>
      <c r="I52" s="257"/>
      <c r="J52" s="257"/>
      <c r="K52" s="258"/>
    </row>
    <row r="53" spans="2:13" x14ac:dyDescent="0.2">
      <c r="B53" s="222"/>
      <c r="C53" s="218"/>
      <c r="D53" s="141"/>
      <c r="E53" s="259"/>
      <c r="F53" s="259"/>
      <c r="G53" s="259"/>
      <c r="H53" s="259"/>
      <c r="I53" s="259"/>
      <c r="J53" s="259"/>
      <c r="K53" s="260"/>
    </row>
    <row r="54" spans="2:13" x14ac:dyDescent="0.2">
      <c r="B54" s="46" t="str">
        <f>'Technology split final demand'!B48</f>
        <v>Lighting</v>
      </c>
      <c r="C54" s="218"/>
      <c r="D54" s="141"/>
      <c r="E54" s="261"/>
      <c r="F54" s="259"/>
      <c r="G54" s="259"/>
      <c r="H54" s="259"/>
      <c r="I54" s="259"/>
      <c r="J54" s="259"/>
      <c r="K54" s="259"/>
      <c r="L54" s="28"/>
    </row>
    <row r="55" spans="2:13" x14ac:dyDescent="0.2">
      <c r="B55" s="46"/>
      <c r="C55" s="220" t="str">
        <f>'Technology split final demand'!C49</f>
        <v>Incandescent lamps</v>
      </c>
      <c r="D55" s="162" t="e">
        <f>'Technology split final demand'!I49</f>
        <v>#DIV/0!</v>
      </c>
      <c r="E55" s="251"/>
      <c r="F55" s="252" t="e">
        <f>$D55*Final_demand_lighting</f>
        <v>#DIV/0!</v>
      </c>
      <c r="G55" s="252"/>
      <c r="H55" s="252"/>
      <c r="I55" s="252"/>
      <c r="J55" s="252"/>
      <c r="K55" s="252"/>
      <c r="L55" s="28"/>
    </row>
    <row r="56" spans="2:13" x14ac:dyDescent="0.2">
      <c r="B56" s="46"/>
      <c r="C56" s="220" t="str">
        <f>'Technology split final demand'!C50</f>
        <v>Low energy light bulbs / fluorescent lighting</v>
      </c>
      <c r="D56" s="162" t="e">
        <f>'Technology split final demand'!I50</f>
        <v>#DIV/0!</v>
      </c>
      <c r="E56" s="251"/>
      <c r="F56" s="252" t="e">
        <f>$D56*Final_demand_lighting</f>
        <v>#DIV/0!</v>
      </c>
      <c r="G56" s="252"/>
      <c r="H56" s="252"/>
      <c r="I56" s="252"/>
      <c r="J56" s="252"/>
      <c r="K56" s="252"/>
      <c r="L56" s="28"/>
    </row>
    <row r="57" spans="2:13" x14ac:dyDescent="0.2">
      <c r="B57" s="46"/>
      <c r="C57" s="221" t="str">
        <f>'Technology split final demand'!C51</f>
        <v>LED lamps</v>
      </c>
      <c r="D57" s="219" t="e">
        <f>'Technology split final demand'!I51</f>
        <v>#DIV/0!</v>
      </c>
      <c r="E57" s="264"/>
      <c r="F57" s="254" t="e">
        <f>$D57*Final_demand_lighting</f>
        <v>#DIV/0!</v>
      </c>
      <c r="G57" s="254"/>
      <c r="H57" s="254"/>
      <c r="I57" s="254"/>
      <c r="J57" s="254"/>
      <c r="K57" s="254"/>
      <c r="L57" s="28"/>
    </row>
    <row r="58" spans="2:13" x14ac:dyDescent="0.2">
      <c r="B58" s="46"/>
      <c r="C58" s="139"/>
      <c r="D58" s="139"/>
      <c r="E58" s="265"/>
      <c r="F58" s="265"/>
      <c r="G58" s="265"/>
      <c r="H58" s="265"/>
      <c r="I58" s="265"/>
      <c r="J58" s="265"/>
      <c r="K58" s="265"/>
      <c r="L58" s="28"/>
    </row>
    <row r="59" spans="2:13" x14ac:dyDescent="0.2">
      <c r="B59" s="222"/>
      <c r="C59" s="141"/>
      <c r="D59" s="141"/>
      <c r="E59" s="266"/>
      <c r="F59" s="266"/>
      <c r="G59" s="266"/>
      <c r="H59" s="266"/>
      <c r="I59" s="266"/>
      <c r="J59" s="266"/>
      <c r="K59" s="266"/>
      <c r="L59" s="28"/>
    </row>
    <row r="60" spans="2:13" x14ac:dyDescent="0.2">
      <c r="B60" s="46" t="s">
        <v>378</v>
      </c>
      <c r="C60" s="141"/>
      <c r="D60" s="141"/>
      <c r="E60" s="266"/>
      <c r="F60" s="266"/>
      <c r="G60" s="266"/>
      <c r="H60" s="266"/>
      <c r="I60" s="266"/>
      <c r="J60" s="266"/>
      <c r="K60" s="266"/>
      <c r="L60" s="28"/>
      <c r="M60" s="161"/>
    </row>
    <row r="61" spans="2:13" x14ac:dyDescent="0.2">
      <c r="B61" s="28"/>
      <c r="C61" t="s">
        <v>506</v>
      </c>
      <c r="D61" s="162">
        <f>Dashboard!E77</f>
        <v>0</v>
      </c>
      <c r="E61" s="275"/>
      <c r="F61" s="410">
        <f t="shared" ref="F61:F68" si="0">D61*Final_demand_appliances</f>
        <v>0</v>
      </c>
      <c r="G61" s="410"/>
      <c r="H61" s="410"/>
      <c r="I61" s="410"/>
      <c r="J61" s="410"/>
      <c r="K61" s="409"/>
      <c r="L61" s="28"/>
      <c r="M61" s="161"/>
    </row>
    <row r="62" spans="2:13" x14ac:dyDescent="0.2">
      <c r="B62" s="28"/>
      <c r="C62" t="s">
        <v>507</v>
      </c>
      <c r="D62" s="162">
        <f>Dashboard!E78</f>
        <v>0</v>
      </c>
      <c r="E62" s="275"/>
      <c r="F62" s="410">
        <f t="shared" si="0"/>
        <v>0</v>
      </c>
      <c r="G62" s="410"/>
      <c r="H62" s="410"/>
      <c r="I62" s="410"/>
      <c r="J62" s="410"/>
      <c r="K62" s="410"/>
      <c r="L62" s="28"/>
      <c r="M62" s="161"/>
    </row>
    <row r="63" spans="2:13" x14ac:dyDescent="0.2">
      <c r="B63" s="28"/>
      <c r="C63" t="s">
        <v>508</v>
      </c>
      <c r="D63" s="162">
        <f>Dashboard!E79</f>
        <v>0</v>
      </c>
      <c r="E63" s="275"/>
      <c r="F63" s="410">
        <f t="shared" si="0"/>
        <v>0</v>
      </c>
      <c r="G63" s="410"/>
      <c r="H63" s="410"/>
      <c r="I63" s="410"/>
      <c r="J63" s="410"/>
      <c r="K63" s="410"/>
      <c r="L63" s="28"/>
      <c r="M63" s="161"/>
    </row>
    <row r="64" spans="2:13" x14ac:dyDescent="0.2">
      <c r="B64" s="28"/>
      <c r="C64" t="s">
        <v>509</v>
      </c>
      <c r="D64" s="162">
        <f>Dashboard!E80</f>
        <v>0</v>
      </c>
      <c r="E64" s="275"/>
      <c r="F64" s="410">
        <f t="shared" si="0"/>
        <v>0</v>
      </c>
      <c r="G64" s="410"/>
      <c r="H64" s="410"/>
      <c r="I64" s="410"/>
      <c r="J64" s="410"/>
      <c r="K64" s="410"/>
      <c r="L64" s="28"/>
      <c r="M64" s="161"/>
    </row>
    <row r="65" spans="2:13" x14ac:dyDescent="0.2">
      <c r="B65" s="28"/>
      <c r="C65" t="s">
        <v>510</v>
      </c>
      <c r="D65" s="172">
        <f>Dashboard!E81</f>
        <v>0</v>
      </c>
      <c r="E65" s="275"/>
      <c r="F65" s="410">
        <f t="shared" si="0"/>
        <v>0</v>
      </c>
      <c r="G65" s="410"/>
      <c r="H65" s="410"/>
      <c r="I65" s="410"/>
      <c r="J65" s="410"/>
      <c r="K65" s="410"/>
      <c r="L65" s="28"/>
      <c r="M65" s="161"/>
    </row>
    <row r="66" spans="2:13" x14ac:dyDescent="0.2">
      <c r="B66" s="28"/>
      <c r="C66" t="s">
        <v>511</v>
      </c>
      <c r="D66" s="162">
        <f>Dashboard!E82</f>
        <v>0</v>
      </c>
      <c r="E66" s="275"/>
      <c r="F66" s="410">
        <f t="shared" si="0"/>
        <v>0</v>
      </c>
      <c r="G66" s="410"/>
      <c r="H66" s="410"/>
      <c r="I66" s="410"/>
      <c r="J66" s="410"/>
      <c r="K66" s="410"/>
      <c r="L66" s="28"/>
      <c r="M66" s="161"/>
    </row>
    <row r="67" spans="2:13" x14ac:dyDescent="0.2">
      <c r="B67" s="28"/>
      <c r="C67" t="s">
        <v>512</v>
      </c>
      <c r="D67" s="162">
        <f>Dashboard!E83</f>
        <v>0</v>
      </c>
      <c r="E67" s="275"/>
      <c r="F67" s="410">
        <f t="shared" si="0"/>
        <v>0</v>
      </c>
      <c r="G67" s="410"/>
      <c r="H67" s="410"/>
      <c r="I67" s="410"/>
      <c r="J67" s="410"/>
      <c r="K67" s="410"/>
      <c r="L67" s="28"/>
      <c r="M67" s="161"/>
    </row>
    <row r="68" spans="2:13" x14ac:dyDescent="0.2">
      <c r="B68" s="28"/>
      <c r="C68" s="42" t="s">
        <v>513</v>
      </c>
      <c r="D68" s="219">
        <f>Dashboard!E84</f>
        <v>0</v>
      </c>
      <c r="E68" s="412"/>
      <c r="F68" s="411">
        <f t="shared" si="0"/>
        <v>0</v>
      </c>
      <c r="G68" s="411"/>
      <c r="H68" s="411"/>
      <c r="I68" s="411"/>
      <c r="J68" s="411"/>
      <c r="K68" s="411"/>
      <c r="L68" s="28"/>
    </row>
    <row r="69" spans="2:13" x14ac:dyDescent="0.2">
      <c r="B69" s="46"/>
      <c r="C69" s="139"/>
      <c r="D69" s="139"/>
      <c r="E69" s="139"/>
      <c r="F69" s="139"/>
      <c r="G69" s="139"/>
      <c r="H69" s="139"/>
      <c r="I69" s="139"/>
      <c r="J69" s="139"/>
      <c r="K69" s="139"/>
      <c r="L69" s="28"/>
    </row>
    <row r="70" spans="2:13" x14ac:dyDescent="0.2">
      <c r="B70" s="222"/>
      <c r="C70" s="9"/>
      <c r="D70" s="9"/>
      <c r="E70" s="223"/>
      <c r="F70" s="163"/>
      <c r="G70" s="163"/>
      <c r="H70" s="163"/>
      <c r="I70" s="163"/>
      <c r="J70" s="163"/>
      <c r="K70" s="163"/>
      <c r="L70" s="28"/>
    </row>
    <row r="71" spans="2:13" x14ac:dyDescent="0.2">
      <c r="B71" s="242" t="s">
        <v>376</v>
      </c>
      <c r="C71" s="50"/>
      <c r="D71" s="50"/>
      <c r="E71" s="418" t="s">
        <v>384</v>
      </c>
      <c r="F71" s="238" t="s">
        <v>105</v>
      </c>
      <c r="G71" s="238" t="s">
        <v>104</v>
      </c>
      <c r="H71" s="238" t="s">
        <v>205</v>
      </c>
      <c r="I71" s="238" t="s">
        <v>207</v>
      </c>
      <c r="J71" s="238" t="s">
        <v>377</v>
      </c>
      <c r="K71" s="239" t="s">
        <v>414</v>
      </c>
      <c r="L71" s="28"/>
    </row>
    <row r="72" spans="2:13" x14ac:dyDescent="0.2">
      <c r="B72" s="33"/>
      <c r="C72" s="11" t="s">
        <v>646</v>
      </c>
      <c r="D72" s="12"/>
      <c r="E72" s="413" t="e">
        <f>SUM(E15:E69)</f>
        <v>#DIV/0!</v>
      </c>
      <c r="F72" s="237" t="e">
        <f>SUM(F15:F69)</f>
        <v>#DIV/0!</v>
      </c>
      <c r="G72" s="237"/>
      <c r="H72" s="237" t="e">
        <f>SUM(H15:H69)</f>
        <v>#DIV/0!</v>
      </c>
      <c r="I72" s="237" t="e">
        <f>SUM(I15:I69)</f>
        <v>#DIV/0!</v>
      </c>
      <c r="J72" s="237" t="e">
        <f>SUM(J15:J69)</f>
        <v>#DIV/0!</v>
      </c>
      <c r="K72" s="237" t="e">
        <f>SUM(K15:K69)</f>
        <v>#DIV/0!</v>
      </c>
      <c r="L72" s="28"/>
    </row>
    <row r="73" spans="2:13" x14ac:dyDescent="0.2">
      <c r="B73" s="33"/>
      <c r="C73" s="13" t="s">
        <v>648</v>
      </c>
      <c r="D73" s="414"/>
      <c r="E73" s="413" t="e">
        <f>E11-E72</f>
        <v>#DIV/0!</v>
      </c>
      <c r="F73" s="237" t="e">
        <f>F11-F72</f>
        <v>#DIV/0!</v>
      </c>
      <c r="G73" s="237"/>
      <c r="H73" s="237" t="e">
        <f>H11-H72</f>
        <v>#DIV/0!</v>
      </c>
      <c r="I73" s="237" t="e">
        <f>I11-I72</f>
        <v>#DIV/0!</v>
      </c>
      <c r="J73" s="237" t="e">
        <f>J11-J72</f>
        <v>#DIV/0!</v>
      </c>
      <c r="K73" s="237" t="e">
        <f>K11-K72</f>
        <v>#DIV/0!</v>
      </c>
      <c r="L73" s="28"/>
    </row>
    <row r="74" spans="2:13" x14ac:dyDescent="0.2">
      <c r="B74" s="33"/>
      <c r="C74" s="50" t="s">
        <v>647</v>
      </c>
      <c r="D74" s="113"/>
      <c r="E74" s="415" t="e">
        <f>E73/E11</f>
        <v>#DIV/0!</v>
      </c>
      <c r="F74" s="416" t="e">
        <f>F73/F11</f>
        <v>#DIV/0!</v>
      </c>
      <c r="G74" s="416"/>
      <c r="H74" s="416" t="e">
        <f>H73/H11</f>
        <v>#DIV/0!</v>
      </c>
      <c r="I74" s="416" t="e">
        <f>I73/I11</f>
        <v>#DIV/0!</v>
      </c>
      <c r="J74" s="416" t="e">
        <f>J73/J11</f>
        <v>#DIV/0!</v>
      </c>
      <c r="K74" s="417" t="e">
        <f>K73/K11</f>
        <v>#DIV/0!</v>
      </c>
      <c r="L74" s="28"/>
    </row>
    <row r="75" spans="2:13" x14ac:dyDescent="0.2">
      <c r="B75" s="33"/>
      <c r="C75" s="13"/>
      <c r="D75" s="13"/>
      <c r="E75" s="243"/>
      <c r="F75" s="243"/>
      <c r="G75" s="243"/>
      <c r="H75" s="243"/>
      <c r="I75" s="243"/>
      <c r="J75" s="243"/>
      <c r="K75" s="243"/>
      <c r="L75" s="28"/>
    </row>
    <row r="76" spans="2:13" ht="17" thickBot="1" x14ac:dyDescent="0.25">
      <c r="B76" s="44"/>
      <c r="C76" s="69"/>
      <c r="D76" s="69"/>
      <c r="E76" s="69"/>
      <c r="F76" s="69"/>
      <c r="G76" s="69"/>
      <c r="H76" s="69"/>
      <c r="I76" s="69"/>
      <c r="J76" s="69"/>
      <c r="K76" s="69"/>
      <c r="L76" s="28"/>
    </row>
  </sheetData>
  <mergeCells count="1">
    <mergeCell ref="B5:G5"/>
  </mergeCells>
  <conditionalFormatting sqref="J71">
    <cfRule type="cellIs" dxfId="6" priority="4" operator="lessThan">
      <formula>0</formula>
    </cfRule>
  </conditionalFormatting>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8" tint="0.39997558519241921"/>
  </sheetPr>
  <dimension ref="B2:J62"/>
  <sheetViews>
    <sheetView workbookViewId="0">
      <selection activeCell="A25" sqref="A25:XFD25"/>
    </sheetView>
  </sheetViews>
  <sheetFormatPr baseColWidth="10" defaultRowHeight="16" x14ac:dyDescent="0.2"/>
  <cols>
    <col min="1" max="1" width="10.83203125" style="1"/>
    <col min="2" max="2" width="22.33203125" style="1" customWidth="1"/>
    <col min="3" max="3" width="41.1640625" style="1" bestFit="1" customWidth="1"/>
    <col min="4" max="5" width="17.83203125" style="1" customWidth="1"/>
    <col min="6" max="6" width="27.83203125" style="1" bestFit="1" customWidth="1"/>
    <col min="7" max="7" width="26.6640625" style="1" customWidth="1"/>
    <col min="8" max="8" width="22.5" style="1" customWidth="1"/>
    <col min="9" max="9" width="26.33203125" style="1" customWidth="1"/>
    <col min="10" max="10" width="25.6640625" style="1" bestFit="1" customWidth="1"/>
    <col min="11" max="11" width="10.83203125" style="1"/>
    <col min="12" max="12" width="29.83203125" style="1" customWidth="1"/>
    <col min="13" max="16384" width="10.83203125" style="1"/>
  </cols>
  <sheetData>
    <row r="2" spans="2:10" ht="21" x14ac:dyDescent="0.25">
      <c r="B2" s="2" t="s">
        <v>535</v>
      </c>
    </row>
    <row r="4" spans="2:10" x14ac:dyDescent="0.2">
      <c r="B4" s="3" t="s">
        <v>78</v>
      </c>
      <c r="C4" s="4"/>
      <c r="D4" s="4"/>
      <c r="E4" s="4"/>
      <c r="F4" s="5"/>
    </row>
    <row r="5" spans="2:10" s="67" customFormat="1" ht="75" customHeight="1" x14ac:dyDescent="0.2">
      <c r="B5" s="594" t="s">
        <v>228</v>
      </c>
      <c r="C5" s="596"/>
      <c r="D5" s="596"/>
      <c r="E5" s="596"/>
      <c r="F5" s="595"/>
      <c r="G5" s="143"/>
    </row>
    <row r="6" spans="2:10" ht="17" thickBot="1" x14ac:dyDescent="0.25"/>
    <row r="7" spans="2:10" x14ac:dyDescent="0.2">
      <c r="B7" s="25" t="s">
        <v>583</v>
      </c>
      <c r="C7" s="49"/>
      <c r="D7" s="26"/>
      <c r="E7" s="26"/>
      <c r="F7" s="26"/>
      <c r="G7" s="26"/>
      <c r="H7" s="49"/>
      <c r="I7" s="27"/>
      <c r="J7" s="28"/>
    </row>
    <row r="8" spans="2:10" x14ac:dyDescent="0.2">
      <c r="B8" s="28"/>
      <c r="I8" s="29"/>
      <c r="J8" s="33"/>
    </row>
    <row r="9" spans="2:10" ht="102" x14ac:dyDescent="0.2">
      <c r="B9" s="59" t="s">
        <v>279</v>
      </c>
      <c r="C9" s="63" t="s">
        <v>182</v>
      </c>
      <c r="D9" s="73" t="s">
        <v>435</v>
      </c>
      <c r="E9" s="73" t="s">
        <v>751</v>
      </c>
      <c r="F9" s="73" t="s">
        <v>479</v>
      </c>
      <c r="G9" s="73" t="s">
        <v>480</v>
      </c>
      <c r="H9" s="73" t="s">
        <v>192</v>
      </c>
      <c r="I9" s="149" t="s">
        <v>191</v>
      </c>
      <c r="J9" s="245"/>
    </row>
    <row r="10" spans="2:10" x14ac:dyDescent="0.2">
      <c r="B10" s="46" t="s">
        <v>76</v>
      </c>
      <c r="I10" s="29"/>
      <c r="J10" s="246"/>
    </row>
    <row r="11" spans="2:10" x14ac:dyDescent="0.2">
      <c r="B11" s="46"/>
      <c r="C11" t="str">
        <f>technical_specs!C11</f>
        <v>Condensing Combi Boiler (space heating)</v>
      </c>
      <c r="D11" s="165">
        <f>Dashboard!E31</f>
        <v>0</v>
      </c>
      <c r="E11" s="165">
        <f>D11</f>
        <v>0</v>
      </c>
      <c r="F11" s="460">
        <f>Eff_space_heating_combi_boiler</f>
        <v>0</v>
      </c>
      <c r="G11" s="172">
        <v>1</v>
      </c>
      <c r="H11" s="248" t="e">
        <f>E11/F11*G11</f>
        <v>#DIV/0!</v>
      </c>
      <c r="I11" s="505" t="e">
        <f t="shared" ref="I11:I21" si="0">H11/SUM($H$11:$H$21)</f>
        <v>#DIV/0!</v>
      </c>
      <c r="J11" s="331"/>
    </row>
    <row r="12" spans="2:10" x14ac:dyDescent="0.2">
      <c r="B12" s="46"/>
      <c r="C12" t="str">
        <f>technical_specs!C12</f>
        <v>Electric Heat Pump (ground) (space heating)</v>
      </c>
      <c r="D12" s="165">
        <f>Dashboard!E32</f>
        <v>0</v>
      </c>
      <c r="E12" s="165">
        <f t="shared" ref="E12:E19" si="1">D12</f>
        <v>0</v>
      </c>
      <c r="F12" s="460" t="e">
        <f>Eff_space_heating_pump_ground</f>
        <v>#DIV/0!</v>
      </c>
      <c r="G12" s="172">
        <v>1</v>
      </c>
      <c r="H12" s="248" t="e">
        <f t="shared" ref="H12:H21" si="2">E12/F12*G12</f>
        <v>#DIV/0!</v>
      </c>
      <c r="I12" s="505" t="e">
        <f t="shared" si="0"/>
        <v>#DIV/0!</v>
      </c>
      <c r="J12" s="247"/>
    </row>
    <row r="13" spans="2:10" x14ac:dyDescent="0.2">
      <c r="B13" s="46"/>
      <c r="C13" t="str">
        <f>technical_specs!C13</f>
        <v>District Heating (space heating)</v>
      </c>
      <c r="D13" s="165">
        <f>Dashboard!E33</f>
        <v>0</v>
      </c>
      <c r="E13" s="165">
        <f t="shared" si="1"/>
        <v>0</v>
      </c>
      <c r="F13" s="460">
        <f>Eff_space_heating_district</f>
        <v>0</v>
      </c>
      <c r="G13" s="172">
        <v>1</v>
      </c>
      <c r="H13" s="248" t="e">
        <f t="shared" si="2"/>
        <v>#DIV/0!</v>
      </c>
      <c r="I13" s="505" t="e">
        <f t="shared" si="0"/>
        <v>#DIV/0!</v>
      </c>
      <c r="J13" s="247"/>
    </row>
    <row r="14" spans="2:10" x14ac:dyDescent="0.2">
      <c r="B14" s="62"/>
      <c r="C14" t="str">
        <f>technical_specs!C14</f>
        <v>electricity-driven Heat pump (air) (space heating)</v>
      </c>
      <c r="D14" s="165">
        <f>Dashboard!E34</f>
        <v>0</v>
      </c>
      <c r="E14" s="165">
        <f t="shared" si="1"/>
        <v>0</v>
      </c>
      <c r="F14" s="460" t="e">
        <f>Eff_space_heating_pump_air</f>
        <v>#DIV/0!</v>
      </c>
      <c r="G14" s="172">
        <v>1</v>
      </c>
      <c r="H14" s="248" t="e">
        <f t="shared" si="2"/>
        <v>#DIV/0!</v>
      </c>
      <c r="I14" s="505" t="e">
        <f t="shared" si="0"/>
        <v>#DIV/0!</v>
      </c>
      <c r="J14" s="247"/>
    </row>
    <row r="15" spans="2:10" x14ac:dyDescent="0.2">
      <c r="B15" s="62"/>
      <c r="C15" t="str">
        <f>technical_specs!C15</f>
        <v>woodpellets (biomass) heaters (space heating)</v>
      </c>
      <c r="D15" s="165">
        <f>Dashboard!E35</f>
        <v>0</v>
      </c>
      <c r="E15" s="165">
        <f t="shared" si="1"/>
        <v>0</v>
      </c>
      <c r="F15" s="460">
        <f>Eff_space_heating_woodpellets</f>
        <v>0</v>
      </c>
      <c r="G15" s="172">
        <v>1</v>
      </c>
      <c r="H15" s="248" t="e">
        <f t="shared" si="2"/>
        <v>#DIV/0!</v>
      </c>
      <c r="I15" s="505" t="e">
        <f t="shared" si="0"/>
        <v>#DIV/0!</v>
      </c>
      <c r="J15" s="247"/>
    </row>
    <row r="16" spans="2:10" x14ac:dyDescent="0.2">
      <c r="B16" s="62"/>
      <c r="C16" t="str">
        <f>technical_specs!C16</f>
        <v>Electric Heaters (resistance) (space heating)</v>
      </c>
      <c r="D16" s="165">
        <f>Dashboard!E36</f>
        <v>0</v>
      </c>
      <c r="E16" s="165">
        <f t="shared" si="1"/>
        <v>0</v>
      </c>
      <c r="F16" s="460">
        <f>Eff_space_heating_electric</f>
        <v>0</v>
      </c>
      <c r="G16" s="172">
        <v>1</v>
      </c>
      <c r="H16" s="248" t="e">
        <f t="shared" si="2"/>
        <v>#DIV/0!</v>
      </c>
      <c r="I16" s="505" t="e">
        <f t="shared" si="0"/>
        <v>#DIV/0!</v>
      </c>
      <c r="J16" s="247"/>
    </row>
    <row r="17" spans="2:10" ht="15" customHeight="1" x14ac:dyDescent="0.2">
      <c r="B17" s="62"/>
      <c r="C17" t="str">
        <f>technical_specs!C17</f>
        <v>Gas-fired Heaters (space heating)</v>
      </c>
      <c r="D17" s="165">
        <f>Dashboard!E37</f>
        <v>0</v>
      </c>
      <c r="E17" s="165">
        <f t="shared" si="1"/>
        <v>0</v>
      </c>
      <c r="F17" s="460">
        <f>Eff_space_heating_gas</f>
        <v>0</v>
      </c>
      <c r="G17" s="172">
        <v>1</v>
      </c>
      <c r="H17" s="248" t="e">
        <f t="shared" si="2"/>
        <v>#DIV/0!</v>
      </c>
      <c r="I17" s="505" t="e">
        <f t="shared" si="0"/>
        <v>#DIV/0!</v>
      </c>
      <c r="J17" s="247"/>
    </row>
    <row r="18" spans="2:10" x14ac:dyDescent="0.2">
      <c r="B18" s="62"/>
      <c r="C18" t="str">
        <f>technical_specs!C18</f>
        <v>Oil-fired Heaters (space heating)</v>
      </c>
      <c r="D18" s="165">
        <f>Dashboard!E38</f>
        <v>0</v>
      </c>
      <c r="E18" s="165">
        <f t="shared" si="1"/>
        <v>0</v>
      </c>
      <c r="F18" s="460">
        <f>Eff_space_heating_oil</f>
        <v>0</v>
      </c>
      <c r="G18" s="172">
        <v>1</v>
      </c>
      <c r="H18" s="248" t="e">
        <f t="shared" si="2"/>
        <v>#DIV/0!</v>
      </c>
      <c r="I18" s="505" t="e">
        <f t="shared" si="0"/>
        <v>#DIV/0!</v>
      </c>
      <c r="J18" s="247"/>
    </row>
    <row r="19" spans="2:10" x14ac:dyDescent="0.2">
      <c r="B19" s="62"/>
      <c r="C19" t="str">
        <f>technical_specs!C19</f>
        <v>Coal-fired Heaters (space heating)</v>
      </c>
      <c r="D19" s="165">
        <f>Dashboard!E39</f>
        <v>0</v>
      </c>
      <c r="E19" s="165">
        <f t="shared" si="1"/>
        <v>0</v>
      </c>
      <c r="F19" s="460">
        <f>Eff_space_heating_coal</f>
        <v>0</v>
      </c>
      <c r="G19" s="172">
        <v>1</v>
      </c>
      <c r="H19" s="248" t="e">
        <f t="shared" si="2"/>
        <v>#DIV/0!</v>
      </c>
      <c r="I19" s="505" t="e">
        <f t="shared" si="0"/>
        <v>#DIV/0!</v>
      </c>
      <c r="J19" s="247"/>
    </row>
    <row r="20" spans="2:10" x14ac:dyDescent="0.2">
      <c r="B20" s="62"/>
      <c r="C20" t="str">
        <f>technical_specs!C20</f>
        <v>Hybrid heatpump, heatpump part (space heating)</v>
      </c>
      <c r="D20" s="165">
        <f>Dashboard!E40</f>
        <v>0</v>
      </c>
      <c r="E20" s="165">
        <f>D20*(1-technical_specs!Q21)</f>
        <v>0</v>
      </c>
      <c r="F20" s="460">
        <f>Eff_space_heating_hhp_heatpump</f>
        <v>4.4999999999999885</v>
      </c>
      <c r="G20" s="172">
        <v>1</v>
      </c>
      <c r="H20" s="248">
        <f t="shared" si="2"/>
        <v>0</v>
      </c>
      <c r="I20" s="505" t="e">
        <f t="shared" si="0"/>
        <v>#DIV/0!</v>
      </c>
      <c r="J20" s="247"/>
    </row>
    <row r="21" spans="2:10" x14ac:dyDescent="0.2">
      <c r="B21" s="62"/>
      <c r="C21" t="str">
        <f>technical_specs!C21</f>
        <v>Hybrid heatpump, gas part (space heating)</v>
      </c>
      <c r="D21" s="165"/>
      <c r="E21" s="165">
        <f>D20*technical_specs!Q21</f>
        <v>0</v>
      </c>
      <c r="F21" s="460">
        <f>Eff_space_heating_hhp_gas</f>
        <v>0</v>
      </c>
      <c r="G21" s="172">
        <v>1</v>
      </c>
      <c r="H21" s="248" t="e">
        <f t="shared" si="2"/>
        <v>#DIV/0!</v>
      </c>
      <c r="I21" s="505" t="e">
        <f t="shared" si="0"/>
        <v>#DIV/0!</v>
      </c>
      <c r="J21" s="247"/>
    </row>
    <row r="22" spans="2:10" x14ac:dyDescent="0.2">
      <c r="B22" s="41"/>
      <c r="C22" s="9"/>
      <c r="D22" s="169"/>
      <c r="E22" s="169"/>
      <c r="F22" s="462"/>
      <c r="G22" s="178"/>
      <c r="H22" s="250"/>
      <c r="I22" s="235"/>
      <c r="J22" s="247"/>
    </row>
    <row r="23" spans="2:10" x14ac:dyDescent="0.2">
      <c r="B23" s="46" t="s">
        <v>290</v>
      </c>
      <c r="D23" s="168"/>
      <c r="E23" s="168"/>
      <c r="F23" s="461"/>
      <c r="G23" s="55"/>
      <c r="H23" s="249"/>
      <c r="I23" s="236"/>
      <c r="J23" s="247"/>
    </row>
    <row r="24" spans="2:10" x14ac:dyDescent="0.2">
      <c r="B24" s="46"/>
      <c r="C24" t="str">
        <f>technical_specs!C24</f>
        <v>Condensing Combi Boiler (hot water)</v>
      </c>
      <c r="D24" s="165">
        <f>Dashboard!E44</f>
        <v>0</v>
      </c>
      <c r="E24" s="165">
        <f>D24</f>
        <v>0</v>
      </c>
      <c r="F24" s="460">
        <f>Eff_hot_water_combi_boiler</f>
        <v>0</v>
      </c>
      <c r="G24" s="172">
        <v>1</v>
      </c>
      <c r="H24" s="248" t="e">
        <f>E24/F24*G24</f>
        <v>#DIV/0!</v>
      </c>
      <c r="I24" s="505" t="e">
        <f t="shared" ref="I24:I34" si="3">H24/SUM($H$24:$H$34)</f>
        <v>#DIV/0!</v>
      </c>
      <c r="J24" s="247"/>
    </row>
    <row r="25" spans="2:10" x14ac:dyDescent="0.2">
      <c r="B25" s="46"/>
      <c r="C25" t="str">
        <f>technical_specs!C25</f>
        <v>Electric Heat Pump (ground) (hot water)</v>
      </c>
      <c r="D25" s="165">
        <f>Dashboard!E45</f>
        <v>0</v>
      </c>
      <c r="E25" s="165">
        <f t="shared" ref="E25:E32" si="4">D25</f>
        <v>0</v>
      </c>
      <c r="F25" s="460" t="e">
        <f>Eff_hot_water_pump_ground</f>
        <v>#DIV/0!</v>
      </c>
      <c r="G25" s="172">
        <v>1</v>
      </c>
      <c r="H25" s="248" t="e">
        <f t="shared" ref="H25:H34" si="5">E25/F25*G25</f>
        <v>#DIV/0!</v>
      </c>
      <c r="I25" s="505" t="e">
        <f t="shared" si="3"/>
        <v>#DIV/0!</v>
      </c>
      <c r="J25" s="247"/>
    </row>
    <row r="26" spans="2:10" x14ac:dyDescent="0.2">
      <c r="B26" s="62"/>
      <c r="C26" t="str">
        <f>technical_specs!C26</f>
        <v>District Heating (hot water)</v>
      </c>
      <c r="D26" s="165">
        <f>Dashboard!E46</f>
        <v>0</v>
      </c>
      <c r="E26" s="165">
        <f t="shared" si="4"/>
        <v>0</v>
      </c>
      <c r="F26" s="460">
        <f>Eff_hot_water_district</f>
        <v>0</v>
      </c>
      <c r="G26" s="172">
        <v>1</v>
      </c>
      <c r="H26" s="248" t="e">
        <f t="shared" si="5"/>
        <v>#DIV/0!</v>
      </c>
      <c r="I26" s="505" t="e">
        <f t="shared" si="3"/>
        <v>#DIV/0!</v>
      </c>
      <c r="J26" s="247"/>
    </row>
    <row r="27" spans="2:10" x14ac:dyDescent="0.2">
      <c r="B27" s="62"/>
      <c r="C27" t="str">
        <f>technical_specs!C27</f>
        <v>electricity-driven Heat pump (air) (hot water)</v>
      </c>
      <c r="D27" s="165">
        <f>Dashboard!E47</f>
        <v>0</v>
      </c>
      <c r="E27" s="165">
        <f t="shared" si="4"/>
        <v>0</v>
      </c>
      <c r="F27" s="460" t="e">
        <f>Eff_hot_water_pump_air</f>
        <v>#DIV/0!</v>
      </c>
      <c r="G27" s="172">
        <v>1</v>
      </c>
      <c r="H27" s="248" t="e">
        <f t="shared" si="5"/>
        <v>#DIV/0!</v>
      </c>
      <c r="I27" s="505" t="e">
        <f t="shared" si="3"/>
        <v>#DIV/0!</v>
      </c>
      <c r="J27" s="247"/>
    </row>
    <row r="28" spans="2:10" x14ac:dyDescent="0.2">
      <c r="B28" s="62"/>
      <c r="C28" t="str">
        <f>technical_specs!C28</f>
        <v>woodpellets (biomass) heaters (hot water)</v>
      </c>
      <c r="D28" s="165">
        <f>Dashboard!E48</f>
        <v>0</v>
      </c>
      <c r="E28" s="165">
        <f t="shared" si="4"/>
        <v>0</v>
      </c>
      <c r="F28" s="460">
        <f>Eff_hot_water_woodpellets</f>
        <v>0</v>
      </c>
      <c r="G28" s="172">
        <v>1</v>
      </c>
      <c r="H28" s="248" t="e">
        <f t="shared" si="5"/>
        <v>#DIV/0!</v>
      </c>
      <c r="I28" s="505" t="e">
        <f t="shared" si="3"/>
        <v>#DIV/0!</v>
      </c>
      <c r="J28" s="247"/>
    </row>
    <row r="29" spans="2:10" x14ac:dyDescent="0.2">
      <c r="B29" s="62"/>
      <c r="C29" t="str">
        <f>technical_specs!C29</f>
        <v>Electric Heaters (resistance) (hot water)</v>
      </c>
      <c r="D29" s="165">
        <f>Dashboard!E49</f>
        <v>0</v>
      </c>
      <c r="E29" s="165">
        <f t="shared" si="4"/>
        <v>0</v>
      </c>
      <c r="F29" s="460">
        <f>Eff_hot_water_electric</f>
        <v>0</v>
      </c>
      <c r="G29" s="172">
        <v>1</v>
      </c>
      <c r="H29" s="248" t="e">
        <f t="shared" si="5"/>
        <v>#DIV/0!</v>
      </c>
      <c r="I29" s="505" t="e">
        <f t="shared" si="3"/>
        <v>#DIV/0!</v>
      </c>
      <c r="J29" s="247"/>
    </row>
    <row r="30" spans="2:10" x14ac:dyDescent="0.2">
      <c r="B30" s="62"/>
      <c r="C30" t="str">
        <f>technical_specs!C30</f>
        <v>Gas-fired Heaters (hot water)</v>
      </c>
      <c r="D30" s="165">
        <f>Dashboard!E50</f>
        <v>0</v>
      </c>
      <c r="E30" s="165">
        <f t="shared" si="4"/>
        <v>0</v>
      </c>
      <c r="F30" s="460">
        <f>Eff_hot_water_gas</f>
        <v>0</v>
      </c>
      <c r="G30" s="172">
        <v>1</v>
      </c>
      <c r="H30" s="248" t="e">
        <f t="shared" si="5"/>
        <v>#DIV/0!</v>
      </c>
      <c r="I30" s="505" t="e">
        <f t="shared" si="3"/>
        <v>#DIV/0!</v>
      </c>
      <c r="J30" s="247"/>
    </row>
    <row r="31" spans="2:10" x14ac:dyDescent="0.2">
      <c r="B31" s="62"/>
      <c r="C31" t="str">
        <f>technical_specs!C31</f>
        <v>Oil-fired Heaters (hot water)</v>
      </c>
      <c r="D31" s="165">
        <f>Dashboard!E51</f>
        <v>0</v>
      </c>
      <c r="E31" s="165">
        <f t="shared" si="4"/>
        <v>0</v>
      </c>
      <c r="F31" s="460">
        <f>Eff_hot_water_oil</f>
        <v>0</v>
      </c>
      <c r="G31" s="172">
        <v>1</v>
      </c>
      <c r="H31" s="248" t="e">
        <f t="shared" si="5"/>
        <v>#DIV/0!</v>
      </c>
      <c r="I31" s="505" t="e">
        <f t="shared" si="3"/>
        <v>#DIV/0!</v>
      </c>
      <c r="J31" s="247"/>
    </row>
    <row r="32" spans="2:10" x14ac:dyDescent="0.2">
      <c r="B32" s="62"/>
      <c r="C32" t="str">
        <f>technical_specs!C32</f>
        <v>Coal-fired Heaters (hot water)</v>
      </c>
      <c r="D32" s="165">
        <f>Dashboard!E52</f>
        <v>0</v>
      </c>
      <c r="E32" s="165">
        <f t="shared" si="4"/>
        <v>0</v>
      </c>
      <c r="F32" s="460">
        <f>Eff_hot_water_coal</f>
        <v>0</v>
      </c>
      <c r="G32" s="172">
        <v>1</v>
      </c>
      <c r="H32" s="248" t="e">
        <f t="shared" si="5"/>
        <v>#DIV/0!</v>
      </c>
      <c r="I32" s="505" t="e">
        <f t="shared" si="3"/>
        <v>#DIV/0!</v>
      </c>
      <c r="J32" s="247"/>
    </row>
    <row r="33" spans="2:10" x14ac:dyDescent="0.2">
      <c r="B33" s="62"/>
      <c r="C33" t="str">
        <f>technical_specs!C33</f>
        <v>Hybrid heatpump, heatpump part (hot water)</v>
      </c>
      <c r="D33" s="165">
        <f>Dashboard!E53</f>
        <v>0</v>
      </c>
      <c r="E33" s="165">
        <f>D33*(1-technical_specs!Q34)</f>
        <v>0</v>
      </c>
      <c r="F33" s="460">
        <f>Eff_hot_water_hhp_heatpump</f>
        <v>3.0000000000000044</v>
      </c>
      <c r="G33" s="172">
        <v>1</v>
      </c>
      <c r="H33" s="248">
        <f t="shared" si="5"/>
        <v>0</v>
      </c>
      <c r="I33" s="505" t="e">
        <f t="shared" si="3"/>
        <v>#DIV/0!</v>
      </c>
      <c r="J33" s="247"/>
    </row>
    <row r="34" spans="2:10" x14ac:dyDescent="0.2">
      <c r="B34" s="62"/>
      <c r="C34" t="str">
        <f>technical_specs!C34</f>
        <v>Hybrid heatpump, gas part (hot water)</v>
      </c>
      <c r="D34" s="165"/>
      <c r="E34" s="165">
        <f>D33*technical_specs!Q34</f>
        <v>0</v>
      </c>
      <c r="F34" s="460">
        <f>Eff_hot_water_hhp_gas</f>
        <v>0</v>
      </c>
      <c r="G34" s="172">
        <v>1</v>
      </c>
      <c r="H34" s="248" t="e">
        <f t="shared" si="5"/>
        <v>#DIV/0!</v>
      </c>
      <c r="I34" s="505" t="e">
        <f t="shared" si="3"/>
        <v>#DIV/0!</v>
      </c>
      <c r="J34" s="247"/>
    </row>
    <row r="35" spans="2:10" x14ac:dyDescent="0.2">
      <c r="B35" s="28"/>
      <c r="C35" s="9"/>
      <c r="D35" s="169"/>
      <c r="E35" s="169"/>
      <c r="F35" s="462"/>
      <c r="G35" s="170"/>
      <c r="H35" s="250"/>
      <c r="I35" s="235"/>
      <c r="J35" s="247"/>
    </row>
    <row r="36" spans="2:10" x14ac:dyDescent="0.2">
      <c r="B36" s="45" t="s">
        <v>88</v>
      </c>
      <c r="D36" s="168"/>
      <c r="E36" s="168"/>
      <c r="F36" s="461"/>
      <c r="G36" s="109"/>
      <c r="H36" s="249"/>
      <c r="I36" s="236"/>
      <c r="J36" s="247"/>
    </row>
    <row r="37" spans="2:10" x14ac:dyDescent="0.2">
      <c r="B37" s="62"/>
      <c r="C37" t="str">
        <f>technical_specs!C37</f>
        <v>Electric heat pump ground</v>
      </c>
      <c r="D37" s="165">
        <f>Dashboard!E57</f>
        <v>0</v>
      </c>
      <c r="E37" s="165">
        <f>D37</f>
        <v>0</v>
      </c>
      <c r="F37" s="460" t="e">
        <f>Eff_cooling_pump_ground</f>
        <v>#DIV/0!</v>
      </c>
      <c r="G37" s="166"/>
      <c r="H37" s="248" t="e">
        <f>E37/F37</f>
        <v>#DIV/0!</v>
      </c>
      <c r="I37" s="234" t="e">
        <f>H37/SUM($H$37:$H$39)</f>
        <v>#DIV/0!</v>
      </c>
      <c r="J37" s="247"/>
    </row>
    <row r="38" spans="2:10" x14ac:dyDescent="0.2">
      <c r="B38" s="62"/>
      <c r="C38" t="str">
        <f>technical_specs!C38</f>
        <v>Electric heat pump air</v>
      </c>
      <c r="D38" s="165">
        <f>Dashboard!E58</f>
        <v>0</v>
      </c>
      <c r="E38" s="165">
        <f t="shared" ref="E38:E39" si="6">D38</f>
        <v>0</v>
      </c>
      <c r="F38" s="460" t="e">
        <f>Eff_cooling_pump_air</f>
        <v>#DIV/0!</v>
      </c>
      <c r="G38" s="166"/>
      <c r="H38" s="248" t="e">
        <f t="shared" ref="H38:H39" si="7">E38/F38</f>
        <v>#DIV/0!</v>
      </c>
      <c r="I38" s="234" t="e">
        <f t="shared" ref="I38:I39" si="8">H38/SUM($H$37:$H$39)</f>
        <v>#DIV/0!</v>
      </c>
      <c r="J38" s="247"/>
    </row>
    <row r="39" spans="2:10" x14ac:dyDescent="0.2">
      <c r="B39" s="62"/>
      <c r="C39" t="str">
        <f>technical_specs!C39</f>
        <v>Conventional electric airconditioning</v>
      </c>
      <c r="D39" s="165">
        <f>Dashboard!E59</f>
        <v>0</v>
      </c>
      <c r="E39" s="165">
        <f t="shared" si="6"/>
        <v>0</v>
      </c>
      <c r="F39" s="460" t="e">
        <f>Eff_cooling_airco</f>
        <v>#DIV/0!</v>
      </c>
      <c r="G39" s="166"/>
      <c r="H39" s="248" t="e">
        <f t="shared" si="7"/>
        <v>#DIV/0!</v>
      </c>
      <c r="I39" s="234" t="e">
        <f t="shared" si="8"/>
        <v>#DIV/0!</v>
      </c>
      <c r="J39" s="247"/>
    </row>
    <row r="40" spans="2:10" x14ac:dyDescent="0.2">
      <c r="B40" s="41"/>
      <c r="C40" s="9"/>
      <c r="D40" s="169"/>
      <c r="E40" s="169"/>
      <c r="F40" s="462"/>
      <c r="G40" s="170"/>
      <c r="H40" s="250"/>
      <c r="I40" s="235"/>
      <c r="J40" s="247"/>
    </row>
    <row r="41" spans="2:10" x14ac:dyDescent="0.2">
      <c r="B41" s="46" t="s">
        <v>276</v>
      </c>
      <c r="D41" s="168"/>
      <c r="E41" s="168"/>
      <c r="F41" s="461"/>
      <c r="G41" s="109"/>
      <c r="H41" s="249"/>
      <c r="I41" s="236"/>
      <c r="J41" s="247"/>
    </row>
    <row r="42" spans="2:10" x14ac:dyDescent="0.2">
      <c r="B42" s="46"/>
      <c r="C42" t="str">
        <f>technical_specs!C42</f>
        <v>Gas stoves</v>
      </c>
      <c r="D42" s="165">
        <f>Dashboard!E69</f>
        <v>0</v>
      </c>
      <c r="E42" s="165">
        <f>D42</f>
        <v>0</v>
      </c>
      <c r="F42" s="460">
        <f>Eff_cooking_gas</f>
        <v>0</v>
      </c>
      <c r="G42" s="166"/>
      <c r="H42" s="248" t="e">
        <f>E42/F42</f>
        <v>#DIV/0!</v>
      </c>
      <c r="I42" s="234" t="e">
        <f>H42/SUM($H$42:$H$46)</f>
        <v>#DIV/0!</v>
      </c>
      <c r="J42" s="247"/>
    </row>
    <row r="43" spans="2:10" x14ac:dyDescent="0.2">
      <c r="B43" s="46"/>
      <c r="C43" t="str">
        <f>technical_specs!C43</f>
        <v>Electric stoves (resistance)</v>
      </c>
      <c r="D43" s="165">
        <f>Dashboard!E70</f>
        <v>0</v>
      </c>
      <c r="E43" s="165">
        <f t="shared" ref="E43:E46" si="9">D43</f>
        <v>0</v>
      </c>
      <c r="F43" s="460">
        <f>Eff_cooking_electric</f>
        <v>0</v>
      </c>
      <c r="G43" s="166"/>
      <c r="H43" s="248" t="e">
        <f t="shared" ref="H43:H46" si="10">E43/F43</f>
        <v>#DIV/0!</v>
      </c>
      <c r="I43" s="234" t="e">
        <f t="shared" ref="I43:I46" si="11">H43/SUM($H$42:$H$46)</f>
        <v>#DIV/0!</v>
      </c>
      <c r="J43" s="247"/>
    </row>
    <row r="44" spans="2:10" x14ac:dyDescent="0.2">
      <c r="B44" s="46"/>
      <c r="C44" t="str">
        <f>technical_specs!C44</f>
        <v>Electric halogen stoves</v>
      </c>
      <c r="D44" s="165">
        <f>Dashboard!E71</f>
        <v>0</v>
      </c>
      <c r="E44" s="165">
        <f t="shared" si="9"/>
        <v>0</v>
      </c>
      <c r="F44" s="460">
        <f>Eff_cooking_halogen</f>
        <v>0</v>
      </c>
      <c r="G44" s="166"/>
      <c r="H44" s="248" t="e">
        <f t="shared" si="10"/>
        <v>#DIV/0!</v>
      </c>
      <c r="I44" s="234" t="e">
        <f t="shared" si="11"/>
        <v>#DIV/0!</v>
      </c>
      <c r="J44" s="247"/>
    </row>
    <row r="45" spans="2:10" x14ac:dyDescent="0.2">
      <c r="B45" s="46"/>
      <c r="C45" t="str">
        <f>technical_specs!C45</f>
        <v>Electric induction stoves</v>
      </c>
      <c r="D45" s="165">
        <f>Dashboard!E72</f>
        <v>0</v>
      </c>
      <c r="E45" s="165">
        <f t="shared" si="9"/>
        <v>0</v>
      </c>
      <c r="F45" s="460">
        <f>Eff_cooking_induction</f>
        <v>0</v>
      </c>
      <c r="G45" s="166"/>
      <c r="H45" s="248" t="e">
        <f t="shared" si="10"/>
        <v>#DIV/0!</v>
      </c>
      <c r="I45" s="234" t="e">
        <f t="shared" si="11"/>
        <v>#DIV/0!</v>
      </c>
      <c r="J45" s="247"/>
    </row>
    <row r="46" spans="2:10" x14ac:dyDescent="0.2">
      <c r="B46" s="62"/>
      <c r="C46" t="str">
        <f>technical_specs!C46</f>
        <v>Biomass stoves</v>
      </c>
      <c r="D46" s="165">
        <f>Dashboard!E73</f>
        <v>0</v>
      </c>
      <c r="E46" s="165">
        <f t="shared" si="9"/>
        <v>0</v>
      </c>
      <c r="F46" s="460">
        <f>Eff_cooking_biomass</f>
        <v>0</v>
      </c>
      <c r="G46" s="166"/>
      <c r="H46" s="248" t="e">
        <f t="shared" si="10"/>
        <v>#DIV/0!</v>
      </c>
      <c r="I46" s="234" t="e">
        <f t="shared" si="11"/>
        <v>#DIV/0!</v>
      </c>
      <c r="J46" s="247"/>
    </row>
    <row r="47" spans="2:10" x14ac:dyDescent="0.2">
      <c r="B47" s="108"/>
      <c r="C47" s="9"/>
      <c r="D47" s="169"/>
      <c r="E47" s="169"/>
      <c r="F47" s="462"/>
      <c r="G47" s="170"/>
      <c r="H47" s="250"/>
      <c r="I47" s="235"/>
      <c r="J47" s="247"/>
    </row>
    <row r="48" spans="2:10" x14ac:dyDescent="0.2">
      <c r="B48" s="35" t="s">
        <v>75</v>
      </c>
      <c r="D48" s="168"/>
      <c r="E48" s="168"/>
      <c r="F48" s="461"/>
      <c r="G48" s="109"/>
      <c r="H48" s="249"/>
      <c r="I48" s="236"/>
      <c r="J48" s="247"/>
    </row>
    <row r="49" spans="2:10" x14ac:dyDescent="0.2">
      <c r="B49" s="62"/>
      <c r="C49" t="str">
        <f>technical_specs!C49</f>
        <v>Incandescent lamps</v>
      </c>
      <c r="D49" s="165">
        <f>Dashboard!E63</f>
        <v>0</v>
      </c>
      <c r="E49" s="165">
        <f>D49</f>
        <v>0</v>
      </c>
      <c r="F49" s="460">
        <f>Eff_lighting_incandescent</f>
        <v>0</v>
      </c>
      <c r="G49" s="166"/>
      <c r="H49" s="248" t="e">
        <f>E49/F49</f>
        <v>#DIV/0!</v>
      </c>
      <c r="I49" s="234" t="e">
        <f>H49/SUM($H$49:$H$51)</f>
        <v>#DIV/0!</v>
      </c>
      <c r="J49" s="28"/>
    </row>
    <row r="50" spans="2:10" x14ac:dyDescent="0.2">
      <c r="B50" s="62"/>
      <c r="C50" t="str">
        <f>technical_specs!C50</f>
        <v>Low energy light bulbs / fluorescent lighting</v>
      </c>
      <c r="D50" s="165">
        <f>Dashboard!E64</f>
        <v>0</v>
      </c>
      <c r="E50" s="165">
        <f t="shared" ref="E50:E51" si="12">D50</f>
        <v>0</v>
      </c>
      <c r="F50" s="460">
        <f>Eff_lighting_fluorescent</f>
        <v>0</v>
      </c>
      <c r="G50" s="166"/>
      <c r="H50" s="248" t="e">
        <f t="shared" ref="H50:H51" si="13">E50/F50</f>
        <v>#DIV/0!</v>
      </c>
      <c r="I50" s="234" t="e">
        <f t="shared" ref="I50:I51" si="14">H50/SUM($H$49:$H$51)</f>
        <v>#DIV/0!</v>
      </c>
      <c r="J50" s="28"/>
    </row>
    <row r="51" spans="2:10" x14ac:dyDescent="0.2">
      <c r="B51" s="62"/>
      <c r="C51" t="str">
        <f>technical_specs!C51</f>
        <v>LED lamps</v>
      </c>
      <c r="D51" s="165">
        <f>Dashboard!E65</f>
        <v>0</v>
      </c>
      <c r="E51" s="165">
        <f t="shared" si="12"/>
        <v>0</v>
      </c>
      <c r="F51" s="460">
        <f>Eff_lighting_led</f>
        <v>0</v>
      </c>
      <c r="G51" s="166"/>
      <c r="H51" s="248" t="e">
        <f t="shared" si="13"/>
        <v>#DIV/0!</v>
      </c>
      <c r="I51" s="234" t="e">
        <f t="shared" si="14"/>
        <v>#DIV/0!</v>
      </c>
      <c r="J51" s="28"/>
    </row>
    <row r="52" spans="2:10" x14ac:dyDescent="0.2">
      <c r="B52" s="108"/>
      <c r="C52" s="9"/>
      <c r="D52" s="169"/>
      <c r="E52" s="169"/>
      <c r="F52" s="170"/>
      <c r="G52" s="170"/>
      <c r="H52" s="250"/>
      <c r="I52" s="235"/>
      <c r="J52" s="28"/>
    </row>
    <row r="53" spans="2:10" x14ac:dyDescent="0.2">
      <c r="B53" s="35" t="s">
        <v>515</v>
      </c>
      <c r="H53" s="20"/>
      <c r="I53" s="29"/>
      <c r="J53" s="28"/>
    </row>
    <row r="54" spans="2:10" x14ac:dyDescent="0.2">
      <c r="B54" s="28"/>
      <c r="C54" t="s">
        <v>506</v>
      </c>
      <c r="D54"/>
      <c r="E54"/>
      <c r="F54"/>
      <c r="G54"/>
      <c r="H54" s="167"/>
      <c r="I54" s="244">
        <f>Dashboard!E77</f>
        <v>0</v>
      </c>
      <c r="J54" s="28"/>
    </row>
    <row r="55" spans="2:10" x14ac:dyDescent="0.2">
      <c r="B55" s="28"/>
      <c r="C55" t="s">
        <v>507</v>
      </c>
      <c r="D55"/>
      <c r="E55"/>
      <c r="F55"/>
      <c r="G55"/>
      <c r="H55" s="167"/>
      <c r="I55" s="244">
        <f>Dashboard!E78</f>
        <v>0</v>
      </c>
      <c r="J55" s="28"/>
    </row>
    <row r="56" spans="2:10" x14ac:dyDescent="0.2">
      <c r="B56" s="28"/>
      <c r="C56" t="s">
        <v>508</v>
      </c>
      <c r="D56"/>
      <c r="E56"/>
      <c r="F56"/>
      <c r="G56"/>
      <c r="H56" s="167"/>
      <c r="I56" s="244">
        <f>Dashboard!E79</f>
        <v>0</v>
      </c>
      <c r="J56" s="28"/>
    </row>
    <row r="57" spans="2:10" x14ac:dyDescent="0.2">
      <c r="B57" s="28"/>
      <c r="C57" t="s">
        <v>509</v>
      </c>
      <c r="D57"/>
      <c r="E57"/>
      <c r="F57"/>
      <c r="G57"/>
      <c r="H57" s="167"/>
      <c r="I57" s="244">
        <f>Dashboard!E80</f>
        <v>0</v>
      </c>
      <c r="J57" s="28"/>
    </row>
    <row r="58" spans="2:10" x14ac:dyDescent="0.2">
      <c r="B58" s="28"/>
      <c r="C58" t="s">
        <v>510</v>
      </c>
      <c r="D58"/>
      <c r="E58"/>
      <c r="F58"/>
      <c r="G58"/>
      <c r="H58" s="167"/>
      <c r="I58" s="244">
        <f>Dashboard!E81</f>
        <v>0</v>
      </c>
      <c r="J58" s="28"/>
    </row>
    <row r="59" spans="2:10" x14ac:dyDescent="0.2">
      <c r="B59" s="28"/>
      <c r="C59" t="s">
        <v>511</v>
      </c>
      <c r="D59"/>
      <c r="E59"/>
      <c r="F59"/>
      <c r="G59"/>
      <c r="H59" s="167"/>
      <c r="I59" s="244">
        <f>Dashboard!E82</f>
        <v>0</v>
      </c>
      <c r="J59" s="28"/>
    </row>
    <row r="60" spans="2:10" x14ac:dyDescent="0.2">
      <c r="B60" s="28"/>
      <c r="C60" t="s">
        <v>512</v>
      </c>
      <c r="D60"/>
      <c r="E60"/>
      <c r="F60"/>
      <c r="G60"/>
      <c r="H60" s="167"/>
      <c r="I60" s="244">
        <f>Dashboard!E83</f>
        <v>0</v>
      </c>
    </row>
    <row r="61" spans="2:10" x14ac:dyDescent="0.2">
      <c r="B61" s="28"/>
      <c r="C61" t="s">
        <v>513</v>
      </c>
      <c r="D61"/>
      <c r="E61"/>
      <c r="F61"/>
      <c r="G61"/>
      <c r="H61" s="167"/>
      <c r="I61" s="244">
        <f>Dashboard!E84</f>
        <v>0</v>
      </c>
    </row>
    <row r="62" spans="2:10" ht="17" thickBot="1" x14ac:dyDescent="0.25">
      <c r="B62" s="44"/>
      <c r="C62" s="69"/>
      <c r="D62" s="69"/>
      <c r="E62" s="69"/>
      <c r="F62" s="69"/>
      <c r="G62" s="69"/>
      <c r="H62" s="69"/>
      <c r="I62" s="70"/>
    </row>
  </sheetData>
  <mergeCells count="1">
    <mergeCell ref="B5:F5"/>
  </mergeCells>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39997558519241921"/>
  </sheetPr>
  <dimension ref="B2:M28"/>
  <sheetViews>
    <sheetView workbookViewId="0">
      <selection activeCell="H27" sqref="H27"/>
    </sheetView>
  </sheetViews>
  <sheetFormatPr baseColWidth="10" defaultRowHeight="16" x14ac:dyDescent="0.2"/>
  <cols>
    <col min="1" max="1" width="10.83203125" style="102"/>
    <col min="2" max="2" width="27.83203125" style="102" bestFit="1" customWidth="1"/>
    <col min="3" max="3" width="18.5" style="102" customWidth="1"/>
    <col min="4" max="4" width="24" style="102" customWidth="1"/>
    <col min="5" max="5" width="28.33203125" style="102" customWidth="1"/>
    <col min="6" max="6" width="24.33203125" style="102" customWidth="1"/>
    <col min="7" max="7" width="19.5" style="102" customWidth="1"/>
    <col min="8" max="8" width="26.33203125" style="102" customWidth="1"/>
    <col min="9" max="9" width="23.1640625" style="102" customWidth="1"/>
    <col min="10" max="10" width="25" style="102" customWidth="1"/>
    <col min="11" max="11" width="18.5" style="102" customWidth="1"/>
    <col min="12" max="12" width="25.5" style="102" customWidth="1"/>
    <col min="13" max="16384" width="10.83203125" style="102"/>
  </cols>
  <sheetData>
    <row r="2" spans="2:13" ht="21" x14ac:dyDescent="0.25">
      <c r="B2" s="2" t="s">
        <v>221</v>
      </c>
      <c r="C2" s="1"/>
      <c r="D2" s="1"/>
      <c r="E2" s="1"/>
      <c r="F2" s="1"/>
      <c r="G2" s="1"/>
    </row>
    <row r="3" spans="2:13" x14ac:dyDescent="0.2">
      <c r="B3" s="1"/>
      <c r="C3" s="1"/>
      <c r="D3" s="1"/>
      <c r="E3" s="1"/>
      <c r="F3" s="1"/>
      <c r="G3" s="1"/>
    </row>
    <row r="4" spans="2:13" x14ac:dyDescent="0.2">
      <c r="B4" s="3" t="s">
        <v>78</v>
      </c>
      <c r="C4" s="4"/>
      <c r="D4" s="4"/>
      <c r="E4" s="4"/>
      <c r="F4" s="4"/>
      <c r="G4" s="5"/>
    </row>
    <row r="5" spans="2:13" ht="45" customHeight="1" x14ac:dyDescent="0.2">
      <c r="B5" s="594" t="s">
        <v>227</v>
      </c>
      <c r="C5" s="596"/>
      <c r="D5" s="596"/>
      <c r="E5" s="596"/>
      <c r="F5" s="596"/>
      <c r="G5" s="595"/>
    </row>
    <row r="6" spans="2:13" ht="17" thickBot="1" x14ac:dyDescent="0.25"/>
    <row r="7" spans="2:13" x14ac:dyDescent="0.2">
      <c r="B7" s="123" t="s">
        <v>183</v>
      </c>
      <c r="C7" s="26"/>
      <c r="D7" s="49"/>
      <c r="E7" s="49"/>
      <c r="F7" s="49"/>
      <c r="G7" s="49"/>
      <c r="H7" s="49"/>
      <c r="I7" s="49"/>
      <c r="J7" s="49"/>
      <c r="K7" s="383"/>
      <c r="L7" s="27"/>
    </row>
    <row r="8" spans="2:13" x14ac:dyDescent="0.2">
      <c r="B8" s="124"/>
      <c r="C8" s="1"/>
      <c r="D8" s="1"/>
      <c r="E8" s="1"/>
      <c r="F8" s="1"/>
      <c r="G8" s="1"/>
      <c r="H8" s="1"/>
      <c r="I8" s="1"/>
      <c r="J8" s="1"/>
      <c r="K8" s="124"/>
      <c r="L8" s="29"/>
    </row>
    <row r="9" spans="2:13" ht="34" x14ac:dyDescent="0.2">
      <c r="B9" s="125" t="s">
        <v>279</v>
      </c>
      <c r="C9" s="60" t="s">
        <v>205</v>
      </c>
      <c r="D9" s="60" t="s">
        <v>206</v>
      </c>
      <c r="E9" s="60" t="s">
        <v>207</v>
      </c>
      <c r="F9" s="60" t="s">
        <v>377</v>
      </c>
      <c r="G9" s="60" t="s">
        <v>104</v>
      </c>
      <c r="H9" s="60" t="s">
        <v>77</v>
      </c>
      <c r="I9" s="60" t="s">
        <v>105</v>
      </c>
      <c r="J9" s="60" t="s">
        <v>106</v>
      </c>
      <c r="K9" s="384" t="s">
        <v>527</v>
      </c>
      <c r="L9" s="103" t="s">
        <v>836</v>
      </c>
    </row>
    <row r="10" spans="2:13" x14ac:dyDescent="0.2">
      <c r="B10" s="126"/>
      <c r="C10" s="61"/>
      <c r="D10" s="61"/>
      <c r="E10" s="61"/>
      <c r="F10" s="61"/>
      <c r="G10" s="61"/>
      <c r="H10" s="61"/>
      <c r="I10" s="61"/>
      <c r="J10" s="61"/>
      <c r="K10" s="385"/>
      <c r="L10" s="104"/>
    </row>
    <row r="11" spans="2:13" ht="34" x14ac:dyDescent="0.2">
      <c r="B11" s="332" t="s">
        <v>210</v>
      </c>
      <c r="C11" s="291">
        <f>SUM('Corrected energy balance step 2'!C82:N82)+'Corrected energy balance step 2'!S82</f>
        <v>0</v>
      </c>
      <c r="D11" s="291">
        <f>'Corrected energy balance step 2'!T82+'Corrected energy balance step 2'!AV82</f>
        <v>0</v>
      </c>
      <c r="E11" s="291">
        <f>SUM('Corrected energy balance step 2'!U82:AQ82)</f>
        <v>0</v>
      </c>
      <c r="F11" s="291">
        <f>'Corrected energy balance step 2'!AU82+'Corrected energy balance step 2'!AZ82</f>
        <v>0</v>
      </c>
      <c r="G11" s="291">
        <f>'Corrected energy balance step 2'!BH82</f>
        <v>0</v>
      </c>
      <c r="H11" s="291">
        <f>SUM('Corrected energy balance step 2'!O82:R82,'Corrected energy balance step 2'!AR82:AT82,'Corrected energy balance step 2'!AV82:AZ82,,'Corrected energy balance step 2'!BB82:BE82,'Corrected energy balance step 2'!BF82:BG82,'Corrected energy balance step 2'!BI82:BK82)</f>
        <v>0</v>
      </c>
      <c r="I11" s="291">
        <f>'Corrected energy balance step 2'!BL82</f>
        <v>0</v>
      </c>
      <c r="J11" s="291">
        <f>'Corrected energy balance step 2'!BM82</f>
        <v>0</v>
      </c>
      <c r="K11" s="386">
        <f>SUM(C11:J11)</f>
        <v>0</v>
      </c>
      <c r="L11" s="380">
        <f>'Corrected energy balance step 2'!BN82</f>
        <v>0</v>
      </c>
      <c r="M11" s="137"/>
    </row>
    <row r="12" spans="2:13" ht="27" customHeight="1" x14ac:dyDescent="0.2">
      <c r="B12" s="138" t="s">
        <v>354</v>
      </c>
      <c r="C12" s="299" t="s">
        <v>358</v>
      </c>
      <c r="D12" s="299" t="s">
        <v>355</v>
      </c>
      <c r="E12" s="299" t="s">
        <v>359</v>
      </c>
      <c r="F12" s="299" t="s">
        <v>360</v>
      </c>
      <c r="G12" s="299" t="s">
        <v>357</v>
      </c>
      <c r="H12" s="299" t="s">
        <v>361</v>
      </c>
      <c r="I12" s="442" t="s">
        <v>356</v>
      </c>
      <c r="J12" s="299" t="s">
        <v>362</v>
      </c>
      <c r="K12" s="387"/>
      <c r="L12" s="381" t="s">
        <v>363</v>
      </c>
      <c r="M12" s="298"/>
    </row>
    <row r="13" spans="2:13" ht="17" thickBot="1" x14ac:dyDescent="0.25">
      <c r="B13" s="127"/>
      <c r="C13" s="105"/>
      <c r="D13" s="105"/>
      <c r="E13" s="105"/>
      <c r="F13" s="105"/>
      <c r="G13" s="105"/>
      <c r="H13" s="105"/>
      <c r="I13" s="105"/>
      <c r="J13" s="105"/>
      <c r="K13" s="388"/>
      <c r="L13" s="382"/>
    </row>
    <row r="16" spans="2:13" x14ac:dyDescent="0.2">
      <c r="K16" s="293" t="s">
        <v>528</v>
      </c>
      <c r="L16" s="294"/>
    </row>
    <row r="17" spans="2:12" x14ac:dyDescent="0.2">
      <c r="K17" s="295" t="s">
        <v>529</v>
      </c>
      <c r="L17" s="296"/>
    </row>
    <row r="18" spans="2:12" x14ac:dyDescent="0.2">
      <c r="K18" s="295" t="str">
        <f>"- total demand of aggregated carriers"</f>
        <v>- total demand of aggregated carriers</v>
      </c>
      <c r="L18" s="296"/>
    </row>
    <row r="19" spans="2:12" x14ac:dyDescent="0.2">
      <c r="K19" s="295" t="str">
        <f>"- total demand in energy balance"</f>
        <v>- total demand in energy balance</v>
      </c>
      <c r="L19" s="296"/>
    </row>
    <row r="20" spans="2:12" x14ac:dyDescent="0.2">
      <c r="K20" s="295" t="s">
        <v>530</v>
      </c>
      <c r="L20" s="296"/>
    </row>
    <row r="21" spans="2:12" x14ac:dyDescent="0.2">
      <c r="K21" s="295" t="s">
        <v>533</v>
      </c>
      <c r="L21" s="296"/>
    </row>
    <row r="22" spans="2:12" x14ac:dyDescent="0.2">
      <c r="K22" s="295"/>
      <c r="L22" s="296"/>
    </row>
    <row r="23" spans="2:12" x14ac:dyDescent="0.2">
      <c r="K23" s="297" t="s">
        <v>531</v>
      </c>
      <c r="L23" s="320">
        <f>K11-Final_demand_residences</f>
        <v>0</v>
      </c>
    </row>
    <row r="24" spans="2:12" ht="78" customHeight="1" x14ac:dyDescent="0.2">
      <c r="B24" s="377"/>
      <c r="C24" s="377"/>
      <c r="K24" s="601" t="s">
        <v>837</v>
      </c>
      <c r="L24" s="602"/>
    </row>
    <row r="25" spans="2:12" x14ac:dyDescent="0.2">
      <c r="B25" s="377"/>
      <c r="C25" s="377"/>
    </row>
    <row r="26" spans="2:12" x14ac:dyDescent="0.2">
      <c r="B26" s="377"/>
      <c r="C26" s="377"/>
      <c r="D26" s="377"/>
    </row>
    <row r="27" spans="2:12" x14ac:dyDescent="0.2">
      <c r="I27" s="1"/>
    </row>
    <row r="28" spans="2:12" x14ac:dyDescent="0.2">
      <c r="K28" s="378"/>
    </row>
  </sheetData>
  <mergeCells count="2">
    <mergeCell ref="B5:G5"/>
    <mergeCell ref="K24:L24"/>
  </mergeCells>
  <conditionalFormatting sqref="C13:F13">
    <cfRule type="cellIs" dxfId="5" priority="3" operator="greaterThan">
      <formula>0</formula>
    </cfRule>
  </conditionalFormatting>
  <conditionalFormatting sqref="K13:L13">
    <cfRule type="uniqueValues" dxfId="4" priority="1"/>
    <cfRule type="duplicateValues" dxfId="3" priority="2"/>
  </conditionalFormatting>
  <conditionalFormatting sqref="L23">
    <cfRule type="cellIs" dxfId="2" priority="7" operator="notBetween">
      <formula>-1</formula>
      <formula>1</formula>
    </cfRule>
    <cfRule type="cellIs" dxfId="1" priority="8" operator="between">
      <formula>-1</formula>
      <formula>1</formula>
    </cfRule>
  </conditionalFormatting>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C75A8-1B00-7A40-A337-29B69FF1B3AF}">
  <sheetPr>
    <tabColor theme="8" tint="0.39997558519241921"/>
  </sheetPr>
  <dimension ref="A2:K31"/>
  <sheetViews>
    <sheetView workbookViewId="0">
      <selection activeCell="E16" sqref="E16"/>
    </sheetView>
  </sheetViews>
  <sheetFormatPr baseColWidth="10" defaultRowHeight="16" x14ac:dyDescent="0.2"/>
  <cols>
    <col min="1" max="1" width="10.83203125" style="1"/>
    <col min="2" max="2" width="26.1640625" style="1" customWidth="1"/>
    <col min="3" max="3" width="47" style="1" customWidth="1"/>
    <col min="4" max="10" width="22" style="1" customWidth="1"/>
    <col min="11" max="11" width="21.33203125" style="1" customWidth="1"/>
    <col min="12" max="12" width="20.6640625" style="1" customWidth="1"/>
    <col min="13" max="16384" width="10.83203125" style="1"/>
  </cols>
  <sheetData>
    <row r="2" spans="1:11" ht="21" x14ac:dyDescent="0.25">
      <c r="B2" s="2" t="s">
        <v>791</v>
      </c>
    </row>
    <row r="4" spans="1:11" ht="112" customHeight="1" x14ac:dyDescent="0.2">
      <c r="B4" s="603" t="s">
        <v>792</v>
      </c>
      <c r="C4" s="604"/>
      <c r="D4" s="17"/>
    </row>
    <row r="5" spans="1:11" x14ac:dyDescent="0.2">
      <c r="B5" s="594"/>
      <c r="C5" s="596"/>
      <c r="D5" s="17"/>
    </row>
    <row r="6" spans="1:11" ht="17" thickBot="1" x14ac:dyDescent="0.25">
      <c r="A6" s="56"/>
      <c r="B6" s="56"/>
      <c r="C6" s="56"/>
      <c r="D6" s="56"/>
      <c r="E6" s="56"/>
      <c r="F6" s="56"/>
      <c r="G6" s="56"/>
      <c r="H6" s="56"/>
      <c r="I6" s="56"/>
      <c r="J6" s="56"/>
      <c r="K6" s="56"/>
    </row>
    <row r="7" spans="1:11" x14ac:dyDescent="0.2">
      <c r="A7" s="56"/>
      <c r="B7" s="150"/>
      <c r="C7" s="151"/>
      <c r="D7" s="152"/>
      <c r="E7" s="152"/>
      <c r="F7" s="152"/>
      <c r="G7" s="152"/>
      <c r="H7" s="152"/>
      <c r="I7" s="450"/>
      <c r="J7" s="56"/>
      <c r="K7" s="56"/>
    </row>
    <row r="8" spans="1:11" ht="51" x14ac:dyDescent="0.2">
      <c r="A8" s="56"/>
      <c r="B8" s="546"/>
      <c r="C8" s="547"/>
      <c r="D8" s="548" t="s">
        <v>796</v>
      </c>
      <c r="E8" s="549" t="s">
        <v>797</v>
      </c>
      <c r="F8" s="548" t="s">
        <v>799</v>
      </c>
      <c r="G8" s="548" t="s">
        <v>780</v>
      </c>
      <c r="H8" s="549" t="s">
        <v>801</v>
      </c>
      <c r="I8" s="550" t="s">
        <v>802</v>
      </c>
      <c r="J8" s="56"/>
      <c r="K8" s="56"/>
    </row>
    <row r="9" spans="1:11" x14ac:dyDescent="0.2">
      <c r="A9" s="56"/>
      <c r="B9" s="545" t="s">
        <v>794</v>
      </c>
      <c r="C9" s="96" t="s">
        <v>384</v>
      </c>
      <c r="D9" s="56">
        <f>Final_demand_gas</f>
        <v>0</v>
      </c>
      <c r="E9" s="56" t="e">
        <f>'Application Shares'!E17</f>
        <v>#DIV/0!</v>
      </c>
      <c r="F9" s="56" t="e">
        <f>'Technology Shares'!F11</f>
        <v>#DIV/0!</v>
      </c>
      <c r="G9" s="56"/>
      <c r="H9" s="1" t="e">
        <f>D9*E9*F9</f>
        <v>#DIV/0!</v>
      </c>
      <c r="I9" s="29" t="e">
        <f>H9/SUM(H$9:H$11)</f>
        <v>#DIV/0!</v>
      </c>
      <c r="J9" s="56"/>
      <c r="K9" s="56"/>
    </row>
    <row r="10" spans="1:11" x14ac:dyDescent="0.2">
      <c r="A10" s="56"/>
      <c r="B10" s="545"/>
      <c r="C10" s="56" t="s">
        <v>105</v>
      </c>
      <c r="D10" s="56">
        <f>Final_demand_electricity</f>
        <v>0</v>
      </c>
      <c r="E10" s="551" t="e">
        <f>'Application Shares'!E28</f>
        <v>#DIV/0!</v>
      </c>
      <c r="F10" s="56" t="e">
        <f>'Technology Shares'!F16</f>
        <v>#DIV/0!</v>
      </c>
      <c r="G10" s="451">
        <f>technical_specs!O20</f>
        <v>4.4999999999999885</v>
      </c>
      <c r="H10" s="1" t="e">
        <f>D10*E10*F10</f>
        <v>#DIV/0!</v>
      </c>
      <c r="I10" s="29" t="e">
        <f t="shared" ref="I10:I11" si="0">H10/SUM(H$9:H$11)</f>
        <v>#DIV/0!</v>
      </c>
      <c r="J10" s="56"/>
      <c r="K10" s="56"/>
    </row>
    <row r="11" spans="1:11" x14ac:dyDescent="0.2">
      <c r="A11" s="56"/>
      <c r="B11" s="545"/>
      <c r="C11" s="56" t="s">
        <v>793</v>
      </c>
      <c r="D11" s="56"/>
      <c r="E11" s="56"/>
      <c r="F11" s="56"/>
      <c r="G11" s="56"/>
      <c r="H11" s="56" t="e">
        <f>H10*G10</f>
        <v>#DIV/0!</v>
      </c>
      <c r="I11" s="29" t="e">
        <f t="shared" si="0"/>
        <v>#DIV/0!</v>
      </c>
      <c r="J11" s="56"/>
      <c r="K11" s="56"/>
    </row>
    <row r="12" spans="1:11" x14ac:dyDescent="0.2">
      <c r="A12" s="56"/>
      <c r="B12" s="545"/>
      <c r="C12" s="56"/>
      <c r="D12" s="56"/>
      <c r="E12" s="56"/>
      <c r="F12" s="56"/>
      <c r="G12" s="56"/>
      <c r="H12" s="56"/>
      <c r="I12" s="333"/>
      <c r="J12" s="56"/>
      <c r="K12" s="56"/>
    </row>
    <row r="13" spans="1:11" ht="17" x14ac:dyDescent="0.2">
      <c r="A13" s="56"/>
      <c r="B13" s="552"/>
      <c r="C13" s="547"/>
      <c r="D13" s="547"/>
      <c r="E13" s="549" t="s">
        <v>798</v>
      </c>
      <c r="F13" s="549" t="s">
        <v>800</v>
      </c>
      <c r="G13" s="549"/>
      <c r="H13" s="549" t="s">
        <v>801</v>
      </c>
      <c r="I13" s="550" t="s">
        <v>802</v>
      </c>
      <c r="J13" s="56"/>
      <c r="K13" s="56"/>
    </row>
    <row r="14" spans="1:11" x14ac:dyDescent="0.2">
      <c r="A14" s="56"/>
      <c r="B14" s="453" t="s">
        <v>795</v>
      </c>
      <c r="C14" s="56" t="s">
        <v>384</v>
      </c>
      <c r="D14" s="56">
        <f>Final_demand_gas</f>
        <v>0</v>
      </c>
      <c r="E14" s="56" t="e">
        <f>'Application Shares'!E18</f>
        <v>#DIV/0!</v>
      </c>
      <c r="F14" s="56" t="e">
        <f>'Technology Shares'!F21</f>
        <v>#DIV/0!</v>
      </c>
      <c r="G14" s="56"/>
      <c r="H14" s="1" t="e">
        <f>D14*E14*F14</f>
        <v>#DIV/0!</v>
      </c>
      <c r="I14" s="29" t="e">
        <f>H14/SUM(H$14:H$16)</f>
        <v>#DIV/0!</v>
      </c>
      <c r="J14" s="56"/>
      <c r="K14" s="56"/>
    </row>
    <row r="15" spans="1:11" x14ac:dyDescent="0.2">
      <c r="B15" s="28"/>
      <c r="C15" s="56" t="s">
        <v>105</v>
      </c>
      <c r="D15" s="56">
        <f>Final_demand_electricity</f>
        <v>0</v>
      </c>
      <c r="E15" s="551" t="e">
        <f>'Application Shares'!E29</f>
        <v>#DIV/0!</v>
      </c>
      <c r="F15" s="551" t="e">
        <f>'Technology Shares'!F26</f>
        <v>#DIV/0!</v>
      </c>
      <c r="G15" s="551">
        <f>technical_specs!O33</f>
        <v>3.0000000000000044</v>
      </c>
      <c r="H15" s="1" t="e">
        <f>D15*E15*F15</f>
        <v>#DIV/0!</v>
      </c>
      <c r="I15" s="29" t="e">
        <f t="shared" ref="I15" si="1">H15/SUM(H$14:H$16)</f>
        <v>#DIV/0!</v>
      </c>
      <c r="J15" s="56"/>
      <c r="K15" s="56"/>
    </row>
    <row r="16" spans="1:11" x14ac:dyDescent="0.2">
      <c r="B16" s="28"/>
      <c r="C16" s="56" t="s">
        <v>793</v>
      </c>
      <c r="D16" s="451"/>
      <c r="E16" s="451"/>
      <c r="F16" s="451"/>
      <c r="G16" s="451"/>
      <c r="H16" s="451" t="e">
        <f>H15*G15</f>
        <v>#DIV/0!</v>
      </c>
      <c r="I16" s="29" t="e">
        <f>H16/SUM(H$14:H$16)</f>
        <v>#DIV/0!</v>
      </c>
      <c r="J16" s="56"/>
      <c r="K16" s="56"/>
    </row>
    <row r="17" spans="2:11" ht="17" thickBot="1" x14ac:dyDescent="0.25">
      <c r="B17" s="44"/>
      <c r="C17" s="147"/>
      <c r="D17" s="147"/>
      <c r="E17" s="147"/>
      <c r="F17" s="147"/>
      <c r="G17" s="147"/>
      <c r="H17" s="147"/>
      <c r="I17" s="452"/>
      <c r="J17" s="56"/>
      <c r="K17" s="56"/>
    </row>
    <row r="18" spans="2:11" x14ac:dyDescent="0.2">
      <c r="C18" s="56"/>
      <c r="D18" s="56"/>
      <c r="E18" s="56"/>
      <c r="F18" s="56"/>
      <c r="G18" s="56"/>
      <c r="H18" s="56"/>
      <c r="I18" s="56"/>
      <c r="J18" s="56"/>
      <c r="K18" s="56"/>
    </row>
    <row r="19" spans="2:11" x14ac:dyDescent="0.2">
      <c r="C19" s="56"/>
      <c r="D19" s="56"/>
      <c r="E19" s="56"/>
      <c r="F19" s="56"/>
      <c r="G19" s="56"/>
      <c r="H19" s="56"/>
      <c r="I19" s="56"/>
      <c r="J19" s="56"/>
      <c r="K19" s="56"/>
    </row>
    <row r="20" spans="2:11" x14ac:dyDescent="0.2">
      <c r="C20" s="56"/>
      <c r="D20" s="56"/>
      <c r="E20" s="56"/>
      <c r="F20" s="56"/>
      <c r="G20" s="56"/>
      <c r="H20" s="56"/>
      <c r="I20" s="56"/>
      <c r="J20" s="56"/>
      <c r="K20" s="56"/>
    </row>
    <row r="21" spans="2:11" x14ac:dyDescent="0.2">
      <c r="C21" s="56"/>
      <c r="D21" s="56"/>
      <c r="E21" s="56"/>
      <c r="F21" s="56"/>
      <c r="G21" s="56"/>
      <c r="H21" s="56"/>
      <c r="I21" s="56"/>
      <c r="J21" s="56"/>
      <c r="K21" s="56"/>
    </row>
    <row r="22" spans="2:11" x14ac:dyDescent="0.2">
      <c r="C22" s="56"/>
      <c r="D22" s="56"/>
      <c r="E22" s="56"/>
      <c r="F22" s="56"/>
      <c r="G22" s="56"/>
      <c r="H22" s="56"/>
      <c r="I22" s="56"/>
      <c r="J22" s="56"/>
      <c r="K22" s="56"/>
    </row>
    <row r="23" spans="2:11" x14ac:dyDescent="0.2">
      <c r="C23" s="56"/>
      <c r="D23" s="56"/>
      <c r="E23" s="56"/>
      <c r="F23" s="56"/>
      <c r="G23" s="56"/>
      <c r="H23" s="56"/>
      <c r="I23" s="56"/>
      <c r="J23" s="56"/>
      <c r="K23" s="56"/>
    </row>
    <row r="24" spans="2:11" x14ac:dyDescent="0.2">
      <c r="C24" s="56"/>
      <c r="D24" s="56"/>
      <c r="E24" s="56"/>
      <c r="F24" s="56"/>
      <c r="G24" s="56"/>
      <c r="H24" s="56"/>
      <c r="I24" s="56"/>
      <c r="J24" s="56"/>
      <c r="K24" s="56"/>
    </row>
    <row r="25" spans="2:11" x14ac:dyDescent="0.2">
      <c r="C25" s="56"/>
      <c r="D25" s="56"/>
      <c r="E25" s="56"/>
      <c r="F25" s="56"/>
      <c r="G25" s="56"/>
      <c r="H25" s="56"/>
      <c r="I25" s="56"/>
      <c r="J25" s="56"/>
      <c r="K25" s="56"/>
    </row>
    <row r="26" spans="2:11" x14ac:dyDescent="0.2">
      <c r="C26" s="56"/>
      <c r="D26" s="56"/>
      <c r="E26" s="56"/>
      <c r="F26" s="56"/>
      <c r="G26" s="56"/>
      <c r="H26" s="56"/>
      <c r="I26" s="56"/>
      <c r="J26" s="56"/>
      <c r="K26" s="56"/>
    </row>
    <row r="27" spans="2:11" x14ac:dyDescent="0.2">
      <c r="C27" s="56"/>
      <c r="D27" s="56"/>
      <c r="E27" s="56"/>
      <c r="F27" s="56"/>
      <c r="G27" s="56"/>
      <c r="H27" s="56"/>
      <c r="I27" s="56"/>
      <c r="J27" s="56"/>
      <c r="K27" s="56"/>
    </row>
    <row r="28" spans="2:11" x14ac:dyDescent="0.2">
      <c r="C28" s="56"/>
      <c r="D28" s="56"/>
      <c r="E28" s="56"/>
      <c r="F28" s="56"/>
      <c r="G28" s="56"/>
      <c r="H28" s="56"/>
      <c r="I28" s="56"/>
      <c r="J28" s="56"/>
      <c r="K28" s="56"/>
    </row>
    <row r="29" spans="2:11" x14ac:dyDescent="0.2">
      <c r="C29" s="56"/>
      <c r="D29" s="56"/>
      <c r="E29" s="56"/>
      <c r="F29" s="56"/>
      <c r="G29" s="56"/>
      <c r="H29" s="56"/>
      <c r="I29" s="56"/>
      <c r="J29" s="56"/>
      <c r="K29" s="56"/>
    </row>
    <row r="30" spans="2:11" x14ac:dyDescent="0.2">
      <c r="C30" s="56"/>
      <c r="D30" s="56"/>
      <c r="E30" s="56"/>
      <c r="F30" s="56"/>
      <c r="G30" s="56"/>
      <c r="H30" s="56"/>
      <c r="I30" s="56"/>
      <c r="J30" s="56"/>
      <c r="K30" s="56"/>
    </row>
    <row r="31" spans="2:11" x14ac:dyDescent="0.2">
      <c r="C31" s="56"/>
      <c r="D31" s="56"/>
      <c r="E31" s="56"/>
      <c r="F31" s="56"/>
      <c r="G31" s="56"/>
      <c r="H31" s="56"/>
      <c r="I31" s="56"/>
      <c r="J31" s="56"/>
      <c r="K31" s="56"/>
    </row>
  </sheetData>
  <mergeCells count="2">
    <mergeCell ref="B5:C5"/>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59999389629810485"/>
  </sheetPr>
  <dimension ref="A2:N63"/>
  <sheetViews>
    <sheetView workbookViewId="0">
      <selection activeCell="A25" sqref="A25:XFD25"/>
    </sheetView>
  </sheetViews>
  <sheetFormatPr baseColWidth="10" defaultRowHeight="16" x14ac:dyDescent="0.2"/>
  <cols>
    <col min="1" max="1" width="10.83203125" style="1"/>
    <col min="2" max="2" width="21.6640625" style="1" customWidth="1"/>
    <col min="3" max="3" width="41.1640625" style="1" bestFit="1" customWidth="1"/>
    <col min="4" max="9" width="23.33203125" style="1" customWidth="1"/>
    <col min="10" max="16384" width="10.83203125" style="1"/>
  </cols>
  <sheetData>
    <row r="2" spans="1:14" ht="21" x14ac:dyDescent="0.25">
      <c r="B2" s="2" t="s">
        <v>630</v>
      </c>
    </row>
    <row r="4" spans="1:14" x14ac:dyDescent="0.2">
      <c r="B4" s="3" t="s">
        <v>78</v>
      </c>
      <c r="C4" s="4"/>
      <c r="D4" s="5"/>
    </row>
    <row r="5" spans="1:14" ht="38" customHeight="1" x14ac:dyDescent="0.2">
      <c r="B5" s="594" t="s">
        <v>484</v>
      </c>
      <c r="C5" s="596"/>
      <c r="D5" s="595"/>
    </row>
    <row r="6" spans="1:14" ht="17" thickBot="1" x14ac:dyDescent="0.25">
      <c r="A6" s="56"/>
      <c r="B6" s="56"/>
      <c r="C6" s="56"/>
      <c r="D6" s="56"/>
      <c r="E6" s="56"/>
      <c r="F6" s="56"/>
      <c r="G6" s="56"/>
      <c r="H6" s="56"/>
      <c r="I6" s="56"/>
    </row>
    <row r="7" spans="1:14" x14ac:dyDescent="0.2">
      <c r="A7" s="56"/>
      <c r="B7" s="150" t="s">
        <v>584</v>
      </c>
      <c r="C7" s="151"/>
      <c r="D7" s="152"/>
      <c r="E7" s="152"/>
      <c r="F7" s="151"/>
      <c r="G7" s="151"/>
      <c r="H7" s="151"/>
      <c r="I7" s="179"/>
    </row>
    <row r="8" spans="1:14" x14ac:dyDescent="0.2">
      <c r="A8" s="56"/>
      <c r="B8" s="71"/>
      <c r="C8" s="56"/>
      <c r="D8" s="146"/>
      <c r="E8" s="146"/>
      <c r="F8" s="56"/>
      <c r="G8" s="56"/>
      <c r="H8" s="56"/>
      <c r="I8" s="333"/>
    </row>
    <row r="9" spans="1:14" ht="68" x14ac:dyDescent="0.2">
      <c r="A9" s="56"/>
      <c r="B9" s="153"/>
      <c r="C9" s="177" t="s">
        <v>182</v>
      </c>
      <c r="D9" s="180" t="s">
        <v>436</v>
      </c>
      <c r="E9" s="180" t="s">
        <v>585</v>
      </c>
      <c r="F9" s="180" t="s">
        <v>214</v>
      </c>
      <c r="G9" s="180" t="s">
        <v>755</v>
      </c>
      <c r="H9" s="180" t="s">
        <v>586</v>
      </c>
      <c r="I9" s="181" t="s">
        <v>516</v>
      </c>
    </row>
    <row r="10" spans="1:14" x14ac:dyDescent="0.2">
      <c r="A10" s="56"/>
      <c r="B10" s="154" t="s">
        <v>76</v>
      </c>
      <c r="C10" s="217"/>
      <c r="D10" s="227"/>
      <c r="E10" s="227"/>
      <c r="F10" s="227"/>
      <c r="G10" s="227"/>
      <c r="H10" s="508"/>
      <c r="I10" s="509"/>
    </row>
    <row r="11" spans="1:14" x14ac:dyDescent="0.2">
      <c r="A11" s="56"/>
      <c r="B11" s="154"/>
      <c r="C11" t="str">
        <f>'Technology split final demand'!C11</f>
        <v>Condensing Combi Boiler (space heating)</v>
      </c>
      <c r="D11" s="200" t="e">
        <f>'Technology split final demand'!I11</f>
        <v>#DIV/0!</v>
      </c>
      <c r="E11" s="201" t="e">
        <f t="shared" ref="E11:E20" si="0">Final_demand_space_heating*D11</f>
        <v>#DIV/0!</v>
      </c>
      <c r="F11" s="200">
        <f>technical_specs!R11</f>
        <v>0</v>
      </c>
      <c r="G11" s="511" t="e">
        <f>F11*E11</f>
        <v>#DIV/0!</v>
      </c>
      <c r="H11" s="510" t="e">
        <f>G11</f>
        <v>#DIV/0!</v>
      </c>
      <c r="I11" s="443" t="e">
        <f t="shared" ref="I11:I21" si="1">H11/SUM($H$11:$H$21)</f>
        <v>#DIV/0!</v>
      </c>
      <c r="L11" s="56"/>
      <c r="N11" s="182"/>
    </row>
    <row r="12" spans="1:14" x14ac:dyDescent="0.2">
      <c r="A12" s="56"/>
      <c r="B12" s="154"/>
      <c r="C12" t="str">
        <f>'Technology split final demand'!C12</f>
        <v>Electric Heat Pump (ground) (space heating)</v>
      </c>
      <c r="D12" s="200" t="e">
        <f>'Technology split final demand'!I12</f>
        <v>#DIV/0!</v>
      </c>
      <c r="E12" s="201" t="e">
        <f t="shared" si="0"/>
        <v>#DIV/0!</v>
      </c>
      <c r="F12" s="200" t="e">
        <f>technical_specs!R12</f>
        <v>#DIV/0!</v>
      </c>
      <c r="G12" s="511" t="e">
        <f t="shared" ref="G12:G21" si="2">F12*E12</f>
        <v>#DIV/0!</v>
      </c>
      <c r="H12" s="198" t="e">
        <f t="shared" ref="H12:H19" si="3">G12</f>
        <v>#DIV/0!</v>
      </c>
      <c r="I12" s="199" t="e">
        <f t="shared" si="1"/>
        <v>#DIV/0!</v>
      </c>
      <c r="L12" s="56"/>
      <c r="N12" s="182"/>
    </row>
    <row r="13" spans="1:14" x14ac:dyDescent="0.2">
      <c r="A13" s="56"/>
      <c r="B13" s="154"/>
      <c r="C13" t="str">
        <f>'Technology split final demand'!C13</f>
        <v>District Heating (space heating)</v>
      </c>
      <c r="D13" s="200" t="e">
        <f>'Technology split final demand'!I13</f>
        <v>#DIV/0!</v>
      </c>
      <c r="E13" s="201" t="e">
        <f t="shared" si="0"/>
        <v>#DIV/0!</v>
      </c>
      <c r="F13" s="200">
        <f>technical_specs!R13</f>
        <v>0</v>
      </c>
      <c r="G13" s="511" t="e">
        <f t="shared" si="2"/>
        <v>#DIV/0!</v>
      </c>
      <c r="H13" s="198" t="e">
        <f t="shared" si="3"/>
        <v>#DIV/0!</v>
      </c>
      <c r="I13" s="199" t="e">
        <f t="shared" si="1"/>
        <v>#DIV/0!</v>
      </c>
      <c r="L13" s="56"/>
      <c r="N13" s="182"/>
    </row>
    <row r="14" spans="1:14" x14ac:dyDescent="0.2">
      <c r="A14" s="56"/>
      <c r="B14" s="155"/>
      <c r="C14" t="str">
        <f>'Technology split final demand'!C14</f>
        <v>electricity-driven Heat pump (air) (space heating)</v>
      </c>
      <c r="D14" s="200" t="e">
        <f>'Technology split final demand'!I14</f>
        <v>#DIV/0!</v>
      </c>
      <c r="E14" s="201" t="e">
        <f t="shared" si="0"/>
        <v>#DIV/0!</v>
      </c>
      <c r="F14" s="200" t="e">
        <f>technical_specs!R14</f>
        <v>#DIV/0!</v>
      </c>
      <c r="G14" s="511" t="e">
        <f t="shared" si="2"/>
        <v>#DIV/0!</v>
      </c>
      <c r="H14" s="198" t="e">
        <f t="shared" si="3"/>
        <v>#DIV/0!</v>
      </c>
      <c r="I14" s="199" t="e">
        <f t="shared" si="1"/>
        <v>#DIV/0!</v>
      </c>
      <c r="L14" s="56"/>
      <c r="N14" s="182"/>
    </row>
    <row r="15" spans="1:14" x14ac:dyDescent="0.2">
      <c r="A15" s="56"/>
      <c r="B15" s="155"/>
      <c r="C15" t="str">
        <f>'Technology split final demand'!C15</f>
        <v>woodpellets (biomass) heaters (space heating)</v>
      </c>
      <c r="D15" s="200" t="e">
        <f>'Technology split final demand'!I15</f>
        <v>#DIV/0!</v>
      </c>
      <c r="E15" s="201" t="e">
        <f t="shared" si="0"/>
        <v>#DIV/0!</v>
      </c>
      <c r="F15" s="200">
        <f>technical_specs!R15</f>
        <v>0</v>
      </c>
      <c r="G15" s="511" t="e">
        <f t="shared" si="2"/>
        <v>#DIV/0!</v>
      </c>
      <c r="H15" s="198" t="e">
        <f t="shared" si="3"/>
        <v>#DIV/0!</v>
      </c>
      <c r="I15" s="199" t="e">
        <f t="shared" si="1"/>
        <v>#DIV/0!</v>
      </c>
      <c r="L15" s="56"/>
      <c r="N15" s="182"/>
    </row>
    <row r="16" spans="1:14" x14ac:dyDescent="0.2">
      <c r="A16" s="56"/>
      <c r="B16" s="155"/>
      <c r="C16" t="str">
        <f>'Technology split final demand'!C16</f>
        <v>Electric Heaters (resistance) (space heating)</v>
      </c>
      <c r="D16" s="200" t="e">
        <f>'Technology split final demand'!I16</f>
        <v>#DIV/0!</v>
      </c>
      <c r="E16" s="201" t="e">
        <f t="shared" si="0"/>
        <v>#DIV/0!</v>
      </c>
      <c r="F16" s="200">
        <f>technical_specs!R16</f>
        <v>0</v>
      </c>
      <c r="G16" s="511" t="e">
        <f t="shared" si="2"/>
        <v>#DIV/0!</v>
      </c>
      <c r="H16" s="198" t="e">
        <f t="shared" si="3"/>
        <v>#DIV/0!</v>
      </c>
      <c r="I16" s="199" t="e">
        <f t="shared" si="1"/>
        <v>#DIV/0!</v>
      </c>
      <c r="L16" s="56"/>
      <c r="N16" s="182"/>
    </row>
    <row r="17" spans="1:14" x14ac:dyDescent="0.2">
      <c r="A17" s="56"/>
      <c r="B17" s="155"/>
      <c r="C17" t="str">
        <f>'Technology split final demand'!C17</f>
        <v>Gas-fired Heaters (space heating)</v>
      </c>
      <c r="D17" s="200" t="e">
        <f>'Technology split final demand'!I17</f>
        <v>#DIV/0!</v>
      </c>
      <c r="E17" s="201" t="e">
        <f t="shared" si="0"/>
        <v>#DIV/0!</v>
      </c>
      <c r="F17" s="200">
        <f>technical_specs!R17</f>
        <v>0</v>
      </c>
      <c r="G17" s="511" t="e">
        <f t="shared" si="2"/>
        <v>#DIV/0!</v>
      </c>
      <c r="H17" s="198" t="e">
        <f t="shared" si="3"/>
        <v>#DIV/0!</v>
      </c>
      <c r="I17" s="199" t="e">
        <f t="shared" si="1"/>
        <v>#DIV/0!</v>
      </c>
      <c r="L17" s="56"/>
      <c r="N17" s="182"/>
    </row>
    <row r="18" spans="1:14" x14ac:dyDescent="0.2">
      <c r="A18" s="56"/>
      <c r="B18" s="155"/>
      <c r="C18" t="str">
        <f>'Technology split final demand'!C18</f>
        <v>Oil-fired Heaters (space heating)</v>
      </c>
      <c r="D18" s="200" t="e">
        <f>'Technology split final demand'!I18</f>
        <v>#DIV/0!</v>
      </c>
      <c r="E18" s="201" t="e">
        <f t="shared" si="0"/>
        <v>#DIV/0!</v>
      </c>
      <c r="F18" s="200">
        <f>technical_specs!R18</f>
        <v>0</v>
      </c>
      <c r="G18" s="511" t="e">
        <f t="shared" si="2"/>
        <v>#DIV/0!</v>
      </c>
      <c r="H18" s="198" t="e">
        <f t="shared" si="3"/>
        <v>#DIV/0!</v>
      </c>
      <c r="I18" s="199" t="e">
        <f t="shared" si="1"/>
        <v>#DIV/0!</v>
      </c>
      <c r="K18" s="182"/>
      <c r="L18" s="182"/>
      <c r="M18" s="182"/>
      <c r="N18" s="182"/>
    </row>
    <row r="19" spans="1:14" x14ac:dyDescent="0.2">
      <c r="A19" s="56"/>
      <c r="B19" s="155"/>
      <c r="C19" t="str">
        <f>'Technology split final demand'!C19</f>
        <v>Coal-fired Heaters (space heating)</v>
      </c>
      <c r="D19" s="200" t="e">
        <f>'Technology split final demand'!I19</f>
        <v>#DIV/0!</v>
      </c>
      <c r="E19" s="201" t="e">
        <f t="shared" si="0"/>
        <v>#DIV/0!</v>
      </c>
      <c r="F19" s="200">
        <f>technical_specs!R19</f>
        <v>0</v>
      </c>
      <c r="G19" s="511" t="e">
        <f t="shared" si="2"/>
        <v>#DIV/0!</v>
      </c>
      <c r="H19" s="198" t="e">
        <f t="shared" si="3"/>
        <v>#DIV/0!</v>
      </c>
      <c r="I19" s="199" t="e">
        <f t="shared" si="1"/>
        <v>#DIV/0!</v>
      </c>
      <c r="K19" s="182"/>
      <c r="L19" s="182"/>
      <c r="M19" s="182"/>
      <c r="N19" s="182"/>
    </row>
    <row r="20" spans="1:14" x14ac:dyDescent="0.2">
      <c r="A20" s="56"/>
      <c r="B20" s="155"/>
      <c r="C20" t="str">
        <f>'Technology split final demand'!C20</f>
        <v>Hybrid heatpump, heatpump part (space heating)</v>
      </c>
      <c r="D20" s="200" t="e">
        <f>'Technology split final demand'!I20</f>
        <v>#DIV/0!</v>
      </c>
      <c r="E20" s="201" t="e">
        <f t="shared" si="0"/>
        <v>#DIV/0!</v>
      </c>
      <c r="F20" s="200">
        <f>technical_specs!R20</f>
        <v>4.4999999999999885</v>
      </c>
      <c r="G20" s="511" t="e">
        <f t="shared" si="2"/>
        <v>#DIV/0!</v>
      </c>
      <c r="H20" s="198" t="e">
        <f>G20+G21</f>
        <v>#DIV/0!</v>
      </c>
      <c r="I20" s="199" t="e">
        <f t="shared" si="1"/>
        <v>#DIV/0!</v>
      </c>
      <c r="K20" s="182"/>
      <c r="L20" s="182"/>
      <c r="M20" s="182"/>
      <c r="N20" s="182"/>
    </row>
    <row r="21" spans="1:14" x14ac:dyDescent="0.2">
      <c r="A21" s="56"/>
      <c r="B21" s="155"/>
      <c r="C21" s="42" t="str">
        <f>'Technology split final demand'!C21</f>
        <v>Hybrid heatpump, gas part (space heating)</v>
      </c>
      <c r="D21" s="225" t="e">
        <f>'Technology split final demand'!I21</f>
        <v>#DIV/0!</v>
      </c>
      <c r="E21" s="226" t="e">
        <f t="shared" ref="E21" si="4">Final_demand_space_heating*D21</f>
        <v>#DIV/0!</v>
      </c>
      <c r="F21" s="225">
        <f>technical_specs!R21</f>
        <v>0</v>
      </c>
      <c r="G21" s="512" t="e">
        <f t="shared" si="2"/>
        <v>#DIV/0!</v>
      </c>
      <c r="H21" s="228" t="e">
        <f>G20+G21</f>
        <v>#DIV/0!</v>
      </c>
      <c r="I21" s="229" t="e">
        <f t="shared" si="1"/>
        <v>#DIV/0!</v>
      </c>
      <c r="K21" s="182"/>
      <c r="L21" s="182"/>
      <c r="M21" s="182"/>
      <c r="N21" s="182"/>
    </row>
    <row r="22" spans="1:14" x14ac:dyDescent="0.2">
      <c r="A22" s="56"/>
      <c r="B22" s="156"/>
      <c r="C22" s="157"/>
      <c r="D22" s="202"/>
      <c r="E22" s="202"/>
      <c r="F22" s="202"/>
      <c r="G22" s="513"/>
      <c r="H22" s="202"/>
      <c r="I22" s="197"/>
      <c r="K22" s="182"/>
      <c r="L22" s="182"/>
      <c r="M22" s="182"/>
      <c r="N22" s="182"/>
    </row>
    <row r="23" spans="1:14" x14ac:dyDescent="0.2">
      <c r="A23" s="56"/>
      <c r="B23" s="154" t="s">
        <v>290</v>
      </c>
      <c r="C23" s="157"/>
      <c r="D23" s="202"/>
      <c r="E23" s="202"/>
      <c r="F23" s="202"/>
      <c r="G23" s="513"/>
      <c r="H23" s="202"/>
      <c r="I23" s="197"/>
      <c r="K23" s="182"/>
      <c r="L23" s="182"/>
      <c r="M23" s="182"/>
      <c r="N23" s="182"/>
    </row>
    <row r="24" spans="1:14" x14ac:dyDescent="0.2">
      <c r="A24" s="56"/>
      <c r="B24" s="154"/>
      <c r="C24" t="str">
        <f>'Technology split final demand'!C24</f>
        <v>Condensing Combi Boiler (hot water)</v>
      </c>
      <c r="D24" s="200" t="e">
        <f>'Technology split final demand'!I24</f>
        <v>#DIV/0!</v>
      </c>
      <c r="E24" s="201" t="e">
        <f t="shared" ref="E24:E32" si="5">Final_demand_hot_water*D24</f>
        <v>#DIV/0!</v>
      </c>
      <c r="F24" s="200">
        <f>technical_specs!R24</f>
        <v>0</v>
      </c>
      <c r="G24" s="511" t="e">
        <f>F24*E24</f>
        <v>#DIV/0!</v>
      </c>
      <c r="H24" s="198" t="e">
        <f>G24</f>
        <v>#DIV/0!</v>
      </c>
      <c r="I24" s="199" t="e">
        <f t="shared" ref="I24:I34" si="6">H24/SUM($H$24:$H$34)</f>
        <v>#DIV/0!</v>
      </c>
      <c r="K24" s="182"/>
      <c r="L24" s="182"/>
      <c r="M24" s="182"/>
      <c r="N24" s="182"/>
    </row>
    <row r="25" spans="1:14" x14ac:dyDescent="0.2">
      <c r="A25" s="56"/>
      <c r="B25" s="154"/>
      <c r="C25" t="str">
        <f>'Technology split final demand'!C25</f>
        <v>Electric Heat Pump (ground) (hot water)</v>
      </c>
      <c r="D25" s="200" t="e">
        <f>'Technology split final demand'!I25</f>
        <v>#DIV/0!</v>
      </c>
      <c r="E25" s="201" t="e">
        <f t="shared" si="5"/>
        <v>#DIV/0!</v>
      </c>
      <c r="F25" s="200" t="e">
        <f>technical_specs!R25</f>
        <v>#DIV/0!</v>
      </c>
      <c r="G25" s="511" t="e">
        <f t="shared" ref="G25:G34" si="7">F25*E25</f>
        <v>#DIV/0!</v>
      </c>
      <c r="H25" s="198" t="e">
        <f t="shared" ref="H25:H32" si="8">G25</f>
        <v>#DIV/0!</v>
      </c>
      <c r="I25" s="199" t="e">
        <f t="shared" si="6"/>
        <v>#DIV/0!</v>
      </c>
      <c r="K25" s="182"/>
      <c r="L25" s="182"/>
      <c r="M25" s="182"/>
      <c r="N25" s="182"/>
    </row>
    <row r="26" spans="1:14" x14ac:dyDescent="0.2">
      <c r="A26" s="56"/>
      <c r="B26" s="155"/>
      <c r="C26" t="str">
        <f>'Technology split final demand'!C26</f>
        <v>District Heating (hot water)</v>
      </c>
      <c r="D26" s="200" t="e">
        <f>'Technology split final demand'!I26</f>
        <v>#DIV/0!</v>
      </c>
      <c r="E26" s="201" t="e">
        <f t="shared" si="5"/>
        <v>#DIV/0!</v>
      </c>
      <c r="F26" s="200">
        <f>technical_specs!R26</f>
        <v>0</v>
      </c>
      <c r="G26" s="511" t="e">
        <f t="shared" si="7"/>
        <v>#DIV/0!</v>
      </c>
      <c r="H26" s="198" t="e">
        <f t="shared" si="8"/>
        <v>#DIV/0!</v>
      </c>
      <c r="I26" s="199" t="e">
        <f t="shared" si="6"/>
        <v>#DIV/0!</v>
      </c>
      <c r="K26" s="182"/>
      <c r="L26" s="182"/>
      <c r="M26" s="182"/>
      <c r="N26" s="182"/>
    </row>
    <row r="27" spans="1:14" x14ac:dyDescent="0.2">
      <c r="A27" s="56"/>
      <c r="B27" s="155"/>
      <c r="C27" t="str">
        <f>'Technology split final demand'!C27</f>
        <v>electricity-driven Heat pump (air) (hot water)</v>
      </c>
      <c r="D27" s="200" t="e">
        <f>'Technology split final demand'!I27</f>
        <v>#DIV/0!</v>
      </c>
      <c r="E27" s="201" t="e">
        <f t="shared" si="5"/>
        <v>#DIV/0!</v>
      </c>
      <c r="F27" s="200" t="e">
        <f>technical_specs!R27</f>
        <v>#DIV/0!</v>
      </c>
      <c r="G27" s="511" t="e">
        <f t="shared" si="7"/>
        <v>#DIV/0!</v>
      </c>
      <c r="H27" s="198" t="e">
        <f t="shared" si="8"/>
        <v>#DIV/0!</v>
      </c>
      <c r="I27" s="199" t="e">
        <f t="shared" si="6"/>
        <v>#DIV/0!</v>
      </c>
      <c r="K27" s="182"/>
      <c r="L27" s="182"/>
      <c r="M27" s="182"/>
      <c r="N27" s="182"/>
    </row>
    <row r="28" spans="1:14" x14ac:dyDescent="0.2">
      <c r="A28" s="56"/>
      <c r="B28" s="155"/>
      <c r="C28" t="str">
        <f>'Technology split final demand'!C28</f>
        <v>woodpellets (biomass) heaters (hot water)</v>
      </c>
      <c r="D28" s="200" t="e">
        <f>'Technology split final demand'!I28</f>
        <v>#DIV/0!</v>
      </c>
      <c r="E28" s="201" t="e">
        <f t="shared" si="5"/>
        <v>#DIV/0!</v>
      </c>
      <c r="F28" s="200">
        <f>technical_specs!R28</f>
        <v>0</v>
      </c>
      <c r="G28" s="511" t="e">
        <f t="shared" si="7"/>
        <v>#DIV/0!</v>
      </c>
      <c r="H28" s="198" t="e">
        <f t="shared" si="8"/>
        <v>#DIV/0!</v>
      </c>
      <c r="I28" s="199" t="e">
        <f t="shared" si="6"/>
        <v>#DIV/0!</v>
      </c>
      <c r="K28" s="182"/>
      <c r="L28" s="182"/>
      <c r="M28" s="182"/>
      <c r="N28" s="182"/>
    </row>
    <row r="29" spans="1:14" x14ac:dyDescent="0.2">
      <c r="A29" s="56"/>
      <c r="B29" s="155"/>
      <c r="C29" t="str">
        <f>'Technology split final demand'!C29</f>
        <v>Electric Heaters (resistance) (hot water)</v>
      </c>
      <c r="D29" s="200" t="e">
        <f>'Technology split final demand'!I29</f>
        <v>#DIV/0!</v>
      </c>
      <c r="E29" s="201" t="e">
        <f t="shared" si="5"/>
        <v>#DIV/0!</v>
      </c>
      <c r="F29" s="200">
        <f>technical_specs!R29</f>
        <v>0</v>
      </c>
      <c r="G29" s="511" t="e">
        <f t="shared" si="7"/>
        <v>#DIV/0!</v>
      </c>
      <c r="H29" s="198" t="e">
        <f t="shared" si="8"/>
        <v>#DIV/0!</v>
      </c>
      <c r="I29" s="199" t="e">
        <f t="shared" si="6"/>
        <v>#DIV/0!</v>
      </c>
      <c r="K29" s="182"/>
      <c r="L29" s="182"/>
      <c r="M29" s="182"/>
      <c r="N29" s="182"/>
    </row>
    <row r="30" spans="1:14" x14ac:dyDescent="0.2">
      <c r="A30" s="56"/>
      <c r="B30" s="155"/>
      <c r="C30" t="str">
        <f>'Technology split final demand'!C30</f>
        <v>Gas-fired Heaters (hot water)</v>
      </c>
      <c r="D30" s="200" t="e">
        <f>'Technology split final demand'!I30</f>
        <v>#DIV/0!</v>
      </c>
      <c r="E30" s="201" t="e">
        <f t="shared" si="5"/>
        <v>#DIV/0!</v>
      </c>
      <c r="F30" s="200">
        <f>technical_specs!R30</f>
        <v>0</v>
      </c>
      <c r="G30" s="511" t="e">
        <f t="shared" si="7"/>
        <v>#DIV/0!</v>
      </c>
      <c r="H30" s="198" t="e">
        <f t="shared" si="8"/>
        <v>#DIV/0!</v>
      </c>
      <c r="I30" s="199" t="e">
        <f t="shared" si="6"/>
        <v>#DIV/0!</v>
      </c>
      <c r="K30" s="182"/>
      <c r="L30" s="182"/>
      <c r="M30" s="182"/>
      <c r="N30" s="182"/>
    </row>
    <row r="31" spans="1:14" x14ac:dyDescent="0.2">
      <c r="A31" s="56"/>
      <c r="B31" s="155"/>
      <c r="C31" t="str">
        <f>'Technology split final demand'!C31</f>
        <v>Oil-fired Heaters (hot water)</v>
      </c>
      <c r="D31" s="200" t="e">
        <f>'Technology split final demand'!I31</f>
        <v>#DIV/0!</v>
      </c>
      <c r="E31" s="201" t="e">
        <f t="shared" si="5"/>
        <v>#DIV/0!</v>
      </c>
      <c r="F31" s="200">
        <f>technical_specs!R31</f>
        <v>0</v>
      </c>
      <c r="G31" s="511" t="e">
        <f t="shared" si="7"/>
        <v>#DIV/0!</v>
      </c>
      <c r="H31" s="198" t="e">
        <f t="shared" si="8"/>
        <v>#DIV/0!</v>
      </c>
      <c r="I31" s="199" t="e">
        <f t="shared" si="6"/>
        <v>#DIV/0!</v>
      </c>
      <c r="K31" s="182"/>
      <c r="L31" s="182"/>
      <c r="M31" s="182"/>
      <c r="N31" s="182"/>
    </row>
    <row r="32" spans="1:14" x14ac:dyDescent="0.2">
      <c r="A32" s="56"/>
      <c r="B32" s="155"/>
      <c r="C32" t="str">
        <f>'Technology split final demand'!C32</f>
        <v>Coal-fired Heaters (hot water)</v>
      </c>
      <c r="D32" s="200" t="e">
        <f>'Technology split final demand'!I32</f>
        <v>#DIV/0!</v>
      </c>
      <c r="E32" s="201" t="e">
        <f t="shared" si="5"/>
        <v>#DIV/0!</v>
      </c>
      <c r="F32" s="200">
        <f>technical_specs!R32</f>
        <v>0</v>
      </c>
      <c r="G32" s="511" t="e">
        <f t="shared" si="7"/>
        <v>#DIV/0!</v>
      </c>
      <c r="H32" s="198" t="e">
        <f t="shared" si="8"/>
        <v>#DIV/0!</v>
      </c>
      <c r="I32" s="199" t="e">
        <f t="shared" si="6"/>
        <v>#DIV/0!</v>
      </c>
      <c r="K32" s="182"/>
      <c r="L32" s="182"/>
      <c r="M32" s="182"/>
      <c r="N32" s="182"/>
    </row>
    <row r="33" spans="1:14" x14ac:dyDescent="0.2">
      <c r="A33" s="56"/>
      <c r="B33" s="155"/>
      <c r="C33" t="str">
        <f>'Technology split final demand'!C33</f>
        <v>Hybrid heatpump, heatpump part (hot water)</v>
      </c>
      <c r="D33" s="200" t="e">
        <f>'Technology split final demand'!I33</f>
        <v>#DIV/0!</v>
      </c>
      <c r="E33" s="201" t="e">
        <f t="shared" ref="E33:E34" si="9">Final_demand_hot_water*D33</f>
        <v>#DIV/0!</v>
      </c>
      <c r="F33" s="200">
        <f>technical_specs!R33</f>
        <v>3.0000000000000044</v>
      </c>
      <c r="G33" s="511" t="e">
        <f t="shared" si="7"/>
        <v>#DIV/0!</v>
      </c>
      <c r="H33" s="198" t="e">
        <f>G33+G34</f>
        <v>#DIV/0!</v>
      </c>
      <c r="I33" s="199" t="e">
        <f t="shared" si="6"/>
        <v>#DIV/0!</v>
      </c>
      <c r="K33" s="182"/>
      <c r="L33" s="182"/>
      <c r="M33" s="182"/>
      <c r="N33" s="182"/>
    </row>
    <row r="34" spans="1:14" x14ac:dyDescent="0.2">
      <c r="A34" s="56"/>
      <c r="B34" s="155"/>
      <c r="C34" s="42" t="str">
        <f>'Technology split final demand'!C34</f>
        <v>Hybrid heatpump, gas part (hot water)</v>
      </c>
      <c r="D34" s="225" t="e">
        <f>'Technology split final demand'!I34</f>
        <v>#DIV/0!</v>
      </c>
      <c r="E34" s="226" t="e">
        <f t="shared" si="9"/>
        <v>#DIV/0!</v>
      </c>
      <c r="F34" s="225">
        <f>technical_specs!R34</f>
        <v>0</v>
      </c>
      <c r="G34" s="512" t="e">
        <f t="shared" si="7"/>
        <v>#DIV/0!</v>
      </c>
      <c r="H34" s="228" t="e">
        <f>G33+G34</f>
        <v>#DIV/0!</v>
      </c>
      <c r="I34" s="229" t="e">
        <f t="shared" si="6"/>
        <v>#DIV/0!</v>
      </c>
      <c r="K34" s="182"/>
      <c r="L34" s="182"/>
      <c r="M34" s="182"/>
      <c r="N34" s="182"/>
    </row>
    <row r="35" spans="1:14" x14ac:dyDescent="0.2">
      <c r="A35" s="56"/>
      <c r="B35" s="436"/>
      <c r="D35" s="419"/>
      <c r="E35" s="420"/>
      <c r="F35" s="420"/>
      <c r="G35" s="514"/>
      <c r="H35" s="421"/>
      <c r="I35" s="224"/>
      <c r="K35" s="182"/>
      <c r="L35" s="182"/>
      <c r="M35" s="182"/>
      <c r="N35" s="182"/>
    </row>
    <row r="36" spans="1:14" x14ac:dyDescent="0.2">
      <c r="A36" s="56"/>
      <c r="B36" s="437"/>
      <c r="C36" s="438"/>
      <c r="D36" s="439"/>
      <c r="E36" s="439"/>
      <c r="F36" s="439"/>
      <c r="G36" s="515"/>
      <c r="H36" s="440"/>
      <c r="I36" s="441"/>
      <c r="K36" s="182"/>
      <c r="L36" s="182"/>
      <c r="M36" s="182"/>
      <c r="N36" s="182"/>
    </row>
    <row r="37" spans="1:14" x14ac:dyDescent="0.2">
      <c r="A37" s="56"/>
      <c r="B37" s="158" t="s">
        <v>88</v>
      </c>
      <c r="C37" s="230"/>
      <c r="D37" s="231"/>
      <c r="E37" s="231"/>
      <c r="F37" s="231"/>
      <c r="G37" s="516"/>
      <c r="H37" s="232"/>
      <c r="I37" s="233"/>
      <c r="K37" s="182"/>
      <c r="L37" s="182"/>
      <c r="M37" s="182"/>
      <c r="N37" s="182"/>
    </row>
    <row r="38" spans="1:14" x14ac:dyDescent="0.2">
      <c r="A38" s="56"/>
      <c r="B38" s="155"/>
      <c r="C38" t="str">
        <f>'Technology split final demand'!C37</f>
        <v>Electric heat pump ground</v>
      </c>
      <c r="D38" s="200" t="e">
        <f>'Technology split final demand'!I37</f>
        <v>#DIV/0!</v>
      </c>
      <c r="E38" s="201" t="e">
        <f>Final_demand_cooling*D38</f>
        <v>#DIV/0!</v>
      </c>
      <c r="F38" s="200" t="e">
        <f>technical_specs!R37</f>
        <v>#DIV/0!</v>
      </c>
      <c r="G38" s="511" t="e">
        <f>F38*E38</f>
        <v>#DIV/0!</v>
      </c>
      <c r="H38" s="198" t="e">
        <f>G38</f>
        <v>#DIV/0!</v>
      </c>
      <c r="I38" s="199" t="e">
        <f>H38/SUM($H$38:$H$40)</f>
        <v>#DIV/0!</v>
      </c>
      <c r="K38" s="182"/>
      <c r="L38" s="182"/>
      <c r="M38" s="182"/>
      <c r="N38" s="182"/>
    </row>
    <row r="39" spans="1:14" x14ac:dyDescent="0.2">
      <c r="A39" s="56"/>
      <c r="B39" s="155"/>
      <c r="C39" t="str">
        <f>'Technology split final demand'!C38</f>
        <v>Electric heat pump air</v>
      </c>
      <c r="D39" s="200" t="e">
        <f>'Technology split final demand'!I38</f>
        <v>#DIV/0!</v>
      </c>
      <c r="E39" s="201" t="e">
        <f>Final_demand_cooling*D39</f>
        <v>#DIV/0!</v>
      </c>
      <c r="F39" s="200" t="e">
        <f>technical_specs!R38</f>
        <v>#DIV/0!</v>
      </c>
      <c r="G39" s="511" t="e">
        <f t="shared" ref="G39:G40" si="10">F39*E39</f>
        <v>#DIV/0!</v>
      </c>
      <c r="H39" s="198" t="e">
        <f t="shared" ref="H39:H40" si="11">G39</f>
        <v>#DIV/0!</v>
      </c>
      <c r="I39" s="199" t="e">
        <f t="shared" ref="I39:I40" si="12">H39/SUM($H$38:$H$40)</f>
        <v>#DIV/0!</v>
      </c>
      <c r="K39" s="182"/>
      <c r="L39" s="182"/>
      <c r="M39" s="182"/>
      <c r="N39" s="182"/>
    </row>
    <row r="40" spans="1:14" x14ac:dyDescent="0.2">
      <c r="A40" s="56"/>
      <c r="B40" s="155"/>
      <c r="C40" s="42" t="str">
        <f>'Technology split final demand'!C39</f>
        <v>Conventional electric airconditioning</v>
      </c>
      <c r="D40" s="225" t="e">
        <f>'Technology split final demand'!I39</f>
        <v>#DIV/0!</v>
      </c>
      <c r="E40" s="226" t="e">
        <f>Final_demand_cooling*D40</f>
        <v>#DIV/0!</v>
      </c>
      <c r="F40" s="225" t="e">
        <f>technical_specs!R39</f>
        <v>#DIV/0!</v>
      </c>
      <c r="G40" s="511" t="e">
        <f t="shared" si="10"/>
        <v>#DIV/0!</v>
      </c>
      <c r="H40" s="198" t="e">
        <f t="shared" si="11"/>
        <v>#DIV/0!</v>
      </c>
      <c r="I40" s="229" t="e">
        <f t="shared" si="12"/>
        <v>#DIV/0!</v>
      </c>
      <c r="K40" s="182"/>
      <c r="L40" s="182"/>
      <c r="M40" s="182"/>
      <c r="N40" s="182"/>
    </row>
    <row r="41" spans="1:14" x14ac:dyDescent="0.2">
      <c r="A41" s="56"/>
      <c r="B41" s="155"/>
      <c r="C41" s="4"/>
      <c r="D41" s="428"/>
      <c r="E41" s="429"/>
      <c r="F41" s="428"/>
      <c r="G41" s="517"/>
      <c r="H41" s="430"/>
      <c r="I41" s="431"/>
      <c r="K41" s="182"/>
      <c r="L41" s="182"/>
      <c r="M41" s="182"/>
      <c r="N41" s="182"/>
    </row>
    <row r="42" spans="1:14" x14ac:dyDescent="0.2">
      <c r="A42" s="56"/>
      <c r="B42" s="156"/>
      <c r="C42" s="432"/>
      <c r="D42" s="433"/>
      <c r="E42" s="433"/>
      <c r="F42" s="433"/>
      <c r="G42" s="518"/>
      <c r="H42" s="434"/>
      <c r="I42" s="435"/>
      <c r="K42" s="182"/>
      <c r="L42" s="182"/>
      <c r="M42" s="182"/>
      <c r="N42" s="182"/>
    </row>
    <row r="43" spans="1:14" x14ac:dyDescent="0.2">
      <c r="A43" s="56"/>
      <c r="B43" s="154" t="s">
        <v>276</v>
      </c>
      <c r="C43" s="230"/>
      <c r="D43" s="231"/>
      <c r="E43" s="231"/>
      <c r="F43" s="231"/>
      <c r="G43" s="516"/>
      <c r="H43" s="232"/>
      <c r="I43" s="233"/>
      <c r="K43" s="182"/>
      <c r="L43" s="182"/>
      <c r="M43" s="182"/>
      <c r="N43" s="182"/>
    </row>
    <row r="44" spans="1:14" x14ac:dyDescent="0.2">
      <c r="A44" s="56"/>
      <c r="B44" s="154"/>
      <c r="C44" t="str">
        <f>'Technology split final demand'!C42</f>
        <v>Gas stoves</v>
      </c>
      <c r="D44" s="200" t="e">
        <f>'Technology split final demand'!I42</f>
        <v>#DIV/0!</v>
      </c>
      <c r="E44" s="201" t="e">
        <f>Final_demand_cooking*D44</f>
        <v>#DIV/0!</v>
      </c>
      <c r="F44" s="200">
        <f>technical_specs!R42</f>
        <v>0</v>
      </c>
      <c r="G44" s="511" t="e">
        <f>F44*E44</f>
        <v>#DIV/0!</v>
      </c>
      <c r="H44" s="198" t="e">
        <f>G44</f>
        <v>#DIV/0!</v>
      </c>
      <c r="I44" s="199" t="e">
        <f>H44/SUM($H$44:$H$48)</f>
        <v>#DIV/0!</v>
      </c>
      <c r="K44" s="182"/>
      <c r="L44" s="182"/>
      <c r="M44" s="182"/>
      <c r="N44" s="182"/>
    </row>
    <row r="45" spans="1:14" x14ac:dyDescent="0.2">
      <c r="A45" s="56"/>
      <c r="B45" s="154"/>
      <c r="C45" t="str">
        <f>'Technology split final demand'!C43</f>
        <v>Electric stoves (resistance)</v>
      </c>
      <c r="D45" s="200" t="e">
        <f>'Technology split final demand'!I43</f>
        <v>#DIV/0!</v>
      </c>
      <c r="E45" s="201" t="e">
        <f>Final_demand_cooking*D45</f>
        <v>#DIV/0!</v>
      </c>
      <c r="F45" s="200">
        <f>technical_specs!R43</f>
        <v>0</v>
      </c>
      <c r="G45" s="511" t="e">
        <f t="shared" ref="G45:G48" si="13">F45*E45</f>
        <v>#DIV/0!</v>
      </c>
      <c r="H45" s="198" t="e">
        <f t="shared" ref="H45:H48" si="14">G45</f>
        <v>#DIV/0!</v>
      </c>
      <c r="I45" s="199" t="e">
        <f t="shared" ref="I45:I47" si="15">H45/SUM($H$44:$H$48)</f>
        <v>#DIV/0!</v>
      </c>
      <c r="K45" s="182"/>
      <c r="L45" s="182"/>
      <c r="M45" s="182"/>
      <c r="N45" s="182"/>
    </row>
    <row r="46" spans="1:14" x14ac:dyDescent="0.2">
      <c r="A46" s="56"/>
      <c r="B46" s="154"/>
      <c r="C46" t="str">
        <f>'Technology split final demand'!C44</f>
        <v>Electric halogen stoves</v>
      </c>
      <c r="D46" s="200" t="e">
        <f>'Technology split final demand'!I44</f>
        <v>#DIV/0!</v>
      </c>
      <c r="E46" s="201" t="e">
        <f>Final_demand_cooking*D46</f>
        <v>#DIV/0!</v>
      </c>
      <c r="F46" s="200">
        <f>technical_specs!R44</f>
        <v>0</v>
      </c>
      <c r="G46" s="511" t="e">
        <f t="shared" si="13"/>
        <v>#DIV/0!</v>
      </c>
      <c r="H46" s="198" t="e">
        <f t="shared" si="14"/>
        <v>#DIV/0!</v>
      </c>
      <c r="I46" s="199" t="e">
        <f t="shared" si="15"/>
        <v>#DIV/0!</v>
      </c>
      <c r="K46" s="182"/>
      <c r="L46" s="182"/>
      <c r="M46" s="182"/>
      <c r="N46" s="182"/>
    </row>
    <row r="47" spans="1:14" x14ac:dyDescent="0.2">
      <c r="A47" s="56"/>
      <c r="B47" s="154"/>
      <c r="C47" t="str">
        <f>'Technology split final demand'!C45</f>
        <v>Electric induction stoves</v>
      </c>
      <c r="D47" s="200" t="e">
        <f>'Technology split final demand'!I45</f>
        <v>#DIV/0!</v>
      </c>
      <c r="E47" s="201" t="e">
        <f>Final_demand_cooking*D47</f>
        <v>#DIV/0!</v>
      </c>
      <c r="F47" s="200">
        <f>technical_specs!R45</f>
        <v>0</v>
      </c>
      <c r="G47" s="511" t="e">
        <f t="shared" si="13"/>
        <v>#DIV/0!</v>
      </c>
      <c r="H47" s="198" t="e">
        <f t="shared" si="14"/>
        <v>#DIV/0!</v>
      </c>
      <c r="I47" s="199" t="e">
        <f t="shared" si="15"/>
        <v>#DIV/0!</v>
      </c>
      <c r="K47" s="182"/>
      <c r="L47" s="182"/>
      <c r="M47" s="182"/>
      <c r="N47" s="182"/>
    </row>
    <row r="48" spans="1:14" x14ac:dyDescent="0.2">
      <c r="A48" s="56"/>
      <c r="B48" s="155"/>
      <c r="C48" s="42" t="str">
        <f>'Technology split final demand'!C46</f>
        <v>Biomass stoves</v>
      </c>
      <c r="D48" s="225" t="e">
        <f>'Technology split final demand'!I46</f>
        <v>#DIV/0!</v>
      </c>
      <c r="E48" s="226" t="e">
        <f>Final_demand_cooking*D48</f>
        <v>#DIV/0!</v>
      </c>
      <c r="F48" s="225">
        <f>technical_specs!R46</f>
        <v>0</v>
      </c>
      <c r="G48" s="511" t="e">
        <f t="shared" si="13"/>
        <v>#DIV/0!</v>
      </c>
      <c r="H48" s="198" t="e">
        <f t="shared" si="14"/>
        <v>#DIV/0!</v>
      </c>
      <c r="I48" s="229" t="e">
        <f>H48/SUM($H$44:$H$48)</f>
        <v>#DIV/0!</v>
      </c>
      <c r="K48" s="182"/>
      <c r="L48" s="182"/>
      <c r="M48" s="182"/>
      <c r="N48" s="182"/>
    </row>
    <row r="49" spans="1:14" x14ac:dyDescent="0.2">
      <c r="A49" s="56"/>
      <c r="B49" s="155"/>
      <c r="C49" s="4"/>
      <c r="D49" s="428"/>
      <c r="E49" s="429"/>
      <c r="F49" s="428"/>
      <c r="G49" s="517"/>
      <c r="H49" s="430"/>
      <c r="I49" s="431"/>
      <c r="K49" s="182"/>
      <c r="L49" s="182"/>
      <c r="M49" s="182"/>
      <c r="N49" s="182"/>
    </row>
    <row r="50" spans="1:14" x14ac:dyDescent="0.2">
      <c r="A50" s="56"/>
      <c r="B50" s="159"/>
      <c r="C50" s="424"/>
      <c r="D50" s="425"/>
      <c r="E50" s="425"/>
      <c r="F50" s="425"/>
      <c r="G50" s="519"/>
      <c r="H50" s="426"/>
      <c r="I50" s="427"/>
      <c r="K50" s="182"/>
      <c r="L50" s="182"/>
      <c r="M50" s="182"/>
      <c r="N50" s="182"/>
    </row>
    <row r="51" spans="1:14" x14ac:dyDescent="0.2">
      <c r="A51" s="56"/>
      <c r="B51" s="160" t="s">
        <v>75</v>
      </c>
      <c r="C51" s="230"/>
      <c r="D51" s="231"/>
      <c r="E51" s="231"/>
      <c r="F51" s="231"/>
      <c r="G51" s="516"/>
      <c r="H51" s="232"/>
      <c r="I51" s="233"/>
      <c r="K51" s="182"/>
      <c r="L51" s="182"/>
      <c r="M51" s="182"/>
      <c r="N51" s="182"/>
    </row>
    <row r="52" spans="1:14" x14ac:dyDescent="0.2">
      <c r="A52" s="56"/>
      <c r="B52" s="155"/>
      <c r="C52" t="str">
        <f>'Technology split final demand'!C49</f>
        <v>Incandescent lamps</v>
      </c>
      <c r="D52" s="200" t="e">
        <f>'Technology split final demand'!I49</f>
        <v>#DIV/0!</v>
      </c>
      <c r="E52" s="201" t="e">
        <f>Final_demand_lighting*D52</f>
        <v>#DIV/0!</v>
      </c>
      <c r="F52" s="200">
        <f>technical_specs!R49</f>
        <v>0</v>
      </c>
      <c r="G52" s="511" t="e">
        <f>F52*E52</f>
        <v>#DIV/0!</v>
      </c>
      <c r="H52" s="198" t="e">
        <f>G52</f>
        <v>#DIV/0!</v>
      </c>
      <c r="I52" s="199" t="e">
        <f>H52/SUM($H$52:$H$54)</f>
        <v>#DIV/0!</v>
      </c>
      <c r="K52" s="182"/>
      <c r="L52" s="182"/>
      <c r="M52" s="182"/>
      <c r="N52" s="182"/>
    </row>
    <row r="53" spans="1:14" x14ac:dyDescent="0.2">
      <c r="A53" s="56"/>
      <c r="B53" s="155"/>
      <c r="C53" t="str">
        <f>'Technology split final demand'!C50</f>
        <v>Low energy light bulbs / fluorescent lighting</v>
      </c>
      <c r="D53" s="200" t="e">
        <f>'Technology split final demand'!I50</f>
        <v>#DIV/0!</v>
      </c>
      <c r="E53" s="201" t="e">
        <f>Final_demand_lighting*D53</f>
        <v>#DIV/0!</v>
      </c>
      <c r="F53" s="200">
        <f>technical_specs!R50</f>
        <v>0</v>
      </c>
      <c r="G53" s="511" t="e">
        <f t="shared" ref="G53:G54" si="16">F53*E53</f>
        <v>#DIV/0!</v>
      </c>
      <c r="H53" s="198" t="e">
        <f t="shared" ref="H53:H54" si="17">G53</f>
        <v>#DIV/0!</v>
      </c>
      <c r="I53" s="199" t="e">
        <f>H53/SUM($H$52:$H$54)</f>
        <v>#DIV/0!</v>
      </c>
      <c r="K53" s="182"/>
      <c r="L53" s="182"/>
      <c r="M53" s="182"/>
      <c r="N53" s="182"/>
    </row>
    <row r="54" spans="1:14" x14ac:dyDescent="0.2">
      <c r="A54" s="56"/>
      <c r="B54" s="155"/>
      <c r="C54" s="42" t="str">
        <f>'Technology split final demand'!C51</f>
        <v>LED lamps</v>
      </c>
      <c r="D54" s="225" t="e">
        <f>'Technology split final demand'!I51</f>
        <v>#DIV/0!</v>
      </c>
      <c r="E54" s="226" t="e">
        <f>Final_demand_lighting*D54</f>
        <v>#DIV/0!</v>
      </c>
      <c r="F54" s="225">
        <f>technical_specs!R51</f>
        <v>0</v>
      </c>
      <c r="G54" s="512" t="e">
        <f t="shared" si="16"/>
        <v>#DIV/0!</v>
      </c>
      <c r="H54" s="228" t="e">
        <f t="shared" si="17"/>
        <v>#DIV/0!</v>
      </c>
      <c r="I54" s="229" t="e">
        <f>H54/SUM($H$52:$H$54)</f>
        <v>#DIV/0!</v>
      </c>
      <c r="K54" s="182"/>
      <c r="L54" s="182"/>
      <c r="M54" s="182"/>
      <c r="N54" s="182"/>
    </row>
    <row r="55" spans="1:14" x14ac:dyDescent="0.2">
      <c r="A55" s="56"/>
      <c r="B55" s="155"/>
      <c r="D55" s="419"/>
      <c r="E55" s="420"/>
      <c r="F55" s="419"/>
      <c r="G55" s="514"/>
      <c r="H55" s="421"/>
      <c r="I55" s="224"/>
      <c r="K55" s="182"/>
      <c r="L55" s="182"/>
      <c r="M55" s="182"/>
      <c r="N55" s="182"/>
    </row>
    <row r="56" spans="1:14" ht="17" thickBot="1" x14ac:dyDescent="0.25">
      <c r="A56" s="56"/>
      <c r="B56" s="72"/>
      <c r="C56" s="422"/>
      <c r="D56" s="422"/>
      <c r="E56" s="422"/>
      <c r="F56" s="422"/>
      <c r="G56" s="520"/>
      <c r="H56" s="422"/>
      <c r="I56" s="423"/>
      <c r="K56" s="182"/>
      <c r="L56" s="182"/>
      <c r="M56" s="182"/>
      <c r="N56" s="182"/>
    </row>
    <row r="57" spans="1:14" x14ac:dyDescent="0.2">
      <c r="A57" s="56"/>
      <c r="B57" s="56"/>
      <c r="C57" s="56"/>
      <c r="D57" s="56"/>
      <c r="E57" s="56"/>
      <c r="H57" s="56"/>
      <c r="I57" s="56"/>
      <c r="K57" s="182"/>
      <c r="L57" s="182"/>
      <c r="M57" s="182"/>
      <c r="N57" s="182"/>
    </row>
    <row r="58" spans="1:14" x14ac:dyDescent="0.2">
      <c r="A58" s="56"/>
      <c r="B58" s="56"/>
      <c r="C58" s="56"/>
      <c r="D58" s="56"/>
      <c r="E58" s="56"/>
      <c r="F58" s="200"/>
      <c r="G58" s="200"/>
      <c r="H58" s="56"/>
      <c r="I58" s="56"/>
      <c r="K58" s="182"/>
      <c r="L58" s="182"/>
      <c r="M58" s="182"/>
      <c r="N58" s="182"/>
    </row>
    <row r="59" spans="1:14" x14ac:dyDescent="0.2">
      <c r="A59" s="56"/>
      <c r="B59" s="56"/>
      <c r="C59" s="56"/>
      <c r="D59" s="56"/>
      <c r="E59" s="56"/>
      <c r="F59" s="56"/>
      <c r="G59" s="56"/>
      <c r="H59" s="56"/>
      <c r="I59" s="56"/>
      <c r="K59" s="182"/>
      <c r="L59" s="182"/>
      <c r="M59" s="182"/>
      <c r="N59" s="182"/>
    </row>
    <row r="60" spans="1:14" x14ac:dyDescent="0.2">
      <c r="A60" s="56"/>
      <c r="B60" s="56"/>
      <c r="C60" s="56"/>
      <c r="D60" s="56"/>
      <c r="E60" s="56"/>
      <c r="F60" s="200"/>
      <c r="G60" s="200"/>
      <c r="H60" s="56"/>
      <c r="I60" s="56"/>
    </row>
    <row r="61" spans="1:14" x14ac:dyDescent="0.2">
      <c r="A61" s="56"/>
      <c r="B61" s="56"/>
      <c r="C61" s="56"/>
      <c r="D61" s="56"/>
      <c r="E61" s="56"/>
      <c r="F61" s="56"/>
      <c r="G61" s="56"/>
      <c r="H61" s="56"/>
      <c r="I61" s="56"/>
    </row>
    <row r="62" spans="1:14" x14ac:dyDescent="0.2">
      <c r="A62" s="56"/>
      <c r="B62" s="56"/>
      <c r="C62" s="56"/>
      <c r="D62" s="56"/>
      <c r="E62" s="56"/>
      <c r="F62" s="56"/>
      <c r="G62" s="56"/>
      <c r="H62" s="56"/>
      <c r="I62" s="56"/>
    </row>
    <row r="63" spans="1:14" x14ac:dyDescent="0.2">
      <c r="A63" s="56"/>
      <c r="B63" s="56"/>
      <c r="C63" s="56"/>
      <c r="D63" s="56"/>
      <c r="E63" s="56"/>
      <c r="F63" s="56"/>
      <c r="G63" s="56"/>
      <c r="H63" s="56"/>
      <c r="I63" s="56"/>
    </row>
  </sheetData>
  <mergeCells count="1">
    <mergeCell ref="B5:D5"/>
  </mergeCells>
  <pageMargins left="0.75" right="0.75" top="1" bottom="1" header="0.5" footer="0.5"/>
  <pageSetup paperSize="9"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7" tint="0.39997558519241921"/>
  </sheetPr>
  <dimension ref="A1:B4"/>
  <sheetViews>
    <sheetView workbookViewId="0">
      <selection activeCell="B4" sqref="B4"/>
    </sheetView>
  </sheetViews>
  <sheetFormatPr baseColWidth="10" defaultRowHeight="16" x14ac:dyDescent="0.2"/>
  <cols>
    <col min="1" max="1" width="51.1640625" bestFit="1" customWidth="1"/>
    <col min="2" max="2" width="14.83203125" bestFit="1" customWidth="1"/>
  </cols>
  <sheetData>
    <row r="1" spans="1:2" x14ac:dyDescent="0.2">
      <c r="A1" t="s">
        <v>451</v>
      </c>
    </row>
    <row r="2" spans="1:2" x14ac:dyDescent="0.2">
      <c r="A2" t="s">
        <v>481</v>
      </c>
      <c r="B2" t="s">
        <v>482</v>
      </c>
    </row>
    <row r="3" spans="1:2" x14ac:dyDescent="0.2">
      <c r="A3" t="s">
        <v>232</v>
      </c>
      <c r="B3" s="171" t="e">
        <f>'Application Shares'!E9</f>
        <v>#DIV/0!</v>
      </c>
    </row>
    <row r="4" spans="1:2" x14ac:dyDescent="0.2">
      <c r="A4" t="s">
        <v>233</v>
      </c>
      <c r="B4" s="171" t="e">
        <f>'Application Shares'!E10</f>
        <v>#DIV/0!</v>
      </c>
    </row>
  </sheetData>
  <sortState xmlns:xlrd2="http://schemas.microsoft.com/office/spreadsheetml/2017/richdata2" ref="A2:A16">
    <sortCondition ref="A2"/>
  </sortState>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7" tint="0.39997558519241921"/>
  </sheetPr>
  <dimension ref="A1:B4"/>
  <sheetViews>
    <sheetView workbookViewId="0">
      <selection activeCell="B4" sqref="B4"/>
    </sheetView>
  </sheetViews>
  <sheetFormatPr baseColWidth="10" defaultRowHeight="16" x14ac:dyDescent="0.2"/>
  <cols>
    <col min="1" max="1" width="51.1640625" bestFit="1" customWidth="1"/>
    <col min="2" max="2" width="14.83203125" bestFit="1" customWidth="1"/>
  </cols>
  <sheetData>
    <row r="1" spans="1:2" x14ac:dyDescent="0.2">
      <c r="A1" t="s">
        <v>452</v>
      </c>
    </row>
    <row r="2" spans="1:2" x14ac:dyDescent="0.2">
      <c r="A2" t="s">
        <v>481</v>
      </c>
      <c r="B2" t="s">
        <v>482</v>
      </c>
    </row>
    <row r="3" spans="1:2" x14ac:dyDescent="0.2">
      <c r="A3" t="s">
        <v>234</v>
      </c>
      <c r="B3" s="171" t="e">
        <f>'Application Shares'!E13</f>
        <v>#DIV/0!</v>
      </c>
    </row>
    <row r="4" spans="1:2" x14ac:dyDescent="0.2">
      <c r="A4" t="s">
        <v>235</v>
      </c>
      <c r="B4" s="171" t="e">
        <f>'Application Shares'!E14</f>
        <v>#DIV/0!</v>
      </c>
    </row>
  </sheetData>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7" tint="0.39997558519241921"/>
  </sheetPr>
  <dimension ref="A1:C27"/>
  <sheetViews>
    <sheetView workbookViewId="0">
      <selection activeCell="B6" sqref="B6"/>
    </sheetView>
  </sheetViews>
  <sheetFormatPr baseColWidth="10" defaultRowHeight="16" x14ac:dyDescent="0.2"/>
  <cols>
    <col min="1" max="1" width="51.1640625" bestFit="1" customWidth="1"/>
    <col min="2" max="2" width="17" customWidth="1"/>
  </cols>
  <sheetData>
    <row r="1" spans="1:2" x14ac:dyDescent="0.2">
      <c r="A1" t="s">
        <v>453</v>
      </c>
    </row>
    <row r="2" spans="1:2" x14ac:dyDescent="0.2">
      <c r="A2" t="s">
        <v>481</v>
      </c>
      <c r="B2" t="s">
        <v>482</v>
      </c>
    </row>
    <row r="3" spans="1:2" x14ac:dyDescent="0.2">
      <c r="A3" t="s">
        <v>382</v>
      </c>
      <c r="B3" s="171" t="e">
        <f>'Application Shares'!E20</f>
        <v>#DIV/0!</v>
      </c>
    </row>
    <row r="4" spans="1:2" x14ac:dyDescent="0.2">
      <c r="A4" t="s">
        <v>238</v>
      </c>
      <c r="B4" s="171" t="e">
        <f>'Application Shares'!E19</f>
        <v>#DIV/0!</v>
      </c>
    </row>
    <row r="5" spans="1:2" x14ac:dyDescent="0.2">
      <c r="A5" t="s">
        <v>237</v>
      </c>
      <c r="B5" s="171" t="e">
        <f>'Application Shares'!E18</f>
        <v>#DIV/0!</v>
      </c>
    </row>
    <row r="6" spans="1:2" x14ac:dyDescent="0.2">
      <c r="A6" t="s">
        <v>236</v>
      </c>
      <c r="B6" s="171" t="e">
        <f>'Application Shares'!E17</f>
        <v>#DIV/0!</v>
      </c>
    </row>
    <row r="25" spans="3:3" x14ac:dyDescent="0.2">
      <c r="C25" s="131"/>
    </row>
    <row r="26" spans="3:3" x14ac:dyDescent="0.2">
      <c r="C26" s="131"/>
    </row>
    <row r="27" spans="3:3" x14ac:dyDescent="0.2">
      <c r="C27" s="131"/>
    </row>
  </sheetData>
  <pageMargins left="0.75" right="0.75" top="1" bottom="1" header="0.5" footer="0.5"/>
  <pageSetup paperSize="9"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7" tint="0.39997558519241921"/>
  </sheetPr>
  <dimension ref="A1:B5"/>
  <sheetViews>
    <sheetView workbookViewId="0">
      <selection activeCell="B5" sqref="B5"/>
    </sheetView>
  </sheetViews>
  <sheetFormatPr baseColWidth="10" defaultRowHeight="16" x14ac:dyDescent="0.2"/>
  <cols>
    <col min="1" max="1" width="50" bestFit="1" customWidth="1"/>
    <col min="2" max="2" width="14.83203125" bestFit="1" customWidth="1"/>
  </cols>
  <sheetData>
    <row r="1" spans="1:2" x14ac:dyDescent="0.2">
      <c r="A1" t="s">
        <v>467</v>
      </c>
    </row>
    <row r="2" spans="1:2" x14ac:dyDescent="0.2">
      <c r="A2" t="s">
        <v>481</v>
      </c>
      <c r="B2" t="s">
        <v>482</v>
      </c>
    </row>
    <row r="3" spans="1:2" x14ac:dyDescent="0.2">
      <c r="A3" t="s">
        <v>466</v>
      </c>
      <c r="B3" s="171" t="e">
        <f>'Application Shares'!E23</f>
        <v>#DIV/0!</v>
      </c>
    </row>
    <row r="4" spans="1:2" x14ac:dyDescent="0.2">
      <c r="A4" t="s">
        <v>468</v>
      </c>
      <c r="B4" s="171" t="e">
        <f>'Application Shares'!E24</f>
        <v>#DIV/0!</v>
      </c>
    </row>
    <row r="5" spans="1:2" x14ac:dyDescent="0.2">
      <c r="A5" t="s">
        <v>469</v>
      </c>
      <c r="B5" s="171" t="e">
        <f>'Application Shares'!E25</f>
        <v>#DIV/0!</v>
      </c>
    </row>
  </sheetData>
  <pageMargins left="0.75" right="0.75" top="1" bottom="1" header="0.5" footer="0.5"/>
  <pageSetup paperSize="9" orientation="portrait"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7" tint="0.39997558519241921"/>
  </sheetPr>
  <dimension ref="A1:B8"/>
  <sheetViews>
    <sheetView workbookViewId="0">
      <selection activeCell="B3" sqref="B3"/>
    </sheetView>
  </sheetViews>
  <sheetFormatPr baseColWidth="10" defaultRowHeight="16" x14ac:dyDescent="0.2"/>
  <cols>
    <col min="1" max="1" width="50" bestFit="1" customWidth="1"/>
    <col min="2" max="2" width="14.5" bestFit="1" customWidth="1"/>
  </cols>
  <sheetData>
    <row r="1" spans="1:2" x14ac:dyDescent="0.2">
      <c r="A1" t="s">
        <v>454</v>
      </c>
    </row>
    <row r="2" spans="1:2" x14ac:dyDescent="0.2">
      <c r="A2" t="s">
        <v>481</v>
      </c>
      <c r="B2" t="s">
        <v>482</v>
      </c>
    </row>
    <row r="3" spans="1:2" x14ac:dyDescent="0.2">
      <c r="A3" t="s">
        <v>242</v>
      </c>
      <c r="B3" s="171" t="e">
        <f>'Application Shares'!E33</f>
        <v>#DIV/0!</v>
      </c>
    </row>
    <row r="4" spans="1:2" x14ac:dyDescent="0.2">
      <c r="A4" t="s">
        <v>239</v>
      </c>
      <c r="B4" s="171" t="e">
        <f>'Application Shares'!E28</f>
        <v>#DIV/0!</v>
      </c>
    </row>
    <row r="5" spans="1:2" x14ac:dyDescent="0.2">
      <c r="A5" t="s">
        <v>240</v>
      </c>
      <c r="B5" s="171" t="e">
        <f>'Application Shares'!E29</f>
        <v>#DIV/0!</v>
      </c>
    </row>
    <row r="6" spans="1:2" x14ac:dyDescent="0.2">
      <c r="A6" t="s">
        <v>241</v>
      </c>
      <c r="B6" s="171" t="e">
        <f>'Application Shares'!E30</f>
        <v>#DIV/0!</v>
      </c>
    </row>
    <row r="7" spans="1:2" x14ac:dyDescent="0.2">
      <c r="A7" t="s">
        <v>243</v>
      </c>
      <c r="B7" s="171" t="e">
        <f>'Application Shares'!E31</f>
        <v>#DIV/0!</v>
      </c>
    </row>
    <row r="8" spans="1:2" x14ac:dyDescent="0.2">
      <c r="A8" t="s">
        <v>244</v>
      </c>
      <c r="B8" s="171" t="e">
        <f>'Application Shares'!E32</f>
        <v>#DIV/0!</v>
      </c>
    </row>
  </sheetData>
  <pageMargins left="0.75" right="0.75" top="1" bottom="1" header="0.5" footer="0.5"/>
  <pageSetup paperSize="9" orientation="portrait" horizontalDpi="4294967292" verticalDpi="429496729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theme="7" tint="0.39997558519241921"/>
  </sheetPr>
  <dimension ref="A1:C9"/>
  <sheetViews>
    <sheetView workbookViewId="0">
      <selection activeCell="B4" sqref="B4"/>
    </sheetView>
  </sheetViews>
  <sheetFormatPr baseColWidth="10" defaultRowHeight="16" x14ac:dyDescent="0.2"/>
  <cols>
    <col min="1" max="1" width="54.33203125" bestFit="1" customWidth="1"/>
    <col min="2" max="2" width="14.5" bestFit="1" customWidth="1"/>
  </cols>
  <sheetData>
    <row r="1" spans="1:3" x14ac:dyDescent="0.2">
      <c r="A1" t="s">
        <v>455</v>
      </c>
    </row>
    <row r="2" spans="1:3" x14ac:dyDescent="0.2">
      <c r="A2" t="s">
        <v>481</v>
      </c>
      <c r="B2" t="s">
        <v>482</v>
      </c>
    </row>
    <row r="3" spans="1:3" x14ac:dyDescent="0.2">
      <c r="A3" t="s">
        <v>246</v>
      </c>
      <c r="B3" s="171" t="e">
        <f>'Application Shares'!E37</f>
        <v>#DIV/0!</v>
      </c>
    </row>
    <row r="4" spans="1:3" x14ac:dyDescent="0.2">
      <c r="A4" t="s">
        <v>245</v>
      </c>
      <c r="B4" s="171" t="e">
        <f>'Application Shares'!E36</f>
        <v>#DIV/0!</v>
      </c>
    </row>
    <row r="9" spans="1:3" x14ac:dyDescent="0.2">
      <c r="C9" s="131"/>
    </row>
  </sheetData>
  <pageMargins left="0.75" right="0.75" top="1" bottom="1" header="0.5" footer="0.5"/>
  <pageSetup paperSize="9" orientation="portrait" horizontalDpi="4294967292" verticalDpi="429496729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5"/>
  <sheetViews>
    <sheetView workbookViewId="0">
      <selection activeCell="B6" sqref="B6"/>
    </sheetView>
  </sheetViews>
  <sheetFormatPr baseColWidth="10" defaultRowHeight="16" x14ac:dyDescent="0.2"/>
  <cols>
    <col min="1" max="1" width="63.33203125" customWidth="1"/>
    <col min="2" max="2" width="14.83203125" bestFit="1" customWidth="1"/>
  </cols>
  <sheetData>
    <row r="1" spans="1:2" x14ac:dyDescent="0.2">
      <c r="A1" t="s">
        <v>456</v>
      </c>
    </row>
    <row r="2" spans="1:2" x14ac:dyDescent="0.2">
      <c r="A2" t="s">
        <v>481</v>
      </c>
      <c r="B2" t="s">
        <v>482</v>
      </c>
    </row>
    <row r="3" spans="1:2" x14ac:dyDescent="0.2">
      <c r="A3" t="s">
        <v>247</v>
      </c>
      <c r="B3" s="171" t="e">
        <f>'Technology Shares'!F32</f>
        <v>#DIV/0!</v>
      </c>
    </row>
    <row r="4" spans="1:2" x14ac:dyDescent="0.2">
      <c r="A4" t="s">
        <v>248</v>
      </c>
      <c r="B4" s="171" t="e">
        <f>'Technology Shares'!F33</f>
        <v>#DIV/0!</v>
      </c>
    </row>
    <row r="5" spans="1:2" x14ac:dyDescent="0.2">
      <c r="A5" t="s">
        <v>249</v>
      </c>
      <c r="B5" s="171" t="e">
        <f>'Technology Shares'!F34</f>
        <v>#DIV/0!</v>
      </c>
    </row>
  </sheetData>
  <pageMargins left="0.75" right="0.75" top="1" bottom="1" header="0.5" footer="0.5"/>
  <pageSetup paperSize="9"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B5"/>
  <sheetViews>
    <sheetView workbookViewId="0">
      <selection activeCell="A5" sqref="A5:XFD5"/>
    </sheetView>
  </sheetViews>
  <sheetFormatPr baseColWidth="10" defaultRowHeight="16" x14ac:dyDescent="0.2"/>
  <cols>
    <col min="1" max="1" width="60.6640625" bestFit="1" customWidth="1"/>
    <col min="2" max="2" width="14.83203125" bestFit="1" customWidth="1"/>
  </cols>
  <sheetData>
    <row r="1" spans="1:2" x14ac:dyDescent="0.2">
      <c r="A1" t="s">
        <v>457</v>
      </c>
    </row>
    <row r="2" spans="1:2" x14ac:dyDescent="0.2">
      <c r="A2" t="s">
        <v>481</v>
      </c>
      <c r="B2" t="s">
        <v>482</v>
      </c>
    </row>
    <row r="3" spans="1:2" x14ac:dyDescent="0.2">
      <c r="A3" t="s">
        <v>250</v>
      </c>
      <c r="B3" s="171" t="e">
        <f>'Technology Shares'!F9</f>
        <v>#DIV/0!</v>
      </c>
    </row>
    <row r="4" spans="1:2" x14ac:dyDescent="0.2">
      <c r="A4" t="s">
        <v>251</v>
      </c>
      <c r="B4" s="171" t="e">
        <f>'Technology Shares'!F10</f>
        <v>#DIV/0!</v>
      </c>
    </row>
    <row r="5" spans="1:2" x14ac:dyDescent="0.2">
      <c r="A5" t="s">
        <v>746</v>
      </c>
      <c r="B5" s="171" t="e">
        <f>'Technology Shares'!F11</f>
        <v>#DIV/0!</v>
      </c>
    </row>
  </sheetData>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theme="7" tint="0.39997558519241921"/>
  </sheetPr>
  <dimension ref="A1:B6"/>
  <sheetViews>
    <sheetView workbookViewId="0">
      <selection activeCell="B6" sqref="B6"/>
    </sheetView>
  </sheetViews>
  <sheetFormatPr baseColWidth="10" defaultRowHeight="16" x14ac:dyDescent="0.2"/>
  <cols>
    <col min="1" max="1" width="97.1640625" bestFit="1" customWidth="1"/>
    <col min="2" max="2" width="14.83203125" bestFit="1" customWidth="1"/>
  </cols>
  <sheetData>
    <row r="1" spans="1:2" x14ac:dyDescent="0.2">
      <c r="A1" t="s">
        <v>458</v>
      </c>
    </row>
    <row r="2" spans="1:2" x14ac:dyDescent="0.2">
      <c r="A2" t="s">
        <v>481</v>
      </c>
      <c r="B2" t="s">
        <v>482</v>
      </c>
    </row>
    <row r="3" spans="1:2" x14ac:dyDescent="0.2">
      <c r="A3" t="s">
        <v>252</v>
      </c>
      <c r="B3" s="171" t="e">
        <f>'Technology Shares'!F13</f>
        <v>#DIV/0!</v>
      </c>
    </row>
    <row r="4" spans="1:2" x14ac:dyDescent="0.2">
      <c r="A4" t="s">
        <v>253</v>
      </c>
      <c r="B4" s="171" t="e">
        <f>'Technology Shares'!F14</f>
        <v>#DIV/0!</v>
      </c>
    </row>
    <row r="5" spans="1:2" x14ac:dyDescent="0.2">
      <c r="A5" t="s">
        <v>254</v>
      </c>
      <c r="B5" s="171" t="e">
        <f>'Technology Shares'!F15</f>
        <v>#DIV/0!</v>
      </c>
    </row>
    <row r="6" spans="1:2" x14ac:dyDescent="0.2">
      <c r="A6" t="s">
        <v>746</v>
      </c>
      <c r="B6" s="171" t="e">
        <f>'Technology Shares'!F16</f>
        <v>#DIV/0!</v>
      </c>
    </row>
  </sheetData>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tabColor theme="7" tint="0.39997558519241921"/>
  </sheetPr>
  <dimension ref="A1:C5"/>
  <sheetViews>
    <sheetView workbookViewId="0">
      <selection activeCell="A4" sqref="A4:XFD5"/>
    </sheetView>
  </sheetViews>
  <sheetFormatPr baseColWidth="10" defaultRowHeight="16" x14ac:dyDescent="0.2"/>
  <cols>
    <col min="1" max="1" width="64.6640625" customWidth="1"/>
    <col min="2" max="2" width="14.83203125" bestFit="1" customWidth="1"/>
  </cols>
  <sheetData>
    <row r="1" spans="1:3" x14ac:dyDescent="0.2">
      <c r="A1" t="s">
        <v>459</v>
      </c>
    </row>
    <row r="2" spans="1:3" x14ac:dyDescent="0.2">
      <c r="A2" t="s">
        <v>481</v>
      </c>
      <c r="B2" t="s">
        <v>482</v>
      </c>
    </row>
    <row r="3" spans="1:3" x14ac:dyDescent="0.2">
      <c r="A3" t="s">
        <v>255</v>
      </c>
      <c r="B3" s="171" t="e">
        <f>'Technology Shares'!F19</f>
        <v>#DIV/0!</v>
      </c>
      <c r="C3" s="131"/>
    </row>
    <row r="4" spans="1:3" x14ac:dyDescent="0.2">
      <c r="A4" t="s">
        <v>256</v>
      </c>
      <c r="B4" s="171" t="e">
        <f>'Technology Shares'!F20</f>
        <v>#DIV/0!</v>
      </c>
    </row>
    <row r="5" spans="1:3" x14ac:dyDescent="0.2">
      <c r="A5" t="s">
        <v>766</v>
      </c>
      <c r="B5" s="171" t="e">
        <f>'Technology Shares'!F21</f>
        <v>#DIV/0!</v>
      </c>
    </row>
  </sheetData>
  <pageMargins left="0.75" right="0.75" top="1" bottom="1" header="0.5" footer="0.5"/>
  <pageSetup paperSize="9" orientation="portrait" horizontalDpi="4294967292"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tabColor theme="7" tint="0.39997558519241921"/>
  </sheetPr>
  <dimension ref="A1:B6"/>
  <sheetViews>
    <sheetView workbookViewId="0">
      <selection activeCell="B5" sqref="B5"/>
    </sheetView>
  </sheetViews>
  <sheetFormatPr baseColWidth="10" defaultRowHeight="16" x14ac:dyDescent="0.2"/>
  <cols>
    <col min="1" max="1" width="73.33203125" customWidth="1"/>
    <col min="2" max="2" width="14.83203125" bestFit="1" customWidth="1"/>
  </cols>
  <sheetData>
    <row r="1" spans="1:2" x14ac:dyDescent="0.2">
      <c r="A1" s="96" t="s">
        <v>460</v>
      </c>
    </row>
    <row r="2" spans="1:2" x14ac:dyDescent="0.2">
      <c r="A2" s="96" t="s">
        <v>481</v>
      </c>
      <c r="B2" t="s">
        <v>482</v>
      </c>
    </row>
    <row r="3" spans="1:2" x14ac:dyDescent="0.2">
      <c r="A3" t="s">
        <v>257</v>
      </c>
      <c r="B3" s="171" t="e">
        <f>'Technology Shares'!F23</f>
        <v>#DIV/0!</v>
      </c>
    </row>
    <row r="4" spans="1:2" x14ac:dyDescent="0.2">
      <c r="A4" t="s">
        <v>258</v>
      </c>
      <c r="B4" s="171" t="e">
        <f>'Technology Shares'!F24</f>
        <v>#DIV/0!</v>
      </c>
    </row>
    <row r="5" spans="1:2" x14ac:dyDescent="0.2">
      <c r="A5" t="s">
        <v>259</v>
      </c>
      <c r="B5" s="171" t="e">
        <f>'Technology Shares'!F25</f>
        <v>#DIV/0!</v>
      </c>
    </row>
    <row r="6" spans="1:2" x14ac:dyDescent="0.2">
      <c r="A6" t="s">
        <v>766</v>
      </c>
      <c r="B6" s="171" t="e">
        <f>'Technology Shares'!F26</f>
        <v>#DIV/0!</v>
      </c>
    </row>
  </sheetData>
  <pageMargins left="0.75" right="0.75" top="1" bottom="1" header="0.5" footer="0.5"/>
  <pageSetup paperSize="9" orientation="portrait" horizontalDpi="4294967292" verticalDpi="429496729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tabColor theme="7" tint="0.39997558519241921"/>
  </sheetPr>
  <dimension ref="A1:B5"/>
  <sheetViews>
    <sheetView workbookViewId="0">
      <selection activeCell="B5" sqref="B5"/>
    </sheetView>
  </sheetViews>
  <sheetFormatPr baseColWidth="10" defaultRowHeight="16" x14ac:dyDescent="0.2"/>
  <cols>
    <col min="1" max="1" width="75.5" customWidth="1"/>
    <col min="2" max="2" width="14.5" bestFit="1" customWidth="1"/>
  </cols>
  <sheetData>
    <row r="1" spans="1:2" x14ac:dyDescent="0.2">
      <c r="A1" t="s">
        <v>461</v>
      </c>
    </row>
    <row r="2" spans="1:2" x14ac:dyDescent="0.2">
      <c r="A2" t="s">
        <v>481</v>
      </c>
      <c r="B2" t="s">
        <v>482</v>
      </c>
    </row>
    <row r="3" spans="1:2" x14ac:dyDescent="0.2">
      <c r="A3" t="s">
        <v>260</v>
      </c>
      <c r="B3" s="171" t="e">
        <f>'Technology Shares'!F37</f>
        <v>#DIV/0!</v>
      </c>
    </row>
    <row r="4" spans="1:2" x14ac:dyDescent="0.2">
      <c r="A4" t="s">
        <v>261</v>
      </c>
      <c r="B4" s="171" t="e">
        <f>'Technology Shares'!F38</f>
        <v>#DIV/0!</v>
      </c>
    </row>
    <row r="5" spans="1:2" x14ac:dyDescent="0.2">
      <c r="A5" t="s">
        <v>262</v>
      </c>
      <c r="B5" s="171" t="e">
        <f>'Technology Shares'!F39</f>
        <v>#DIV/0!</v>
      </c>
    </row>
  </sheetData>
  <pageMargins left="0.75" right="0.75" top="1" bottom="1" header="0.5" footer="0.5"/>
  <pageSetup paperSize="9" orientation="portrait" horizontalDpi="4294967292" verticalDpi="429496729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tabColor theme="7" tint="0.39997558519241921"/>
  </sheetPr>
  <dimension ref="A1:B5"/>
  <sheetViews>
    <sheetView workbookViewId="0">
      <selection activeCell="B5" sqref="B5"/>
    </sheetView>
  </sheetViews>
  <sheetFormatPr baseColWidth="10" defaultRowHeight="16" x14ac:dyDescent="0.2"/>
  <cols>
    <col min="1" max="1" width="69.5" customWidth="1"/>
    <col min="2" max="2" width="14.83203125" bestFit="1" customWidth="1"/>
  </cols>
  <sheetData>
    <row r="1" spans="1:2" x14ac:dyDescent="0.2">
      <c r="A1" s="96" t="s">
        <v>462</v>
      </c>
    </row>
    <row r="2" spans="1:2" x14ac:dyDescent="0.2">
      <c r="A2" t="s">
        <v>481</v>
      </c>
      <c r="B2" t="s">
        <v>482</v>
      </c>
    </row>
    <row r="3" spans="1:2" x14ac:dyDescent="0.2">
      <c r="A3" t="s">
        <v>263</v>
      </c>
      <c r="B3" s="171" t="e">
        <f>'Technology Shares'!F43</f>
        <v>#DIV/0!</v>
      </c>
    </row>
    <row r="4" spans="1:2" x14ac:dyDescent="0.2">
      <c r="A4" t="s">
        <v>264</v>
      </c>
      <c r="B4" s="171" t="e">
        <f>'Technology Shares'!F44</f>
        <v>#DIV/0!</v>
      </c>
    </row>
    <row r="5" spans="1:2" x14ac:dyDescent="0.2">
      <c r="A5" t="s">
        <v>265</v>
      </c>
      <c r="B5" s="171" t="e">
        <f>'Technology Shares'!F45</f>
        <v>#DIV/0!</v>
      </c>
    </row>
  </sheetData>
  <pageMargins left="0.75" right="0.75" top="1" bottom="1" header="0.5" footer="0.5"/>
  <pageSetup paperSize="9" orientation="portrait" horizontalDpi="4294967292" verticalDpi="429496729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tabColor theme="7" tint="0.39997558519241921"/>
  </sheetPr>
  <dimension ref="A1:D10"/>
  <sheetViews>
    <sheetView workbookViewId="0">
      <selection activeCell="B10" sqref="B10"/>
    </sheetView>
  </sheetViews>
  <sheetFormatPr baseColWidth="10" defaultRowHeight="16" x14ac:dyDescent="0.2"/>
  <cols>
    <col min="1" max="1" width="78" customWidth="1"/>
    <col min="2" max="2" width="35.83203125" customWidth="1"/>
    <col min="3" max="3" width="70.33203125" bestFit="1" customWidth="1"/>
    <col min="4" max="4" width="17" bestFit="1" customWidth="1"/>
    <col min="5" max="5" width="14.5" bestFit="1" customWidth="1"/>
  </cols>
  <sheetData>
    <row r="1" spans="1:4" x14ac:dyDescent="0.2">
      <c r="A1" t="s">
        <v>463</v>
      </c>
    </row>
    <row r="2" spans="1:4" x14ac:dyDescent="0.2">
      <c r="A2" t="s">
        <v>481</v>
      </c>
      <c r="B2" t="s">
        <v>482</v>
      </c>
    </row>
    <row r="3" spans="1:4" x14ac:dyDescent="0.2">
      <c r="A3" t="s">
        <v>268</v>
      </c>
      <c r="B3" s="171">
        <f>'Technology Shares'!F49</f>
        <v>0</v>
      </c>
      <c r="D3" s="171"/>
    </row>
    <row r="4" spans="1:4" x14ac:dyDescent="0.2">
      <c r="A4" t="s">
        <v>269</v>
      </c>
      <c r="B4" s="171">
        <f>'Technology Shares'!F50</f>
        <v>0</v>
      </c>
      <c r="D4" s="171"/>
    </row>
    <row r="5" spans="1:4" x14ac:dyDescent="0.2">
      <c r="A5" t="s">
        <v>273</v>
      </c>
      <c r="B5" s="171">
        <f>'Technology Shares'!F51</f>
        <v>0</v>
      </c>
      <c r="D5" s="171"/>
    </row>
    <row r="6" spans="1:4" x14ac:dyDescent="0.2">
      <c r="A6" t="s">
        <v>266</v>
      </c>
      <c r="B6" s="171">
        <f>'Technology Shares'!F52</f>
        <v>0</v>
      </c>
      <c r="D6" s="171"/>
    </row>
    <row r="7" spans="1:4" x14ac:dyDescent="0.2">
      <c r="A7" t="s">
        <v>271</v>
      </c>
      <c r="B7" s="171">
        <f>'Technology Shares'!F53</f>
        <v>0</v>
      </c>
      <c r="D7" s="171"/>
    </row>
    <row r="8" spans="1:4" x14ac:dyDescent="0.2">
      <c r="A8" t="s">
        <v>267</v>
      </c>
      <c r="B8" s="171">
        <f>'Technology Shares'!F54</f>
        <v>0</v>
      </c>
      <c r="D8" s="171"/>
    </row>
    <row r="9" spans="1:4" x14ac:dyDescent="0.2">
      <c r="A9" t="s">
        <v>272</v>
      </c>
      <c r="B9" s="171">
        <f>'Technology Shares'!F55</f>
        <v>0</v>
      </c>
      <c r="D9" s="171"/>
    </row>
    <row r="10" spans="1:4" x14ac:dyDescent="0.2">
      <c r="A10" t="s">
        <v>270</v>
      </c>
      <c r="B10" s="171">
        <f>'Technology Shares'!F56</f>
        <v>1</v>
      </c>
      <c r="D10" s="171"/>
    </row>
  </sheetData>
  <pageMargins left="0.75" right="0.75" top="1" bottom="1" header="0.5" footer="0.5"/>
  <pageSetup paperSize="9" orientation="portrait" horizontalDpi="4294967292" verticalDpi="429496729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36">
    <tabColor theme="7" tint="0.39997558519241921"/>
  </sheetPr>
  <dimension ref="A1:B43"/>
  <sheetViews>
    <sheetView workbookViewId="0">
      <selection activeCell="F38" sqref="F38"/>
    </sheetView>
  </sheetViews>
  <sheetFormatPr baseColWidth="10" defaultRowHeight="16" x14ac:dyDescent="0.2"/>
  <cols>
    <col min="1" max="1" width="82.33203125" bestFit="1" customWidth="1"/>
  </cols>
  <sheetData>
    <row r="1" spans="1:2" x14ac:dyDescent="0.2">
      <c r="A1" t="s">
        <v>735</v>
      </c>
    </row>
    <row r="2" spans="1:2" x14ac:dyDescent="0.2">
      <c r="A2" t="s">
        <v>481</v>
      </c>
      <c r="B2" t="s">
        <v>736</v>
      </c>
    </row>
    <row r="3" spans="1:2" x14ac:dyDescent="0.2">
      <c r="A3" t="s">
        <v>928</v>
      </c>
      <c r="B3" s="593">
        <f>Dashboard!E87</f>
        <v>0</v>
      </c>
    </row>
    <row r="4" spans="1:2" x14ac:dyDescent="0.2">
      <c r="A4" t="s">
        <v>886</v>
      </c>
      <c r="B4">
        <f>Dashboard!E90</f>
        <v>0</v>
      </c>
    </row>
    <row r="5" spans="1:2" x14ac:dyDescent="0.2">
      <c r="A5" t="s">
        <v>887</v>
      </c>
      <c r="B5">
        <f>Dashboard!E91</f>
        <v>0</v>
      </c>
    </row>
    <row r="6" spans="1:2" x14ac:dyDescent="0.2">
      <c r="A6" t="s">
        <v>888</v>
      </c>
      <c r="B6">
        <f>Dashboard!E92</f>
        <v>0</v>
      </c>
    </row>
    <row r="7" spans="1:2" x14ac:dyDescent="0.2">
      <c r="A7" t="s">
        <v>889</v>
      </c>
      <c r="B7">
        <f>Dashboard!E93</f>
        <v>0</v>
      </c>
    </row>
    <row r="8" spans="1:2" x14ac:dyDescent="0.2">
      <c r="A8" t="s">
        <v>890</v>
      </c>
      <c r="B8">
        <f>Dashboard!E94</f>
        <v>0</v>
      </c>
    </row>
    <row r="9" spans="1:2" x14ac:dyDescent="0.2">
      <c r="A9" t="s">
        <v>891</v>
      </c>
      <c r="B9">
        <f>Dashboard!E95</f>
        <v>0</v>
      </c>
    </row>
    <row r="10" spans="1:2" x14ac:dyDescent="0.2">
      <c r="A10" t="s">
        <v>892</v>
      </c>
      <c r="B10">
        <f>Dashboard!E96</f>
        <v>0</v>
      </c>
    </row>
    <row r="11" spans="1:2" x14ac:dyDescent="0.2">
      <c r="A11" t="s">
        <v>893</v>
      </c>
      <c r="B11">
        <f>Dashboard!E97</f>
        <v>0</v>
      </c>
    </row>
    <row r="12" spans="1:2" x14ac:dyDescent="0.2">
      <c r="A12" t="s">
        <v>894</v>
      </c>
      <c r="B12">
        <f>Dashboard!E98</f>
        <v>0</v>
      </c>
    </row>
    <row r="13" spans="1:2" x14ac:dyDescent="0.2">
      <c r="A13" t="s">
        <v>895</v>
      </c>
      <c r="B13">
        <f>Dashboard!E99</f>
        <v>0</v>
      </c>
    </row>
    <row r="14" spans="1:2" x14ac:dyDescent="0.2">
      <c r="A14" t="s">
        <v>896</v>
      </c>
      <c r="B14">
        <f>Dashboard!E100</f>
        <v>0</v>
      </c>
    </row>
    <row r="15" spans="1:2" x14ac:dyDescent="0.2">
      <c r="A15" t="s">
        <v>897</v>
      </c>
      <c r="B15">
        <f>Dashboard!E101</f>
        <v>0</v>
      </c>
    </row>
    <row r="16" spans="1:2" x14ac:dyDescent="0.2">
      <c r="A16" t="s">
        <v>898</v>
      </c>
      <c r="B16">
        <f>Dashboard!E102</f>
        <v>0</v>
      </c>
    </row>
    <row r="17" spans="1:2" x14ac:dyDescent="0.2">
      <c r="A17" t="s">
        <v>899</v>
      </c>
      <c r="B17">
        <f>Dashboard!E103</f>
        <v>0</v>
      </c>
    </row>
    <row r="18" spans="1:2" x14ac:dyDescent="0.2">
      <c r="A18" t="s">
        <v>900</v>
      </c>
      <c r="B18">
        <f>Dashboard!E104</f>
        <v>0</v>
      </c>
    </row>
    <row r="19" spans="1:2" x14ac:dyDescent="0.2">
      <c r="A19" t="s">
        <v>901</v>
      </c>
      <c r="B19">
        <f>Dashboard!E105</f>
        <v>0</v>
      </c>
    </row>
    <row r="20" spans="1:2" x14ac:dyDescent="0.2">
      <c r="A20" t="s">
        <v>902</v>
      </c>
      <c r="B20">
        <f>Dashboard!E106</f>
        <v>0</v>
      </c>
    </row>
    <row r="21" spans="1:2" x14ac:dyDescent="0.2">
      <c r="A21" t="s">
        <v>903</v>
      </c>
      <c r="B21">
        <f>Dashboard!E107</f>
        <v>0</v>
      </c>
    </row>
    <row r="22" spans="1:2" x14ac:dyDescent="0.2">
      <c r="A22" t="s">
        <v>904</v>
      </c>
      <c r="B22">
        <f>Dashboard!E108</f>
        <v>0</v>
      </c>
    </row>
    <row r="23" spans="1:2" x14ac:dyDescent="0.2">
      <c r="A23" t="s">
        <v>905</v>
      </c>
      <c r="B23">
        <f>Dashboard!E109</f>
        <v>0</v>
      </c>
    </row>
    <row r="24" spans="1:2" x14ac:dyDescent="0.2">
      <c r="A24" t="s">
        <v>906</v>
      </c>
      <c r="B24">
        <f>Dashboard!E113</f>
        <v>0</v>
      </c>
    </row>
    <row r="25" spans="1:2" x14ac:dyDescent="0.2">
      <c r="A25" t="s">
        <v>907</v>
      </c>
      <c r="B25">
        <f>Dashboard!E114</f>
        <v>0</v>
      </c>
    </row>
    <row r="26" spans="1:2" x14ac:dyDescent="0.2">
      <c r="A26" t="s">
        <v>908</v>
      </c>
      <c r="B26">
        <f>Dashboard!E115</f>
        <v>0</v>
      </c>
    </row>
    <row r="27" spans="1:2" x14ac:dyDescent="0.2">
      <c r="A27" t="s">
        <v>909</v>
      </c>
      <c r="B27">
        <f>Dashboard!E116</f>
        <v>0</v>
      </c>
    </row>
    <row r="28" spans="1:2" x14ac:dyDescent="0.2">
      <c r="A28" t="s">
        <v>910</v>
      </c>
      <c r="B28">
        <f>Dashboard!E117</f>
        <v>0</v>
      </c>
    </row>
    <row r="29" spans="1:2" x14ac:dyDescent="0.2">
      <c r="A29" t="s">
        <v>911</v>
      </c>
      <c r="B29">
        <f>Dashboard!E118</f>
        <v>0</v>
      </c>
    </row>
    <row r="30" spans="1:2" x14ac:dyDescent="0.2">
      <c r="A30" t="s">
        <v>912</v>
      </c>
      <c r="B30">
        <f>Dashboard!E119</f>
        <v>0</v>
      </c>
    </row>
    <row r="31" spans="1:2" x14ac:dyDescent="0.2">
      <c r="A31" t="s">
        <v>913</v>
      </c>
      <c r="B31">
        <f>Dashboard!E120</f>
        <v>0</v>
      </c>
    </row>
    <row r="32" spans="1:2" x14ac:dyDescent="0.2">
      <c r="A32" t="s">
        <v>914</v>
      </c>
      <c r="B32">
        <f>Dashboard!E121</f>
        <v>0</v>
      </c>
    </row>
    <row r="33" spans="1:2" x14ac:dyDescent="0.2">
      <c r="A33" t="s">
        <v>915</v>
      </c>
      <c r="B33">
        <f>Dashboard!E122</f>
        <v>0</v>
      </c>
    </row>
    <row r="34" spans="1:2" x14ac:dyDescent="0.2">
      <c r="A34" t="s">
        <v>916</v>
      </c>
      <c r="B34">
        <f>Dashboard!E123</f>
        <v>0</v>
      </c>
    </row>
    <row r="35" spans="1:2" x14ac:dyDescent="0.2">
      <c r="A35" t="s">
        <v>917</v>
      </c>
      <c r="B35">
        <f>Dashboard!E124</f>
        <v>0</v>
      </c>
    </row>
    <row r="36" spans="1:2" x14ac:dyDescent="0.2">
      <c r="A36" t="s">
        <v>918</v>
      </c>
      <c r="B36">
        <f>Dashboard!E125</f>
        <v>0</v>
      </c>
    </row>
    <row r="37" spans="1:2" x14ac:dyDescent="0.2">
      <c r="A37" t="s">
        <v>919</v>
      </c>
      <c r="B37">
        <f>Dashboard!E126</f>
        <v>0</v>
      </c>
    </row>
    <row r="38" spans="1:2" x14ac:dyDescent="0.2">
      <c r="A38" t="s">
        <v>920</v>
      </c>
      <c r="B38">
        <f>Dashboard!E127</f>
        <v>0</v>
      </c>
    </row>
    <row r="39" spans="1:2" x14ac:dyDescent="0.2">
      <c r="A39" t="s">
        <v>921</v>
      </c>
      <c r="B39">
        <f>Dashboard!E128</f>
        <v>0</v>
      </c>
    </row>
    <row r="40" spans="1:2" x14ac:dyDescent="0.2">
      <c r="A40" t="s">
        <v>922</v>
      </c>
      <c r="B40">
        <f>Dashboard!E129</f>
        <v>0</v>
      </c>
    </row>
    <row r="41" spans="1:2" x14ac:dyDescent="0.2">
      <c r="A41" t="s">
        <v>923</v>
      </c>
      <c r="B41">
        <f>Dashboard!E130</f>
        <v>0</v>
      </c>
    </row>
    <row r="42" spans="1:2" x14ac:dyDescent="0.2">
      <c r="A42" t="s">
        <v>924</v>
      </c>
      <c r="B42">
        <f>Dashboard!E131</f>
        <v>0</v>
      </c>
    </row>
    <row r="43" spans="1:2" x14ac:dyDescent="0.2">
      <c r="A43" t="s">
        <v>925</v>
      </c>
      <c r="B43">
        <f>Dashboard!E132</f>
        <v>0</v>
      </c>
    </row>
  </sheetData>
  <pageMargins left="0.75" right="0.75" top="1" bottom="1" header="0.5" footer="0.5"/>
  <pageSetup paperSize="9" orientation="portrait" horizontalDpi="4294967292" verticalDpi="429496729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D1CF6-DD57-B342-AD5F-E1379680EA60}">
  <sheetPr>
    <tabColor theme="7" tint="0.39997558519241921"/>
  </sheetPr>
  <dimension ref="A1:B5"/>
  <sheetViews>
    <sheetView workbookViewId="0">
      <selection activeCell="B5" sqref="B5"/>
    </sheetView>
  </sheetViews>
  <sheetFormatPr baseColWidth="10" defaultRowHeight="16" x14ac:dyDescent="0.2"/>
  <cols>
    <col min="1" max="1" width="38.83203125" customWidth="1"/>
    <col min="2" max="2" width="22" customWidth="1"/>
  </cols>
  <sheetData>
    <row r="1" spans="1:2" x14ac:dyDescent="0.2">
      <c r="A1" t="s">
        <v>784</v>
      </c>
    </row>
    <row r="2" spans="1:2" x14ac:dyDescent="0.2">
      <c r="A2" t="s">
        <v>481</v>
      </c>
      <c r="B2" t="s">
        <v>482</v>
      </c>
    </row>
    <row r="3" spans="1:2" x14ac:dyDescent="0.2">
      <c r="A3" t="s">
        <v>749</v>
      </c>
      <c r="B3">
        <f>IFERROR('HHP input shares'!I9,0.187)</f>
        <v>0.187</v>
      </c>
    </row>
    <row r="4" spans="1:2" x14ac:dyDescent="0.2">
      <c r="A4" t="s">
        <v>659</v>
      </c>
      <c r="B4">
        <f>IFERROR('HHP input shares'!I10,0.18)</f>
        <v>0.18</v>
      </c>
    </row>
    <row r="5" spans="1:2" x14ac:dyDescent="0.2">
      <c r="A5" t="s">
        <v>781</v>
      </c>
      <c r="B5">
        <f>1-B4-B3</f>
        <v>0.63300000000000001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4EA2C-96F4-5F4F-8A0B-229EC013E8C4}">
  <sheetPr>
    <tabColor theme="7" tint="0.39997558519241921"/>
  </sheetPr>
  <dimension ref="A1:B5"/>
  <sheetViews>
    <sheetView workbookViewId="0">
      <selection activeCell="B6" sqref="B6"/>
    </sheetView>
  </sheetViews>
  <sheetFormatPr baseColWidth="10" defaultRowHeight="16" x14ac:dyDescent="0.2"/>
  <cols>
    <col min="1" max="1" width="43.1640625" customWidth="1"/>
  </cols>
  <sheetData>
    <row r="1" spans="1:2" x14ac:dyDescent="0.2">
      <c r="A1" t="s">
        <v>785</v>
      </c>
    </row>
    <row r="2" spans="1:2" x14ac:dyDescent="0.2">
      <c r="A2" t="s">
        <v>481</v>
      </c>
      <c r="B2" t="s">
        <v>482</v>
      </c>
    </row>
    <row r="3" spans="1:2" x14ac:dyDescent="0.2">
      <c r="A3" t="s">
        <v>749</v>
      </c>
      <c r="B3">
        <f>IFERROR('HHP input shares'!I14,0.33)</f>
        <v>0.33</v>
      </c>
    </row>
    <row r="4" spans="1:2" x14ac:dyDescent="0.2">
      <c r="A4" t="s">
        <v>659</v>
      </c>
      <c r="B4">
        <f>IFERROR('HHP input shares'!I15,0.22)</f>
        <v>0.22</v>
      </c>
    </row>
    <row r="5" spans="1:2" x14ac:dyDescent="0.2">
      <c r="A5" t="s">
        <v>781</v>
      </c>
      <c r="B5">
        <f>1-B4-B3</f>
        <v>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51</vt:i4>
      </vt:variant>
    </vt:vector>
  </HeadingPairs>
  <TitlesOfParts>
    <vt:vector size="84"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Final demand per energy carrier</vt:lpstr>
      <vt:lpstr>Technology split final demand</vt:lpstr>
      <vt:lpstr>Fuel aggregation</vt:lpstr>
      <vt:lpstr>HHP input shares</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csv_water_network_gas</vt:lpstr>
      <vt:lpstr>csv_water_electricity</vt:lpstr>
      <vt:lpstr>csv_cooking_electricity</vt:lpstr>
      <vt:lpstr>csv_lighting_electricity</vt:lpstr>
      <vt:lpstr>csv_appliances_electricity</vt:lpstr>
      <vt:lpstr>csv_export_to_area_analysis</vt:lpstr>
      <vt:lpstr>csv_heating_hhp_efficiencies</vt:lpstr>
      <vt:lpstr>csv_hot_water_hhp_efficiencies</vt:lpstr>
      <vt:lpstr>base_year</vt:lpstr>
      <vt:lpstr>country</vt:lpstr>
      <vt:lpstr>Eff_cooking_biomass</vt:lpstr>
      <vt:lpstr>Eff_cooking_electric</vt:lpstr>
      <vt:lpstr>Eff_cooking_gas</vt:lpstr>
      <vt:lpstr>Eff_cooking_halogen</vt:lpstr>
      <vt:lpstr>Eff_cooking_induction</vt:lpstr>
      <vt:lpstr>Eff_cooling_airco</vt:lpstr>
      <vt:lpstr>Eff_cooling_pump_air</vt:lpstr>
      <vt:lpstr>Eff_cooling_pump_ground</vt:lpstr>
      <vt:lpstr>Eff_hot_water_coal</vt:lpstr>
      <vt:lpstr>Eff_hot_water_combi_boiler</vt:lpstr>
      <vt:lpstr>Eff_hot_water_district</vt:lpstr>
      <vt:lpstr>Eff_hot_water_electric</vt:lpstr>
      <vt:lpstr>Eff_hot_water_gas</vt:lpstr>
      <vt:lpstr>Eff_hot_water_hhp_gas</vt:lpstr>
      <vt:lpstr>Eff_hot_water_hhp_heatpump</vt:lpstr>
      <vt:lpstr>Eff_hot_water_oil</vt:lpstr>
      <vt:lpstr>Eff_hot_water_pump_air</vt:lpstr>
      <vt:lpstr>Eff_hot_water_pump_ground</vt:lpstr>
      <vt:lpstr>Eff_hot_water_woodpellets</vt:lpstr>
      <vt:lpstr>Eff_lighting_fluorescent</vt:lpstr>
      <vt:lpstr>Eff_lighting_incandescent</vt:lpstr>
      <vt:lpstr>Eff_lighting_led</vt:lpstr>
      <vt:lpstr>Eff_space_heating_coal</vt:lpstr>
      <vt:lpstr>Eff_space_heating_combi_boiler</vt:lpstr>
      <vt:lpstr>Eff_space_heating_district</vt:lpstr>
      <vt:lpstr>Eff_space_heating_electric</vt:lpstr>
      <vt:lpstr>Eff_space_heating_gas</vt:lpstr>
      <vt:lpstr>Eff_space_heating_hhp_gas</vt:lpstr>
      <vt:lpstr>Eff_space_heating_hhp_heatpump</vt:lpstr>
      <vt:lpstr>Eff_space_heating_oil</vt:lpstr>
      <vt:lpstr>Eff_space_heating_pump_add_on</vt:lpstr>
      <vt:lpstr>Eff_space_heating_pump_air</vt:lpstr>
      <vt:lpstr>Eff_space_heating_pump_ground</vt:lpstr>
      <vt:lpstr>Eff_space_heating_woodpellets</vt:lpstr>
      <vt:lpstr>Final_demand_appliances</vt:lpstr>
      <vt:lpstr>Final_demand_coal</vt:lpstr>
      <vt:lpstr>Final_demand_cooking</vt:lpstr>
      <vt:lpstr>Final_demand_cooling</vt:lpstr>
      <vt:lpstr>Final_demand_electricity</vt:lpstr>
      <vt:lpstr>Final_demand_gas</vt:lpstr>
      <vt:lpstr>Final_demand_heat</vt:lpstr>
      <vt:lpstr>Final_demand_hot_water</vt:lpstr>
      <vt:lpstr>Final_demand_lighting</vt:lpstr>
      <vt:lpstr>Final_demand_oil</vt:lpstr>
      <vt:lpstr>Final_demand_other</vt:lpstr>
      <vt:lpstr>Final_demand_residences</vt:lpstr>
      <vt:lpstr>Final_demand_solar_thermal</vt:lpstr>
      <vt:lpstr>Final_demand_space_heating</vt:lpstr>
      <vt:lpstr>Final_demand_woodpellets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Mathijs Bijkerk</cp:lastModifiedBy>
  <dcterms:created xsi:type="dcterms:W3CDTF">2013-06-25T11:11:29Z</dcterms:created>
  <dcterms:modified xsi:type="dcterms:W3CDTF">2023-11-28T13:03:58Z</dcterms:modified>
</cp:coreProperties>
</file>