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analyses/"/>
    </mc:Choice>
  </mc:AlternateContent>
  <xr:revisionPtr revIDLastSave="0" documentId="13_ncr:1_{91BC587C-F6AC-6D4F-980A-D80BC2AA87C5}" xr6:coauthVersionLast="47" xr6:coauthVersionMax="47" xr10:uidLastSave="{00000000-0000-0000-0000-000000000000}"/>
  <bookViews>
    <workbookView xWindow="-11700" yWindow="-28300" windowWidth="51200" windowHeight="27180" tabRatio="929" activeTab="6"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49" r:id="rId10"/>
    <sheet name="Technology shares" sheetId="43" r:id="rId11"/>
    <sheet name="Final demand per energy carrier" sheetId="30" r:id="rId12"/>
    <sheet name="Technology split final demand" sheetId="32" r:id="rId13"/>
    <sheet name="Final demand extracted from EB" sheetId="47" r:id="rId14"/>
    <sheet name="Fuel aggregation" sheetId="37" r:id="rId15"/>
    <sheet name="Tech split of useful demand" sheetId="48" r:id="rId16"/>
    <sheet name="csv_ps_final_demand_lighting" sheetId="22" r:id="rId17"/>
    <sheet name="csv_ps_space_heating_electricit" sheetId="50" r:id="rId18"/>
    <sheet name="csv_ps_cooling_electricity" sheetId="51" r:id="rId19"/>
    <sheet name="csv_ps_space_heating_gas" sheetId="52" r:id="rId20"/>
    <sheet name="csv_ps_final_demand_coal" sheetId="54" r:id="rId21"/>
    <sheet name="csv_ps_final_demand_gas" sheetId="57" r:id="rId22"/>
    <sheet name="csv_ps_final_demand_oil" sheetId="56" r:id="rId23"/>
    <sheet name="csv_ps_final_demand_electricity" sheetId="55" r:id="rId24"/>
    <sheet name="csv_ps_final_demand_wood_p" sheetId="58" r:id="rId25"/>
    <sheet name="csv_heating_useful_insulation" sheetId="60" r:id="rId26"/>
    <sheet name="csv_cooling_useful_insulation" sheetId="63" r:id="rId27"/>
    <sheet name="csv_light_saving_detection" sheetId="66" r:id="rId28"/>
    <sheet name="csv_light_saving_control" sheetId="67" r:id="rId29"/>
    <sheet name="csv_ps_sector_electricity" sheetId="68" r:id="rId30"/>
  </sheets>
  <definedNames>
    <definedName name="base_year">Dashboard!$E$12</definedName>
    <definedName name="country">Dashboard!$E$11</definedName>
    <definedName name="Eff_cooling_air_heatpump">technical_specs!$L$27</definedName>
    <definedName name="Eff_cooling_airco">technical_specs!$L$26</definedName>
    <definedName name="Eff_cooling_pump">technical_specs!$L$24</definedName>
    <definedName name="Eff_cooling_pump_storage">technical_specs!$L$25</definedName>
    <definedName name="Eff_lighting_lamp_fluorescent">technical_specs!#REF!</definedName>
    <definedName name="Eff_lighting_lamp_incandescent">technical_specs!#REF!</definedName>
    <definedName name="Eff_lighting_led">technical_specs!$L$32</definedName>
    <definedName name="Eff_lighting_tube_fluorescent_efficient">technical_specs!$L$31</definedName>
    <definedName name="Eff_lighting_tube_fluorescent_standartd">technical_specs!$L$30</definedName>
    <definedName name="Eff_space_heating_air_heatpump">technical_specs!$M$18+technical_specs!$L$17</definedName>
    <definedName name="Eff_space_heating_coal">technical_specs!$L$15</definedName>
    <definedName name="Eff_space_heating_district">technical_specs!$L$21</definedName>
    <definedName name="Eff_space_heating_electric">technical_specs!$L$14</definedName>
    <definedName name="Eff_space_heating_gas">technical_specs!$L$11</definedName>
    <definedName name="Eff_space_heating_oil">technical_specs!$L$16</definedName>
    <definedName name="Eff_space_heating_pump_gas">technical_specs!$L$13</definedName>
    <definedName name="Eff_space_heating_pump_storage">technical_specs!$L$12</definedName>
    <definedName name="Eff_space_heating_solar_thermal">technical_specs!$L$19</definedName>
    <definedName name="Eff_space_heating_woodpellets">technical_specs!$L$20</definedName>
    <definedName name="Final_demand_lighting">Dashboard!$E$25</definedName>
    <definedName name="Final_demand_residences">'Fuel aggregation'!$L$11</definedName>
    <definedName name="Final_demand_space_cooling">Dashboard!$E$24</definedName>
    <definedName name="Final_demand_space_heating">Dashboard!$E$23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7" i="32" l="1"/>
  <c r="K17" i="13"/>
  <c r="L17" i="13" s="1"/>
  <c r="E17" i="32" s="1" a="1"/>
  <c r="E17" i="32" s="1"/>
  <c r="K27" i="13"/>
  <c r="L27" i="13" s="1"/>
  <c r="E27" i="32" s="1" a="1"/>
  <c r="E27" i="32" s="1"/>
  <c r="L52" i="28"/>
  <c r="L34" i="28"/>
  <c r="D17" i="32"/>
  <c r="F27" i="32" l="1"/>
  <c r="J11" i="37"/>
  <c r="I11" i="37"/>
  <c r="F11" i="37" l="1"/>
  <c r="E11" i="37"/>
  <c r="E29" i="28" l="1"/>
  <c r="J39" i="30" s="1"/>
  <c r="D28" i="49" s="1"/>
  <c r="D30" i="32"/>
  <c r="D25" i="32"/>
  <c r="D24" i="32"/>
  <c r="D12" i="32"/>
  <c r="D11" i="32"/>
  <c r="D16" i="32"/>
  <c r="D15" i="32"/>
  <c r="D11" i="37"/>
  <c r="F11" i="30" s="1"/>
  <c r="J16" i="13"/>
  <c r="L16" i="13" s="1"/>
  <c r="J11" i="13"/>
  <c r="L11" i="13" s="1"/>
  <c r="G11" i="37"/>
  <c r="D13" i="47" s="1"/>
  <c r="D14" i="47" s="1"/>
  <c r="G19" i="32" s="1"/>
  <c r="D9" i="47"/>
  <c r="E38" i="28" s="1"/>
  <c r="D17" i="47"/>
  <c r="E39" i="28" s="1"/>
  <c r="G11" i="30"/>
  <c r="J15" i="13"/>
  <c r="L15" i="13" s="1"/>
  <c r="E15" i="32" s="1"/>
  <c r="C11" i="37"/>
  <c r="E11" i="30" s="1"/>
  <c r="K12" i="13"/>
  <c r="L12" i="13" s="1"/>
  <c r="E12" i="32" s="1"/>
  <c r="H11" i="37"/>
  <c r="J11" i="30" s="1"/>
  <c r="J14" i="13"/>
  <c r="L14" i="13" s="1"/>
  <c r="D14" i="32"/>
  <c r="K24" i="13"/>
  <c r="L24" i="13" s="1"/>
  <c r="E24" i="32" s="1"/>
  <c r="K25" i="13"/>
  <c r="L25" i="13" s="1"/>
  <c r="E25" i="32" s="1"/>
  <c r="K26" i="13"/>
  <c r="L26" i="13" s="1"/>
  <c r="E26" i="32" s="1"/>
  <c r="D26" i="32"/>
  <c r="J30" i="13"/>
  <c r="L30" i="13" s="1"/>
  <c r="E30" i="32" s="1"/>
  <c r="J31" i="13"/>
  <c r="L31" i="13" s="1"/>
  <c r="E31" i="32" s="1"/>
  <c r="D31" i="32"/>
  <c r="J32" i="13"/>
  <c r="L32" i="13" s="1"/>
  <c r="E32" i="32" s="1"/>
  <c r="D32" i="32"/>
  <c r="K13" i="13"/>
  <c r="L13" i="13" s="1"/>
  <c r="D13" i="32"/>
  <c r="L19" i="28"/>
  <c r="M19" i="28" s="1"/>
  <c r="H11" i="30"/>
  <c r="K11" i="30"/>
  <c r="L11" i="37"/>
  <c r="E21" i="28" s="1"/>
  <c r="E35" i="28"/>
  <c r="L59" i="28"/>
  <c r="P59" i="28" s="1"/>
  <c r="P52" i="28"/>
  <c r="M34" i="28"/>
  <c r="J21" i="13"/>
  <c r="L21" i="13" s="1"/>
  <c r="J20" i="13"/>
  <c r="J19" i="13"/>
  <c r="L19" i="13" s="1"/>
  <c r="B4" i="67"/>
  <c r="B3" i="67" s="1"/>
  <c r="B4" i="66"/>
  <c r="B3" i="66" s="1"/>
  <c r="B4" i="58"/>
  <c r="B3" i="58"/>
  <c r="L20" i="13"/>
  <c r="J20" i="37"/>
  <c r="J19" i="37"/>
  <c r="C5" i="34"/>
  <c r="C7" i="34"/>
  <c r="C6" i="34"/>
  <c r="F26" i="32" l="1"/>
  <c r="E16" i="32"/>
  <c r="F16" i="32" s="1"/>
  <c r="F17" i="32"/>
  <c r="M52" i="28"/>
  <c r="F30" i="32"/>
  <c r="P34" i="28"/>
  <c r="L29" i="28"/>
  <c r="M29" i="28" s="1"/>
  <c r="F32" i="32"/>
  <c r="F31" i="32"/>
  <c r="M59" i="28"/>
  <c r="E37" i="28"/>
  <c r="F15" i="32"/>
  <c r="F24" i="32"/>
  <c r="F25" i="32"/>
  <c r="G25" i="32" s="1"/>
  <c r="I11" i="30"/>
  <c r="K11" i="37"/>
  <c r="K24" i="37" s="1"/>
  <c r="F12" i="32"/>
  <c r="D10" i="47"/>
  <c r="G20" i="32" s="1"/>
  <c r="D18" i="48" s="1"/>
  <c r="E18" i="48" s="1"/>
  <c r="F18" i="48" s="1"/>
  <c r="E41" i="28"/>
  <c r="E13" i="32"/>
  <c r="F13" i="32" s="1"/>
  <c r="D17" i="48"/>
  <c r="E17" i="48" s="1"/>
  <c r="F17" i="48" s="1"/>
  <c r="D21" i="30"/>
  <c r="I21" i="30" s="1"/>
  <c r="I36" i="30" s="1"/>
  <c r="E14" i="32"/>
  <c r="F14" i="32" s="1"/>
  <c r="E11" i="32"/>
  <c r="F11" i="32" s="1"/>
  <c r="D18" i="47"/>
  <c r="G21" i="32" s="1"/>
  <c r="G24" i="32" l="1"/>
  <c r="D26" i="30" s="1"/>
  <c r="F26" i="30" s="1"/>
  <c r="D14" i="49" s="1"/>
  <c r="G27" i="32"/>
  <c r="E19" i="43" s="1"/>
  <c r="P29" i="28"/>
  <c r="G26" i="32"/>
  <c r="G30" i="32"/>
  <c r="E22" i="43" s="1"/>
  <c r="G12" i="32"/>
  <c r="G13" i="32"/>
  <c r="E10" i="43" s="1"/>
  <c r="G16" i="32"/>
  <c r="G11" i="32"/>
  <c r="E9" i="43" s="1"/>
  <c r="G17" i="32"/>
  <c r="G14" i="32"/>
  <c r="G15" i="32"/>
  <c r="D22" i="30"/>
  <c r="H22" i="30" s="1"/>
  <c r="H36" i="30" s="1"/>
  <c r="D27" i="30"/>
  <c r="J27" i="30" s="1"/>
  <c r="D23" i="49" s="1"/>
  <c r="E18" i="43"/>
  <c r="G32" i="32"/>
  <c r="G31" i="32"/>
  <c r="E17" i="43"/>
  <c r="D23" i="30"/>
  <c r="K23" i="30" s="1"/>
  <c r="K36" i="30" s="1"/>
  <c r="D19" i="48"/>
  <c r="E19" i="48" s="1"/>
  <c r="F19" i="48" s="1"/>
  <c r="D31" i="30" l="1"/>
  <c r="J31" i="30" s="1"/>
  <c r="F19" i="43"/>
  <c r="B5" i="51" s="1"/>
  <c r="F17" i="43"/>
  <c r="B4" i="51" s="1"/>
  <c r="F18" i="43"/>
  <c r="B3" i="51" s="1"/>
  <c r="D15" i="48"/>
  <c r="E15" i="48" s="1"/>
  <c r="F15" i="48" s="1"/>
  <c r="E14" i="43"/>
  <c r="D9" i="48"/>
  <c r="E9" i="48" s="1"/>
  <c r="F9" i="48" s="1"/>
  <c r="G9" i="48" s="1"/>
  <c r="D15" i="30"/>
  <c r="F15" i="30" s="1"/>
  <c r="D13" i="49" s="1"/>
  <c r="D28" i="30"/>
  <c r="J28" i="30" s="1"/>
  <c r="D11" i="48"/>
  <c r="E11" i="48" s="1"/>
  <c r="F11" i="48" s="1"/>
  <c r="D17" i="30"/>
  <c r="F17" i="30" s="1"/>
  <c r="E13" i="43"/>
  <c r="D18" i="30"/>
  <c r="J18" i="30" s="1"/>
  <c r="D12" i="48"/>
  <c r="E12" i="48" s="1"/>
  <c r="F12" i="48" s="1"/>
  <c r="D24" i="49"/>
  <c r="D10" i="48"/>
  <c r="E10" i="48" s="1"/>
  <c r="F10" i="48" s="1"/>
  <c r="D16" i="30"/>
  <c r="J16" i="30" s="1"/>
  <c r="E12" i="43"/>
  <c r="F10" i="43"/>
  <c r="B4" i="52" s="1"/>
  <c r="F9" i="43"/>
  <c r="B3" i="52" s="1"/>
  <c r="D32" i="30"/>
  <c r="J32" i="30" s="1"/>
  <c r="E23" i="43"/>
  <c r="D19" i="30"/>
  <c r="E19" i="30" s="1"/>
  <c r="D13" i="48"/>
  <c r="E13" i="48" s="1"/>
  <c r="F13" i="48" s="1"/>
  <c r="D20" i="30"/>
  <c r="G20" i="30" s="1"/>
  <c r="D14" i="48"/>
  <c r="E14" i="48" s="1"/>
  <c r="F14" i="48" s="1"/>
  <c r="D33" i="30"/>
  <c r="J33" i="30" s="1"/>
  <c r="E24" i="43"/>
  <c r="G13" i="48" l="1"/>
  <c r="F13" i="43"/>
  <c r="F14" i="43"/>
  <c r="F12" i="43"/>
  <c r="B4" i="50" s="1"/>
  <c r="F36" i="30"/>
  <c r="F43" i="30" s="1"/>
  <c r="D15" i="49" s="1"/>
  <c r="G14" i="48"/>
  <c r="G17" i="48"/>
  <c r="G10" i="48"/>
  <c r="G15" i="48"/>
  <c r="G12" i="48"/>
  <c r="G19" i="48"/>
  <c r="G18" i="48"/>
  <c r="G11" i="48"/>
  <c r="L16" i="28"/>
  <c r="D9" i="49"/>
  <c r="E36" i="30"/>
  <c r="E43" i="30" s="1"/>
  <c r="F24" i="43"/>
  <c r="B5" i="22" s="1"/>
  <c r="F23" i="43"/>
  <c r="B4" i="22" s="1"/>
  <c r="F22" i="43"/>
  <c r="B3" i="22" s="1"/>
  <c r="J36" i="30"/>
  <c r="J42" i="30" s="1"/>
  <c r="D22" i="49"/>
  <c r="E15" i="49"/>
  <c r="B5" i="57" s="1"/>
  <c r="E13" i="49"/>
  <c r="B3" i="57" s="1"/>
  <c r="E14" i="49"/>
  <c r="B4" i="57" s="1"/>
  <c r="G36" i="30"/>
  <c r="G43" i="30" s="1"/>
  <c r="D18" i="49"/>
  <c r="B3" i="50" l="1"/>
  <c r="B5" i="50"/>
  <c r="E32" i="28"/>
  <c r="L32" i="28" s="1"/>
  <c r="L15" i="28"/>
  <c r="D10" i="49"/>
  <c r="E10" i="49"/>
  <c r="B4" i="54" s="1"/>
  <c r="E9" i="49"/>
  <c r="B3" i="54" s="1"/>
  <c r="E31" i="28"/>
  <c r="D25" i="49"/>
  <c r="E18" i="49"/>
  <c r="B3" i="56" s="1"/>
  <c r="E19" i="49"/>
  <c r="B4" i="56" s="1"/>
  <c r="L17" i="28"/>
  <c r="D19" i="49"/>
  <c r="E25" i="49"/>
  <c r="B6" i="55" s="1"/>
  <c r="D27" i="49"/>
  <c r="E23" i="49"/>
  <c r="B4" i="55" s="1"/>
  <c r="E24" i="49"/>
  <c r="B5" i="55" s="1"/>
  <c r="E22" i="49"/>
  <c r="B3" i="55" s="1"/>
  <c r="M16" i="28"/>
  <c r="P16" i="28"/>
  <c r="M17" i="28" l="1"/>
  <c r="P17" i="28"/>
  <c r="L31" i="28"/>
  <c r="L11" i="28"/>
  <c r="P11" i="28" s="1"/>
  <c r="P15" i="28"/>
  <c r="M15" i="28"/>
  <c r="E27" i="49"/>
  <c r="B3" i="68" s="1"/>
  <c r="E28" i="49"/>
  <c r="B4" i="68" s="1"/>
  <c r="M32" i="28"/>
  <c r="P32" i="28"/>
  <c r="P31" i="28" l="1"/>
  <c r="L10" i="28" s="1"/>
  <c r="M31"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C83" authorId="0" shapeId="0" xr:uid="{00000000-0006-0000-0700-000001000000}">
      <text>
        <r>
          <rPr>
            <sz val="9"/>
            <color indexed="81"/>
            <rFont val="Arial"/>
            <family val="2"/>
          </rPr>
          <t xml:space="preserve">x  Not Applicable
</t>
        </r>
      </text>
    </comment>
    <comment ref="D83" authorId="0" shapeId="0" xr:uid="{00000000-0006-0000-0700-000002000000}">
      <text>
        <r>
          <rPr>
            <sz val="9"/>
            <color indexed="81"/>
            <rFont val="Arial"/>
            <family val="2"/>
          </rPr>
          <t xml:space="preserve">x  Not Applicable
</t>
        </r>
      </text>
    </comment>
    <comment ref="U83" authorId="0" shapeId="0" xr:uid="{00000000-0006-0000-0700-000003000000}">
      <text>
        <r>
          <rPr>
            <sz val="9"/>
            <color indexed="81"/>
            <rFont val="Arial"/>
            <family val="2"/>
          </rPr>
          <t xml:space="preserve">x  Not Applicable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<sst xmlns="http://schemas.openxmlformats.org/spreadsheetml/2006/main" count="963" uniqueCount="627">
  <si>
    <t>Changelog</t>
  </si>
  <si>
    <t>Document</t>
  </si>
  <si>
    <t>Version #</t>
  </si>
  <si>
    <t>Date</t>
  </si>
  <si>
    <t>Author</t>
  </si>
  <si>
    <t>Changes</t>
  </si>
  <si>
    <t>Version</t>
  </si>
  <si>
    <t>Created this document</t>
  </si>
  <si>
    <t>Legend</t>
  </si>
  <si>
    <t>Cells</t>
  </si>
  <si>
    <t>Intermediate (calculation)</t>
  </si>
  <si>
    <t>Result</t>
  </si>
  <si>
    <t>Manual input</t>
  </si>
  <si>
    <t>Reference to manual input or data input</t>
  </si>
  <si>
    <t>Tabs</t>
  </si>
  <si>
    <t>Results</t>
  </si>
  <si>
    <t>Additional calculations</t>
  </si>
  <si>
    <t>Research data</t>
  </si>
  <si>
    <t>Comments</t>
  </si>
  <si>
    <t>Commercial and Public Services analysis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</si>
  <si>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</si>
  <si>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</si>
  <si>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</si>
  <si>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</si>
  <si>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</si>
  <si>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</si>
  <si>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</si>
  <si>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</si>
  <si>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</si>
  <si>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</si>
  <si>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</si>
  <si>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Other sources</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</si>
  <si>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</si>
  <si>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</si>
  <si>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</si>
  <si>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</si>
  <si>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</si>
  <si>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</si>
  <si>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</si>
  <si>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</si>
  <si>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</si>
  <si>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</si>
  <si>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</si>
  <si>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</si>
  <si>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</si>
  <si>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</si>
  <si>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</si>
  <si>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</si>
  <si>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</si>
  <si>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</si>
  <si>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</si>
  <si>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</si>
  <si>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</si>
  <si>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</si>
  <si>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</si>
  <si>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</si>
  <si>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</si>
  <si>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</si>
  <si>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</si>
  <si>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</si>
  <si>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</si>
  <si>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</si>
  <si>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</si>
  <si>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</si>
  <si>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</si>
  <si>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</si>
  <si>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</si>
  <si>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</si>
  <si>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</si>
  <si>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</si>
  <si>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</si>
  <si>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</si>
  <si>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</si>
  <si>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</si>
  <si>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</si>
  <si>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</si>
  <si>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</si>
  <si>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</si>
  <si>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</si>
  <si>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</si>
  <si>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</si>
  <si>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</si>
  <si>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</si>
  <si>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</si>
  <si>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</si>
  <si>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</si>
  <si>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</si>
  <si>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</si>
  <si>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A short introduction to the Energytransition model (ETM) and the Commercial and Public services analysis</t>
  </si>
  <si>
    <t>Lighting</t>
  </si>
  <si>
    <t>Space Heating</t>
  </si>
  <si>
    <t>Insulation</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</si>
  <si>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</si>
  <si>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</si>
  <si>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</si>
  <si>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</si>
  <si>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</si>
  <si>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</si>
  <si>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</si>
  <si>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</si>
  <si>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</si>
  <si>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</si>
  <si>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</si>
  <si>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</si>
  <si>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</si>
  <si>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gas-fired heaters</t>
  </si>
  <si>
    <t>Percentage of heat delivered by electric heaters</t>
  </si>
  <si>
    <t>Percentage of heat delivered by gas-fired heat pumps</t>
  </si>
  <si>
    <t>Percentage of heat delivered by electric heat pumps with thermal storage</t>
  </si>
  <si>
    <t>Percentage of heat delivered by coal-fired heaters</t>
  </si>
  <si>
    <t>Percentage of heat delivered by oil-fired heaters</t>
  </si>
  <si>
    <t>Percentage of cold delivered by gas-fired heat pumps</t>
  </si>
  <si>
    <t>Percentage of cold delivered by electric heat pumps with thermal storage</t>
  </si>
  <si>
    <t>Percentage of cold delivered by airconditioning</t>
  </si>
  <si>
    <t>Average thermal resistivity of roof</t>
  </si>
  <si>
    <t>Average thermal resistivity of floor</t>
  </si>
  <si>
    <t>Average thermal resistivity of outside walls</t>
  </si>
  <si>
    <t>Average thermal conductivity of windows</t>
  </si>
  <si>
    <t>All</t>
  </si>
  <si>
    <t>Space cooling</t>
  </si>
  <si>
    <t>Space heating</t>
  </si>
  <si>
    <t>Gas-fired heater</t>
  </si>
  <si>
    <t>Gas-fired heat pump</t>
  </si>
  <si>
    <t>Electric heat pump with thermal storage</t>
  </si>
  <si>
    <t>Electric heater</t>
  </si>
  <si>
    <t>Solar thermal panels</t>
  </si>
  <si>
    <t>Coal-fired heater</t>
  </si>
  <si>
    <t>Oil-fired heater</t>
  </si>
  <si>
    <t>Biomass-fired heater</t>
  </si>
  <si>
    <t>District heating</t>
  </si>
  <si>
    <t>Technology used</t>
  </si>
  <si>
    <t>Airconditioning</t>
  </si>
  <si>
    <t>LED lamps</t>
  </si>
  <si>
    <t>Total</t>
  </si>
  <si>
    <t>Total IEA value</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</si>
  <si>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</si>
  <si>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</si>
  <si>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</si>
  <si>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</si>
  <si>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</si>
  <si>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</si>
  <si>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</si>
  <si>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</si>
  <si>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</si>
  <si>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</si>
  <si>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</si>
  <si>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</si>
  <si>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</si>
  <si>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</si>
  <si>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</si>
  <si>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</si>
  <si>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</si>
  <si>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</si>
  <si>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</si>
  <si>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</si>
  <si>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</si>
  <si>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</si>
  <si>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</si>
  <si>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</si>
  <si>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</si>
  <si>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</si>
  <si>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</si>
  <si>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</si>
  <si>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</si>
  <si>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</si>
  <si>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</si>
  <si>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</si>
  <si>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</si>
  <si>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</si>
  <si>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</si>
  <si>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</si>
  <si>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</si>
  <si>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</si>
  <si>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</si>
  <si>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</si>
  <si>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</si>
  <si>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</si>
  <si>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</si>
  <si>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</si>
  <si>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</si>
  <si>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</si>
  <si>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</si>
  <si>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</si>
  <si>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</si>
  <si>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</si>
  <si>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</si>
  <si>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</si>
  <si>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</si>
  <si>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</si>
  <si>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</si>
  <si>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</si>
  <si>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</si>
  <si>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</si>
  <si>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</si>
  <si>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</si>
  <si>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</si>
  <si>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</si>
  <si>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</si>
  <si>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</si>
  <si>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</si>
  <si>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</si>
  <si>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</si>
  <si>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</si>
  <si>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</si>
  <si>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</si>
  <si>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</si>
  <si>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</si>
  <si>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</si>
  <si>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</si>
  <si>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</si>
  <si>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</si>
  <si>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</si>
  <si>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</si>
  <si>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</si>
  <si>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</si>
  <si>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</si>
  <si>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</si>
  <si>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</si>
  <si>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</si>
  <si>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</si>
  <si>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</si>
  <si>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</si>
  <si>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</si>
  <si>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</si>
  <si>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</si>
  <si>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</si>
  <si>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</si>
  <si>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Coëfficient of Performance (COP)</t>
  </si>
  <si>
    <t>Efficiency (%)</t>
  </si>
  <si>
    <t>Percentage of light delivered by incandescent lamps</t>
  </si>
  <si>
    <t>Percentage of light delivered by fluorescent lamps</t>
  </si>
  <si>
    <t>Percentage of light delivered by fluorescent tubes</t>
  </si>
  <si>
    <t>Percentage of light delivered by LED lamps</t>
  </si>
  <si>
    <t>The technological specifications of these technologies are the same for all countries.</t>
  </si>
  <si>
    <t>Technological specifications</t>
  </si>
  <si>
    <t>Country specific assumptions</t>
  </si>
  <si>
    <t>Percentages add up to 100%</t>
  </si>
  <si>
    <t>Technological efficiency</t>
  </si>
  <si>
    <t>Percentage of final demand converted by this technology</t>
  </si>
  <si>
    <t>Percentage of heat delivered per technology</t>
  </si>
  <si>
    <t>Relative size of final demand converted by this technology</t>
  </si>
  <si>
    <t>Deleted all source analysis</t>
  </si>
  <si>
    <t>Improved lay-out</t>
  </si>
  <si>
    <t>Analysis inputs</t>
  </si>
  <si>
    <t>Analysis calculations</t>
  </si>
  <si>
    <t>Analysis ouputs</t>
  </si>
  <si>
    <t>A visualization of the dataflow in this analysis</t>
  </si>
  <si>
    <t>Dataflow Commercial and Public Services</t>
  </si>
  <si>
    <t>Cover Sheet</t>
  </si>
  <si>
    <t>Dataflow</t>
  </si>
  <si>
    <t>Information about this document and a legend to tab and cell formatting</t>
  </si>
  <si>
    <t>A documentation of the changes to this analysis</t>
  </si>
  <si>
    <t>Steps to perform this analysis</t>
  </si>
  <si>
    <t xml:space="preserve">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</si>
  <si>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Added dataflow V3.2</t>
  </si>
  <si>
    <t>Proposed source</t>
  </si>
  <si>
    <t>Final energy demand used in the Commercial and Public Services sector  for Space Heating</t>
  </si>
  <si>
    <t>Final energy demand used in the Commercial and Public Services sector  for Space Cooling</t>
  </si>
  <si>
    <t>Final energy demand used in the Commercial and Public Services sector  for Lighting</t>
  </si>
  <si>
    <t>Use 'Source analysis Commercial and Pulic services sector' which can be found at ….</t>
  </si>
  <si>
    <t>National energy agency or an expert estimation</t>
  </si>
  <si>
    <t>Electric appliances</t>
  </si>
  <si>
    <t>Fuels</t>
  </si>
  <si>
    <t>IEA carriers</t>
  </si>
  <si>
    <t>Coal</t>
  </si>
  <si>
    <t>Natural gas</t>
  </si>
  <si>
    <t>Oil</t>
  </si>
  <si>
    <t>Wood pellets</t>
  </si>
  <si>
    <t xml:space="preserve">Final demand for electricity </t>
  </si>
  <si>
    <t xml:space="preserve">Final demand for Solar thermal </t>
  </si>
  <si>
    <t xml:space="preserve">Final demand for coal </t>
  </si>
  <si>
    <t xml:space="preserve">Final demand for oil </t>
  </si>
  <si>
    <t xml:space="preserve">Final demand for woodpellets </t>
  </si>
  <si>
    <t xml:space="preserve">Final demand for heat </t>
  </si>
  <si>
    <t>Final demand per energy carrier (TJ)</t>
  </si>
  <si>
    <t>Added all carriers</t>
  </si>
  <si>
    <t>Solar Thermal</t>
  </si>
  <si>
    <t>Solar PV</t>
  </si>
  <si>
    <t>Fuel aggregation</t>
  </si>
  <si>
    <t>Here the carriers in the IEA energy balance for the commercial and public services sector are combined into the fuels used in the ETM.</t>
  </si>
  <si>
    <t>Added auto-producers table to calculate PV solar</t>
  </si>
  <si>
    <t>Parameters</t>
  </si>
  <si>
    <t>Values</t>
  </si>
  <si>
    <t>Effective efficiency</t>
  </si>
  <si>
    <t>Changed dataflow to V5</t>
  </si>
  <si>
    <t>Final demand for Other</t>
  </si>
  <si>
    <t>All assumptions are filled</t>
  </si>
  <si>
    <t>Introductory</t>
  </si>
  <si>
    <t>Sources</t>
  </si>
  <si>
    <t>Main calculations</t>
  </si>
  <si>
    <t>GWh to TJ conversion</t>
  </si>
  <si>
    <t>Various improvements</t>
  </si>
  <si>
    <t>The technological specifications of energy conversion technologies used in the ETM are listed here</t>
  </si>
  <si>
    <t>Percentage of final demand for space heating delivered by biomass</t>
  </si>
  <si>
    <t>Percentage of final demand for space heating delivered by district heating</t>
  </si>
  <si>
    <t>Percentage of final demand for space heating delivered by solar thermal</t>
  </si>
  <si>
    <t>Percentage of final demand converted per technology (%)</t>
  </si>
  <si>
    <t>Percentage of heat delivered per technology (%)</t>
  </si>
  <si>
    <t>Including backwards calculation SWH</t>
  </si>
  <si>
    <t>Removed sources of district heating, included backward calculations for district heating and biomass</t>
  </si>
  <si>
    <t>Electrity</t>
  </si>
  <si>
    <t>Biomass</t>
  </si>
  <si>
    <t>Other appliances</t>
  </si>
  <si>
    <t>Updated dataflow and included CSV files</t>
  </si>
  <si>
    <t>These percentages are determined directly from the energy balance and the final demand specified on the dashboard</t>
  </si>
  <si>
    <t>Fuel Aggregation</t>
  </si>
  <si>
    <t>Final demands extracted from the energy balance</t>
  </si>
  <si>
    <t>Final demand for (district) heat</t>
  </si>
  <si>
    <t>Final demand for biomass</t>
  </si>
  <si>
    <t>Final demand for solar thermal</t>
  </si>
  <si>
    <t>Technology splits of final demands</t>
  </si>
  <si>
    <t>Technology split of useful demand fo space heating</t>
  </si>
  <si>
    <t>Final demand extracted from EB</t>
  </si>
  <si>
    <t>Tech split of useful demand</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</si>
  <si>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</si>
  <si>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</si>
  <si>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</si>
  <si>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 xml:space="preserve">The factors heat, biomass and solar from the energy balance are directly allocated to space heating by this model to respectively: district heating, biomass heater and solar thermal panels. </t>
  </si>
  <si>
    <t>Deleted all non-used carriers and checks and made minor alterations</t>
  </si>
  <si>
    <t>Filled notes and added explanation</t>
  </si>
  <si>
    <t>There are three main energy use groups in the built environment: space heating, space cooling and lighting. All other forms of energy use are piled up in this analysis as "other applications". The size and content of this sector is determined by subtracting the use for space heating, space cooling and lighting from the corrected IEA energy balance. The remaining electricity is allocated to electrical appliances and all other carriers are allocated to other appliances.</t>
  </si>
  <si>
    <t>The only technologies available for space heating, space cooling and lighting are the ones listed in the dashboard. These technologies are the ones used in the ETM.</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</si>
  <si>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</si>
  <si>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Carriers</t>
  </si>
  <si>
    <t>In this sheet the percentage of heat delivered per technology is determined for district heating, biomass fired heaters and solar thermal panels. For the other technologies the value is the same as defined by you on the dashboard.</t>
  </si>
  <si>
    <t>In this sheet the shares per technology per carrier needed for the Energy Transition Model are defined.</t>
  </si>
  <si>
    <r>
      <t>Please paste (</t>
    </r>
    <r>
      <rPr>
        <b/>
        <sz val="12"/>
        <rFont val="Calibri"/>
        <family val="2"/>
        <scheme val="minor"/>
      </rPr>
      <t>as values</t>
    </r>
    <r>
      <rPr>
        <sz val="12"/>
        <rFont val="Calibri"/>
        <family val="2"/>
        <scheme val="minor"/>
      </rPr>
      <t>) the energy balance resulting from the Power Plant-analysis (in TeraJoules) for your country in the table below. This data will be used in the analysis.</t>
    </r>
  </si>
  <si>
    <t>CSV-files</t>
  </si>
  <si>
    <t>share</t>
  </si>
  <si>
    <t>Percentage of light delivered by standard fluorescent tubes</t>
  </si>
  <si>
    <t>Standard fluorescent tubes</t>
  </si>
  <si>
    <t>Efficient fluorescent tubes</t>
  </si>
  <si>
    <t>changed names of csv files, added wood_caps and added efficient fluo tubes (+renaming of fluo tubes into standard fluo tubes</t>
  </si>
  <si>
    <t>Country</t>
  </si>
  <si>
    <t>Year data</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</si>
  <si>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</si>
  <si>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Application</t>
  </si>
  <si>
    <t>Subtotal of defined appliances</t>
  </si>
  <si>
    <t>In this sheet the carriers from the energy balance are summed into the carriers that the ETM uses in the commercial and public services sector. The result for other carriers should be zero, because the ETM does not allow for the use of these carriers in the commercial and public services sector. To see what you should do, please see the dashboard. If you want to trace the problem, please check the energy balance for red cells.</t>
  </si>
  <si>
    <r>
      <t xml:space="preserve">In this sheet the percentages of heat delivered are converted into percentages of final demand converted per technology by using the technological efficiencies specified in the sheet 'Technological specifications'. </t>
    </r>
    <r>
      <rPr>
        <b/>
        <sz val="12"/>
        <color theme="1"/>
        <rFont val="Calibri"/>
        <family val="2"/>
        <scheme val="minor"/>
      </rPr>
      <t>An exception to this workflow</t>
    </r>
    <r>
      <rPr>
        <sz val="12"/>
        <color theme="1"/>
        <rFont val="Calibri"/>
        <family val="2"/>
        <scheme val="minor"/>
      </rPr>
      <t xml:space="preserve"> are the percentages of final demand for </t>
    </r>
    <r>
      <rPr>
        <b/>
        <sz val="12"/>
        <color theme="1"/>
        <rFont val="Calibri"/>
        <family val="2"/>
        <scheme val="minor"/>
      </rPr>
      <t>district heating, biomass heating</t>
    </r>
    <r>
      <rPr>
        <sz val="12"/>
        <color theme="1"/>
        <rFont val="Calibri"/>
        <family val="2"/>
        <scheme val="minor"/>
      </rPr>
      <t xml:space="preserve"> and</t>
    </r>
    <r>
      <rPr>
        <b/>
        <sz val="12"/>
        <color theme="1"/>
        <rFont val="Calibri"/>
        <family val="2"/>
        <scheme val="minor"/>
      </rPr>
      <t xml:space="preserve"> solar thermal panels</t>
    </r>
    <r>
      <rPr>
        <sz val="12"/>
        <color theme="1"/>
        <rFont val="Calibri"/>
        <family val="2"/>
        <scheme val="minor"/>
      </rPr>
      <t xml:space="preserve">, which have been </t>
    </r>
    <r>
      <rPr>
        <b/>
        <sz val="12"/>
        <color theme="1"/>
        <rFont val="Calibri"/>
        <family val="2"/>
        <scheme val="minor"/>
      </rPr>
      <t>directly determined in the sheet 'Final demand extracted</t>
    </r>
    <r>
      <rPr>
        <sz val="12"/>
        <color theme="1"/>
        <rFont val="Calibri"/>
        <family val="2"/>
        <scheme val="minor"/>
      </rPr>
      <t xml:space="preserve"> </t>
    </r>
    <r>
      <rPr>
        <b/>
        <sz val="12"/>
        <color theme="1"/>
        <rFont val="Calibri"/>
        <family val="2"/>
        <scheme val="minor"/>
      </rPr>
      <t>from EB'</t>
    </r>
    <r>
      <rPr>
        <sz val="12"/>
        <color theme="1"/>
        <rFont val="Calibri"/>
        <family val="2"/>
        <scheme val="minor"/>
      </rPr>
      <t>.</t>
    </r>
  </si>
  <si>
    <t>The shares of several technologies with the same application and energy carrier are determined here</t>
  </si>
  <si>
    <t>Shares per carrier per application</t>
  </si>
  <si>
    <t>The split over the several application is defined here for several carriers.</t>
  </si>
  <si>
    <t>The final demands per energy carrier for all energy applications are calculated here</t>
  </si>
  <si>
    <t>Shares per technology per carrier</t>
  </si>
  <si>
    <t>Percentage of final demand converted by this technology (%)</t>
  </si>
  <si>
    <t>In this sheet the percentage of final demand for space heating fulfilled by district heating, biomass and solar thermal is determined based on the final demand specified on the dashboard and the values in the energy balance.</t>
  </si>
  <si>
    <t>Changed row and column sequence</t>
  </si>
  <si>
    <t>Changed EB to latest version</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</si>
  <si>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</si>
  <si>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</si>
  <si>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</si>
  <si>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</si>
  <si>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</si>
  <si>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</si>
  <si>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</si>
  <si>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</si>
  <si>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</si>
  <si>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</si>
  <si>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</si>
  <si>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</si>
  <si>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</si>
  <si>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</si>
  <si>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</si>
  <si>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</si>
  <si>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Fixed summing errors and net-gross pv prod error (SD)</t>
  </si>
  <si>
    <t>key</t>
  </si>
  <si>
    <t>buildings_lighting_efficient_fluorescent_electricity</t>
  </si>
  <si>
    <t>buildings_lighting_led_electricity</t>
  </si>
  <si>
    <t>buildings_lighting_standard_fluorescent_electricity</t>
  </si>
  <si>
    <t>buildings_final_demand_for_lighting_electricity</t>
  </si>
  <si>
    <t>buildings_final_demand_for_lighting_electricity_parent_share</t>
  </si>
  <si>
    <t>buildings_final_demand_for_space_heating_electricity</t>
  </si>
  <si>
    <t>buildings_space_heater_electricity</t>
  </si>
  <si>
    <t>buildings_space_heater_collective_heatpump_water_water_ts_electricity</t>
  </si>
  <si>
    <t>buildings_final_demand_for_space_heating_electricity_parent_share</t>
  </si>
  <si>
    <t>buildings_cooling_airconditioning_electricity</t>
  </si>
  <si>
    <t>buildings_cooling_collective_heatpump_water_water_ts_electricity</t>
  </si>
  <si>
    <t>buildings_final_demand_for_cooling_electricity</t>
  </si>
  <si>
    <t>buildings_final_demand_for_cooling_electricity_parent_share</t>
  </si>
  <si>
    <t>buildings_space_heater_network_gas</t>
  </si>
  <si>
    <t>buildings_space_heater_heatpump_air_water_network_gas</t>
  </si>
  <si>
    <t>buildings_final_demand_coal_parent_share</t>
  </si>
  <si>
    <t>buildings_final_demand_for_space_heating_coal</t>
  </si>
  <si>
    <t>buildings_final_demand_for_appliances_coal</t>
  </si>
  <si>
    <t>buildings_final_demand_network_gas_parent_share</t>
  </si>
  <si>
    <t>buildings_final_demand_crude_oil_parent_share</t>
  </si>
  <si>
    <t>buildings_final_demand_for_space_heating_crude_oil</t>
  </si>
  <si>
    <t>buildings_final_demand_for_appliances_crude_oil</t>
  </si>
  <si>
    <t>buildings_final_demand_electricity_parent_share</t>
  </si>
  <si>
    <t>buildings_final_demand_for_appliances_electricity</t>
  </si>
  <si>
    <t>buildings_final_demand_wood_pellets_parent_share</t>
  </si>
  <si>
    <t>buildings_final_demand_for_space_heating_wood_pellets</t>
  </si>
  <si>
    <t>buildings_final_demand_for_appliances_wood_pellets</t>
  </si>
  <si>
    <t>buildings_useful_demand_for_space_heating_child_share</t>
  </si>
  <si>
    <t>buildings_heating_savings_from_insulation_useable_heat</t>
  </si>
  <si>
    <t>buildings_useful_demand_for_space_heating_after_insulation</t>
  </si>
  <si>
    <t>buildings_cooling_savings_insulation_cooling</t>
  </si>
  <si>
    <t>buildings_useful_demand_cooling_child_share</t>
  </si>
  <si>
    <t>buildings_useful_demand_after_insulation_cooling</t>
  </si>
  <si>
    <t>buildings_useful_demand_light_child_share</t>
  </si>
  <si>
    <t>buildings_useful_demand_after_motion_detection_light</t>
  </si>
  <si>
    <t>buildings_lighting_savings_from_motion_detection_light</t>
  </si>
  <si>
    <t>buildings_useful_demand_after_motion_detection_light_child_share</t>
  </si>
  <si>
    <t>buildings_useful_demand_after_motion_detection_daylight_control_light</t>
  </si>
  <si>
    <t>buildings_lighting_savings_from_daylight_control_light</t>
  </si>
  <si>
    <t>Added shares that define converters related to "savings" (RD)</t>
  </si>
  <si>
    <t>In residential sector the only source of auto-produced electricity is solar PV. By making this assumption we can determine the amount of electricity produced by solar PV for the commercial and public services sector. But this happens in the PP&amp;HP analysis</t>
  </si>
  <si>
    <t>Removed all Solar PV calculations and assumptions</t>
  </si>
  <si>
    <t>Added csv_ to sheet name of all CSV files. Added redundant child edges in edges.csv</t>
  </si>
  <si>
    <t>corrected CSV file tabs to start with "csv_..."</t>
  </si>
  <si>
    <t>converter key</t>
  </si>
  <si>
    <t>The base year for this analysis</t>
  </si>
  <si>
    <t>Automatically import/export analysis data</t>
  </si>
  <si>
    <t>Here the percentage of final demand for several carriers is determined based on the energy balance and the final demand per application specfied on the dashboard</t>
  </si>
  <si>
    <t>In this sheet an overview is presented of the allocation of energy carriers over the different technologies and applications. At the bottom of this sheet the size of the electrical appliances and the other appliances are determined.</t>
  </si>
  <si>
    <t>Final energy demand Commercial and Public Services (from energy balance)</t>
  </si>
  <si>
    <t>Final demand converted per technology (TJ)</t>
  </si>
  <si>
    <t>Useful demand created per technology (TJ)</t>
  </si>
  <si>
    <t>TJ</t>
  </si>
  <si>
    <t>Final_demand_space_heating</t>
  </si>
  <si>
    <t>Final_demand_space_cooling</t>
  </si>
  <si>
    <t>Final_demand_lighting</t>
  </si>
  <si>
    <t>Key</t>
  </si>
  <si>
    <t>Critical check</t>
  </si>
  <si>
    <t>country</t>
  </si>
  <si>
    <t>base_year</t>
  </si>
  <si>
    <t>A CSV-file with a converter output share (parent_share)</t>
  </si>
  <si>
    <t>csv_ps_final_demand_lighting</t>
  </si>
  <si>
    <t>csv_ps_space_heating_electricit</t>
  </si>
  <si>
    <t>csv_ps_cooling_electricity</t>
  </si>
  <si>
    <t>csv_ps_space_heating_gas</t>
  </si>
  <si>
    <t>csv_ps_final_demand_coal</t>
  </si>
  <si>
    <t>csv_ps_final_demand_gas</t>
  </si>
  <si>
    <t>csv_ps_final_demand_oil</t>
  </si>
  <si>
    <t>csv_ps_final_demand_electricity</t>
  </si>
  <si>
    <t>csv_ps_final_demand_wood_p</t>
  </si>
  <si>
    <t>csv_heating_useful_insulation</t>
  </si>
  <si>
    <t>csv_cooling_useful_insulation</t>
  </si>
  <si>
    <t>csv_light_saving_detection</t>
  </si>
  <si>
    <t>csv_light_saving_control</t>
  </si>
  <si>
    <t>1. Import the corrected energy balance using the import button on the Dashboard sheet.</t>
  </si>
  <si>
    <t>2. Look over all the assumptions and checks on the Assumptions page and the Dashboard. Consult the documentation for additional information.</t>
  </si>
  <si>
    <t>3. Fill in the (country-specific) assumptions on the Dashboard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</si>
  <si>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</si>
  <si>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</si>
  <si>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</si>
  <si>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Updated to new style rules</t>
  </si>
  <si>
    <t>Corrected energy balance step 2</t>
  </si>
  <si>
    <t>Name in this excel file</t>
  </si>
  <si>
    <t>Eff_space_heating_solar_thermal</t>
  </si>
  <si>
    <t>Eff_space_heating_district</t>
  </si>
  <si>
    <t>Eff_space_heating_woodpellets</t>
  </si>
  <si>
    <t>Eff_space_heating_electric</t>
  </si>
  <si>
    <t>Eff_space_heating_gas</t>
  </si>
  <si>
    <t>Eff_space_heating_oil</t>
  </si>
  <si>
    <t>Eff_space_heating_coal</t>
  </si>
  <si>
    <t>Eff_space_heating_pump_storage</t>
  </si>
  <si>
    <t>Eff_cooling_airco</t>
  </si>
  <si>
    <t>Eff_cooling_pump</t>
  </si>
  <si>
    <t>Eff_cooling_pump_storage</t>
  </si>
  <si>
    <t>Eff_lighting_led</t>
  </si>
  <si>
    <t>Eff_lighting_tube_fluorescent_standartd</t>
  </si>
  <si>
    <t>Eff_lighting_tube_fluorescent_efficient</t>
  </si>
  <si>
    <t>Total demand of aggregated carriers</t>
  </si>
  <si>
    <t>Total demand in energy balancen (IEA)</t>
  </si>
  <si>
    <t xml:space="preserve">Check: </t>
  </si>
  <si>
    <t xml:space="preserve">If the </t>
  </si>
  <si>
    <t>are the same,,</t>
  </si>
  <si>
    <t xml:space="preserve">the energy carriers have been aggregated correctly. </t>
  </si>
  <si>
    <t xml:space="preserve">Difference: </t>
  </si>
  <si>
    <t>Eff_space_heating_pump_gas</t>
  </si>
  <si>
    <t>Final demand per carrier per application (TJ)</t>
  </si>
  <si>
    <t>Final demand for coal (TJ)</t>
  </si>
  <si>
    <t>Final demand for oil (TJ)</t>
  </si>
  <si>
    <t>Final demand for woodpellets (TJ)</t>
  </si>
  <si>
    <t>Final demand for Solar thermal (TJ)</t>
  </si>
  <si>
    <t>Final demand for electricity (TJ)</t>
  </si>
  <si>
    <t>Final demand for heat (TJ)</t>
  </si>
  <si>
    <t xml:space="preserve">Fixing names. Fixing order of space heating technologies. Fixing layout/formatting. Replaced old "PJ" units. </t>
  </si>
  <si>
    <t xml:space="preserve">Application </t>
  </si>
  <si>
    <t>Carrier</t>
  </si>
  <si>
    <t>Network Gas</t>
  </si>
  <si>
    <t>Share per technology and carrier</t>
  </si>
  <si>
    <t>Application shares</t>
  </si>
  <si>
    <t>Technology shares</t>
  </si>
  <si>
    <t>Percentages of energy demand</t>
  </si>
  <si>
    <t>Technology split final demand</t>
  </si>
  <si>
    <t>A CSV-file with a converter output share (parent_share) - currently hard coded</t>
  </si>
  <si>
    <t>A CSV-file with a converter input share (child_share) - hard coded</t>
  </si>
  <si>
    <t>Percentage of biomass (wood_pellets) used in space heating</t>
  </si>
  <si>
    <t>Percentage of biomass (wood_pellets) used in applicances</t>
  </si>
  <si>
    <t>Temporarily hard-coded assumptions</t>
  </si>
  <si>
    <t>The ETM graph contains a number of converters that are used to model future energy saving effects of improved insulation. The inluence of these converters is set to 'zero' in the 'present' scenario:</t>
  </si>
  <si>
    <t>Current savings in useful demand of lighting accomplished by motion detection</t>
  </si>
  <si>
    <t>Current savings in useful demand of lighting accomplished by daylight control</t>
  </si>
  <si>
    <t>Removing converters
buildings_useful_demand_for_space_heating_after_insulation_recirculation_recovery
buildings_useful_demand_for_space_heating_after_insulation_recirculation
buildings_heating_savings_from_recirculation_useable_heat
buildings_heating_savings_from_recovery_useable_heat
buildings_useful_demand_after_insulation_recirculation_recovery_cooling
buildings_useful_demand_after_insulation_recirculation_cooling
buildings_cooling_savings_from_recovery_cooling
buildings_cooling_savings_from_recirculation_cooling</t>
  </si>
  <si>
    <t>results from ETM modelling logic</t>
  </si>
  <si>
    <t>Renamed Analysis to "Services"</t>
  </si>
  <si>
    <t>added buttonns on Dashboard</t>
  </si>
  <si>
    <t>Fixing links in formulas (space heating)</t>
  </si>
  <si>
    <t>services_final_demand_space_heating</t>
  </si>
  <si>
    <t>services_final_demand_space_cooling</t>
  </si>
  <si>
    <t>services_final_demand_lighting</t>
  </si>
  <si>
    <t>services_space_heating_share_gas_fired_heaters</t>
  </si>
  <si>
    <t>services_space_heating_share_gas_fired_heat_pumps</t>
  </si>
  <si>
    <t>services_space_heating_share_electric_heaters</t>
  </si>
  <si>
    <t>services_space_heating_share_coal_fired_heater</t>
  </si>
  <si>
    <t>services_space_cooling_share_gas_fired_heat_pump</t>
  </si>
  <si>
    <t>services_space_cooling_share_electric_heat_pump</t>
  </si>
  <si>
    <t>services_space_cooling_share_airco</t>
  </si>
  <si>
    <t>services_biomass_used_in space_heating</t>
  </si>
  <si>
    <t>services_biomass_used_in appliances</t>
  </si>
  <si>
    <t>services_savings_lighting_motion_detection</t>
  </si>
  <si>
    <t>services_savings_lighting_daylight_control</t>
  </si>
  <si>
    <t>services_space_heating_share_electric_heat_pump_with_storage</t>
  </si>
  <si>
    <t>ETM carriers in Services Sector</t>
  </si>
  <si>
    <t>Fixing the order of keys on the dashboard / renaming one key</t>
  </si>
  <si>
    <t>services_space_heating_share_oil_fired_heater</t>
  </si>
  <si>
    <t>Final energy demand used for space heating</t>
  </si>
  <si>
    <t>Final energy use by solar thermal panels</t>
  </si>
  <si>
    <t>Final energy use by biomass-fired heaters</t>
  </si>
  <si>
    <t>Final energy use by district heating</t>
  </si>
  <si>
    <t>Name</t>
  </si>
  <si>
    <t>?</t>
  </si>
  <si>
    <t>heat efficiency</t>
  </si>
  <si>
    <t>1 / COP</t>
  </si>
  <si>
    <t>output.useable_heat</t>
  </si>
  <si>
    <t>input.electricity</t>
  </si>
  <si>
    <t>output.light</t>
  </si>
  <si>
    <t>buildings_space_heater_network_gas.converter</t>
  </si>
  <si>
    <t>buildings_space_heater_collective_heatpump_water_water_ts_electricity.converter</t>
  </si>
  <si>
    <t>buildings_space_heater_heatpump_air_water_network_gas.converter</t>
  </si>
  <si>
    <t>buildings_space_heater_electricity.converter</t>
  </si>
  <si>
    <t>buildings_space_heater_coal.converter</t>
  </si>
  <si>
    <t>buildings_space_heater_crude_oil.converter</t>
  </si>
  <si>
    <t>buildings_space_heater_wood_pellets.converter</t>
  </si>
  <si>
    <t>buildings_cooling_heatpump_air_water_network_gas.converter</t>
  </si>
  <si>
    <t>buildings_cooling_collective_heatpump_water_water_ts_electricity.converter</t>
  </si>
  <si>
    <t>buildings_cooling_airconditioning_electricity.converter</t>
  </si>
  <si>
    <t>buildings_lighting_efficient_fluorescent_electricity.converter</t>
  </si>
  <si>
    <t>buildings_lighting_standard_fluorescent_electricity.converter</t>
  </si>
  <si>
    <t>buildings_lighting_led_electricity.converter</t>
  </si>
  <si>
    <t>input.network_gas</t>
  </si>
  <si>
    <t>light efficiency</t>
  </si>
  <si>
    <t>Technological Specifications</t>
  </si>
  <si>
    <t>Extract data from Etsource</t>
  </si>
  <si>
    <t>Converter attributes</t>
  </si>
  <si>
    <t xml:space="preserve">Here, the technological specifications are imported from Etsource (automatically). These values are not country-specific and cannot be changed. </t>
  </si>
  <si>
    <t>enabling automatic import of technical specs</t>
  </si>
  <si>
    <t xml:space="preserve">removing Lody's "wrong" efficiencies, replacing them with efficiencies that are imporrted from etsource. Lody's efficiencies can be found in the source analysis folder. </t>
  </si>
  <si>
    <t>removing sheets with edges and nodes</t>
  </si>
  <si>
    <t>-</t>
  </si>
  <si>
    <t>All critical checks correct</t>
  </si>
  <si>
    <t>Taken from corrected energy balance</t>
  </si>
  <si>
    <t xml:space="preserve">Percentage of useful heat delivered by the remaining technologies </t>
  </si>
  <si>
    <t xml:space="preserve">Remaining final energy demand for space heating, after solar thermal panels, biomass heaters and district heating: </t>
  </si>
  <si>
    <t>Gas-fired heaters</t>
  </si>
  <si>
    <t>Electric heat pumps with thermal storage</t>
  </si>
  <si>
    <t>Gas-fired heat pumps</t>
  </si>
  <si>
    <t>Electric heaters</t>
  </si>
  <si>
    <t>Coal-fired heaters</t>
  </si>
  <si>
    <t>Oil-fired heaters</t>
  </si>
  <si>
    <t>extracted from corrected energy balance</t>
  </si>
  <si>
    <t xml:space="preserve">Percentage of useful cold delivered by </t>
  </si>
  <si>
    <t xml:space="preserve">Percentage of light delivered by </t>
  </si>
  <si>
    <t>LED tubes</t>
  </si>
  <si>
    <t>Final energy demand for electrical appliances is a positive number</t>
  </si>
  <si>
    <t>Final energy demand for other appliances is a positive number</t>
  </si>
  <si>
    <t>Final energy demand used for other Appliances (non-electric)</t>
  </si>
  <si>
    <t>Energy in services sector, not accounted for in ETM:</t>
  </si>
  <si>
    <t>Percentage of final demand</t>
  </si>
  <si>
    <t>Subtotal (TJ)</t>
  </si>
  <si>
    <t>Other appliances (non-electric) - remaining energy flows</t>
  </si>
  <si>
    <t>The following cannot be negative</t>
  </si>
  <si>
    <t>Other Applicances</t>
  </si>
  <si>
    <t>Network gas demand in other appliances</t>
  </si>
  <si>
    <t>Coal demand in other appliances</t>
  </si>
  <si>
    <t>Oil demand in other appliances</t>
  </si>
  <si>
    <t>major layout change to dashboard. Improving checks</t>
  </si>
  <si>
    <t>added 'Biogases' to network gas aggregation. Renaming natural gas to network gas in some instances</t>
  </si>
  <si>
    <t>Network gas</t>
  </si>
  <si>
    <t>Final demand for network gas (TJ)</t>
  </si>
  <si>
    <t xml:space="preserve">Final demand for network gas </t>
  </si>
  <si>
    <t xml:space="preserve">The main goal of this analysis is to create a representative energy use per application for the commercial and public services sector. The applications that are defined in this analysis are: space heating, space cooling, lighting, electric applications and other applications.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</si>
  <si>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Implemented if-statement in Application shares to avoid #DIV/0 errors</t>
  </si>
  <si>
    <t>Implemented if-statement in Technology share to avoid #DIV/0 errors</t>
  </si>
  <si>
    <t>buildings_final_demand_for_space_heating_network_gas</t>
  </si>
  <si>
    <t>buildings_final_demand_for_cooling_network_gas</t>
  </si>
  <si>
    <t>buildings_final_demand_for_appliances_network_gas</t>
  </si>
  <si>
    <t>buildings_final_demand_for_space_heating_network_gas_parent_share</t>
  </si>
  <si>
    <t>Final electricity demand used for central ICT</t>
  </si>
  <si>
    <t>Final electricity demand used for Electrical Appliances</t>
  </si>
  <si>
    <t>Final_demand_industry_ict</t>
  </si>
  <si>
    <t>industry_final_demand_ict_electricity</t>
  </si>
  <si>
    <t>Indicate "yes" to add the central ICT sector; also input the required data in row 29</t>
  </si>
  <si>
    <t>ict_split</t>
  </si>
  <si>
    <t>Final energy demand for central ICT is a positive number</t>
  </si>
  <si>
    <t>Central ICT</t>
  </si>
  <si>
    <t>Electricity use</t>
  </si>
  <si>
    <t>Services</t>
  </si>
  <si>
    <t>In this sheet the shares per carrier per application needed for the Energy Transition Model are defined. In the last section of the table, the electricity shares per sector are determined for the services sector and industry sector (central ICT).</t>
  </si>
  <si>
    <t>buildings_local_production_electricity_parent_share</t>
  </si>
  <si>
    <t>buildings_final_demand_electricity</t>
  </si>
  <si>
    <t>industry_final_demand_for_other_ict_electricity</t>
  </si>
  <si>
    <t>Created an optional split of the central ICT sector (directed to the industry sector in the graph)</t>
  </si>
  <si>
    <t>csv_ps_sector_electricity</t>
  </si>
  <si>
    <t>A CSV-file with a converter output share (parent_share) that sends part of the energy flow to the industry sector, and the rest to the services sector.</t>
  </si>
  <si>
    <t>buildings_space_heater_heatpump_air_water_electricity</t>
  </si>
  <si>
    <t>Electric air heat pump</t>
  </si>
  <si>
    <t>Electric air heatpumps</t>
  </si>
  <si>
    <t>Electric air heatpump</t>
  </si>
  <si>
    <t>buildings_cooling_heatpump_air_water_electricity.converter</t>
  </si>
  <si>
    <t>Eff_cooling_air_heatpump</t>
  </si>
  <si>
    <t>buildings_space_heater_heatpump_air_water_electricity.converter</t>
  </si>
  <si>
    <t>buildings_cooling_heatpump_air_water_electricity</t>
  </si>
  <si>
    <t>Eff_space_heating_air_heatpump</t>
  </si>
  <si>
    <t>services_space_heating_share_air_heatpump</t>
  </si>
  <si>
    <t>services_space_cooling_share_air_heatpump</t>
  </si>
  <si>
    <t>buildings_space_heater_solar_thermal</t>
  </si>
  <si>
    <t>Removed incandescent and fluorescent lighting from analysis</t>
  </si>
  <si>
    <t>buildings_space_heater_district_heating_ht_steam_hot_water</t>
  </si>
  <si>
    <t>Mathijs Bijkerk</t>
  </si>
  <si>
    <t>Quintel</t>
  </si>
  <si>
    <t>November 30, 2023</t>
  </si>
  <si>
    <t>Updated technical specs to refer to new district heating node with high temperate (HT).</t>
  </si>
  <si>
    <t>November 30,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</si>
</sst>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409]mmmm\ d\,\ yyyy;@"/>
    <numFmt numFmtId="167" formatCode="0.00000"/>
  </numFmts>
  <fonts count="30" x14ac:knownFonts="1">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9"/>
      <color indexed="81"/>
      <name val="Arial"/>
      <family val="2"/>
    </font>
    <font>
      <sz val="11"/>
      <color rgb="FF000000"/>
      <name val="Arial"/>
      <family val="2"/>
    </font>
    <font>
      <sz val="12"/>
      <color rgb="FF000000"/>
      <name val="Lucida Grande"/>
      <family val="2"/>
    </font>
    <font>
      <sz val="12"/>
      <color theme="0" tint="-0.499984740745262"/>
      <name val="Calibri"/>
      <family val="2"/>
      <scheme val="minor"/>
    </font>
    <font>
      <sz val="12"/>
      <color theme="0" tint="-0.14999847407452621"/>
      <name val="Calibri"/>
      <family val="2"/>
      <scheme val="minor"/>
    </font>
    <font>
      <b/>
      <sz val="12"/>
      <color theme="0" tint="-0.499984740745262"/>
      <name val="Calibri"/>
      <family val="2"/>
      <scheme val="minor"/>
    </font>
    <font>
      <sz val="11"/>
      <name val="Arial"/>
      <family val="2"/>
    </font>
    <font>
      <b/>
      <i/>
      <sz val="12"/>
      <name val="Calibri"/>
      <family val="2"/>
      <scheme val="minor"/>
    </font>
    <font>
      <i/>
      <sz val="12"/>
      <name val="Calibri"/>
      <family val="2"/>
      <scheme val="minor"/>
    </font>
    <font>
      <u/>
      <sz val="12"/>
      <color rgb="FF000000"/>
      <name val="Calibri"/>
      <family val="2"/>
      <scheme val="minor"/>
    </font>
    <font>
      <sz val="13"/>
      <color rgb="FF333333"/>
      <name val="Helvetica"/>
      <family val="2"/>
    </font>
    <font>
      <b/>
      <sz val="18"/>
      <color theme="5"/>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6600"/>
        <bgColor indexed="64"/>
      </patternFill>
    </fill>
    <fill>
      <patternFill patternType="solid">
        <fgColor indexed="65"/>
        <bgColor indexed="64"/>
      </patternFill>
    </fill>
  </fills>
  <borders count="5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s>
  <cellStyleXfs count="1391">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79">
    <xf numFmtId="0" fontId="0" fillId="0" borderId="0" xfId="0"/>
    <xf numFmtId="0" fontId="0" fillId="2" borderId="0" xfId="0" applyFill="1"/>
    <xf numFmtId="0" fontId="5" fillId="2" borderId="0" xfId="0" applyFont="1" applyFill="1"/>
    <xf numFmtId="0" fontId="4" fillId="2" borderId="1" xfId="0" applyFont="1" applyFill="1" applyBorder="1"/>
    <xf numFmtId="0" fontId="0" fillId="2" borderId="2" xfId="0" applyFill="1" applyBorder="1"/>
    <xf numFmtId="0" fontId="0" fillId="2" borderId="3" xfId="0" applyFill="1" applyBorder="1"/>
    <xf numFmtId="0" fontId="6" fillId="3" borderId="4" xfId="0" applyFont="1" applyFill="1" applyBorder="1" applyAlignment="1">
      <alignment vertical="center"/>
    </xf>
    <xf numFmtId="0" fontId="0" fillId="2" borderId="5" xfId="0" applyFill="1" applyBorder="1"/>
    <xf numFmtId="0" fontId="6" fillId="3" borderId="6" xfId="0" applyFont="1" applyFill="1" applyBorder="1" applyAlignment="1">
      <alignment vertical="center"/>
    </xf>
    <xf numFmtId="0" fontId="0" fillId="2" borderId="7" xfId="0" applyFill="1" applyBorder="1"/>
    <xf numFmtId="0" fontId="0" fillId="2" borderId="8" xfId="0" applyFill="1" applyBorder="1"/>
    <xf numFmtId="0" fontId="6" fillId="3" borderId="1" xfId="0" applyFont="1" applyFill="1" applyBorder="1" applyAlignment="1">
      <alignment vertical="center"/>
    </xf>
    <xf numFmtId="0" fontId="4" fillId="2" borderId="2" xfId="0" applyFont="1" applyFill="1" applyBorder="1"/>
    <xf numFmtId="0" fontId="4" fillId="2" borderId="3" xfId="0" applyFont="1" applyFill="1" applyBorder="1"/>
    <xf numFmtId="0" fontId="4" fillId="2" borderId="0" xfId="0" applyFont="1" applyFill="1"/>
    <xf numFmtId="0" fontId="4" fillId="2" borderId="5" xfId="0" applyFont="1" applyFill="1" applyBorder="1"/>
    <xf numFmtId="0" fontId="0" fillId="0" borderId="5" xfId="0" applyBorder="1"/>
    <xf numFmtId="0" fontId="0" fillId="2" borderId="4" xfId="0" applyFill="1" applyBorder="1"/>
    <xf numFmtId="0" fontId="0" fillId="2" borderId="6" xfId="0" applyFill="1" applyBorder="1"/>
    <xf numFmtId="0" fontId="4" fillId="2" borderId="4" xfId="0" applyFont="1" applyFill="1" applyBorder="1"/>
    <xf numFmtId="0" fontId="7" fillId="2" borderId="0" xfId="0" applyFont="1" applyFill="1"/>
    <xf numFmtId="0" fontId="0" fillId="2" borderId="9" xfId="0" applyFill="1" applyBorder="1"/>
    <xf numFmtId="0" fontId="0" fillId="4" borderId="0" xfId="0" applyFill="1"/>
    <xf numFmtId="0" fontId="0" fillId="5" borderId="0" xfId="0" applyFill="1"/>
    <xf numFmtId="2" fontId="0" fillId="2" borderId="0" xfId="0" applyNumberFormat="1" applyFill="1" applyAlignment="1">
      <alignment horizontal="left"/>
    </xf>
    <xf numFmtId="0" fontId="4" fillId="2" borderId="10" xfId="0" applyFont="1" applyFill="1" applyBorder="1"/>
    <xf numFmtId="0" fontId="4"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4" fillId="2" borderId="15" xfId="0" applyFont="1" applyFill="1" applyBorder="1"/>
    <xf numFmtId="0" fontId="4" fillId="0" borderId="7" xfId="0" applyFont="1" applyBorder="1"/>
    <xf numFmtId="0" fontId="4" fillId="0" borderId="16" xfId="0" applyFont="1" applyBorder="1"/>
    <xf numFmtId="0" fontId="4" fillId="2" borderId="13" xfId="0" applyFont="1" applyFill="1" applyBorder="1"/>
    <xf numFmtId="0" fontId="4" fillId="2" borderId="14" xfId="0" applyFont="1" applyFill="1" applyBorder="1"/>
    <xf numFmtId="0" fontId="9" fillId="2" borderId="13" xfId="0" applyFont="1" applyFill="1" applyBorder="1"/>
    <xf numFmtId="0" fontId="0" fillId="2" borderId="13" xfId="0" applyFill="1" applyBorder="1" applyAlignment="1">
      <alignment vertical="top"/>
    </xf>
    <xf numFmtId="0" fontId="0" fillId="0" borderId="0" xfId="0" applyAlignment="1">
      <alignment wrapText="1"/>
    </xf>
    <xf numFmtId="0" fontId="0" fillId="0" borderId="14" xfId="0" applyBorder="1" applyAlignment="1">
      <alignment vertical="top"/>
    </xf>
    <xf numFmtId="0" fontId="0" fillId="0" borderId="14" xfId="0" applyBorder="1" applyAlignment="1">
      <alignment vertical="top" wrapText="1"/>
    </xf>
    <xf numFmtId="0" fontId="0" fillId="0" borderId="14" xfId="0" applyBorder="1"/>
    <xf numFmtId="0" fontId="0" fillId="2" borderId="15" xfId="0" applyFill="1" applyBorder="1"/>
    <xf numFmtId="0" fontId="0" fillId="0" borderId="0" xfId="0" applyAlignment="1">
      <alignment vertical="top"/>
    </xf>
    <xf numFmtId="0" fontId="0" fillId="0" borderId="7" xfId="0" applyBorder="1"/>
    <xf numFmtId="0" fontId="0" fillId="0" borderId="16" xfId="0" applyBorder="1"/>
    <xf numFmtId="0" fontId="0" fillId="2" borderId="17" xfId="0" applyFill="1" applyBorder="1"/>
    <xf numFmtId="0" fontId="0" fillId="0" borderId="18" xfId="0" applyBorder="1"/>
    <xf numFmtId="0" fontId="9" fillId="2" borderId="20" xfId="0" applyFont="1" applyFill="1" applyBorder="1"/>
    <xf numFmtId="0" fontId="11" fillId="2" borderId="13" xfId="0" applyFont="1" applyFill="1" applyBorder="1"/>
    <xf numFmtId="0" fontId="0" fillId="0" borderId="19" xfId="0" applyBorder="1"/>
    <xf numFmtId="0" fontId="4" fillId="0" borderId="1" xfId="0" applyFont="1" applyBorder="1"/>
    <xf numFmtId="0" fontId="0" fillId="2" borderId="11" xfId="0" applyFill="1" applyBorder="1"/>
    <xf numFmtId="0" fontId="4" fillId="2" borderId="21" xfId="0" applyFont="1" applyFill="1" applyBorder="1"/>
    <xf numFmtId="0" fontId="0" fillId="2" borderId="23" xfId="0" applyFill="1" applyBorder="1"/>
    <xf numFmtId="0" fontId="0" fillId="2" borderId="24" xfId="0" applyFill="1" applyBorder="1"/>
    <xf numFmtId="0" fontId="0" fillId="2" borderId="21" xfId="0" applyFill="1" applyBorder="1"/>
    <xf numFmtId="0" fontId="0" fillId="2" borderId="22" xfId="0" applyFill="1" applyBorder="1"/>
    <xf numFmtId="9" fontId="0" fillId="2" borderId="0" xfId="1" applyFont="1" applyFill="1" applyBorder="1"/>
    <xf numFmtId="0" fontId="10" fillId="8" borderId="0" xfId="0" applyFont="1" applyFill="1"/>
    <xf numFmtId="0" fontId="0" fillId="0" borderId="25" xfId="0" applyBorder="1"/>
    <xf numFmtId="0" fontId="0" fillId="0" borderId="23" xfId="0" applyBorder="1"/>
    <xf numFmtId="9" fontId="0" fillId="2" borderId="18" xfId="1" applyFont="1" applyFill="1" applyBorder="1"/>
    <xf numFmtId="0" fontId="4" fillId="2" borderId="23" xfId="0" applyFont="1" applyFill="1" applyBorder="1"/>
    <xf numFmtId="0" fontId="4" fillId="2" borderId="24" xfId="0" applyFont="1" applyFill="1" applyBorder="1"/>
    <xf numFmtId="0" fontId="4" fillId="2" borderId="15" xfId="0" applyFont="1" applyFill="1" applyBorder="1" applyAlignment="1">
      <alignment vertical="top" wrapText="1"/>
    </xf>
    <xf numFmtId="0" fontId="4" fillId="0" borderId="7" xfId="0" applyFont="1" applyBorder="1" applyAlignment="1">
      <alignment vertical="top" wrapText="1"/>
    </xf>
    <xf numFmtId="0" fontId="4" fillId="2" borderId="13" xfId="0" applyFont="1" applyFill="1" applyBorder="1" applyAlignment="1">
      <alignment vertical="top" wrapText="1"/>
    </xf>
    <xf numFmtId="0" fontId="4" fillId="2" borderId="5" xfId="0" applyFont="1" applyFill="1" applyBorder="1" applyAlignment="1">
      <alignment vertical="top" wrapText="1"/>
    </xf>
    <xf numFmtId="0" fontId="4" fillId="2" borderId="0" xfId="0" applyFont="1" applyFill="1" applyAlignment="1">
      <alignment vertical="top" wrapText="1"/>
    </xf>
    <xf numFmtId="0" fontId="3" fillId="2" borderId="13" xfId="0" applyFont="1" applyFill="1" applyBorder="1"/>
    <xf numFmtId="0" fontId="4" fillId="2" borderId="7" xfId="0" applyFont="1" applyFill="1" applyBorder="1" applyAlignment="1">
      <alignment vertical="top" wrapText="1"/>
    </xf>
    <xf numFmtId="9" fontId="0" fillId="0" borderId="5" xfId="0" applyNumberFormat="1" applyBorder="1"/>
    <xf numFmtId="0" fontId="4" fillId="2" borderId="3" xfId="0" applyFont="1" applyFill="1" applyBorder="1" applyAlignment="1">
      <alignment vertical="top" wrapText="1"/>
    </xf>
    <xf numFmtId="0" fontId="0" fillId="0" borderId="32" xfId="0" applyBorder="1"/>
    <xf numFmtId="0" fontId="0" fillId="0" borderId="33" xfId="0" applyBorder="1" applyAlignment="1">
      <alignment vertical="top" wrapText="1"/>
    </xf>
    <xf numFmtId="0" fontId="0" fillId="0" borderId="34" xfId="0" applyBorder="1" applyAlignment="1">
      <alignment vertical="top" wrapText="1"/>
    </xf>
    <xf numFmtId="0" fontId="0" fillId="0" borderId="35" xfId="0" applyBorder="1" applyAlignment="1">
      <alignment vertical="top" wrapText="1"/>
    </xf>
    <xf numFmtId="0" fontId="0" fillId="0" borderId="30" xfId="0" applyBorder="1"/>
    <xf numFmtId="0" fontId="0" fillId="0" borderId="31"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29" xfId="0" applyBorder="1"/>
    <xf numFmtId="0" fontId="0" fillId="0" borderId="21" xfId="0" applyBorder="1"/>
    <xf numFmtId="0" fontId="0" fillId="0" borderId="42" xfId="0" applyBorder="1"/>
    <xf numFmtId="0" fontId="0" fillId="0" borderId="27" xfId="0" applyBorder="1"/>
    <xf numFmtId="0" fontId="0" fillId="0" borderId="0" xfId="0" applyAlignment="1">
      <alignment vertical="top" wrapText="1"/>
    </xf>
    <xf numFmtId="0" fontId="0" fillId="2" borderId="0" xfId="0" applyFill="1" applyAlignment="1">
      <alignment wrapText="1"/>
    </xf>
    <xf numFmtId="0" fontId="0" fillId="2" borderId="0" xfId="0" applyFill="1" applyAlignment="1">
      <alignment vertical="top" wrapText="1"/>
    </xf>
    <xf numFmtId="0" fontId="4" fillId="0" borderId="14" xfId="0" applyFont="1" applyBorder="1"/>
    <xf numFmtId="0" fontId="4" fillId="0" borderId="8" xfId="0" applyFont="1" applyBorder="1"/>
    <xf numFmtId="0" fontId="0" fillId="2" borderId="18" xfId="0" applyFill="1" applyBorder="1"/>
    <xf numFmtId="0" fontId="0" fillId="2" borderId="19" xfId="0" applyFill="1" applyBorder="1"/>
    <xf numFmtId="0" fontId="15" fillId="0" borderId="14" xfId="0" applyFont="1" applyBorder="1"/>
    <xf numFmtId="0" fontId="10" fillId="8" borderId="18" xfId="0" applyFont="1" applyFill="1" applyBorder="1"/>
    <xf numFmtId="0" fontId="10" fillId="8" borderId="19" xfId="0" applyFont="1" applyFill="1" applyBorder="1"/>
    <xf numFmtId="0" fontId="4" fillId="0" borderId="7" xfId="0" applyFont="1" applyBorder="1" applyAlignment="1">
      <alignment wrapText="1"/>
    </xf>
    <xf numFmtId="9" fontId="0" fillId="0" borderId="0" xfId="1" applyFont="1" applyFill="1" applyBorder="1"/>
    <xf numFmtId="2" fontId="0" fillId="0" borderId="0" xfId="1" applyNumberFormat="1" applyFont="1" applyFill="1" applyBorder="1"/>
    <xf numFmtId="0" fontId="4" fillId="2" borderId="45" xfId="0" applyFont="1" applyFill="1" applyBorder="1"/>
    <xf numFmtId="0" fontId="8" fillId="0" borderId="21" xfId="0" applyFont="1" applyBorder="1" applyAlignment="1">
      <alignment vertical="top" wrapText="1"/>
    </xf>
    <xf numFmtId="0" fontId="8" fillId="0" borderId="21" xfId="0" applyFont="1" applyBorder="1" applyAlignment="1">
      <alignment horizontal="left" vertical="top" wrapText="1"/>
    </xf>
    <xf numFmtId="0" fontId="16" fillId="2" borderId="0" xfId="0" applyFont="1" applyFill="1" applyAlignment="1">
      <alignment vertical="center"/>
    </xf>
    <xf numFmtId="0" fontId="16" fillId="2" borderId="0" xfId="0" applyFont="1" applyFill="1" applyAlignment="1">
      <alignment horizontal="center" vertical="center"/>
    </xf>
    <xf numFmtId="0" fontId="0" fillId="2" borderId="0" xfId="0" applyFill="1" applyAlignment="1">
      <alignment horizontal="left" vertical="center"/>
    </xf>
    <xf numFmtId="0" fontId="5" fillId="2" borderId="0" xfId="0" applyFont="1" applyFill="1" applyAlignment="1">
      <alignment vertical="center"/>
    </xf>
    <xf numFmtId="0" fontId="4" fillId="2" borderId="1" xfId="0" applyFont="1" applyFill="1" applyBorder="1" applyAlignment="1">
      <alignment vertical="center"/>
    </xf>
    <xf numFmtId="0" fontId="16" fillId="2" borderId="2" xfId="0" applyFont="1" applyFill="1" applyBorder="1" applyAlignment="1">
      <alignment vertical="center"/>
    </xf>
    <xf numFmtId="0" fontId="16" fillId="2" borderId="3" xfId="0" applyFont="1" applyFill="1" applyBorder="1" applyAlignment="1">
      <alignment vertical="center"/>
    </xf>
    <xf numFmtId="0" fontId="0" fillId="2" borderId="6" xfId="0" applyFill="1" applyBorder="1" applyAlignment="1">
      <alignment horizontal="left" vertical="top"/>
    </xf>
    <xf numFmtId="0" fontId="16" fillId="2" borderId="7" xfId="0" applyFont="1" applyFill="1" applyBorder="1" applyAlignment="1">
      <alignment vertical="center"/>
    </xf>
    <xf numFmtId="0" fontId="16" fillId="2" borderId="8" xfId="0" applyFont="1" applyFill="1" applyBorder="1" applyAlignment="1">
      <alignment vertical="center"/>
    </xf>
    <xf numFmtId="0" fontId="0" fillId="7" borderId="0" xfId="0" applyFill="1"/>
    <xf numFmtId="0" fontId="0" fillId="4" borderId="25" xfId="0" applyFill="1" applyBorder="1"/>
    <xf numFmtId="0" fontId="0" fillId="6" borderId="25" xfId="0" applyFill="1" applyBorder="1"/>
    <xf numFmtId="0" fontId="8" fillId="0" borderId="0" xfId="0" applyFont="1" applyAlignment="1">
      <alignment horizontal="left" vertical="top" wrapText="1"/>
    </xf>
    <xf numFmtId="0" fontId="14" fillId="2" borderId="45" xfId="0" applyFont="1" applyFill="1" applyBorder="1"/>
    <xf numFmtId="0" fontId="14" fillId="2" borderId="23" xfId="0" applyFont="1" applyFill="1" applyBorder="1"/>
    <xf numFmtId="0" fontId="8" fillId="2" borderId="23" xfId="0" applyFont="1" applyFill="1" applyBorder="1"/>
    <xf numFmtId="0" fontId="17" fillId="2" borderId="0" xfId="0" applyFont="1" applyFill="1" applyAlignment="1">
      <alignment horizontal="left" vertical="center"/>
    </xf>
    <xf numFmtId="0" fontId="0" fillId="2" borderId="14" xfId="0" applyFill="1" applyBorder="1" applyAlignment="1">
      <alignment vertical="top"/>
    </xf>
    <xf numFmtId="0" fontId="9" fillId="2" borderId="20" xfId="0" applyFont="1" applyFill="1" applyBorder="1" applyAlignment="1">
      <alignment vertical="top"/>
    </xf>
    <xf numFmtId="0" fontId="0" fillId="2" borderId="44" xfId="0" applyFill="1" applyBorder="1" applyAlignment="1">
      <alignment vertical="top"/>
    </xf>
    <xf numFmtId="0" fontId="0" fillId="2" borderId="44" xfId="0" applyFill="1" applyBorder="1"/>
    <xf numFmtId="0" fontId="10" fillId="0" borderId="0" xfId="0" applyFont="1"/>
    <xf numFmtId="0" fontId="0" fillId="2" borderId="0" xfId="0" applyFill="1" applyAlignment="1">
      <alignment vertical="top"/>
    </xf>
    <xf numFmtId="0" fontId="0" fillId="2" borderId="7" xfId="0" applyFill="1" applyBorder="1" applyAlignment="1">
      <alignment vertical="top"/>
    </xf>
    <xf numFmtId="0" fontId="0" fillId="2" borderId="18" xfId="0" applyFill="1" applyBorder="1" applyAlignment="1">
      <alignment vertical="top"/>
    </xf>
    <xf numFmtId="0" fontId="0" fillId="2" borderId="19" xfId="0" applyFill="1" applyBorder="1" applyAlignment="1">
      <alignment vertical="top"/>
    </xf>
    <xf numFmtId="0" fontId="4" fillId="2" borderId="16" xfId="0" applyFont="1" applyFill="1" applyBorder="1"/>
    <xf numFmtId="0" fontId="8" fillId="0" borderId="14" xfId="0" applyFont="1" applyBorder="1"/>
    <xf numFmtId="0" fontId="9" fillId="2" borderId="15" xfId="0" applyFont="1" applyFill="1" applyBorder="1"/>
    <xf numFmtId="0" fontId="8" fillId="2" borderId="0" xfId="0" applyFont="1" applyFill="1"/>
    <xf numFmtId="0" fontId="4" fillId="0" borderId="16" xfId="0" applyFont="1" applyBorder="1" applyAlignment="1">
      <alignment vertical="top" wrapText="1"/>
    </xf>
    <xf numFmtId="0" fontId="4" fillId="2" borderId="14" xfId="0" applyFont="1" applyFill="1" applyBorder="1" applyAlignment="1">
      <alignment vertical="top" wrapText="1"/>
    </xf>
    <xf numFmtId="164" fontId="4" fillId="2" borderId="18" xfId="0" applyNumberFormat="1" applyFont="1" applyFill="1" applyBorder="1" applyAlignment="1">
      <alignment vertical="top" wrapText="1"/>
    </xf>
    <xf numFmtId="0" fontId="0" fillId="0" borderId="44" xfId="0" applyBorder="1"/>
    <xf numFmtId="0" fontId="0" fillId="2" borderId="46" xfId="0" applyFill="1" applyBorder="1"/>
    <xf numFmtId="0" fontId="3" fillId="2" borderId="15" xfId="0" applyFont="1" applyFill="1" applyBorder="1"/>
    <xf numFmtId="1" fontId="4" fillId="2" borderId="22" xfId="1" applyNumberFormat="1" applyFont="1" applyFill="1" applyBorder="1"/>
    <xf numFmtId="2" fontId="0" fillId="2" borderId="0" xfId="0" applyNumberFormat="1" applyFill="1"/>
    <xf numFmtId="0" fontId="0" fillId="2" borderId="47" xfId="0" applyFill="1" applyBorder="1"/>
    <xf numFmtId="164" fontId="4" fillId="2" borderId="23" xfId="0" applyNumberFormat="1" applyFont="1" applyFill="1" applyBorder="1"/>
    <xf numFmtId="165" fontId="0" fillId="2" borderId="23" xfId="0" applyNumberFormat="1" applyFill="1" applyBorder="1"/>
    <xf numFmtId="165" fontId="0" fillId="2" borderId="23" xfId="1" applyNumberFormat="1" applyFont="1" applyFill="1" applyBorder="1"/>
    <xf numFmtId="165" fontId="0" fillId="2" borderId="21" xfId="0" applyNumberFormat="1" applyFill="1" applyBorder="1"/>
    <xf numFmtId="0" fontId="4" fillId="2" borderId="43" xfId="0" applyFont="1" applyFill="1" applyBorder="1"/>
    <xf numFmtId="0" fontId="0" fillId="2" borderId="27" xfId="0" applyFill="1" applyBorder="1"/>
    <xf numFmtId="0" fontId="0" fillId="11" borderId="0" xfId="0" applyFill="1"/>
    <xf numFmtId="0" fontId="0" fillId="12" borderId="0" xfId="0" applyFill="1"/>
    <xf numFmtId="0" fontId="0" fillId="9" borderId="0" xfId="0" applyFill="1"/>
    <xf numFmtId="0" fontId="0" fillId="6" borderId="0" xfId="0" applyFill="1"/>
    <xf numFmtId="0" fontId="0" fillId="13" borderId="0" xfId="0" applyFill="1"/>
    <xf numFmtId="2" fontId="0" fillId="2" borderId="18" xfId="1" applyNumberFormat="1" applyFont="1" applyFill="1" applyBorder="1"/>
    <xf numFmtId="0" fontId="4" fillId="0" borderId="11" xfId="0" applyFont="1" applyBorder="1" applyAlignment="1">
      <alignment wrapText="1"/>
    </xf>
    <xf numFmtId="0" fontId="4" fillId="0" borderId="12" xfId="0" applyFont="1" applyBorder="1" applyAlignment="1">
      <alignment wrapText="1"/>
    </xf>
    <xf numFmtId="0" fontId="15" fillId="8" borderId="3" xfId="0" applyFont="1" applyFill="1" applyBorder="1"/>
    <xf numFmtId="0" fontId="10" fillId="8" borderId="47" xfId="0" applyFont="1" applyFill="1" applyBorder="1"/>
    <xf numFmtId="165" fontId="0" fillId="2" borderId="9" xfId="1" applyNumberFormat="1" applyFont="1" applyFill="1" applyBorder="1"/>
    <xf numFmtId="165" fontId="0" fillId="2" borderId="0" xfId="1" applyNumberFormat="1" applyFont="1" applyFill="1" applyBorder="1"/>
    <xf numFmtId="0" fontId="0" fillId="9" borderId="25" xfId="0" applyFill="1" applyBorder="1"/>
    <xf numFmtId="0" fontId="0" fillId="13" borderId="25" xfId="0" applyFill="1" applyBorder="1"/>
    <xf numFmtId="9" fontId="0" fillId="2" borderId="2" xfId="1" applyFont="1" applyFill="1" applyBorder="1"/>
    <xf numFmtId="0" fontId="8" fillId="13" borderId="25" xfId="0" applyFont="1" applyFill="1" applyBorder="1"/>
    <xf numFmtId="0" fontId="0" fillId="11" borderId="25" xfId="0" applyFill="1" applyBorder="1"/>
    <xf numFmtId="0" fontId="8" fillId="7" borderId="25" xfId="0" applyFont="1" applyFill="1" applyBorder="1"/>
    <xf numFmtId="0" fontId="4" fillId="2" borderId="49" xfId="0" applyFont="1" applyFill="1" applyBorder="1"/>
    <xf numFmtId="0" fontId="0" fillId="2" borderId="37" xfId="0" applyFill="1" applyBorder="1"/>
    <xf numFmtId="0" fontId="4" fillId="2" borderId="29" xfId="0" applyFont="1" applyFill="1" applyBorder="1" applyAlignment="1">
      <alignment vertical="top" wrapText="1"/>
    </xf>
    <xf numFmtId="0" fontId="3" fillId="2" borderId="37" xfId="0" applyFont="1" applyFill="1" applyBorder="1"/>
    <xf numFmtId="0" fontId="8" fillId="2" borderId="37" xfId="0" applyFont="1" applyFill="1" applyBorder="1" applyAlignment="1">
      <alignment wrapText="1"/>
    </xf>
    <xf numFmtId="0" fontId="3" fillId="2" borderId="42" xfId="0" applyFont="1" applyFill="1" applyBorder="1"/>
    <xf numFmtId="165" fontId="0" fillId="0" borderId="0" xfId="0" applyNumberFormat="1"/>
    <xf numFmtId="165" fontId="0" fillId="2" borderId="0" xfId="0" applyNumberFormat="1" applyFill="1"/>
    <xf numFmtId="165" fontId="0" fillId="0" borderId="0" xfId="1" applyNumberFormat="1" applyFont="1" applyFill="1" applyBorder="1"/>
    <xf numFmtId="0" fontId="3" fillId="2" borderId="17" xfId="0" applyFont="1" applyFill="1" applyBorder="1"/>
    <xf numFmtId="1" fontId="4" fillId="2" borderId="46" xfId="1" applyNumberFormat="1" applyFont="1" applyFill="1" applyBorder="1"/>
    <xf numFmtId="0" fontId="4" fillId="0" borderId="16" xfId="0" applyFont="1" applyBorder="1" applyAlignment="1">
      <alignment wrapText="1"/>
    </xf>
    <xf numFmtId="165" fontId="0" fillId="2" borderId="26" xfId="1" applyNumberFormat="1" applyFont="1" applyFill="1" applyBorder="1"/>
    <xf numFmtId="9" fontId="0" fillId="0" borderId="0" xfId="0" applyNumberFormat="1"/>
    <xf numFmtId="0" fontId="0" fillId="2" borderId="50" xfId="0" applyFill="1" applyBorder="1"/>
    <xf numFmtId="0" fontId="4" fillId="2" borderId="51" xfId="0" applyFont="1" applyFill="1" applyBorder="1" applyAlignment="1">
      <alignment vertical="top" wrapText="1"/>
    </xf>
    <xf numFmtId="0" fontId="4" fillId="2" borderId="33" xfId="0" applyFont="1" applyFill="1" applyBorder="1" applyAlignment="1">
      <alignment vertical="top" wrapText="1"/>
    </xf>
    <xf numFmtId="0" fontId="4" fillId="2" borderId="52" xfId="0" applyFont="1" applyFill="1" applyBorder="1" applyAlignment="1">
      <alignment vertical="top" wrapText="1"/>
    </xf>
    <xf numFmtId="1" fontId="0" fillId="2" borderId="0" xfId="0" applyNumberFormat="1" applyFill="1" applyAlignment="1">
      <alignment horizontal="left"/>
    </xf>
    <xf numFmtId="0" fontId="8" fillId="2" borderId="0" xfId="0" applyFont="1" applyFill="1" applyAlignment="1">
      <alignment vertical="top" wrapText="1"/>
    </xf>
    <xf numFmtId="0" fontId="8" fillId="2" borderId="21" xfId="0" applyFont="1" applyFill="1" applyBorder="1" applyAlignment="1">
      <alignment vertical="top" wrapText="1"/>
    </xf>
    <xf numFmtId="0" fontId="4" fillId="2" borderId="10" xfId="0" applyFont="1" applyFill="1" applyBorder="1" applyAlignment="1">
      <alignment vertical="top"/>
    </xf>
    <xf numFmtId="0" fontId="0" fillId="2" borderId="0" xfId="0" applyFill="1" applyAlignment="1">
      <alignment horizontal="left" vertical="top" wrapText="1"/>
    </xf>
    <xf numFmtId="0" fontId="8" fillId="2" borderId="3" xfId="0" applyFont="1" applyFill="1" applyBorder="1"/>
    <xf numFmtId="11" fontId="0" fillId="0" borderId="39" xfId="0" applyNumberFormat="1" applyBorder="1"/>
    <xf numFmtId="0" fontId="19" fillId="0" borderId="0" xfId="0" applyFont="1"/>
    <xf numFmtId="166" fontId="0" fillId="2" borderId="0" xfId="0" applyNumberFormat="1" applyFill="1" applyAlignment="1">
      <alignment horizontal="left"/>
    </xf>
    <xf numFmtId="0" fontId="4" fillId="2" borderId="1" xfId="0" applyFont="1" applyFill="1" applyBorder="1" applyAlignment="1">
      <alignment vertical="top"/>
    </xf>
    <xf numFmtId="0" fontId="21" fillId="2" borderId="6" xfId="0" applyFont="1" applyFill="1" applyBorder="1" applyAlignment="1">
      <alignment vertical="top"/>
    </xf>
    <xf numFmtId="0" fontId="21" fillId="2" borderId="4" xfId="0" applyFont="1" applyFill="1" applyBorder="1" applyAlignment="1">
      <alignment vertical="top"/>
    </xf>
    <xf numFmtId="0" fontId="21" fillId="2" borderId="4" xfId="0" applyFont="1" applyFill="1" applyBorder="1"/>
    <xf numFmtId="0" fontId="0" fillId="2" borderId="7" xfId="0" applyFill="1" applyBorder="1" applyAlignment="1">
      <alignment horizontal="left"/>
    </xf>
    <xf numFmtId="0" fontId="22" fillId="2" borderId="7" xfId="0" applyFont="1" applyFill="1" applyBorder="1"/>
    <xf numFmtId="3" fontId="8" fillId="0" borderId="0" xfId="1" applyNumberFormat="1" applyFont="1" applyFill="1" applyBorder="1"/>
    <xf numFmtId="3" fontId="0" fillId="2" borderId="18" xfId="1" applyNumberFormat="1" applyFont="1" applyFill="1" applyBorder="1"/>
    <xf numFmtId="3" fontId="0" fillId="2" borderId="26" xfId="1" applyNumberFormat="1" applyFont="1" applyFill="1" applyBorder="1"/>
    <xf numFmtId="3" fontId="0" fillId="2" borderId="9" xfId="1" applyNumberFormat="1" applyFont="1" applyFill="1" applyBorder="1"/>
    <xf numFmtId="3" fontId="0" fillId="2" borderId="0" xfId="1" applyNumberFormat="1" applyFont="1" applyFill="1" applyBorder="1"/>
    <xf numFmtId="3" fontId="0" fillId="0" borderId="0" xfId="0" applyNumberFormat="1" applyAlignment="1">
      <alignment vertical="top" wrapText="1"/>
    </xf>
    <xf numFmtId="3" fontId="0" fillId="0" borderId="14" xfId="0" applyNumberFormat="1" applyBorder="1" applyAlignment="1">
      <alignment vertical="top" wrapText="1"/>
    </xf>
    <xf numFmtId="3" fontId="4" fillId="0" borderId="0" xfId="0" applyNumberFormat="1" applyFont="1" applyAlignment="1">
      <alignment vertical="top" wrapText="1"/>
    </xf>
    <xf numFmtId="3" fontId="0" fillId="0" borderId="24" xfId="1" applyNumberFormat="1" applyFont="1" applyFill="1" applyBorder="1"/>
    <xf numFmtId="3" fontId="0" fillId="0" borderId="0" xfId="1" applyNumberFormat="1" applyFont="1" applyFill="1" applyBorder="1"/>
    <xf numFmtId="3" fontId="0" fillId="2" borderId="2" xfId="1" applyNumberFormat="1" applyFont="1" applyFill="1" applyBorder="1"/>
    <xf numFmtId="0" fontId="0" fillId="2" borderId="0" xfId="0" applyFill="1" applyAlignment="1">
      <alignment horizontal="left"/>
    </xf>
    <xf numFmtId="0" fontId="0" fillId="2" borderId="0" xfId="0" applyFill="1" applyAlignment="1">
      <alignment horizontal="center"/>
    </xf>
    <xf numFmtId="0" fontId="0" fillId="2" borderId="11" xfId="0" applyFill="1" applyBorder="1" applyAlignment="1">
      <alignment horizontal="left"/>
    </xf>
    <xf numFmtId="0" fontId="4" fillId="2" borderId="0" xfId="0" applyFont="1" applyFill="1" applyAlignment="1">
      <alignment horizontal="left"/>
    </xf>
    <xf numFmtId="0" fontId="0" fillId="2" borderId="18" xfId="0" applyFill="1" applyBorder="1" applyAlignment="1">
      <alignment horizontal="left"/>
    </xf>
    <xf numFmtId="0" fontId="7" fillId="2" borderId="0" xfId="0" applyFont="1" applyFill="1" applyAlignment="1">
      <alignment horizontal="left"/>
    </xf>
    <xf numFmtId="0" fontId="21" fillId="2" borderId="1" xfId="0" applyFont="1" applyFill="1" applyBorder="1"/>
    <xf numFmtId="0" fontId="21" fillId="2" borderId="3" xfId="0" applyFont="1" applyFill="1" applyBorder="1"/>
    <xf numFmtId="0" fontId="21" fillId="2" borderId="5" xfId="0" applyFont="1" applyFill="1" applyBorder="1"/>
    <xf numFmtId="0" fontId="23" fillId="2" borderId="6" xfId="0" applyFont="1" applyFill="1" applyBorder="1"/>
    <xf numFmtId="0" fontId="23" fillId="2" borderId="8" xfId="0" applyFont="1" applyFill="1" applyBorder="1"/>
    <xf numFmtId="1" fontId="21" fillId="2" borderId="5" xfId="0" applyNumberFormat="1" applyFont="1" applyFill="1" applyBorder="1"/>
    <xf numFmtId="0" fontId="21" fillId="2" borderId="4" xfId="0" applyFont="1" applyFill="1" applyBorder="1" applyAlignment="1">
      <alignment wrapText="1"/>
    </xf>
    <xf numFmtId="0" fontId="0" fillId="2" borderId="28" xfId="0" applyFill="1" applyBorder="1"/>
    <xf numFmtId="9" fontId="0" fillId="2" borderId="39" xfId="1" applyFont="1" applyFill="1" applyBorder="1"/>
    <xf numFmtId="0" fontId="24" fillId="0" borderId="0" xfId="0" applyFont="1"/>
    <xf numFmtId="9" fontId="4" fillId="2" borderId="19" xfId="1" applyFont="1" applyFill="1" applyBorder="1"/>
    <xf numFmtId="9" fontId="10" fillId="8" borderId="18" xfId="0" applyNumberFormat="1" applyFont="1" applyFill="1" applyBorder="1"/>
    <xf numFmtId="165" fontId="4" fillId="0" borderId="24" xfId="1" applyNumberFormat="1" applyFont="1" applyFill="1" applyBorder="1"/>
    <xf numFmtId="165" fontId="4" fillId="2" borderId="0" xfId="0" applyNumberFormat="1" applyFont="1" applyFill="1"/>
    <xf numFmtId="165" fontId="4" fillId="0" borderId="0" xfId="0" applyNumberFormat="1" applyFont="1"/>
    <xf numFmtId="165" fontId="15" fillId="0" borderId="14" xfId="1" applyNumberFormat="1" applyFont="1" applyFill="1" applyBorder="1"/>
    <xf numFmtId="165" fontId="4" fillId="2" borderId="14" xfId="1" applyNumberFormat="1" applyFont="1" applyFill="1" applyBorder="1"/>
    <xf numFmtId="165" fontId="0" fillId="2" borderId="2" xfId="1" applyNumberFormat="1" applyFont="1" applyFill="1" applyBorder="1"/>
    <xf numFmtId="165" fontId="4" fillId="2" borderId="44" xfId="1" applyNumberFormat="1" applyFont="1" applyFill="1" applyBorder="1"/>
    <xf numFmtId="165" fontId="15" fillId="2" borderId="14" xfId="1" applyNumberFormat="1" applyFont="1" applyFill="1" applyBorder="1"/>
    <xf numFmtId="165" fontId="15" fillId="2" borderId="19" xfId="1" applyNumberFormat="1" applyFont="1" applyFill="1" applyBorder="1"/>
    <xf numFmtId="165" fontId="4" fillId="0" borderId="14" xfId="1" applyNumberFormat="1" applyFont="1" applyFill="1" applyBorder="1"/>
    <xf numFmtId="0" fontId="0" fillId="0" borderId="25" xfId="0" applyBorder="1" applyAlignment="1">
      <alignment wrapText="1"/>
    </xf>
    <xf numFmtId="3" fontId="0" fillId="0" borderId="0" xfId="0" applyNumberFormat="1"/>
    <xf numFmtId="0" fontId="7" fillId="2" borderId="0" xfId="0" applyFont="1" applyFill="1" applyAlignment="1">
      <alignment horizontal="left" indent="1"/>
    </xf>
    <xf numFmtId="0" fontId="25" fillId="2" borderId="1" xfId="0" applyFont="1" applyFill="1" applyBorder="1"/>
    <xf numFmtId="0" fontId="8" fillId="2" borderId="4" xfId="0" applyFont="1" applyFill="1" applyBorder="1"/>
    <xf numFmtId="0" fontId="8" fillId="2" borderId="5" xfId="0" applyFont="1" applyFill="1" applyBorder="1"/>
    <xf numFmtId="0" fontId="8" fillId="2" borderId="6" xfId="0" applyFont="1" applyFill="1" applyBorder="1"/>
    <xf numFmtId="3" fontId="8" fillId="2" borderId="8" xfId="0" applyNumberFormat="1" applyFont="1" applyFill="1" applyBorder="1"/>
    <xf numFmtId="0" fontId="0" fillId="2" borderId="49" xfId="0" applyFill="1" applyBorder="1"/>
    <xf numFmtId="0" fontId="4" fillId="0" borderId="29" xfId="0" applyFont="1" applyBorder="1" applyAlignment="1">
      <alignment vertical="top" wrapText="1"/>
    </xf>
    <xf numFmtId="0" fontId="4" fillId="2" borderId="37" xfId="0" applyFont="1" applyFill="1" applyBorder="1" applyAlignment="1">
      <alignment vertical="top" wrapText="1"/>
    </xf>
    <xf numFmtId="3" fontId="26" fillId="0" borderId="37" xfId="0" applyNumberFormat="1" applyFont="1" applyBorder="1" applyAlignment="1">
      <alignment vertical="top"/>
    </xf>
    <xf numFmtId="3" fontId="8" fillId="0" borderId="14" xfId="0" applyNumberFormat="1" applyFont="1" applyBorder="1" applyAlignment="1">
      <alignment vertical="top"/>
    </xf>
    <xf numFmtId="1" fontId="8" fillId="2" borderId="0" xfId="0" applyNumberFormat="1" applyFont="1" applyFill="1"/>
    <xf numFmtId="0" fontId="26" fillId="2" borderId="19" xfId="0" applyFont="1" applyFill="1" applyBorder="1" applyAlignment="1">
      <alignment horizontal="right"/>
    </xf>
    <xf numFmtId="0" fontId="25" fillId="2" borderId="42" xfId="0" applyFont="1" applyFill="1" applyBorder="1" applyAlignment="1">
      <alignment horizontal="right"/>
    </xf>
    <xf numFmtId="0" fontId="4" fillId="2" borderId="11" xfId="0" applyFont="1" applyFill="1" applyBorder="1" applyAlignment="1">
      <alignment vertical="top"/>
    </xf>
    <xf numFmtId="0" fontId="15" fillId="8" borderId="0" xfId="0" applyFont="1" applyFill="1"/>
    <xf numFmtId="0" fontId="10" fillId="8" borderId="2" xfId="0" applyFont="1" applyFill="1" applyBorder="1"/>
    <xf numFmtId="0" fontId="10" fillId="3" borderId="0" xfId="0" applyFont="1" applyFill="1"/>
    <xf numFmtId="0" fontId="27" fillId="8" borderId="20" xfId="0" applyFont="1" applyFill="1" applyBorder="1"/>
    <xf numFmtId="0" fontId="27" fillId="8" borderId="13" xfId="0" applyFont="1" applyFill="1" applyBorder="1"/>
    <xf numFmtId="0" fontId="27" fillId="3" borderId="13" xfId="0" applyFont="1" applyFill="1" applyBorder="1"/>
    <xf numFmtId="0" fontId="27" fillId="8" borderId="17" xfId="0" applyFont="1" applyFill="1" applyBorder="1"/>
    <xf numFmtId="0" fontId="4" fillId="2" borderId="28" xfId="0" applyFont="1" applyFill="1" applyBorder="1" applyAlignment="1">
      <alignment vertical="top"/>
    </xf>
    <xf numFmtId="167" fontId="0" fillId="0" borderId="0" xfId="0" applyNumberFormat="1"/>
    <xf numFmtId="165" fontId="15" fillId="8" borderId="0" xfId="0" applyNumberFormat="1" applyFont="1" applyFill="1"/>
    <xf numFmtId="0" fontId="10" fillId="8" borderId="14" xfId="0" applyFont="1" applyFill="1" applyBorder="1"/>
    <xf numFmtId="2" fontId="10" fillId="0" borderId="0" xfId="0" applyNumberFormat="1" applyFont="1"/>
    <xf numFmtId="165" fontId="15" fillId="0" borderId="0" xfId="1" applyNumberFormat="1" applyFont="1" applyBorder="1"/>
    <xf numFmtId="0" fontId="10" fillId="8" borderId="7" xfId="0" applyFont="1" applyFill="1" applyBorder="1"/>
    <xf numFmtId="165" fontId="10" fillId="8" borderId="7" xfId="0" applyNumberFormat="1" applyFont="1" applyFill="1" applyBorder="1"/>
    <xf numFmtId="165" fontId="15" fillId="8" borderId="7" xfId="0" applyNumberFormat="1" applyFont="1" applyFill="1" applyBorder="1"/>
    <xf numFmtId="0" fontId="10" fillId="8" borderId="16" xfId="0" applyFont="1" applyFill="1" applyBorder="1"/>
    <xf numFmtId="165" fontId="0" fillId="2" borderId="7" xfId="0" applyNumberFormat="1" applyFill="1" applyBorder="1"/>
    <xf numFmtId="165" fontId="4" fillId="2" borderId="7" xfId="0" applyNumberFormat="1" applyFont="1" applyFill="1" applyBorder="1"/>
    <xf numFmtId="0" fontId="0" fillId="2" borderId="16" xfId="0" applyFill="1" applyBorder="1"/>
    <xf numFmtId="0" fontId="27" fillId="8" borderId="15" xfId="0" applyFont="1" applyFill="1" applyBorder="1"/>
    <xf numFmtId="165" fontId="10" fillId="0" borderId="0" xfId="0" applyNumberFormat="1" applyFont="1"/>
    <xf numFmtId="0" fontId="4" fillId="2" borderId="0" xfId="0" applyFont="1" applyFill="1" applyAlignment="1">
      <alignment wrapText="1"/>
    </xf>
    <xf numFmtId="165" fontId="0" fillId="0" borderId="2" xfId="0" applyNumberFormat="1" applyBorder="1"/>
    <xf numFmtId="0" fontId="0" fillId="5" borderId="25" xfId="0" applyFill="1" applyBorder="1"/>
    <xf numFmtId="0" fontId="9" fillId="2" borderId="17" xfId="0" applyFont="1" applyFill="1" applyBorder="1"/>
    <xf numFmtId="0" fontId="9" fillId="2" borderId="10" xfId="0" applyFont="1" applyFill="1" applyBorder="1"/>
    <xf numFmtId="0" fontId="0" fillId="2" borderId="1" xfId="0" applyFill="1" applyBorder="1"/>
    <xf numFmtId="166" fontId="10" fillId="0" borderId="4" xfId="0" applyNumberFormat="1" applyFont="1" applyBorder="1" applyAlignment="1">
      <alignment horizontal="left" vertical="top"/>
    </xf>
    <xf numFmtId="166" fontId="0" fillId="0" borderId="4" xfId="0" applyNumberFormat="1" applyBorder="1" applyAlignment="1">
      <alignment horizontal="left" vertical="top"/>
    </xf>
    <xf numFmtId="166" fontId="0" fillId="0" borderId="6" xfId="0" applyNumberFormat="1" applyBorder="1" applyAlignment="1">
      <alignment horizontal="left" vertical="top"/>
    </xf>
    <xf numFmtId="2" fontId="0" fillId="0" borderId="5" xfId="0" applyNumberFormat="1" applyBorder="1" applyAlignment="1">
      <alignment vertical="top"/>
    </xf>
    <xf numFmtId="0" fontId="0" fillId="0" borderId="5" xfId="0" applyBorder="1" applyAlignment="1">
      <alignment vertical="top"/>
    </xf>
    <xf numFmtId="0" fontId="0" fillId="0" borderId="8" xfId="0" applyBorder="1" applyAlignment="1">
      <alignment vertical="top"/>
    </xf>
    <xf numFmtId="0" fontId="28" fillId="0" borderId="0" xfId="0" applyFont="1"/>
    <xf numFmtId="2" fontId="0" fillId="2" borderId="0" xfId="1" applyNumberFormat="1" applyFont="1" applyFill="1" applyBorder="1"/>
    <xf numFmtId="0" fontId="0" fillId="2" borderId="24" xfId="0" applyFill="1" applyBorder="1" applyAlignment="1">
      <alignment wrapText="1"/>
    </xf>
    <xf numFmtId="165" fontId="8" fillId="2" borderId="23" xfId="0" applyNumberFormat="1" applyFont="1" applyFill="1" applyBorder="1"/>
    <xf numFmtId="0" fontId="4" fillId="0" borderId="21" xfId="0" applyFont="1" applyBorder="1"/>
    <xf numFmtId="0" fontId="4" fillId="2" borderId="7" xfId="0" applyFont="1" applyFill="1" applyBorder="1"/>
    <xf numFmtId="0" fontId="4" fillId="2" borderId="7" xfId="0" applyFont="1" applyFill="1" applyBorder="1" applyAlignment="1">
      <alignment horizontal="left"/>
    </xf>
    <xf numFmtId="0" fontId="4" fillId="2" borderId="8" xfId="0" applyFont="1" applyFill="1" applyBorder="1"/>
    <xf numFmtId="0" fontId="8" fillId="2" borderId="33" xfId="0" quotePrefix="1" applyFont="1" applyFill="1" applyBorder="1"/>
    <xf numFmtId="0" fontId="8" fillId="2" borderId="33" xfId="0" applyFont="1" applyFill="1" applyBorder="1"/>
    <xf numFmtId="0" fontId="8" fillId="2" borderId="7" xfId="0" applyFont="1" applyFill="1" applyBorder="1" applyAlignment="1">
      <alignment horizontal="left"/>
    </xf>
    <xf numFmtId="0" fontId="4" fillId="2" borderId="51" xfId="0" applyFont="1" applyFill="1" applyBorder="1"/>
    <xf numFmtId="0" fontId="0" fillId="2" borderId="33" xfId="0" applyFill="1" applyBorder="1"/>
    <xf numFmtId="0" fontId="14" fillId="2" borderId="53" xfId="0" quotePrefix="1" applyFont="1" applyFill="1" applyBorder="1"/>
    <xf numFmtId="0" fontId="8" fillId="2" borderId="54" xfId="0" applyFont="1" applyFill="1" applyBorder="1"/>
    <xf numFmtId="0" fontId="0" fillId="2" borderId="43" xfId="0" applyFill="1" applyBorder="1"/>
    <xf numFmtId="0" fontId="4" fillId="2" borderId="13" xfId="0" applyFont="1" applyFill="1" applyBorder="1" applyAlignment="1">
      <alignment wrapText="1"/>
    </xf>
    <xf numFmtId="0" fontId="8" fillId="2" borderId="3" xfId="0" applyFont="1" applyFill="1" applyBorder="1" applyAlignment="1">
      <alignment horizontal="left"/>
    </xf>
    <xf numFmtId="0" fontId="8" fillId="8" borderId="6" xfId="0" applyFont="1" applyFill="1" applyBorder="1" applyAlignment="1">
      <alignment horizontal="left"/>
    </xf>
    <xf numFmtId="0" fontId="14" fillId="2" borderId="4" xfId="0" applyFont="1" applyFill="1" applyBorder="1" applyAlignment="1">
      <alignment vertical="center" wrapText="1"/>
    </xf>
    <xf numFmtId="0" fontId="14" fillId="2" borderId="0" xfId="0" applyFont="1" applyFill="1" applyAlignment="1">
      <alignment vertical="center" wrapText="1"/>
    </xf>
    <xf numFmtId="2" fontId="14" fillId="2" borderId="14" xfId="0" applyNumberFormat="1" applyFont="1" applyFill="1" applyBorder="1" applyAlignment="1">
      <alignment vertical="center" wrapText="1"/>
    </xf>
    <xf numFmtId="0" fontId="0" fillId="2" borderId="4" xfId="0" applyFill="1" applyBorder="1" applyAlignment="1">
      <alignment horizontal="left"/>
    </xf>
    <xf numFmtId="0" fontId="4" fillId="2" borderId="4" xfId="0" applyFont="1" applyFill="1" applyBorder="1" applyAlignment="1">
      <alignment vertical="top" wrapText="1"/>
    </xf>
    <xf numFmtId="0" fontId="0" fillId="0" borderId="4" xfId="0" applyBorder="1"/>
    <xf numFmtId="0" fontId="0" fillId="2" borderId="48" xfId="0" applyFill="1" applyBorder="1"/>
    <xf numFmtId="0" fontId="8" fillId="8" borderId="1" xfId="0" applyFont="1" applyFill="1" applyBorder="1" applyAlignment="1">
      <alignment horizontal="left"/>
    </xf>
    <xf numFmtId="0" fontId="26" fillId="2" borderId="4" xfId="0" applyFont="1" applyFill="1" applyBorder="1" applyAlignment="1">
      <alignment vertical="top" wrapText="1"/>
    </xf>
    <xf numFmtId="2" fontId="8" fillId="2" borderId="14" xfId="0" applyNumberFormat="1" applyFont="1" applyFill="1" applyBorder="1"/>
    <xf numFmtId="2" fontId="8" fillId="2" borderId="0" xfId="0" applyNumberFormat="1" applyFont="1" applyFill="1"/>
    <xf numFmtId="0" fontId="8" fillId="2" borderId="48" xfId="0" applyFont="1" applyFill="1" applyBorder="1"/>
    <xf numFmtId="0" fontId="8" fillId="2" borderId="18" xfId="0" applyFont="1" applyFill="1" applyBorder="1"/>
    <xf numFmtId="2" fontId="8" fillId="2" borderId="19" xfId="1" applyNumberFormat="1" applyFont="1" applyFill="1" applyBorder="1"/>
    <xf numFmtId="0" fontId="29" fillId="2" borderId="0" xfId="0" applyFont="1" applyFill="1"/>
    <xf numFmtId="164" fontId="0" fillId="0" borderId="0" xfId="0" applyNumberFormat="1"/>
    <xf numFmtId="164" fontId="0" fillId="2" borderId="0" xfId="0" applyNumberFormat="1" applyFill="1"/>
    <xf numFmtId="164" fontId="0" fillId="2" borderId="2" xfId="0" applyNumberFormat="1" applyFill="1" applyBorder="1"/>
    <xf numFmtId="164" fontId="0" fillId="2" borderId="7" xfId="0" applyNumberFormat="1" applyFill="1" applyBorder="1"/>
    <xf numFmtId="2" fontId="14" fillId="2" borderId="14" xfId="1" applyNumberFormat="1" applyFont="1" applyFill="1" applyBorder="1"/>
    <xf numFmtId="2" fontId="8" fillId="2" borderId="2" xfId="0" applyNumberFormat="1" applyFont="1" applyFill="1" applyBorder="1"/>
    <xf numFmtId="2" fontId="14" fillId="2" borderId="44" xfId="1" applyNumberFormat="1" applyFont="1" applyFill="1" applyBorder="1"/>
    <xf numFmtId="2" fontId="8" fillId="2" borderId="7" xfId="0" applyNumberFormat="1" applyFont="1" applyFill="1" applyBorder="1"/>
    <xf numFmtId="2" fontId="14" fillId="2" borderId="16" xfId="1" applyNumberFormat="1" applyFont="1" applyFill="1" applyBorder="1"/>
    <xf numFmtId="165" fontId="8" fillId="2" borderId="4" xfId="1" applyNumberFormat="1" applyFont="1" applyFill="1" applyBorder="1"/>
    <xf numFmtId="165" fontId="8" fillId="2" borderId="1" xfId="1" applyNumberFormat="1" applyFont="1" applyFill="1" applyBorder="1"/>
    <xf numFmtId="165" fontId="8" fillId="2" borderId="6" xfId="1" applyNumberFormat="1" applyFont="1" applyFill="1" applyBorder="1"/>
    <xf numFmtId="166" fontId="10" fillId="0" borderId="4" xfId="0" applyNumberFormat="1" applyFont="1" applyBorder="1" applyAlignment="1">
      <alignment horizontal="left" vertical="center"/>
    </xf>
    <xf numFmtId="0" fontId="10" fillId="0" borderId="0" xfId="0" applyFont="1" applyAlignment="1">
      <alignment wrapText="1"/>
    </xf>
    <xf numFmtId="0" fontId="4" fillId="0" borderId="4" xfId="0" applyFont="1" applyBorder="1"/>
    <xf numFmtId="0" fontId="0" fillId="10" borderId="45" xfId="0" applyFill="1" applyBorder="1" applyAlignment="1">
      <alignment horizontal="center"/>
    </xf>
    <xf numFmtId="3" fontId="0" fillId="2" borderId="45" xfId="0" applyNumberFormat="1" applyFill="1" applyBorder="1"/>
    <xf numFmtId="3" fontId="0" fillId="2" borderId="23" xfId="0" applyNumberFormat="1" applyFill="1" applyBorder="1"/>
    <xf numFmtId="3" fontId="1" fillId="2" borderId="0" xfId="1" applyNumberFormat="1" applyFont="1" applyFill="1" applyBorder="1"/>
    <xf numFmtId="3" fontId="8" fillId="2" borderId="0" xfId="1" applyNumberFormat="1" applyFont="1" applyFill="1" applyBorder="1"/>
    <xf numFmtId="0" fontId="0" fillId="2" borderId="0" xfId="0" applyFill="1" applyAlignment="1">
      <alignment horizontal="left" indent="2"/>
    </xf>
    <xf numFmtId="9" fontId="0" fillId="10" borderId="23" xfId="1" applyFont="1" applyFill="1" applyBorder="1" applyAlignment="1">
      <alignment horizontal="center"/>
    </xf>
    <xf numFmtId="0" fontId="0" fillId="10" borderId="23" xfId="0" applyFill="1" applyBorder="1" applyAlignment="1">
      <alignment horizontal="center"/>
    </xf>
    <xf numFmtId="0" fontId="0" fillId="2" borderId="22" xfId="0" applyFill="1" applyBorder="1" applyAlignment="1">
      <alignment wrapText="1"/>
    </xf>
    <xf numFmtId="3" fontId="0" fillId="0" borderId="0" xfId="0" applyNumberFormat="1" applyAlignment="1">
      <alignment horizontal="right"/>
    </xf>
    <xf numFmtId="3" fontId="0" fillId="0" borderId="14" xfId="0" applyNumberFormat="1" applyBorder="1"/>
    <xf numFmtId="3" fontId="0" fillId="2" borderId="0" xfId="0" applyNumberFormat="1" applyFill="1"/>
    <xf numFmtId="3" fontId="0" fillId="2" borderId="14" xfId="0" applyNumberFormat="1" applyFill="1" applyBorder="1"/>
    <xf numFmtId="3" fontId="0" fillId="2" borderId="2" xfId="0" applyNumberFormat="1" applyFill="1" applyBorder="1"/>
    <xf numFmtId="3" fontId="0" fillId="2" borderId="44" xfId="0" applyNumberFormat="1" applyFill="1" applyBorder="1"/>
    <xf numFmtId="3" fontId="0" fillId="2" borderId="7" xfId="0" applyNumberFormat="1" applyFill="1" applyBorder="1"/>
    <xf numFmtId="3" fontId="0" fillId="2" borderId="16" xfId="0" applyNumberFormat="1" applyFill="1" applyBorder="1"/>
    <xf numFmtId="3" fontId="0" fillId="0" borderId="14" xfId="0" applyNumberFormat="1" applyBorder="1" applyAlignment="1">
      <alignment horizontal="right"/>
    </xf>
    <xf numFmtId="3" fontId="4" fillId="2" borderId="18" xfId="0" applyNumberFormat="1" applyFont="1" applyFill="1" applyBorder="1"/>
    <xf numFmtId="3" fontId="4" fillId="2" borderId="19" xfId="0" applyNumberFormat="1" applyFont="1" applyFill="1" applyBorder="1"/>
    <xf numFmtId="49" fontId="0" fillId="2" borderId="0" xfId="0" applyNumberFormat="1" applyFill="1" applyAlignment="1">
      <alignment wrapText="1"/>
    </xf>
    <xf numFmtId="0" fontId="0" fillId="2" borderId="20" xfId="0" applyFill="1" applyBorder="1"/>
    <xf numFmtId="3" fontId="0" fillId="2" borderId="0" xfId="0" applyNumberFormat="1" applyFill="1" applyAlignment="1">
      <alignment vertical="top" wrapText="1"/>
    </xf>
    <xf numFmtId="3" fontId="0" fillId="2" borderId="14" xfId="0" applyNumberFormat="1" applyFill="1" applyBorder="1" applyAlignment="1">
      <alignment vertical="top" wrapText="1"/>
    </xf>
    <xf numFmtId="3" fontId="0" fillId="14" borderId="23" xfId="0" applyNumberFormat="1" applyFill="1" applyBorder="1" applyAlignment="1">
      <alignment horizontal="center"/>
    </xf>
    <xf numFmtId="9" fontId="0" fillId="15" borderId="5" xfId="0" applyNumberFormat="1" applyFill="1" applyBorder="1"/>
    <xf numFmtId="3" fontId="0" fillId="15" borderId="0" xfId="0" applyNumberFormat="1" applyFill="1"/>
    <xf numFmtId="3" fontId="0" fillId="15" borderId="14" xfId="0" applyNumberFormat="1" applyFill="1" applyBorder="1"/>
    <xf numFmtId="3" fontId="0" fillId="0" borderId="0" xfId="0" applyNumberFormat="1" applyAlignment="1">
      <alignment horizontal="center"/>
    </xf>
    <xf numFmtId="3" fontId="0" fillId="0" borderId="14" xfId="0" applyNumberFormat="1" applyBorder="1" applyAlignment="1">
      <alignment horizontal="center"/>
    </xf>
    <xf numFmtId="0" fontId="4" fillId="0" borderId="0" xfId="1"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14" xfId="0" applyFont="1" applyBorder="1" applyAlignment="1">
      <alignment horizontal="center" wrapText="1"/>
    </xf>
  </cellXfs>
  <cellStyles count="13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Normal" xfId="0" builtinId="0"/>
    <cellStyle name="Per cent" xfId="1" builtinId="5"/>
  </cellStyles>
  <dxfs count="1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9C0006"/>
      </font>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12700</xdr:colOff>
      <xdr:row>7</xdr:row>
      <xdr:rowOff>0</xdr:rowOff>
    </xdr:from>
    <xdr:to>
      <xdr:col>75</xdr:col>
      <xdr:colOff>0</xdr:colOff>
      <xdr:row>47</xdr:row>
      <xdr:rowOff>127000</xdr:rowOff>
    </xdr:to>
    <xdr:sp macro="" textlink="">
      <xdr:nvSpPr>
        <xdr:cNvPr id="52" name="L-Shape 51">
          <a:extLst>
            <a:ext uri="{FF2B5EF4-FFF2-40B4-BE49-F238E27FC236}">
              <a16:creationId xmlns:a16="http://schemas.microsoft.com/office/drawing/2014/main" id="{00000000-0008-0000-0400-000034000000}"/>
            </a:ext>
          </a:extLst>
        </xdr:cNvPr>
        <xdr:cNvSpPr/>
      </xdr:nvSpPr>
      <xdr:spPr>
        <a:xfrm>
          <a:off x="2171700" y="1663700"/>
          <a:ext cx="14020800" cy="7747000"/>
        </a:xfrm>
        <a:prstGeom prst="corner">
          <a:avLst>
            <a:gd name="adj1" fmla="val 9569"/>
            <a:gd name="adj2" fmla="val 25924"/>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67</xdr:col>
      <xdr:colOff>0</xdr:colOff>
      <xdr:row>7</xdr:row>
      <xdr:rowOff>0</xdr:rowOff>
    </xdr:from>
    <xdr:to>
      <xdr:col>75</xdr:col>
      <xdr:colOff>0</xdr:colOff>
      <xdr:row>42</xdr:row>
      <xdr:rowOff>114300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465300" y="1816100"/>
          <a:ext cx="1727200" cy="67818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7</xdr:row>
      <xdr:rowOff>0</xdr:rowOff>
    </xdr:from>
    <xdr:to>
      <xdr:col>65</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533900" y="1816100"/>
          <a:ext cx="9512300" cy="6845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10</xdr:col>
      <xdr:colOff>152400</xdr:colOff>
      <xdr:row>21</xdr:row>
      <xdr:rowOff>0</xdr:rowOff>
    </xdr:from>
    <xdr:to>
      <xdr:col>18</xdr:col>
      <xdr:colOff>152400</xdr:colOff>
      <xdr:row>42</xdr:row>
      <xdr:rowOff>114300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11400" y="4330700"/>
          <a:ext cx="1727200" cy="41148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114300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4991100"/>
          <a:ext cx="1727200" cy="44069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12700</xdr:rowOff>
    </xdr:from>
    <xdr:to>
      <xdr:col>9</xdr:col>
      <xdr:colOff>0</xdr:colOff>
      <xdr:row>23</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6764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14</xdr:row>
      <xdr:rowOff>50800</xdr:rowOff>
    </xdr:from>
    <xdr:to>
      <xdr:col>8</xdr:col>
      <xdr:colOff>0</xdr:colOff>
      <xdr:row>17</xdr:row>
      <xdr:rowOff>50800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3200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12700</xdr:colOff>
      <xdr:row>7</xdr:row>
      <xdr:rowOff>0</xdr:rowOff>
    </xdr:from>
    <xdr:to>
      <xdr:col>85</xdr:col>
      <xdr:colOff>12700</xdr:colOff>
      <xdr:row>47</xdr:row>
      <xdr:rowOff>139700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37000" y="1663700"/>
          <a:ext cx="1727200" cy="77597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p>
      </xdr:txBody>
    </xdr:sp>
    <xdr:clientData/>
  </xdr:twoCellAnchor>
  <xdr:twoCellAnchor>
    <xdr:from>
      <xdr:col>20</xdr:col>
      <xdr:colOff>0</xdr:colOff>
      <xdr:row>7</xdr:row>
      <xdr:rowOff>0</xdr:rowOff>
    </xdr:from>
    <xdr:to>
      <xdr:col>20</xdr:col>
      <xdr:colOff>12700</xdr:colOff>
      <xdr:row>42</xdr:row>
      <xdr:rowOff>177800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318000" y="18161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101600</xdr:colOff>
      <xdr:row>27</xdr:row>
      <xdr:rowOff>76200</xdr:rowOff>
    </xdr:from>
    <xdr:to>
      <xdr:col>17</xdr:col>
      <xdr:colOff>101600</xdr:colOff>
      <xdr:row>32</xdr:row>
      <xdr:rowOff>50800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476500" y="55499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t"/>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66</xdr:col>
      <xdr:colOff>0</xdr:colOff>
      <xdr:row>7</xdr:row>
      <xdr:rowOff>0</xdr:rowOff>
    </xdr:from>
    <xdr:to>
      <xdr:col>66</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12700</xdr:colOff>
      <xdr:row>29</xdr:row>
      <xdr:rowOff>158750</xdr:rowOff>
    </xdr:from>
    <xdr:to>
      <xdr:col>11</xdr:col>
      <xdr:colOff>101600</xdr:colOff>
      <xdr:row>33</xdr:row>
      <xdr:rowOff>120650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9" idx="3"/>
          <a:endCxn id="10" idx="1"/>
        </xdr:cNvCxnSpPr>
      </xdr:nvCxnSpPr>
      <xdr:spPr>
        <a:xfrm flipV="1">
          <a:off x="1739900" y="6013450"/>
          <a:ext cx="736600" cy="7239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25400</xdr:colOff>
      <xdr:row>34</xdr:row>
      <xdr:rowOff>152400</xdr:rowOff>
    </xdr:from>
    <xdr:to>
      <xdr:col>74</xdr:col>
      <xdr:colOff>25400</xdr:colOff>
      <xdr:row>38</xdr:row>
      <xdr:rowOff>152400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7066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a:t>
          </a:r>
          <a:endParaRPr lang="en-US" baseline="0"/>
        </a:p>
      </xdr:txBody>
    </xdr:sp>
    <xdr:clientData/>
  </xdr:twoCellAnchor>
  <xdr:twoCellAnchor>
    <xdr:from>
      <xdr:col>74</xdr:col>
      <xdr:colOff>25400</xdr:colOff>
      <xdr:row>36</xdr:row>
      <xdr:rowOff>152400</xdr:rowOff>
    </xdr:from>
    <xdr:to>
      <xdr:col>78</xdr:col>
      <xdr:colOff>0</xdr:colOff>
      <xdr:row>36</xdr:row>
      <xdr:rowOff>152400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a:off x="16002000" y="7340600"/>
          <a:ext cx="838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71</xdr:col>
      <xdr:colOff>0</xdr:colOff>
      <xdr:row>42</xdr:row>
      <xdr:rowOff>114300</xdr:rowOff>
    </xdr:from>
    <xdr:to>
      <xdr:col>71</xdr:col>
      <xdr:colOff>12700</xdr:colOff>
      <xdr:row>44</xdr:row>
      <xdr:rowOff>63500</xdr:rowOff>
    </xdr:to>
    <xdr:cxnSp macro="">
      <xdr:nvCxnSpPr>
        <xdr:cNvPr id="17" name="Elbow Connector 195">
          <a:extLst>
            <a:ext uri="{FF2B5EF4-FFF2-40B4-BE49-F238E27FC236}">
              <a16:creationId xmlns:a16="http://schemas.microsoft.com/office/drawing/2014/main" id="{00000000-0008-0000-0400-000011000000}"/>
            </a:ext>
          </a:extLst>
        </xdr:cNvPr>
        <xdr:cNvCxnSpPr>
          <a:stCxn id="2" idx="2"/>
        </xdr:cNvCxnSpPr>
      </xdr:nvCxnSpPr>
      <xdr:spPr>
        <a:xfrm>
          <a:off x="15328900" y="8445500"/>
          <a:ext cx="12700" cy="330200"/>
        </a:xfrm>
        <a:prstGeom prst="straightConnector1">
          <a:avLst/>
        </a:prstGeom>
        <a:ln w="19050" cmpd="sng">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7</xdr:row>
      <xdr:rowOff>0</xdr:rowOff>
    </xdr:from>
    <xdr:to>
      <xdr:col>86</xdr:col>
      <xdr:colOff>0</xdr:colOff>
      <xdr:row>42</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8567400" y="1816100"/>
          <a:ext cx="0" cy="67691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35</xdr:row>
      <xdr:rowOff>63500</xdr:rowOff>
    </xdr:from>
    <xdr:to>
      <xdr:col>17</xdr:col>
      <xdr:colOff>152400</xdr:colOff>
      <xdr:row>38</xdr:row>
      <xdr:rowOff>63500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27300" y="706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8</xdr:col>
      <xdr:colOff>12700</xdr:colOff>
      <xdr:row>33</xdr:row>
      <xdr:rowOff>120650</xdr:rowOff>
    </xdr:from>
    <xdr:to>
      <xdr:col>11</xdr:col>
      <xdr:colOff>152400</xdr:colOff>
      <xdr:row>36</xdr:row>
      <xdr:rowOff>158750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9" idx="3"/>
          <a:endCxn id="19" idx="1"/>
        </xdr:cNvCxnSpPr>
      </xdr:nvCxnSpPr>
      <xdr:spPr>
        <a:xfrm>
          <a:off x="1739900" y="6737350"/>
          <a:ext cx="787400" cy="6096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17</xdr:col>
      <xdr:colOff>152400</xdr:colOff>
      <xdr:row>36</xdr:row>
      <xdr:rowOff>146050</xdr:rowOff>
    </xdr:from>
    <xdr:to>
      <xdr:col>42</xdr:col>
      <xdr:colOff>101600</xdr:colOff>
      <xdr:row>36</xdr:row>
      <xdr:rowOff>158750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22700" y="7334250"/>
          <a:ext cx="53467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63500</xdr:colOff>
      <xdr:row>28</xdr:row>
      <xdr:rowOff>50800</xdr:rowOff>
    </xdr:from>
    <xdr:to>
      <xdr:col>74</xdr:col>
      <xdr:colOff>63500</xdr:colOff>
      <xdr:row>31</xdr:row>
      <xdr:rowOff>50800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744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p>
      </xdr:txBody>
    </xdr:sp>
    <xdr:clientData/>
  </xdr:twoCellAnchor>
  <xdr:twoCellAnchor>
    <xdr:from>
      <xdr:col>8</xdr:col>
      <xdr:colOff>0</xdr:colOff>
      <xdr:row>15</xdr:row>
      <xdr:rowOff>146050</xdr:rowOff>
    </xdr:from>
    <xdr:to>
      <xdr:col>29</xdr:col>
      <xdr:colOff>76200</xdr:colOff>
      <xdr:row>15</xdr:row>
      <xdr:rowOff>158750</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3333750"/>
          <a:ext cx="46101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34</xdr:row>
      <xdr:rowOff>152400</xdr:rowOff>
    </xdr:from>
    <xdr:to>
      <xdr:col>84</xdr:col>
      <xdr:colOff>0</xdr:colOff>
      <xdr:row>38</xdr:row>
      <xdr:rowOff>152400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74</xdr:col>
      <xdr:colOff>63500</xdr:colOff>
      <xdr:row>29</xdr:row>
      <xdr:rowOff>146050</xdr:rowOff>
    </xdr:from>
    <xdr:to>
      <xdr:col>78</xdr:col>
      <xdr:colOff>63500</xdr:colOff>
      <xdr:row>29</xdr:row>
      <xdr:rowOff>146050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a:off x="16040100" y="60007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63500</xdr:colOff>
      <xdr:row>28</xdr:row>
      <xdr:rowOff>50800</xdr:rowOff>
    </xdr:from>
    <xdr:to>
      <xdr:col>84</xdr:col>
      <xdr:colOff>63500</xdr:colOff>
      <xdr:row>31</xdr:row>
      <xdr:rowOff>50800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903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2</xdr:col>
      <xdr:colOff>0</xdr:colOff>
      <xdr:row>10</xdr:row>
      <xdr:rowOff>50800</xdr:rowOff>
    </xdr:from>
    <xdr:to>
      <xdr:col>8</xdr:col>
      <xdr:colOff>0</xdr:colOff>
      <xdr:row>13</xdr:row>
      <xdr:rowOff>50800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2438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11</xdr:row>
      <xdr:rowOff>146050</xdr:rowOff>
    </xdr:from>
    <xdr:to>
      <xdr:col>45</xdr:col>
      <xdr:colOff>101600</xdr:colOff>
      <xdr:row>35</xdr:row>
      <xdr:rowOff>50800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48" idx="0"/>
        </xdr:cNvCxnSpPr>
      </xdr:nvCxnSpPr>
      <xdr:spPr>
        <a:xfrm>
          <a:off x="1727200" y="2571750"/>
          <a:ext cx="8089900" cy="447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55</xdr:col>
      <xdr:colOff>114300</xdr:colOff>
      <xdr:row>26</xdr:row>
      <xdr:rowOff>165100</xdr:rowOff>
    </xdr:from>
    <xdr:to>
      <xdr:col>61</xdr:col>
      <xdr:colOff>114300</xdr:colOff>
      <xdr:row>32</xdr:row>
      <xdr:rowOff>114300</xdr:rowOff>
    </xdr:to>
    <xdr:sp macro="" textlink="">
      <xdr:nvSpPr>
        <xdr:cNvPr id="35" name="Rectangle 34">
          <a:extLst>
            <a:ext uri="{FF2B5EF4-FFF2-40B4-BE49-F238E27FC236}">
              <a16:creationId xmlns:a16="http://schemas.microsoft.com/office/drawing/2014/main" id="{00000000-0008-0000-0400-000023000000}"/>
            </a:ext>
          </a:extLst>
        </xdr:cNvPr>
        <xdr:cNvSpPr/>
      </xdr:nvSpPr>
      <xdr:spPr>
        <a:xfrm>
          <a:off x="11988800" y="5448300"/>
          <a:ext cx="1295400" cy="1092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per energy carrier</a:t>
          </a:r>
        </a:p>
      </xdr:txBody>
    </xdr:sp>
    <xdr:clientData/>
  </xdr:twoCellAnchor>
  <xdr:twoCellAnchor>
    <xdr:from>
      <xdr:col>48</xdr:col>
      <xdr:colOff>101600</xdr:colOff>
      <xdr:row>36</xdr:row>
      <xdr:rowOff>146050</xdr:rowOff>
    </xdr:from>
    <xdr:to>
      <xdr:col>68</xdr:col>
      <xdr:colOff>25400</xdr:colOff>
      <xdr:row>36</xdr:row>
      <xdr:rowOff>152400</xdr:rowOff>
    </xdr:to>
    <xdr:cxnSp macro="">
      <xdr:nvCxnSpPr>
        <xdr:cNvPr id="43" name="Elbow Connector 195">
          <a:extLst>
            <a:ext uri="{FF2B5EF4-FFF2-40B4-BE49-F238E27FC236}">
              <a16:creationId xmlns:a16="http://schemas.microsoft.com/office/drawing/2014/main" id="{00000000-0008-0000-0400-00002B000000}"/>
            </a:ext>
          </a:extLst>
        </xdr:cNvPr>
        <xdr:cNvCxnSpPr>
          <a:stCxn id="48" idx="3"/>
          <a:endCxn id="14" idx="1"/>
        </xdr:cNvCxnSpPr>
      </xdr:nvCxnSpPr>
      <xdr:spPr>
        <a:xfrm>
          <a:off x="10464800" y="7334250"/>
          <a:ext cx="4241800" cy="63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76200</xdr:colOff>
      <xdr:row>14</xdr:row>
      <xdr:rowOff>63500</xdr:rowOff>
    </xdr:from>
    <xdr:to>
      <xdr:col>35</xdr:col>
      <xdr:colOff>76200</xdr:colOff>
      <xdr:row>17</xdr:row>
      <xdr:rowOff>63500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6337300" y="3060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35</xdr:col>
      <xdr:colOff>76200</xdr:colOff>
      <xdr:row>15</xdr:row>
      <xdr:rowOff>158750</xdr:rowOff>
    </xdr:from>
    <xdr:to>
      <xdr:col>58</xdr:col>
      <xdr:colOff>114300</xdr:colOff>
      <xdr:row>26</xdr:row>
      <xdr:rowOff>165100</xdr:rowOff>
    </xdr:to>
    <xdr:cxnSp macro="">
      <xdr:nvCxnSpPr>
        <xdr:cNvPr id="64" name="Elbow Connector 23">
          <a:extLst>
            <a:ext uri="{FF2B5EF4-FFF2-40B4-BE49-F238E27FC236}">
              <a16:creationId xmlns:a16="http://schemas.microsoft.com/office/drawing/2014/main" id="{00000000-0008-0000-0400-000040000000}"/>
            </a:ext>
          </a:extLst>
        </xdr:cNvPr>
        <xdr:cNvCxnSpPr>
          <a:stCxn id="62" idx="3"/>
          <a:endCxn id="35" idx="0"/>
        </xdr:cNvCxnSpPr>
      </xdr:nvCxnSpPr>
      <xdr:spPr>
        <a:xfrm>
          <a:off x="7632700" y="3346450"/>
          <a:ext cx="5003800" cy="21018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42</xdr:col>
      <xdr:colOff>101600</xdr:colOff>
      <xdr:row>35</xdr:row>
      <xdr:rowOff>50800</xdr:rowOff>
    </xdr:from>
    <xdr:to>
      <xdr:col>48</xdr:col>
      <xdr:colOff>101600</xdr:colOff>
      <xdr:row>38</xdr:row>
      <xdr:rowOff>50800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91694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61</xdr:col>
      <xdr:colOff>114300</xdr:colOff>
      <xdr:row>29</xdr:row>
      <xdr:rowOff>139700</xdr:rowOff>
    </xdr:from>
    <xdr:to>
      <xdr:col>68</xdr:col>
      <xdr:colOff>63500</xdr:colOff>
      <xdr:row>29</xdr:row>
      <xdr:rowOff>146050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5" idx="3"/>
          <a:endCxn id="22" idx="1"/>
        </xdr:cNvCxnSpPr>
      </xdr:nvCxnSpPr>
      <xdr:spPr>
        <a:xfrm>
          <a:off x="13284200" y="5994400"/>
          <a:ext cx="1460500" cy="6350"/>
        </a:xfrm>
        <a:prstGeom prst="straightConnector1">
          <a:avLst/>
        </a:prstGeom>
        <a:ln w="19050" cmpd="sng">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101600</xdr:colOff>
      <xdr:row>29</xdr:row>
      <xdr:rowOff>139700</xdr:rowOff>
    </xdr:from>
    <xdr:to>
      <xdr:col>55</xdr:col>
      <xdr:colOff>114300</xdr:colOff>
      <xdr:row>29</xdr:row>
      <xdr:rowOff>158750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35" idx="1"/>
        </xdr:cNvCxnSpPr>
      </xdr:nvCxnSpPr>
      <xdr:spPr>
        <a:xfrm flipV="1">
          <a:off x="3771900" y="5994400"/>
          <a:ext cx="82169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12700</xdr:colOff>
      <xdr:row>32</xdr:row>
      <xdr:rowOff>25400</xdr:rowOff>
    </xdr:from>
    <xdr:to>
      <xdr:col>8</xdr:col>
      <xdr:colOff>12700</xdr:colOff>
      <xdr:row>35</xdr:row>
      <xdr:rowOff>25400</xdr:rowOff>
    </xdr:to>
    <xdr:sp macro="" textlink="">
      <xdr:nvSpPr>
        <xdr:cNvPr id="49" name="Rectangle 48">
          <a:extLst>
            <a:ext uri="{FF2B5EF4-FFF2-40B4-BE49-F238E27FC236}">
              <a16:creationId xmlns:a16="http://schemas.microsoft.com/office/drawing/2014/main" id="{00000000-0008-0000-0400-000031000000}"/>
            </a:ext>
          </a:extLst>
        </xdr:cNvPr>
        <xdr:cNvSpPr/>
      </xdr:nvSpPr>
      <xdr:spPr>
        <a:xfrm>
          <a:off x="4445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48</xdr:col>
      <xdr:colOff>101600</xdr:colOff>
      <xdr:row>32</xdr:row>
      <xdr:rowOff>114300</xdr:rowOff>
    </xdr:from>
    <xdr:to>
      <xdr:col>58</xdr:col>
      <xdr:colOff>114300</xdr:colOff>
      <xdr:row>36</xdr:row>
      <xdr:rowOff>146050</xdr:rowOff>
    </xdr:to>
    <xdr:cxnSp macro="">
      <xdr:nvCxnSpPr>
        <xdr:cNvPr id="57" name="Straight Arrow Connector 278">
          <a:extLst>
            <a:ext uri="{FF2B5EF4-FFF2-40B4-BE49-F238E27FC236}">
              <a16:creationId xmlns:a16="http://schemas.microsoft.com/office/drawing/2014/main" id="{00000000-0008-0000-0400-000039000000}"/>
            </a:ext>
          </a:extLst>
        </xdr:cNvPr>
        <xdr:cNvCxnSpPr>
          <a:stCxn id="48" idx="3"/>
          <a:endCxn id="35" idx="2"/>
        </xdr:cNvCxnSpPr>
      </xdr:nvCxnSpPr>
      <xdr:spPr>
        <a:xfrm flipV="1">
          <a:off x="10464800" y="6540500"/>
          <a:ext cx="2171700" cy="7937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63500</xdr:colOff>
      <xdr:row>21</xdr:row>
      <xdr:rowOff>177800</xdr:rowOff>
    </xdr:from>
    <xdr:to>
      <xdr:col>35</xdr:col>
      <xdr:colOff>63500</xdr:colOff>
      <xdr:row>25</xdr:row>
      <xdr:rowOff>50800</xdr:rowOff>
    </xdr:to>
    <xdr:sp macro="" textlink="">
      <xdr:nvSpPr>
        <xdr:cNvPr id="90" name="Rectangle 89">
          <a:extLst>
            <a:ext uri="{FF2B5EF4-FFF2-40B4-BE49-F238E27FC236}">
              <a16:creationId xmlns:a16="http://schemas.microsoft.com/office/drawing/2014/main" id="{00000000-0008-0000-0400-00005A000000}"/>
            </a:ext>
          </a:extLst>
        </xdr:cNvPr>
        <xdr:cNvSpPr/>
      </xdr:nvSpPr>
      <xdr:spPr>
        <a:xfrm>
          <a:off x="6324600" y="450850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extracted from EB</a:t>
          </a:r>
        </a:p>
      </xdr:txBody>
    </xdr:sp>
    <xdr:clientData/>
  </xdr:twoCellAnchor>
  <xdr:twoCellAnchor>
    <xdr:from>
      <xdr:col>32</xdr:col>
      <xdr:colOff>63500</xdr:colOff>
      <xdr:row>17</xdr:row>
      <xdr:rowOff>63500</xdr:rowOff>
    </xdr:from>
    <xdr:to>
      <xdr:col>32</xdr:col>
      <xdr:colOff>76200</xdr:colOff>
      <xdr:row>21</xdr:row>
      <xdr:rowOff>177800</xdr:rowOff>
    </xdr:to>
    <xdr:cxnSp macro="">
      <xdr:nvCxnSpPr>
        <xdr:cNvPr id="91" name="Elbow Connector 23">
          <a:extLst>
            <a:ext uri="{FF2B5EF4-FFF2-40B4-BE49-F238E27FC236}">
              <a16:creationId xmlns:a16="http://schemas.microsoft.com/office/drawing/2014/main" id="{00000000-0008-0000-0400-00005B000000}"/>
            </a:ext>
          </a:extLst>
        </xdr:cNvPr>
        <xdr:cNvCxnSpPr>
          <a:stCxn id="62" idx="2"/>
          <a:endCxn id="90" idx="0"/>
        </xdr:cNvCxnSpPr>
      </xdr:nvCxnSpPr>
      <xdr:spPr>
        <a:xfrm flipH="1">
          <a:off x="6972300" y="3632200"/>
          <a:ext cx="12700" cy="8763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63500</xdr:colOff>
      <xdr:row>25</xdr:row>
      <xdr:rowOff>50800</xdr:rowOff>
    </xdr:from>
    <xdr:to>
      <xdr:col>42</xdr:col>
      <xdr:colOff>101600</xdr:colOff>
      <xdr:row>36</xdr:row>
      <xdr:rowOff>146050</xdr:rowOff>
    </xdr:to>
    <xdr:cxnSp macro="">
      <xdr:nvCxnSpPr>
        <xdr:cNvPr id="95" name="Elbow Connector 23">
          <a:extLst>
            <a:ext uri="{FF2B5EF4-FFF2-40B4-BE49-F238E27FC236}">
              <a16:creationId xmlns:a16="http://schemas.microsoft.com/office/drawing/2014/main" id="{00000000-0008-0000-0400-00005F000000}"/>
            </a:ext>
          </a:extLst>
        </xdr:cNvPr>
        <xdr:cNvCxnSpPr>
          <a:stCxn id="90" idx="2"/>
          <a:endCxn id="48" idx="1"/>
        </xdr:cNvCxnSpPr>
      </xdr:nvCxnSpPr>
      <xdr:spPr>
        <a:xfrm rot="16200000" flipH="1">
          <a:off x="6975475" y="5140325"/>
          <a:ext cx="2190750" cy="21971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76200</xdr:colOff>
          <xdr:row>2</xdr:row>
          <xdr:rowOff>38100</xdr:rowOff>
        </xdr:from>
        <xdr:to>
          <xdr:col>12</xdr:col>
          <xdr:colOff>1206500</xdr:colOff>
          <xdr:row>3</xdr:row>
          <xdr:rowOff>0</xdr:rowOff>
        </xdr:to>
        <xdr:sp macro="" textlink="">
          <xdr:nvSpPr>
            <xdr:cNvPr id="11281" name="import_data" hidden="1">
              <a:extLst>
                <a:ext uri="{63B3BB69-23CF-44E3-9099-C40C66FF867C}">
                  <a14:compatExt spid="_x0000_s11281"/>
                </a:ext>
                <a:ext uri="{FF2B5EF4-FFF2-40B4-BE49-F238E27FC236}">
                  <a16:creationId xmlns:a16="http://schemas.microsoft.com/office/drawing/2014/main" id="{00000000-0008-0000-0600-000011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114300</xdr:colOff>
          <xdr:row>4</xdr:row>
          <xdr:rowOff>228600</xdr:rowOff>
        </xdr:from>
        <xdr:to>
          <xdr:col>12</xdr:col>
          <xdr:colOff>1244600</xdr:colOff>
          <xdr:row>4</xdr:row>
          <xdr:rowOff>444500</xdr:rowOff>
        </xdr:to>
        <xdr:sp macro="" textlink="">
          <xdr:nvSpPr>
            <xdr:cNvPr id="11282" name="export_data" hidden="1">
              <a:extLst>
                <a:ext uri="{63B3BB69-23CF-44E3-9099-C40C66FF867C}">
                  <a14:compatExt spid="_x0000_s11282"/>
                </a:ext>
                <a:ext uri="{FF2B5EF4-FFF2-40B4-BE49-F238E27FC236}">
                  <a16:creationId xmlns:a16="http://schemas.microsoft.com/office/drawing/2014/main" id="{00000000-0008-0000-0600-000012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2247900</xdr:colOff>
          <xdr:row>3</xdr:row>
          <xdr:rowOff>88900</xdr:rowOff>
        </xdr:from>
        <xdr:to>
          <xdr:col>12</xdr:col>
          <xdr:colOff>1219200</xdr:colOff>
          <xdr:row>4</xdr:row>
          <xdr:rowOff>114300</xdr:rowOff>
        </xdr:to>
        <xdr:sp macro="" textlink="">
          <xdr:nvSpPr>
            <xdr:cNvPr id="11283" name="select_dashboard" hidden="1">
              <a:extLst>
                <a:ext uri="{63B3BB69-23CF-44E3-9099-C40C66FF867C}">
                  <a14:compatExt spid="_x0000_s11283"/>
                </a:ext>
                <a:ext uri="{FF2B5EF4-FFF2-40B4-BE49-F238E27FC236}">
                  <a16:creationId xmlns:a16="http://schemas.microsoft.com/office/drawing/2014/main" id="{00000000-0008-0000-0600-000013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oneCellAnchor>
    <xdr:from>
      <xdr:col>1</xdr:col>
      <xdr:colOff>1257300</xdr:colOff>
      <xdr:row>25</xdr:row>
      <xdr:rowOff>127000</xdr:rowOff>
    </xdr:from>
    <xdr:ext cx="7250979" cy="276999"/>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2082800" y="5461000"/>
          <a:ext cx="7250979"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The ETM supports a detailed modelling of the central ICT </a:t>
          </a:r>
          <a:r>
            <a:rPr lang="en-US" sz="1200" b="1" baseline="0"/>
            <a:t>sector, for which you need to provide additional data.</a:t>
          </a:r>
          <a:endParaRPr 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9" sqref="C9"/>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248</v>
      </c>
    </row>
    <row r="4" spans="2:4" x14ac:dyDescent="0.2">
      <c r="B4" s="3" t="s">
        <v>1</v>
      </c>
      <c r="C4" s="4" t="s">
        <v>19</v>
      </c>
      <c r="D4" s="5"/>
    </row>
    <row r="5" spans="2:4" x14ac:dyDescent="0.2">
      <c r="B5" s="6" t="s">
        <v>2</v>
      </c>
      <c r="C5" s="24">
        <f>MAX(Changelog!D:D)</f>
        <v>1.39</v>
      </c>
      <c r="D5" s="7"/>
    </row>
    <row r="6" spans="2:4" x14ac:dyDescent="0.2">
      <c r="B6" s="6" t="s">
        <v>333</v>
      </c>
      <c r="C6" s="24">
        <f>Dashboard!E11</f>
        <v>0</v>
      </c>
      <c r="D6" s="7"/>
    </row>
    <row r="7" spans="2:4" x14ac:dyDescent="0.2">
      <c r="B7" s="6" t="s">
        <v>334</v>
      </c>
      <c r="C7" s="187">
        <f>Dashboard!E12</f>
        <v>0</v>
      </c>
      <c r="D7" s="7"/>
    </row>
    <row r="8" spans="2:4" x14ac:dyDescent="0.2">
      <c r="B8" s="6" t="s">
        <v>3</v>
      </c>
      <c r="C8" s="195" t="s">
        <v>626</v>
      </c>
      <c r="D8" s="7"/>
    </row>
    <row r="9" spans="2:4" x14ac:dyDescent="0.2">
      <c r="B9" s="6" t="s">
        <v>4</v>
      </c>
      <c r="C9" s="1" t="s">
        <v>622</v>
      </c>
      <c r="D9" s="7"/>
    </row>
    <row r="10" spans="2:4" x14ac:dyDescent="0.2">
      <c r="B10" s="8" t="s">
        <v>20</v>
      </c>
      <c r="C10" s="9" t="s">
        <v>623</v>
      </c>
      <c r="D10" s="10"/>
    </row>
    <row r="12" spans="2:4" x14ac:dyDescent="0.2">
      <c r="B12" s="3" t="s">
        <v>8</v>
      </c>
      <c r="C12" s="4"/>
      <c r="D12" s="5"/>
    </row>
    <row r="13" spans="2:4" x14ac:dyDescent="0.2">
      <c r="B13" s="19"/>
      <c r="D13" s="7"/>
    </row>
    <row r="14" spans="2:4" x14ac:dyDescent="0.2">
      <c r="B14" s="19" t="s">
        <v>9</v>
      </c>
      <c r="C14" s="20" t="s">
        <v>10</v>
      </c>
      <c r="D14" s="7"/>
    </row>
    <row r="15" spans="2:4" ht="17" thickBot="1" x14ac:dyDescent="0.25">
      <c r="B15" s="19"/>
      <c r="C15" s="14" t="s">
        <v>11</v>
      </c>
      <c r="D15" s="7"/>
    </row>
    <row r="16" spans="2:4" ht="17" thickBot="1" x14ac:dyDescent="0.25">
      <c r="B16" s="19"/>
      <c r="C16" s="21" t="s">
        <v>12</v>
      </c>
      <c r="D16" s="7"/>
    </row>
    <row r="17" spans="2:4" x14ac:dyDescent="0.2">
      <c r="B17" s="19"/>
      <c r="C17" s="1" t="s">
        <v>13</v>
      </c>
      <c r="D17" s="7"/>
    </row>
    <row r="18" spans="2:4" x14ac:dyDescent="0.2">
      <c r="B18" s="19"/>
      <c r="D18" s="7"/>
    </row>
    <row r="19" spans="2:4" x14ac:dyDescent="0.2">
      <c r="B19" s="19" t="s">
        <v>14</v>
      </c>
      <c r="C19" s="22" t="s">
        <v>287</v>
      </c>
      <c r="D19" s="7"/>
    </row>
    <row r="20" spans="2:4" x14ac:dyDescent="0.2">
      <c r="B20" s="19"/>
      <c r="C20" s="151" t="s">
        <v>17</v>
      </c>
      <c r="D20" s="7"/>
    </row>
    <row r="21" spans="2:4" x14ac:dyDescent="0.2">
      <c r="B21" s="19"/>
      <c r="C21" s="152" t="s">
        <v>288</v>
      </c>
      <c r="D21" s="7"/>
    </row>
    <row r="22" spans="2:4" x14ac:dyDescent="0.2">
      <c r="B22" s="19"/>
      <c r="C22" s="153" t="s">
        <v>28</v>
      </c>
      <c r="D22" s="7"/>
    </row>
    <row r="23" spans="2:4" x14ac:dyDescent="0.2">
      <c r="B23" s="17"/>
      <c r="C23" s="23" t="s">
        <v>15</v>
      </c>
      <c r="D23" s="7"/>
    </row>
    <row r="24" spans="2:4" x14ac:dyDescent="0.2">
      <c r="B24" s="17"/>
      <c r="C24" s="154" t="s">
        <v>289</v>
      </c>
      <c r="D24" s="7"/>
    </row>
    <row r="25" spans="2:4" x14ac:dyDescent="0.2">
      <c r="B25" s="17"/>
      <c r="C25" s="155" t="s">
        <v>16</v>
      </c>
      <c r="D25" s="7"/>
    </row>
    <row r="26" spans="2:4" x14ac:dyDescent="0.2">
      <c r="B26" s="17"/>
      <c r="C26" s="115" t="s">
        <v>327</v>
      </c>
      <c r="D26" s="7"/>
    </row>
    <row r="27" spans="2:4" x14ac:dyDescent="0.2">
      <c r="B27" s="18"/>
      <c r="C27" s="201"/>
      <c r="D27" s="10"/>
    </row>
    <row r="29" spans="2:4" x14ac:dyDescent="0.2">
      <c r="B29" s="3" t="s">
        <v>18</v>
      </c>
      <c r="C29" s="4"/>
      <c r="D29" s="5"/>
    </row>
    <row r="30" spans="2:4" x14ac:dyDescent="0.2">
      <c r="B30" s="17"/>
      <c r="D30" s="7"/>
    </row>
    <row r="31" spans="2:4" x14ac:dyDescent="0.2">
      <c r="B31" s="17"/>
      <c r="D31" s="7"/>
    </row>
    <row r="32" spans="2:4" x14ac:dyDescent="0.2">
      <c r="B32" s="17"/>
      <c r="D32" s="7"/>
    </row>
    <row r="33" spans="2:4" x14ac:dyDescent="0.2">
      <c r="B33" s="17"/>
      <c r="D33" s="7"/>
    </row>
    <row r="34" spans="2:4" x14ac:dyDescent="0.2">
      <c r="B34" s="17"/>
      <c r="D34" s="7"/>
    </row>
    <row r="35" spans="2:4" x14ac:dyDescent="0.2">
      <c r="B35" s="17"/>
      <c r="D35" s="7"/>
    </row>
    <row r="36" spans="2:4" x14ac:dyDescent="0.2">
      <c r="B36" s="17"/>
      <c r="D36" s="7"/>
    </row>
    <row r="37" spans="2:4" x14ac:dyDescent="0.2">
      <c r="B37" s="17"/>
      <c r="D37" s="7"/>
    </row>
    <row r="38" spans="2:4" x14ac:dyDescent="0.2">
      <c r="B38" s="17"/>
      <c r="D38" s="7"/>
    </row>
    <row r="39" spans="2:4" x14ac:dyDescent="0.2">
      <c r="B39" s="18"/>
      <c r="C39" s="9"/>
      <c r="D39" s="10"/>
    </row>
  </sheetData>
  <pageMargins left="0.75" right="0.75" top="1" bottom="1" header="0.5" footer="0.5"/>
  <pageSetup paperSize="9" orientation="portrait" horizontalDpi="4294967292" verticalDpi="4294967292"/>
  <ignoredErrors>
    <ignoredError sqref="C5"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E53"/>
  <sheetViews>
    <sheetView workbookViewId="0">
      <selection activeCell="C47" sqref="C47"/>
    </sheetView>
  </sheetViews>
  <sheetFormatPr baseColWidth="10" defaultRowHeight="16" x14ac:dyDescent="0.2"/>
  <cols>
    <col min="1" max="1" width="10.83203125" style="1"/>
    <col min="2" max="2" width="17.6640625" style="1" bestFit="1" customWidth="1"/>
    <col min="3" max="3" width="73" style="1" customWidth="1"/>
    <col min="4" max="4" width="9.33203125" style="1" customWidth="1"/>
    <col min="5" max="16384" width="10.83203125" style="1"/>
  </cols>
  <sheetData>
    <row r="2" spans="2:5" ht="21" x14ac:dyDescent="0.25">
      <c r="B2" s="2" t="s">
        <v>0</v>
      </c>
    </row>
    <row r="4" spans="2:5" x14ac:dyDescent="0.2">
      <c r="B4" s="11" t="s">
        <v>3</v>
      </c>
      <c r="C4" s="12" t="s">
        <v>5</v>
      </c>
      <c r="D4" s="13" t="s">
        <v>6</v>
      </c>
    </row>
    <row r="5" spans="2:5" x14ac:dyDescent="0.2">
      <c r="B5" s="6"/>
      <c r="C5" s="14"/>
      <c r="D5" s="15"/>
    </row>
    <row r="6" spans="2:5" x14ac:dyDescent="0.2">
      <c r="B6" s="286">
        <v>41450</v>
      </c>
      <c r="C6" t="s">
        <v>7</v>
      </c>
      <c r="D6" s="289">
        <v>1</v>
      </c>
      <c r="E6" s="128"/>
    </row>
    <row r="7" spans="2:5" x14ac:dyDescent="0.2">
      <c r="B7" s="287">
        <v>41452</v>
      </c>
      <c r="C7" t="s">
        <v>241</v>
      </c>
      <c r="D7" s="290">
        <v>1.01</v>
      </c>
      <c r="E7" s="128"/>
    </row>
    <row r="8" spans="2:5" x14ac:dyDescent="0.2">
      <c r="B8" s="287">
        <v>41457</v>
      </c>
      <c r="C8" t="s">
        <v>242</v>
      </c>
      <c r="D8" s="290">
        <v>1.02</v>
      </c>
      <c r="E8" s="128"/>
    </row>
    <row r="9" spans="2:5" x14ac:dyDescent="0.2">
      <c r="B9" s="287">
        <v>41457</v>
      </c>
      <c r="C9" t="s">
        <v>254</v>
      </c>
      <c r="D9" s="290">
        <v>1.03</v>
      </c>
      <c r="E9" s="128"/>
    </row>
    <row r="10" spans="2:5" x14ac:dyDescent="0.2">
      <c r="B10" s="287">
        <v>41458</v>
      </c>
      <c r="C10" t="s">
        <v>275</v>
      </c>
      <c r="D10" s="290">
        <v>1.04</v>
      </c>
      <c r="E10" s="128"/>
    </row>
    <row r="11" spans="2:5" x14ac:dyDescent="0.2">
      <c r="B11" s="287">
        <v>41459</v>
      </c>
      <c r="C11" t="s">
        <v>280</v>
      </c>
      <c r="D11" s="290">
        <v>1.05</v>
      </c>
      <c r="E11" s="128"/>
    </row>
    <row r="12" spans="2:5" x14ac:dyDescent="0.2">
      <c r="B12" s="287">
        <v>41460</v>
      </c>
      <c r="C12" t="s">
        <v>284</v>
      </c>
      <c r="D12" s="290">
        <v>1.06</v>
      </c>
      <c r="E12" s="128"/>
    </row>
    <row r="13" spans="2:5" x14ac:dyDescent="0.2">
      <c r="B13" s="287">
        <v>41463</v>
      </c>
      <c r="C13" t="s">
        <v>291</v>
      </c>
      <c r="D13" s="290">
        <v>1.07</v>
      </c>
      <c r="E13" s="128"/>
    </row>
    <row r="14" spans="2:5" x14ac:dyDescent="0.2">
      <c r="B14" s="287">
        <v>41464</v>
      </c>
      <c r="C14" t="s">
        <v>298</v>
      </c>
      <c r="D14" s="290">
        <v>1.08</v>
      </c>
      <c r="E14" s="128"/>
    </row>
    <row r="15" spans="2:5" ht="32" x14ac:dyDescent="0.2">
      <c r="B15" s="287">
        <v>41464</v>
      </c>
      <c r="C15" s="37" t="s">
        <v>299</v>
      </c>
      <c r="D15" s="290">
        <v>1.0900000000000001</v>
      </c>
      <c r="E15" s="128"/>
    </row>
    <row r="16" spans="2:5" x14ac:dyDescent="0.2">
      <c r="B16" s="287">
        <v>41465</v>
      </c>
      <c r="C16" t="s">
        <v>303</v>
      </c>
      <c r="D16" s="289">
        <v>1.1000000000000001</v>
      </c>
      <c r="E16" s="128"/>
    </row>
    <row r="17" spans="2:5" x14ac:dyDescent="0.2">
      <c r="B17" s="287">
        <v>41465</v>
      </c>
      <c r="C17" s="37" t="s">
        <v>318</v>
      </c>
      <c r="D17" s="290">
        <v>1.1100000000000001</v>
      </c>
      <c r="E17" s="128"/>
    </row>
    <row r="18" spans="2:5" x14ac:dyDescent="0.2">
      <c r="B18" s="287">
        <v>41467</v>
      </c>
      <c r="C18" t="s">
        <v>319</v>
      </c>
      <c r="D18" s="290">
        <v>1.1200000000000001</v>
      </c>
      <c r="E18" s="128"/>
    </row>
    <row r="19" spans="2:5" ht="32" x14ac:dyDescent="0.2">
      <c r="B19" s="287">
        <v>41470</v>
      </c>
      <c r="C19" s="37" t="s">
        <v>332</v>
      </c>
      <c r="D19" s="290">
        <v>1.1299999999999999</v>
      </c>
      <c r="E19" s="128"/>
    </row>
    <row r="20" spans="2:5" x14ac:dyDescent="0.2">
      <c r="B20" s="287">
        <v>41472</v>
      </c>
      <c r="C20" t="s">
        <v>347</v>
      </c>
      <c r="D20" s="290">
        <v>1.1499999999999999</v>
      </c>
      <c r="E20" s="128"/>
    </row>
    <row r="21" spans="2:5" x14ac:dyDescent="0.2">
      <c r="B21" s="287">
        <v>41481</v>
      </c>
      <c r="C21" s="37" t="s">
        <v>348</v>
      </c>
      <c r="D21" s="290">
        <v>1.1599999999999999</v>
      </c>
      <c r="E21" s="128"/>
    </row>
    <row r="22" spans="2:5" x14ac:dyDescent="0.2">
      <c r="B22" s="287">
        <v>41484</v>
      </c>
      <c r="C22" s="37" t="s">
        <v>365</v>
      </c>
      <c r="D22" s="290">
        <v>1.17</v>
      </c>
      <c r="E22" s="128"/>
    </row>
    <row r="23" spans="2:5" x14ac:dyDescent="0.2">
      <c r="B23" s="287">
        <v>41485</v>
      </c>
      <c r="C23" s="37" t="s">
        <v>406</v>
      </c>
      <c r="D23" s="290">
        <v>1.18</v>
      </c>
      <c r="E23" s="128"/>
    </row>
    <row r="24" spans="2:5" x14ac:dyDescent="0.2">
      <c r="B24" s="287">
        <v>41485</v>
      </c>
      <c r="C24" s="37" t="s">
        <v>408</v>
      </c>
      <c r="D24" s="290">
        <v>1.18</v>
      </c>
      <c r="E24" s="128"/>
    </row>
    <row r="25" spans="2:5" x14ac:dyDescent="0.2">
      <c r="B25" s="287">
        <v>41486</v>
      </c>
      <c r="C25" s="37" t="s">
        <v>409</v>
      </c>
      <c r="D25" s="290">
        <v>1.19</v>
      </c>
      <c r="E25" s="128"/>
    </row>
    <row r="26" spans="2:5" x14ac:dyDescent="0.2">
      <c r="B26" s="287">
        <v>41487</v>
      </c>
      <c r="C26" s="37" t="s">
        <v>410</v>
      </c>
      <c r="D26" s="290">
        <v>1.19</v>
      </c>
      <c r="E26" s="128"/>
    </row>
    <row r="27" spans="2:5" x14ac:dyDescent="0.2">
      <c r="B27" s="287">
        <v>41499</v>
      </c>
      <c r="C27" s="37" t="s">
        <v>447</v>
      </c>
      <c r="D27" s="289">
        <v>1.2</v>
      </c>
      <c r="E27" s="128"/>
    </row>
    <row r="28" spans="2:5" x14ac:dyDescent="0.2">
      <c r="B28" s="287">
        <v>41500</v>
      </c>
      <c r="C28" s="37" t="s">
        <v>447</v>
      </c>
      <c r="D28" s="290">
        <v>1.21</v>
      </c>
      <c r="E28" s="128"/>
    </row>
    <row r="29" spans="2:5" x14ac:dyDescent="0.2">
      <c r="B29" s="287">
        <v>41500</v>
      </c>
      <c r="C29" s="37" t="s">
        <v>447</v>
      </c>
      <c r="D29" s="289">
        <v>1.22</v>
      </c>
      <c r="E29" s="128"/>
    </row>
    <row r="30" spans="2:5" ht="32" x14ac:dyDescent="0.2">
      <c r="B30" s="287">
        <v>41502</v>
      </c>
      <c r="C30" s="37" t="s">
        <v>479</v>
      </c>
      <c r="D30" s="289">
        <v>1.23</v>
      </c>
      <c r="E30" s="128"/>
    </row>
    <row r="31" spans="2:5" ht="160" x14ac:dyDescent="0.2">
      <c r="B31" s="287">
        <v>41505</v>
      </c>
      <c r="C31" s="37" t="s">
        <v>496</v>
      </c>
      <c r="D31" s="289">
        <v>1.24</v>
      </c>
      <c r="E31" s="128"/>
    </row>
    <row r="32" spans="2:5" x14ac:dyDescent="0.2">
      <c r="B32" s="287">
        <v>41506</v>
      </c>
      <c r="C32" s="37" t="s">
        <v>498</v>
      </c>
      <c r="D32" s="289">
        <v>1.25</v>
      </c>
      <c r="E32" s="128"/>
    </row>
    <row r="33" spans="2:5" x14ac:dyDescent="0.2">
      <c r="B33" s="287">
        <v>41507</v>
      </c>
      <c r="C33" s="37" t="s">
        <v>499</v>
      </c>
      <c r="D33" s="289">
        <v>1.26</v>
      </c>
      <c r="E33" s="128"/>
    </row>
    <row r="34" spans="2:5" x14ac:dyDescent="0.2">
      <c r="B34" s="287">
        <v>41509</v>
      </c>
      <c r="C34" s="37" t="s">
        <v>500</v>
      </c>
      <c r="D34" s="289">
        <v>1.27</v>
      </c>
      <c r="E34" s="128"/>
    </row>
    <row r="35" spans="2:5" x14ac:dyDescent="0.2">
      <c r="B35" s="287">
        <v>41509</v>
      </c>
      <c r="C35" s="37" t="s">
        <v>517</v>
      </c>
      <c r="D35" s="289">
        <v>1.28</v>
      </c>
      <c r="E35" s="128"/>
    </row>
    <row r="36" spans="2:5" x14ac:dyDescent="0.2">
      <c r="B36" s="287" t="s">
        <v>524</v>
      </c>
      <c r="C36" s="37" t="s">
        <v>524</v>
      </c>
      <c r="D36" s="289">
        <v>1.29</v>
      </c>
      <c r="E36" s="128"/>
    </row>
    <row r="37" spans="2:5" x14ac:dyDescent="0.2">
      <c r="B37" s="287">
        <v>41534</v>
      </c>
      <c r="C37" s="37" t="s">
        <v>549</v>
      </c>
      <c r="D37" s="289">
        <v>1.3</v>
      </c>
      <c r="E37" s="128"/>
    </row>
    <row r="38" spans="2:5" ht="48" x14ac:dyDescent="0.2">
      <c r="B38" s="287">
        <v>41542</v>
      </c>
      <c r="C38" s="37" t="s">
        <v>550</v>
      </c>
      <c r="D38" s="289">
        <v>1.31</v>
      </c>
      <c r="E38" s="128"/>
    </row>
    <row r="39" spans="2:5" x14ac:dyDescent="0.2">
      <c r="B39" s="338">
        <v>41562</v>
      </c>
      <c r="C39" s="339" t="s">
        <v>551</v>
      </c>
      <c r="D39" s="289">
        <v>1.32</v>
      </c>
      <c r="E39" s="128"/>
    </row>
    <row r="40" spans="2:5" x14ac:dyDescent="0.2">
      <c r="B40" s="338">
        <v>41578</v>
      </c>
      <c r="C40" s="37" t="s">
        <v>579</v>
      </c>
      <c r="D40" s="289">
        <v>1.33</v>
      </c>
      <c r="E40" s="128"/>
    </row>
    <row r="41" spans="2:5" ht="32" x14ac:dyDescent="0.2">
      <c r="B41" s="338">
        <v>41578</v>
      </c>
      <c r="C41" s="37" t="s">
        <v>580</v>
      </c>
      <c r="D41" s="289">
        <v>1.34</v>
      </c>
      <c r="E41" s="128"/>
    </row>
    <row r="42" spans="2:5" x14ac:dyDescent="0.2">
      <c r="B42" s="338">
        <v>41782</v>
      </c>
      <c r="C42" s="37" t="s">
        <v>585</v>
      </c>
      <c r="D42" s="289">
        <v>1.35</v>
      </c>
      <c r="E42" s="128"/>
    </row>
    <row r="43" spans="2:5" x14ac:dyDescent="0.2">
      <c r="B43" s="338">
        <v>41782</v>
      </c>
      <c r="C43" s="37" t="s">
        <v>586</v>
      </c>
      <c r="D43" s="289">
        <v>1.36</v>
      </c>
      <c r="E43" s="128"/>
    </row>
    <row r="44" spans="2:5" ht="32" x14ac:dyDescent="0.2">
      <c r="B44" s="338">
        <v>42600</v>
      </c>
      <c r="C44" s="37" t="s">
        <v>605</v>
      </c>
      <c r="D44" s="289">
        <v>1.37</v>
      </c>
      <c r="E44" s="128"/>
    </row>
    <row r="45" spans="2:5" ht="17" x14ac:dyDescent="0.2">
      <c r="B45" s="338">
        <v>44607</v>
      </c>
      <c r="C45" s="37" t="s">
        <v>620</v>
      </c>
      <c r="D45" s="289">
        <v>1.38</v>
      </c>
      <c r="E45" s="128"/>
    </row>
    <row r="46" spans="2:5" ht="34" x14ac:dyDescent="0.2">
      <c r="B46" s="338" t="s">
        <v>624</v>
      </c>
      <c r="C46" s="37" t="s">
        <v>625</v>
      </c>
      <c r="D46" s="289">
        <v>1.39</v>
      </c>
      <c r="E46" s="128"/>
    </row>
    <row r="47" spans="2:5" x14ac:dyDescent="0.2">
      <c r="B47" s="338"/>
      <c r="C47" s="37"/>
      <c r="D47" s="289"/>
      <c r="E47" s="128"/>
    </row>
    <row r="48" spans="2:5" x14ac:dyDescent="0.2">
      <c r="B48" s="338"/>
      <c r="C48" s="37"/>
      <c r="D48" s="289"/>
      <c r="E48" s="128"/>
    </row>
    <row r="49" spans="2:5" x14ac:dyDescent="0.2">
      <c r="B49" s="288"/>
      <c r="C49" s="43"/>
      <c r="D49" s="291"/>
      <c r="E49" s="128"/>
    </row>
    <row r="50" spans="2:5" x14ac:dyDescent="0.2">
      <c r="B50" s="128"/>
      <c r="D50" s="128"/>
      <c r="E50" s="128"/>
    </row>
    <row r="51" spans="2:5" x14ac:dyDescent="0.2">
      <c r="B51" s="128"/>
      <c r="D51" s="128"/>
      <c r="E51" s="128"/>
    </row>
    <row r="52" spans="2:5" x14ac:dyDescent="0.2">
      <c r="B52" s="128"/>
    </row>
    <row r="53" spans="2:5" x14ac:dyDescent="0.2">
      <c r="B53" s="12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37"/>
  <sheetViews>
    <sheetView topLeftCell="A5" workbookViewId="0">
      <selection activeCell="C36" sqref="C36"/>
    </sheetView>
  </sheetViews>
  <sheetFormatPr baseColWidth="10" defaultRowHeight="16" x14ac:dyDescent="0.2"/>
  <cols>
    <col min="1" max="1" width="10.83203125" style="1"/>
    <col min="2" max="2" width="28.33203125" style="1" bestFit="1" customWidth="1"/>
    <col min="3" max="3" width="136.1640625" style="1" bestFit="1" customWidth="1"/>
    <col min="4" max="16384" width="10.83203125" style="1"/>
  </cols>
  <sheetData>
    <row r="2" spans="2:3" ht="21" x14ac:dyDescent="0.25">
      <c r="B2" s="2" t="s">
        <v>21</v>
      </c>
    </row>
    <row r="4" spans="2:3" x14ac:dyDescent="0.2">
      <c r="B4" s="102" t="s">
        <v>22</v>
      </c>
      <c r="C4" s="13" t="s">
        <v>23</v>
      </c>
    </row>
    <row r="5" spans="2:3" x14ac:dyDescent="0.2">
      <c r="B5" s="52"/>
      <c r="C5" s="15"/>
    </row>
    <row r="6" spans="2:3" ht="28" customHeight="1" x14ac:dyDescent="0.2">
      <c r="B6" s="116" t="s">
        <v>248</v>
      </c>
      <c r="C6" s="59" t="s">
        <v>250</v>
      </c>
    </row>
    <row r="7" spans="2:3" ht="28" customHeight="1" x14ac:dyDescent="0.2">
      <c r="B7" s="116" t="s">
        <v>0</v>
      </c>
      <c r="C7" s="16" t="s">
        <v>251</v>
      </c>
    </row>
    <row r="8" spans="2:3" ht="28" customHeight="1" x14ac:dyDescent="0.2">
      <c r="B8" s="116" t="s">
        <v>21</v>
      </c>
      <c r="C8" s="59" t="s">
        <v>24</v>
      </c>
    </row>
    <row r="9" spans="2:3" ht="28" customHeight="1" x14ac:dyDescent="0.2">
      <c r="B9" s="116" t="s">
        <v>25</v>
      </c>
      <c r="C9" s="59" t="s">
        <v>88</v>
      </c>
    </row>
    <row r="10" spans="2:3" ht="28" customHeight="1" x14ac:dyDescent="0.2">
      <c r="B10" s="116" t="s">
        <v>249</v>
      </c>
      <c r="C10" s="59" t="s">
        <v>246</v>
      </c>
    </row>
    <row r="11" spans="2:3" ht="28" customHeight="1" x14ac:dyDescent="0.2">
      <c r="B11" s="116" t="s">
        <v>26</v>
      </c>
      <c r="C11" s="59" t="s">
        <v>27</v>
      </c>
    </row>
    <row r="12" spans="2:3" ht="28" customHeight="1" x14ac:dyDescent="0.2">
      <c r="B12" s="163" t="s">
        <v>28</v>
      </c>
      <c r="C12" s="59" t="s">
        <v>29</v>
      </c>
    </row>
    <row r="13" spans="2:3" ht="28" customHeight="1" x14ac:dyDescent="0.2">
      <c r="B13" s="167" t="s">
        <v>448</v>
      </c>
      <c r="C13" s="59" t="s">
        <v>316</v>
      </c>
    </row>
    <row r="14" spans="2:3" ht="28" customHeight="1" x14ac:dyDescent="0.2">
      <c r="B14" s="167" t="s">
        <v>234</v>
      </c>
      <c r="C14" s="59" t="s">
        <v>292</v>
      </c>
    </row>
    <row r="15" spans="2:3" ht="28" customHeight="1" x14ac:dyDescent="0.2">
      <c r="B15" s="282" t="s">
        <v>484</v>
      </c>
      <c r="C15" s="59" t="s">
        <v>342</v>
      </c>
    </row>
    <row r="16" spans="2:3" ht="28" customHeight="1" x14ac:dyDescent="0.2">
      <c r="B16" s="282" t="s">
        <v>485</v>
      </c>
      <c r="C16" s="59" t="s">
        <v>340</v>
      </c>
    </row>
    <row r="17" spans="2:3" ht="28" customHeight="1" x14ac:dyDescent="0.2">
      <c r="B17" s="117" t="s">
        <v>226</v>
      </c>
      <c r="C17" s="59" t="s">
        <v>343</v>
      </c>
    </row>
    <row r="18" spans="2:3" ht="28" customHeight="1" x14ac:dyDescent="0.2">
      <c r="B18" s="117" t="s">
        <v>487</v>
      </c>
      <c r="C18" s="59" t="s">
        <v>314</v>
      </c>
    </row>
    <row r="19" spans="2:3" ht="28" customHeight="1" x14ac:dyDescent="0.2">
      <c r="B19" s="164" t="s">
        <v>312</v>
      </c>
      <c r="C19" s="59" t="s">
        <v>414</v>
      </c>
    </row>
    <row r="20" spans="2:3" ht="28" customHeight="1" x14ac:dyDescent="0.2">
      <c r="B20" s="164" t="s">
        <v>278</v>
      </c>
      <c r="C20" s="59" t="s">
        <v>279</v>
      </c>
    </row>
    <row r="21" spans="2:3" ht="28" customHeight="1" x14ac:dyDescent="0.2">
      <c r="B21" s="166" t="s">
        <v>313</v>
      </c>
      <c r="C21" s="59" t="s">
        <v>315</v>
      </c>
    </row>
    <row r="22" spans="2:3" ht="28" customHeight="1" x14ac:dyDescent="0.2">
      <c r="B22" s="168" t="s">
        <v>428</v>
      </c>
      <c r="C22" s="241" t="s">
        <v>427</v>
      </c>
    </row>
    <row r="23" spans="2:3" ht="28" customHeight="1" x14ac:dyDescent="0.2">
      <c r="B23" s="168" t="s">
        <v>429</v>
      </c>
      <c r="C23" s="241" t="s">
        <v>427</v>
      </c>
    </row>
    <row r="24" spans="2:3" ht="28" customHeight="1" x14ac:dyDescent="0.2">
      <c r="B24" s="168" t="s">
        <v>430</v>
      </c>
      <c r="C24" s="241" t="s">
        <v>427</v>
      </c>
    </row>
    <row r="25" spans="2:3" ht="28" customHeight="1" x14ac:dyDescent="0.2">
      <c r="B25" s="168" t="s">
        <v>431</v>
      </c>
      <c r="C25" s="241" t="s">
        <v>427</v>
      </c>
    </row>
    <row r="26" spans="2:3" ht="28" customHeight="1" x14ac:dyDescent="0.2">
      <c r="B26" s="168" t="s">
        <v>432</v>
      </c>
      <c r="C26" s="241" t="s">
        <v>427</v>
      </c>
    </row>
    <row r="27" spans="2:3" ht="28" customHeight="1" x14ac:dyDescent="0.2">
      <c r="B27" s="168" t="s">
        <v>433</v>
      </c>
      <c r="C27" s="241" t="s">
        <v>427</v>
      </c>
    </row>
    <row r="28" spans="2:3" ht="28" customHeight="1" x14ac:dyDescent="0.2">
      <c r="B28" s="168" t="s">
        <v>434</v>
      </c>
      <c r="C28" s="241" t="s">
        <v>427</v>
      </c>
    </row>
    <row r="29" spans="2:3" ht="28" customHeight="1" x14ac:dyDescent="0.2">
      <c r="B29" s="168" t="s">
        <v>435</v>
      </c>
      <c r="C29" s="241" t="s">
        <v>427</v>
      </c>
    </row>
    <row r="30" spans="2:3" ht="28" customHeight="1" x14ac:dyDescent="0.2">
      <c r="B30" s="168" t="s">
        <v>436</v>
      </c>
      <c r="C30" s="241" t="s">
        <v>488</v>
      </c>
    </row>
    <row r="31" spans="2:3" ht="28" customHeight="1" x14ac:dyDescent="0.2">
      <c r="B31" s="168" t="s">
        <v>437</v>
      </c>
      <c r="C31" s="241" t="s">
        <v>489</v>
      </c>
    </row>
    <row r="32" spans="2:3" ht="28" customHeight="1" x14ac:dyDescent="0.2">
      <c r="B32" s="168" t="s">
        <v>438</v>
      </c>
      <c r="C32" s="241" t="s">
        <v>489</v>
      </c>
    </row>
    <row r="33" spans="2:3" ht="28" customHeight="1" x14ac:dyDescent="0.2">
      <c r="B33" s="168" t="s">
        <v>439</v>
      </c>
      <c r="C33" s="241" t="s">
        <v>489</v>
      </c>
    </row>
    <row r="34" spans="2:3" ht="28" customHeight="1" x14ac:dyDescent="0.2">
      <c r="B34" s="168" t="s">
        <v>440</v>
      </c>
      <c r="C34" s="241" t="s">
        <v>489</v>
      </c>
    </row>
    <row r="35" spans="2:3" ht="28" customHeight="1" x14ac:dyDescent="0.2">
      <c r="B35" s="168" t="s">
        <v>606</v>
      </c>
      <c r="C35" s="241" t="s">
        <v>607</v>
      </c>
    </row>
    <row r="36" spans="2:3" ht="28" customHeight="1" x14ac:dyDescent="0.2"/>
    <row r="37" spans="2:3" ht="28"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25</v>
      </c>
    </row>
    <row r="4" spans="2:2" x14ac:dyDescent="0.2">
      <c r="B4" s="102" t="s">
        <v>33</v>
      </c>
    </row>
    <row r="5" spans="2:2" x14ac:dyDescent="0.2">
      <c r="B5" s="62"/>
    </row>
    <row r="6" spans="2:2" ht="80" x14ac:dyDescent="0.2">
      <c r="B6" s="104" t="s">
        <v>584</v>
      </c>
    </row>
    <row r="7" spans="2:2" x14ac:dyDescent="0.2">
      <c r="B7" s="118"/>
    </row>
    <row r="8" spans="2:2" x14ac:dyDescent="0.2">
      <c r="B8" s="119" t="s">
        <v>252</v>
      </c>
    </row>
    <row r="9" spans="2:2" x14ac:dyDescent="0.2">
      <c r="B9" s="120"/>
    </row>
    <row r="10" spans="2:2" x14ac:dyDescent="0.2">
      <c r="B10" s="121" t="s">
        <v>441</v>
      </c>
    </row>
    <row r="11" spans="2:2" x14ac:dyDescent="0.2">
      <c r="B11" s="53" t="s">
        <v>442</v>
      </c>
    </row>
    <row r="12" spans="2:2" x14ac:dyDescent="0.2">
      <c r="B12" s="53" t="s">
        <v>443</v>
      </c>
    </row>
    <row r="13" spans="2:2" x14ac:dyDescent="0.2">
      <c r="B13" s="53" t="s">
        <v>444</v>
      </c>
    </row>
    <row r="14" spans="2:2" x14ac:dyDescent="0.2">
      <c r="B14" s="121" t="s">
        <v>445</v>
      </c>
    </row>
    <row r="15" spans="2:2" x14ac:dyDescent="0.2">
      <c r="B15" s="121" t="s">
        <v>446</v>
      </c>
    </row>
    <row r="16" spans="2:2" x14ac:dyDescent="0.2">
      <c r="B16" s="55"/>
    </row>
    <row r="18" spans="2:2" x14ac:dyDescent="0.2">
      <c r="B18" s="102" t="s">
        <v>32</v>
      </c>
    </row>
    <row r="19" spans="2:2" x14ac:dyDescent="0.2">
      <c r="B19" s="62"/>
    </row>
    <row r="20" spans="2:2" ht="112" x14ac:dyDescent="0.2">
      <c r="B20" s="103" t="s">
        <v>253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B8"/>
  <sheetViews>
    <sheetView workbookViewId="0">
      <selection activeCell="AP54" sqref="AP54"/>
    </sheetView>
  </sheetViews>
  <sheetFormatPr baseColWidth="10" defaultColWidth="2.83203125" defaultRowHeight="16" x14ac:dyDescent="0.2"/>
  <cols>
    <col min="1" max="16384" width="2.83203125" style="1"/>
  </cols>
  <sheetData>
    <row r="2" spans="2:80" ht="31" x14ac:dyDescent="0.2">
      <c r="B2" s="108" t="s">
        <v>247</v>
      </c>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5"/>
      <c r="BU2" s="105"/>
      <c r="BV2" s="105"/>
    </row>
    <row r="3" spans="2:80" ht="18" customHeight="1" x14ac:dyDescent="0.2">
      <c r="B3" s="109" t="s">
        <v>93</v>
      </c>
      <c r="C3" s="110"/>
      <c r="D3" s="110"/>
      <c r="E3" s="110"/>
      <c r="F3" s="110"/>
      <c r="G3" s="110"/>
      <c r="H3" s="110"/>
      <c r="I3" s="110"/>
      <c r="J3" s="110"/>
      <c r="K3" s="110"/>
      <c r="L3" s="110"/>
      <c r="M3" s="110"/>
      <c r="N3" s="110"/>
      <c r="O3" s="110"/>
      <c r="P3" s="111"/>
      <c r="Q3" s="105"/>
      <c r="R3" s="105"/>
      <c r="S3" s="105"/>
      <c r="T3" s="105"/>
      <c r="U3" s="105"/>
      <c r="V3" s="105"/>
      <c r="W3" s="105"/>
      <c r="X3" s="105"/>
      <c r="Y3" s="105"/>
      <c r="Z3" s="105"/>
      <c r="AA3" s="105"/>
      <c r="AB3" s="105"/>
      <c r="AC3" s="105"/>
      <c r="AD3" s="105"/>
      <c r="AE3" s="105"/>
      <c r="AF3" s="105"/>
      <c r="AG3" s="105"/>
      <c r="AH3" s="105"/>
      <c r="AI3" s="105"/>
      <c r="AJ3" s="105"/>
      <c r="AK3" s="105"/>
      <c r="AL3" s="105"/>
      <c r="AM3" s="105"/>
      <c r="AN3" s="105"/>
      <c r="AO3" s="105"/>
      <c r="AP3" s="105"/>
      <c r="AQ3" s="105"/>
      <c r="AR3" s="105"/>
      <c r="AS3" s="105"/>
      <c r="AT3" s="105"/>
      <c r="AU3" s="105"/>
      <c r="AV3" s="105"/>
      <c r="AW3" s="105"/>
      <c r="AX3" s="105"/>
      <c r="AY3" s="105"/>
      <c r="AZ3" s="105"/>
      <c r="BA3" s="105"/>
      <c r="BB3" s="105"/>
      <c r="BC3" s="105"/>
      <c r="BD3" s="105"/>
      <c r="BE3" s="105"/>
      <c r="BF3" s="105"/>
      <c r="BG3" s="105"/>
      <c r="BH3" s="105"/>
      <c r="BI3" s="105"/>
      <c r="BJ3" s="105"/>
      <c r="BK3" s="105"/>
      <c r="BL3" s="105"/>
      <c r="BM3" s="105"/>
      <c r="BN3" s="105"/>
      <c r="BO3" s="105"/>
      <c r="BP3" s="105"/>
      <c r="BQ3" s="105"/>
      <c r="BR3" s="105"/>
      <c r="BS3" s="105"/>
      <c r="BT3" s="105"/>
      <c r="BU3" s="105"/>
      <c r="BV3" s="105"/>
    </row>
    <row r="4" spans="2:80" ht="15" customHeight="1" x14ac:dyDescent="0.2">
      <c r="B4" s="112" t="s">
        <v>246</v>
      </c>
      <c r="C4" s="113"/>
      <c r="D4" s="113"/>
      <c r="E4" s="113"/>
      <c r="F4" s="113"/>
      <c r="G4" s="113"/>
      <c r="H4" s="113"/>
      <c r="I4" s="113"/>
      <c r="J4" s="113"/>
      <c r="K4" s="113"/>
      <c r="L4" s="113"/>
      <c r="M4" s="113"/>
      <c r="N4" s="113"/>
      <c r="O4" s="113"/>
      <c r="P4" s="114"/>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6"/>
      <c r="BI4" s="106"/>
      <c r="BJ4" s="106"/>
      <c r="BK4" s="106"/>
      <c r="BL4" s="106"/>
      <c r="BM4" s="106"/>
      <c r="BN4" s="106"/>
      <c r="BO4" s="106"/>
      <c r="BP4" s="106"/>
      <c r="BQ4" s="106"/>
      <c r="BR4" s="106"/>
      <c r="BS4" s="106"/>
      <c r="BT4" s="106"/>
      <c r="BU4" s="106"/>
      <c r="BV4" s="106"/>
    </row>
    <row r="5" spans="2:80" ht="15" customHeight="1" x14ac:dyDescent="0.2">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107"/>
      <c r="BC5" s="107"/>
      <c r="BD5" s="107"/>
      <c r="BE5" s="107"/>
      <c r="BF5" s="107"/>
      <c r="BG5" s="107"/>
      <c r="BH5" s="107"/>
      <c r="BI5" s="107"/>
      <c r="BJ5" s="107"/>
      <c r="BK5" s="107"/>
      <c r="BL5" s="107"/>
      <c r="BM5" s="107"/>
      <c r="BN5" s="107"/>
      <c r="BO5" s="107"/>
      <c r="BP5" s="107"/>
      <c r="BQ5" s="107"/>
      <c r="BR5" s="107"/>
      <c r="BS5" s="107"/>
      <c r="BT5" s="107"/>
      <c r="BU5" s="107"/>
      <c r="BV5" s="107"/>
    </row>
    <row r="6" spans="2:80" ht="24" x14ac:dyDescent="0.2">
      <c r="B6" s="107"/>
      <c r="C6" s="122" t="s">
        <v>243</v>
      </c>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M6" s="107"/>
      <c r="AN6" s="122" t="s">
        <v>244</v>
      </c>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c r="BP6" s="107"/>
      <c r="BR6" s="107"/>
      <c r="BS6" s="107"/>
      <c r="BT6" s="107"/>
      <c r="BU6" s="122" t="s">
        <v>245</v>
      </c>
    </row>
    <row r="8" spans="2:80" x14ac:dyDescent="0.2">
      <c r="CB8" s="1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D133"/>
  <sheetViews>
    <sheetView topLeftCell="A59" workbookViewId="0">
      <selection activeCell="B75" sqref="B75"/>
    </sheetView>
  </sheetViews>
  <sheetFormatPr baseColWidth="10" defaultRowHeight="16" x14ac:dyDescent="0.2"/>
  <cols>
    <col min="1" max="1" width="10.83203125" style="1"/>
    <col min="2" max="2" width="25.5" style="1" customWidth="1"/>
    <col min="3" max="3" width="77.83203125" style="1" customWidth="1"/>
    <col min="4" max="4" width="78.33203125" style="1" customWidth="1"/>
    <col min="5" max="16384" width="10.83203125" style="1"/>
  </cols>
  <sheetData>
    <row r="2" spans="2:4" ht="21" x14ac:dyDescent="0.25">
      <c r="B2" s="2" t="s">
        <v>26</v>
      </c>
      <c r="C2" s="2"/>
    </row>
    <row r="4" spans="2:4" x14ac:dyDescent="0.2">
      <c r="B4" s="3" t="s">
        <v>93</v>
      </c>
      <c r="C4" s="5"/>
    </row>
    <row r="5" spans="2:4" ht="90" customHeight="1" x14ac:dyDescent="0.2">
      <c r="B5" s="372" t="s">
        <v>335</v>
      </c>
      <c r="C5" s="373"/>
    </row>
    <row r="6" spans="2:4" ht="17" thickBot="1" x14ac:dyDescent="0.25"/>
    <row r="7" spans="2:4" x14ac:dyDescent="0.2">
      <c r="B7" s="25" t="s">
        <v>34</v>
      </c>
      <c r="C7" s="26"/>
      <c r="D7" s="27"/>
    </row>
    <row r="8" spans="2:4" x14ac:dyDescent="0.2">
      <c r="B8" s="28"/>
      <c r="D8" s="29"/>
    </row>
    <row r="9" spans="2:4" x14ac:dyDescent="0.2">
      <c r="B9" s="30" t="s">
        <v>35</v>
      </c>
      <c r="C9" s="31" t="s">
        <v>36</v>
      </c>
      <c r="D9" s="32" t="s">
        <v>37</v>
      </c>
    </row>
    <row r="10" spans="2:4" x14ac:dyDescent="0.2">
      <c r="B10" s="28" t="s">
        <v>38</v>
      </c>
      <c r="C10" s="14"/>
      <c r="D10" s="34"/>
    </row>
    <row r="11" spans="2:4" ht="96" x14ac:dyDescent="0.2">
      <c r="B11" s="28"/>
      <c r="C11" s="37" t="s">
        <v>320</v>
      </c>
      <c r="D11" s="39"/>
    </row>
    <row r="12" spans="2:4" ht="48" x14ac:dyDescent="0.2">
      <c r="B12" s="28"/>
      <c r="C12" s="37" t="s">
        <v>317</v>
      </c>
      <c r="D12" s="39"/>
    </row>
    <row r="13" spans="2:4" ht="32" x14ac:dyDescent="0.2">
      <c r="B13" s="36"/>
      <c r="C13" s="89" t="s">
        <v>321</v>
      </c>
      <c r="D13" s="38"/>
    </row>
    <row r="14" spans="2:4" x14ac:dyDescent="0.2">
      <c r="B14" s="36"/>
      <c r="C14" s="89" t="s">
        <v>233</v>
      </c>
      <c r="D14" s="38"/>
    </row>
    <row r="15" spans="2:4" ht="47" customHeight="1" x14ac:dyDescent="0.2">
      <c r="B15" s="36"/>
      <c r="C15" s="89" t="s">
        <v>407</v>
      </c>
      <c r="D15" s="38"/>
    </row>
    <row r="16" spans="2:4" ht="47" customHeight="1" x14ac:dyDescent="0.2">
      <c r="B16" s="36"/>
      <c r="C16" s="89" t="s">
        <v>493</v>
      </c>
      <c r="D16" s="38"/>
    </row>
    <row r="17" spans="2:4" ht="14" customHeight="1" x14ac:dyDescent="0.2">
      <c r="B17" s="36"/>
      <c r="C17" t="s">
        <v>397</v>
      </c>
      <c r="D17" s="38" t="s">
        <v>497</v>
      </c>
    </row>
    <row r="18" spans="2:4" ht="14" customHeight="1" x14ac:dyDescent="0.2">
      <c r="B18" s="36"/>
      <c r="C18" t="s">
        <v>395</v>
      </c>
      <c r="D18" s="38" t="s">
        <v>497</v>
      </c>
    </row>
    <row r="19" spans="2:4" ht="17" thickBot="1" x14ac:dyDescent="0.25">
      <c r="B19" s="45"/>
      <c r="C19" s="130"/>
      <c r="D19" s="131"/>
    </row>
    <row r="20" spans="2:4" ht="17" thickBot="1" x14ac:dyDescent="0.25">
      <c r="C20" s="90"/>
      <c r="D20" s="91"/>
    </row>
    <row r="21" spans="2:4" x14ac:dyDescent="0.2">
      <c r="B21" s="25" t="s">
        <v>235</v>
      </c>
      <c r="C21" s="26"/>
      <c r="D21" s="27"/>
    </row>
    <row r="22" spans="2:4" x14ac:dyDescent="0.2">
      <c r="B22" s="28"/>
      <c r="D22" s="29"/>
    </row>
    <row r="23" spans="2:4" x14ac:dyDescent="0.2">
      <c r="B23" s="30" t="s">
        <v>35</v>
      </c>
      <c r="C23" s="31" t="s">
        <v>36</v>
      </c>
      <c r="D23" s="32" t="s">
        <v>255</v>
      </c>
    </row>
    <row r="24" spans="2:4" x14ac:dyDescent="0.2">
      <c r="B24" s="35" t="s">
        <v>100</v>
      </c>
      <c r="C24" s="14"/>
      <c r="D24" s="34"/>
    </row>
    <row r="25" spans="2:4" x14ac:dyDescent="0.2">
      <c r="B25" s="36"/>
      <c r="C25" s="42" t="s">
        <v>256</v>
      </c>
      <c r="D25" s="38" t="s">
        <v>259</v>
      </c>
    </row>
    <row r="26" spans="2:4" x14ac:dyDescent="0.2">
      <c r="B26" s="36"/>
      <c r="C26" s="42" t="s">
        <v>257</v>
      </c>
      <c r="D26" s="38" t="s">
        <v>259</v>
      </c>
    </row>
    <row r="27" spans="2:4" x14ac:dyDescent="0.2">
      <c r="B27" s="36"/>
      <c r="C27" s="42" t="s">
        <v>258</v>
      </c>
      <c r="D27" s="38" t="s">
        <v>259</v>
      </c>
    </row>
    <row r="28" spans="2:4" x14ac:dyDescent="0.2">
      <c r="B28" s="36"/>
      <c r="C28" s="129"/>
      <c r="D28" s="123"/>
    </row>
    <row r="29" spans="2:4" x14ac:dyDescent="0.2">
      <c r="B29" s="124" t="s">
        <v>90</v>
      </c>
      <c r="C29" s="128"/>
      <c r="D29" s="125"/>
    </row>
    <row r="30" spans="2:4" x14ac:dyDescent="0.2">
      <c r="B30" s="28"/>
      <c r="C30" t="s">
        <v>109</v>
      </c>
      <c r="D30" s="40" t="s">
        <v>260</v>
      </c>
    </row>
    <row r="31" spans="2:4" x14ac:dyDescent="0.2">
      <c r="B31" s="35"/>
      <c r="C31" t="s">
        <v>105</v>
      </c>
      <c r="D31" s="40" t="s">
        <v>260</v>
      </c>
    </row>
    <row r="32" spans="2:4" x14ac:dyDescent="0.2">
      <c r="B32" s="28"/>
      <c r="C32" t="s">
        <v>107</v>
      </c>
      <c r="D32" s="40" t="s">
        <v>260</v>
      </c>
    </row>
    <row r="33" spans="2:4" x14ac:dyDescent="0.2">
      <c r="B33" s="28"/>
      <c r="C33" t="s">
        <v>110</v>
      </c>
      <c r="D33" s="40" t="s">
        <v>260</v>
      </c>
    </row>
    <row r="34" spans="2:4" x14ac:dyDescent="0.2">
      <c r="B34" s="28"/>
      <c r="C34" t="s">
        <v>108</v>
      </c>
      <c r="D34" s="40" t="s">
        <v>260</v>
      </c>
    </row>
    <row r="35" spans="2:4" x14ac:dyDescent="0.2">
      <c r="B35" s="28"/>
      <c r="C35" t="s">
        <v>106</v>
      </c>
      <c r="D35" s="40" t="s">
        <v>260</v>
      </c>
    </row>
    <row r="36" spans="2:4" x14ac:dyDescent="0.2">
      <c r="B36" s="28"/>
      <c r="D36" s="29"/>
    </row>
    <row r="37" spans="2:4" x14ac:dyDescent="0.2">
      <c r="B37" s="47" t="s">
        <v>103</v>
      </c>
      <c r="C37" s="4"/>
      <c r="D37" s="126"/>
    </row>
    <row r="38" spans="2:4" x14ac:dyDescent="0.2">
      <c r="B38" s="28"/>
      <c r="C38" s="127" t="s">
        <v>111</v>
      </c>
      <c r="D38" s="40" t="s">
        <v>260</v>
      </c>
    </row>
    <row r="39" spans="2:4" x14ac:dyDescent="0.2">
      <c r="B39" s="28"/>
      <c r="C39" t="s">
        <v>112</v>
      </c>
      <c r="D39" s="40" t="s">
        <v>260</v>
      </c>
    </row>
    <row r="40" spans="2:4" x14ac:dyDescent="0.2">
      <c r="B40" s="28"/>
      <c r="C40" s="127" t="s">
        <v>113</v>
      </c>
      <c r="D40" s="40" t="s">
        <v>260</v>
      </c>
    </row>
    <row r="41" spans="2:4" x14ac:dyDescent="0.2">
      <c r="B41" s="28"/>
      <c r="D41" s="29"/>
    </row>
    <row r="42" spans="2:4" x14ac:dyDescent="0.2">
      <c r="B42" s="47" t="s">
        <v>89</v>
      </c>
      <c r="C42" s="4"/>
      <c r="D42" s="126"/>
    </row>
    <row r="43" spans="2:4" x14ac:dyDescent="0.2">
      <c r="B43" s="28"/>
      <c r="C43" s="127" t="s">
        <v>229</v>
      </c>
      <c r="D43" s="40" t="s">
        <v>260</v>
      </c>
    </row>
    <row r="44" spans="2:4" x14ac:dyDescent="0.2">
      <c r="B44" s="28"/>
      <c r="C44" t="s">
        <v>230</v>
      </c>
      <c r="D44" s="40" t="s">
        <v>260</v>
      </c>
    </row>
    <row r="45" spans="2:4" x14ac:dyDescent="0.2">
      <c r="B45" s="28"/>
      <c r="C45" t="s">
        <v>329</v>
      </c>
      <c r="D45" s="40" t="s">
        <v>260</v>
      </c>
    </row>
    <row r="46" spans="2:4" x14ac:dyDescent="0.2">
      <c r="B46" s="28"/>
      <c r="C46" t="s">
        <v>231</v>
      </c>
      <c r="D46" s="40" t="s">
        <v>260</v>
      </c>
    </row>
    <row r="47" spans="2:4" x14ac:dyDescent="0.2">
      <c r="B47" s="28"/>
      <c r="C47" t="s">
        <v>232</v>
      </c>
      <c r="D47" s="40" t="s">
        <v>260</v>
      </c>
    </row>
    <row r="48" spans="2:4" x14ac:dyDescent="0.2">
      <c r="B48" s="28"/>
      <c r="D48" s="29"/>
    </row>
    <row r="49" spans="2:4" x14ac:dyDescent="0.2">
      <c r="B49" s="47" t="s">
        <v>91</v>
      </c>
      <c r="C49" s="4"/>
      <c r="D49" s="126"/>
    </row>
    <row r="50" spans="2:4" x14ac:dyDescent="0.2">
      <c r="B50" s="35"/>
      <c r="C50" s="127" t="s">
        <v>114</v>
      </c>
      <c r="D50" s="40" t="s">
        <v>260</v>
      </c>
    </row>
    <row r="51" spans="2:4" x14ac:dyDescent="0.2">
      <c r="B51" s="28"/>
      <c r="C51" s="127" t="s">
        <v>115</v>
      </c>
      <c r="D51" s="40" t="s">
        <v>260</v>
      </c>
    </row>
    <row r="52" spans="2:4" x14ac:dyDescent="0.2">
      <c r="B52" s="28"/>
      <c r="C52" s="127" t="s">
        <v>116</v>
      </c>
      <c r="D52" s="40" t="s">
        <v>260</v>
      </c>
    </row>
    <row r="53" spans="2:4" x14ac:dyDescent="0.2">
      <c r="B53" s="28"/>
      <c r="C53" s="127" t="s">
        <v>117</v>
      </c>
      <c r="D53" s="40" t="s">
        <v>260</v>
      </c>
    </row>
    <row r="54" spans="2:4" ht="17" thickBot="1" x14ac:dyDescent="0.25">
      <c r="B54" s="45"/>
      <c r="C54" s="94"/>
      <c r="D54" s="95"/>
    </row>
    <row r="55" spans="2:4" ht="17" thickBot="1" x14ac:dyDescent="0.25"/>
    <row r="56" spans="2:4" x14ac:dyDescent="0.2">
      <c r="B56" s="25" t="s">
        <v>262</v>
      </c>
      <c r="C56" s="27"/>
    </row>
    <row r="57" spans="2:4" x14ac:dyDescent="0.2">
      <c r="B57" s="28"/>
      <c r="C57" s="29"/>
    </row>
    <row r="58" spans="2:4" x14ac:dyDescent="0.2">
      <c r="B58" s="30" t="s">
        <v>516</v>
      </c>
      <c r="C58" s="132" t="s">
        <v>263</v>
      </c>
    </row>
    <row r="59" spans="2:4" x14ac:dyDescent="0.2">
      <c r="B59" s="33"/>
      <c r="C59" s="34"/>
    </row>
    <row r="60" spans="2:4" x14ac:dyDescent="0.2">
      <c r="B60" s="35" t="s">
        <v>264</v>
      </c>
      <c r="C60" s="40" t="s">
        <v>39</v>
      </c>
    </row>
    <row r="61" spans="2:4" x14ac:dyDescent="0.2">
      <c r="B61" s="28"/>
      <c r="C61" s="40" t="s">
        <v>40</v>
      </c>
    </row>
    <row r="62" spans="2:4" x14ac:dyDescent="0.2">
      <c r="B62" s="28"/>
      <c r="C62" s="40" t="s">
        <v>41</v>
      </c>
    </row>
    <row r="63" spans="2:4" x14ac:dyDescent="0.2">
      <c r="B63" s="28"/>
      <c r="C63" s="40" t="s">
        <v>42</v>
      </c>
    </row>
    <row r="64" spans="2:4" x14ac:dyDescent="0.2">
      <c r="B64" s="28"/>
      <c r="C64" s="40" t="s">
        <v>43</v>
      </c>
    </row>
    <row r="65" spans="2:3" x14ac:dyDescent="0.2">
      <c r="B65" s="28"/>
      <c r="C65" s="40" t="s">
        <v>44</v>
      </c>
    </row>
    <row r="66" spans="2:3" x14ac:dyDescent="0.2">
      <c r="B66" s="28"/>
      <c r="C66" s="133" t="s">
        <v>45</v>
      </c>
    </row>
    <row r="67" spans="2:3" x14ac:dyDescent="0.2">
      <c r="B67" s="48"/>
      <c r="C67" s="133" t="s">
        <v>55</v>
      </c>
    </row>
    <row r="68" spans="2:3" x14ac:dyDescent="0.2">
      <c r="B68" s="28"/>
      <c r="C68" s="40" t="s">
        <v>46</v>
      </c>
    </row>
    <row r="69" spans="2:3" x14ac:dyDescent="0.2">
      <c r="B69" s="28"/>
      <c r="C69" s="40" t="s">
        <v>47</v>
      </c>
    </row>
    <row r="70" spans="2:3" x14ac:dyDescent="0.2">
      <c r="B70" s="28"/>
      <c r="C70" s="40" t="s">
        <v>48</v>
      </c>
    </row>
    <row r="71" spans="2:3" x14ac:dyDescent="0.2">
      <c r="B71" s="28"/>
      <c r="C71" s="40" t="s">
        <v>49</v>
      </c>
    </row>
    <row r="72" spans="2:3" x14ac:dyDescent="0.2">
      <c r="B72" s="28"/>
      <c r="C72" s="40" t="s">
        <v>50</v>
      </c>
    </row>
    <row r="73" spans="2:3" x14ac:dyDescent="0.2">
      <c r="B73" s="41"/>
      <c r="C73" s="44"/>
    </row>
    <row r="74" spans="2:3" x14ac:dyDescent="0.2">
      <c r="B74" s="35" t="s">
        <v>581</v>
      </c>
      <c r="C74" s="40" t="s">
        <v>265</v>
      </c>
    </row>
    <row r="75" spans="2:3" x14ac:dyDescent="0.2">
      <c r="B75" s="35"/>
      <c r="C75" s="40" t="s">
        <v>82</v>
      </c>
    </row>
    <row r="76" spans="2:3" x14ac:dyDescent="0.2">
      <c r="B76" s="134"/>
      <c r="C76" s="44"/>
    </row>
    <row r="77" spans="2:3" x14ac:dyDescent="0.2">
      <c r="B77" s="35" t="s">
        <v>266</v>
      </c>
      <c r="C77" s="40" t="s">
        <v>56</v>
      </c>
    </row>
    <row r="78" spans="2:3" x14ac:dyDescent="0.2">
      <c r="B78" s="35"/>
      <c r="C78" s="40" t="s">
        <v>57</v>
      </c>
    </row>
    <row r="79" spans="2:3" x14ac:dyDescent="0.2">
      <c r="B79" s="28"/>
      <c r="C79" s="40" t="s">
        <v>58</v>
      </c>
    </row>
    <row r="80" spans="2:3" x14ac:dyDescent="0.2">
      <c r="B80" s="28"/>
      <c r="C80" s="40" t="s">
        <v>59</v>
      </c>
    </row>
    <row r="81" spans="2:3" x14ac:dyDescent="0.2">
      <c r="B81" s="28"/>
      <c r="C81" s="40" t="s">
        <v>60</v>
      </c>
    </row>
    <row r="82" spans="2:3" x14ac:dyDescent="0.2">
      <c r="B82" s="28"/>
      <c r="C82" s="40" t="s">
        <v>61</v>
      </c>
    </row>
    <row r="83" spans="2:3" x14ac:dyDescent="0.2">
      <c r="B83" s="28"/>
      <c r="C83" s="40" t="s">
        <v>62</v>
      </c>
    </row>
    <row r="84" spans="2:3" x14ac:dyDescent="0.2">
      <c r="B84" s="28"/>
      <c r="C84" s="40" t="s">
        <v>63</v>
      </c>
    </row>
    <row r="85" spans="2:3" x14ac:dyDescent="0.2">
      <c r="B85" s="28"/>
      <c r="C85" s="40" t="s">
        <v>64</v>
      </c>
    </row>
    <row r="86" spans="2:3" x14ac:dyDescent="0.2">
      <c r="B86" s="28"/>
      <c r="C86" s="40" t="s">
        <v>65</v>
      </c>
    </row>
    <row r="87" spans="2:3" x14ac:dyDescent="0.2">
      <c r="B87" s="28"/>
      <c r="C87" s="40" t="s">
        <v>66</v>
      </c>
    </row>
    <row r="88" spans="2:3" x14ac:dyDescent="0.2">
      <c r="B88" s="28"/>
      <c r="C88" s="40" t="s">
        <v>67</v>
      </c>
    </row>
    <row r="89" spans="2:3" x14ac:dyDescent="0.2">
      <c r="B89" s="28"/>
      <c r="C89" s="40" t="s">
        <v>68</v>
      </c>
    </row>
    <row r="90" spans="2:3" x14ac:dyDescent="0.2">
      <c r="B90" s="28"/>
      <c r="C90" s="40" t="s">
        <v>69</v>
      </c>
    </row>
    <row r="91" spans="2:3" x14ac:dyDescent="0.2">
      <c r="B91" s="28"/>
      <c r="C91" s="40" t="s">
        <v>70</v>
      </c>
    </row>
    <row r="92" spans="2:3" x14ac:dyDescent="0.2">
      <c r="B92" s="28"/>
      <c r="C92" s="40" t="s">
        <v>71</v>
      </c>
    </row>
    <row r="93" spans="2:3" x14ac:dyDescent="0.2">
      <c r="B93" s="28"/>
      <c r="C93" s="40" t="s">
        <v>72</v>
      </c>
    </row>
    <row r="94" spans="2:3" x14ac:dyDescent="0.2">
      <c r="B94" s="28"/>
      <c r="C94" s="40" t="s">
        <v>73</v>
      </c>
    </row>
    <row r="95" spans="2:3" x14ac:dyDescent="0.2">
      <c r="B95" s="28"/>
      <c r="C95" s="40" t="s">
        <v>74</v>
      </c>
    </row>
    <row r="96" spans="2:3" x14ac:dyDescent="0.2">
      <c r="B96" s="28"/>
      <c r="C96" s="40" t="s">
        <v>75</v>
      </c>
    </row>
    <row r="97" spans="2:3" x14ac:dyDescent="0.2">
      <c r="B97" s="28"/>
      <c r="C97" s="40" t="s">
        <v>76</v>
      </c>
    </row>
    <row r="98" spans="2:3" x14ac:dyDescent="0.2">
      <c r="B98" s="28"/>
      <c r="C98" s="40" t="s">
        <v>77</v>
      </c>
    </row>
    <row r="99" spans="2:3" x14ac:dyDescent="0.2">
      <c r="B99" s="28"/>
      <c r="C99" s="40" t="s">
        <v>78</v>
      </c>
    </row>
    <row r="100" spans="2:3" x14ac:dyDescent="0.2">
      <c r="B100" s="41"/>
      <c r="C100" s="44"/>
    </row>
    <row r="101" spans="2:3" x14ac:dyDescent="0.2">
      <c r="B101" s="35" t="s">
        <v>267</v>
      </c>
      <c r="C101" s="40" t="s">
        <v>86</v>
      </c>
    </row>
    <row r="102" spans="2:3" x14ac:dyDescent="0.2">
      <c r="B102" s="28"/>
      <c r="C102" s="40" t="s">
        <v>87</v>
      </c>
    </row>
    <row r="103" spans="2:3" x14ac:dyDescent="0.2">
      <c r="B103" s="28"/>
      <c r="C103" s="40"/>
    </row>
    <row r="104" spans="2:3" x14ac:dyDescent="0.2">
      <c r="B104" s="47" t="s">
        <v>276</v>
      </c>
      <c r="C104" s="139" t="s">
        <v>276</v>
      </c>
    </row>
    <row r="105" spans="2:3" x14ac:dyDescent="0.2">
      <c r="B105" s="35"/>
      <c r="C105" s="40"/>
    </row>
    <row r="106" spans="2:3" x14ac:dyDescent="0.2">
      <c r="B106" s="47" t="s">
        <v>148</v>
      </c>
      <c r="C106" s="139" t="s">
        <v>148</v>
      </c>
    </row>
    <row r="107" spans="2:3" x14ac:dyDescent="0.2">
      <c r="B107" s="35"/>
      <c r="C107" s="40"/>
    </row>
    <row r="108" spans="2:3" x14ac:dyDescent="0.2">
      <c r="B108" s="47" t="s">
        <v>147</v>
      </c>
      <c r="C108" s="139" t="s">
        <v>147</v>
      </c>
    </row>
    <row r="109" spans="2:3" x14ac:dyDescent="0.2">
      <c r="B109" s="134"/>
      <c r="C109" s="44"/>
    </row>
    <row r="110" spans="2:3" x14ac:dyDescent="0.2">
      <c r="B110" s="48" t="s">
        <v>92</v>
      </c>
      <c r="C110" s="40" t="s">
        <v>51</v>
      </c>
    </row>
    <row r="111" spans="2:3" x14ac:dyDescent="0.2">
      <c r="B111" s="28"/>
      <c r="C111" s="40" t="s">
        <v>52</v>
      </c>
    </row>
    <row r="112" spans="2:3" x14ac:dyDescent="0.2">
      <c r="B112" s="28"/>
      <c r="C112" s="40" t="s">
        <v>53</v>
      </c>
    </row>
    <row r="113" spans="2:3" x14ac:dyDescent="0.2">
      <c r="B113" s="28"/>
      <c r="C113" s="40" t="s">
        <v>54</v>
      </c>
    </row>
    <row r="114" spans="2:3" x14ac:dyDescent="0.2">
      <c r="B114" s="35"/>
      <c r="C114" s="40" t="s">
        <v>79</v>
      </c>
    </row>
    <row r="115" spans="2:3" x14ac:dyDescent="0.2">
      <c r="B115" s="35"/>
      <c r="C115" s="40" t="s">
        <v>80</v>
      </c>
    </row>
    <row r="116" spans="2:3" x14ac:dyDescent="0.2">
      <c r="B116" s="35"/>
      <c r="C116" s="40" t="s">
        <v>81</v>
      </c>
    </row>
    <row r="117" spans="2:3" x14ac:dyDescent="0.2">
      <c r="B117" s="35"/>
      <c r="C117" s="40" t="s">
        <v>82</v>
      </c>
    </row>
    <row r="118" spans="2:3" x14ac:dyDescent="0.2">
      <c r="B118" s="35"/>
      <c r="C118" s="40" t="s">
        <v>83</v>
      </c>
    </row>
    <row r="119" spans="2:3" x14ac:dyDescent="0.2">
      <c r="B119" s="35"/>
      <c r="C119" s="40" t="s">
        <v>84</v>
      </c>
    </row>
    <row r="120" spans="2:3" x14ac:dyDescent="0.2">
      <c r="B120" s="35"/>
      <c r="C120" s="40" t="s">
        <v>85</v>
      </c>
    </row>
    <row r="121" spans="2:3" x14ac:dyDescent="0.2">
      <c r="B121" s="28"/>
      <c r="C121" s="40" t="s">
        <v>137</v>
      </c>
    </row>
    <row r="122" spans="2:3" x14ac:dyDescent="0.2">
      <c r="B122" s="28"/>
      <c r="C122" s="40" t="s">
        <v>140</v>
      </c>
    </row>
    <row r="123" spans="2:3" x14ac:dyDescent="0.2">
      <c r="B123" s="28"/>
      <c r="C123" s="40" t="s">
        <v>141</v>
      </c>
    </row>
    <row r="124" spans="2:3" x14ac:dyDescent="0.2">
      <c r="B124" s="35"/>
      <c r="C124" s="40" t="s">
        <v>142</v>
      </c>
    </row>
    <row r="125" spans="2:3" x14ac:dyDescent="0.2">
      <c r="B125" s="35"/>
      <c r="C125" s="40" t="s">
        <v>277</v>
      </c>
    </row>
    <row r="126" spans="2:3" x14ac:dyDescent="0.2">
      <c r="B126" s="35"/>
      <c r="C126" s="40" t="s">
        <v>145</v>
      </c>
    </row>
    <row r="127" spans="2:3" x14ac:dyDescent="0.2">
      <c r="B127" s="35"/>
      <c r="C127" s="40" t="s">
        <v>146</v>
      </c>
    </row>
    <row r="128" spans="2:3" x14ac:dyDescent="0.2">
      <c r="B128" s="35"/>
      <c r="C128" s="40" t="s">
        <v>138</v>
      </c>
    </row>
    <row r="129" spans="2:3" x14ac:dyDescent="0.2">
      <c r="B129" s="35"/>
      <c r="C129" s="40" t="s">
        <v>139</v>
      </c>
    </row>
    <row r="130" spans="2:3" ht="17" x14ac:dyDescent="0.2">
      <c r="B130" s="28"/>
      <c r="C130" s="39" t="s">
        <v>31</v>
      </c>
    </row>
    <row r="131" spans="2:3" ht="17" thickBot="1" x14ac:dyDescent="0.25">
      <c r="B131" s="45"/>
      <c r="C131" s="49"/>
    </row>
    <row r="133" spans="2:3" x14ac:dyDescent="0.2">
      <c r="B133" s="1" t="s">
        <v>290</v>
      </c>
      <c r="C133" s="1">
        <v>3.6</v>
      </c>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S71"/>
  <sheetViews>
    <sheetView tabSelected="1" workbookViewId="0">
      <selection activeCell="L59" sqref="L59"/>
    </sheetView>
  </sheetViews>
  <sheetFormatPr baseColWidth="10" defaultRowHeight="16" x14ac:dyDescent="0.2"/>
  <cols>
    <col min="1" max="1" width="10.83203125" style="1"/>
    <col min="2" max="2" width="17.1640625" style="1" customWidth="1"/>
    <col min="3" max="3" width="76.1640625" style="1" customWidth="1"/>
    <col min="4" max="4" width="5.33203125" style="1" customWidth="1"/>
    <col min="5" max="5" width="11.1640625" style="1" customWidth="1"/>
    <col min="6" max="6" width="2.6640625" style="1" customWidth="1"/>
    <col min="7" max="7" width="31.6640625" style="213" customWidth="1"/>
    <col min="8" max="8" width="3.33203125" style="213" customWidth="1"/>
    <col min="9" max="9" width="32.5" style="1" customWidth="1"/>
    <col min="10" max="10" width="4.33203125" style="1" customWidth="1"/>
    <col min="11" max="11" width="61" style="1" bestFit="1" customWidth="1"/>
    <col min="12" max="12" width="9.1640625" style="1" customWidth="1"/>
    <col min="13" max="13" width="110" style="1" customWidth="1"/>
    <col min="14" max="14" width="10.83203125" style="1"/>
    <col min="15" max="15" width="55" style="1" bestFit="1" customWidth="1"/>
    <col min="16" max="16" width="12.1640625" style="1" bestFit="1" customWidth="1"/>
    <col min="17" max="16384" width="10.83203125" style="1"/>
  </cols>
  <sheetData>
    <row r="2" spans="2:16" ht="21" x14ac:dyDescent="0.25">
      <c r="B2" s="2" t="s">
        <v>28</v>
      </c>
      <c r="K2" s="196" t="s">
        <v>413</v>
      </c>
      <c r="L2" s="12"/>
      <c r="M2" s="5"/>
    </row>
    <row r="3" spans="2:16" ht="21" x14ac:dyDescent="0.25">
      <c r="B3" s="2"/>
      <c r="K3" s="198"/>
      <c r="M3" s="7"/>
    </row>
    <row r="4" spans="2:16" x14ac:dyDescent="0.2">
      <c r="B4" s="50" t="s">
        <v>93</v>
      </c>
      <c r="C4" s="4"/>
      <c r="D4" s="4"/>
      <c r="E4" s="5"/>
      <c r="K4" s="199"/>
      <c r="M4" s="7"/>
    </row>
    <row r="5" spans="2:16" ht="45" customHeight="1" x14ac:dyDescent="0.2">
      <c r="B5" s="372" t="s">
        <v>322</v>
      </c>
      <c r="C5" s="374"/>
      <c r="D5" s="374"/>
      <c r="E5" s="373"/>
      <c r="K5" s="197"/>
      <c r="L5" s="9"/>
      <c r="M5" s="10"/>
    </row>
    <row r="6" spans="2:16" ht="17" thickBot="1" x14ac:dyDescent="0.25"/>
    <row r="7" spans="2:16" x14ac:dyDescent="0.2">
      <c r="B7" s="25" t="s">
        <v>26</v>
      </c>
      <c r="C7" s="51"/>
      <c r="D7" s="51"/>
      <c r="E7" s="51"/>
      <c r="F7" s="51"/>
      <c r="G7" s="215"/>
      <c r="H7" s="215"/>
      <c r="I7" s="51"/>
      <c r="J7" s="226"/>
      <c r="K7" s="149" t="s">
        <v>94</v>
      </c>
      <c r="L7" s="51"/>
      <c r="M7" s="27"/>
      <c r="O7" s="219"/>
      <c r="P7" s="220"/>
    </row>
    <row r="8" spans="2:16" x14ac:dyDescent="0.2">
      <c r="B8" s="28"/>
      <c r="J8" s="7"/>
      <c r="K8" s="17"/>
      <c r="M8" s="29"/>
      <c r="O8" s="199"/>
      <c r="P8" s="221"/>
    </row>
    <row r="9" spans="2:16" x14ac:dyDescent="0.2">
      <c r="B9" s="30" t="s">
        <v>95</v>
      </c>
      <c r="C9" s="31" t="s">
        <v>36</v>
      </c>
      <c r="D9" s="31" t="s">
        <v>97</v>
      </c>
      <c r="E9" s="31" t="s">
        <v>96</v>
      </c>
      <c r="F9" s="31"/>
      <c r="G9" s="31" t="s">
        <v>523</v>
      </c>
      <c r="H9" s="31"/>
      <c r="I9" s="31" t="s">
        <v>37</v>
      </c>
      <c r="J9" s="31"/>
      <c r="K9" s="296" t="s">
        <v>98</v>
      </c>
      <c r="L9" s="52" t="s">
        <v>99</v>
      </c>
      <c r="M9" s="132" t="s">
        <v>93</v>
      </c>
      <c r="O9" s="222" t="s">
        <v>423</v>
      </c>
      <c r="P9" s="223" t="s">
        <v>424</v>
      </c>
    </row>
    <row r="10" spans="2:16" x14ac:dyDescent="0.2">
      <c r="B10" s="35" t="s">
        <v>38</v>
      </c>
      <c r="C10" s="14"/>
      <c r="D10" s="14"/>
      <c r="E10" s="14"/>
      <c r="F10" s="14"/>
      <c r="G10" s="216"/>
      <c r="H10" s="216"/>
      <c r="I10" s="14"/>
      <c r="J10" s="15"/>
      <c r="K10" s="340" t="s">
        <v>553</v>
      </c>
      <c r="L10" s="341" t="b">
        <f>IF(COUNTIF(P:P,0)+COUNTIF(P:P,FALSE)=0,TRUE,FALSE)</f>
        <v>0</v>
      </c>
      <c r="M10" s="63"/>
      <c r="O10" s="219"/>
      <c r="P10" s="220"/>
    </row>
    <row r="11" spans="2:16" x14ac:dyDescent="0.2">
      <c r="B11" s="33"/>
      <c r="C11" s="58" t="s">
        <v>333</v>
      </c>
      <c r="D11" s="58"/>
      <c r="E11" s="127"/>
      <c r="F11" s="14"/>
      <c r="G11" s="218" t="s">
        <v>425</v>
      </c>
      <c r="H11" s="216"/>
      <c r="I11" s="14"/>
      <c r="J11" s="15"/>
      <c r="K11" s="62" t="s">
        <v>286</v>
      </c>
      <c r="L11" s="348" t="b">
        <f>IF(COUNTBLANK(E11:E64)-COUNTBLANK(C11:C64)=3,TRUE,FALSE)</f>
        <v>0</v>
      </c>
      <c r="M11" s="63"/>
      <c r="O11" s="199" t="s">
        <v>425</v>
      </c>
      <c r="P11" s="221">
        <f>IF(L11=TRUE,1,0)</f>
        <v>0</v>
      </c>
    </row>
    <row r="12" spans="2:16" x14ac:dyDescent="0.2">
      <c r="B12" s="33"/>
      <c r="C12" s="58" t="s">
        <v>412</v>
      </c>
      <c r="D12" s="58"/>
      <c r="E12" s="127"/>
      <c r="F12" s="14"/>
      <c r="G12" s="218" t="s">
        <v>426</v>
      </c>
      <c r="H12" s="216"/>
      <c r="I12" s="14"/>
      <c r="J12" s="15"/>
      <c r="K12" s="53"/>
      <c r="L12" s="145"/>
      <c r="M12" s="63"/>
      <c r="O12" s="199" t="s">
        <v>426</v>
      </c>
      <c r="P12" s="221"/>
    </row>
    <row r="13" spans="2:16" x14ac:dyDescent="0.2">
      <c r="B13" s="33"/>
      <c r="C13" s="14"/>
      <c r="D13" s="14"/>
      <c r="E13" s="14"/>
      <c r="F13" s="14"/>
      <c r="G13" s="216"/>
      <c r="H13" s="216"/>
      <c r="I13" s="14"/>
      <c r="J13" s="15"/>
      <c r="K13" s="361"/>
      <c r="L13" s="145"/>
      <c r="M13" s="54"/>
      <c r="O13" s="199"/>
      <c r="P13" s="7"/>
    </row>
    <row r="14" spans="2:16" x14ac:dyDescent="0.2">
      <c r="B14" s="33"/>
      <c r="C14" s="14"/>
      <c r="D14" s="14"/>
      <c r="E14" s="14"/>
      <c r="F14" s="14"/>
      <c r="G14" s="216"/>
      <c r="H14" s="216"/>
      <c r="I14" s="14"/>
      <c r="J14" s="15"/>
      <c r="K14" s="62" t="s">
        <v>574</v>
      </c>
      <c r="L14" s="145"/>
      <c r="M14" s="63"/>
      <c r="O14" s="199"/>
      <c r="P14" s="221"/>
    </row>
    <row r="15" spans="2:16" ht="15" customHeight="1" x14ac:dyDescent="0.2">
      <c r="B15" s="33"/>
      <c r="C15" s="14"/>
      <c r="D15" s="14"/>
      <c r="E15" s="14"/>
      <c r="F15" s="14"/>
      <c r="G15" s="216"/>
      <c r="H15" s="216"/>
      <c r="I15" s="14"/>
      <c r="J15" s="15"/>
      <c r="K15" s="53" t="s">
        <v>577</v>
      </c>
      <c r="L15" s="347" t="e">
        <f>IF('Final demand per energy carrier'!E43&lt;0,FALSE,TRUE)</f>
        <v>#DIV/0!</v>
      </c>
      <c r="M15" s="294" t="e">
        <f>IF(L15=TRUE," ","The demand for coal in 'other appliances' is negative. Have a look at the 'Final demand per energy carrier' sheet. Please correct the application and/or technology splits in the dashboard. ")</f>
        <v>#DIV/0!</v>
      </c>
      <c r="O15" s="199"/>
      <c r="P15" s="221" t="e">
        <f>IF(L15=TRUE,1,0)</f>
        <v>#DIV/0!</v>
      </c>
    </row>
    <row r="16" spans="2:16" x14ac:dyDescent="0.2">
      <c r="B16" s="33"/>
      <c r="C16" s="14"/>
      <c r="D16" s="14"/>
      <c r="E16" s="14"/>
      <c r="F16" s="14"/>
      <c r="G16" s="216"/>
      <c r="H16" s="216"/>
      <c r="I16" s="14"/>
      <c r="J16" s="15"/>
      <c r="K16" s="53" t="s">
        <v>576</v>
      </c>
      <c r="L16" s="347" t="e">
        <f>IF('Final demand per energy carrier'!F43&lt;0,FALSE,TRUE)</f>
        <v>#DIV/0!</v>
      </c>
      <c r="M16" s="294" t="e">
        <f>IF(L16=TRUE," ","The demand for network gas in 'other appliances' is negative. Have a look at the 'Final demand per energy carrier' sheet. Please correct the application and/or technology splits in the dashboard. ")</f>
        <v>#DIV/0!</v>
      </c>
      <c r="O16" s="199"/>
      <c r="P16" s="221" t="e">
        <f>IF(L16=TRUE,1,0)</f>
        <v>#DIV/0!</v>
      </c>
    </row>
    <row r="17" spans="2:16" x14ac:dyDescent="0.2">
      <c r="B17" s="33"/>
      <c r="C17" s="14"/>
      <c r="D17" s="14"/>
      <c r="E17" s="14"/>
      <c r="F17" s="14"/>
      <c r="G17" s="216"/>
      <c r="H17" s="216"/>
      <c r="I17" s="14"/>
      <c r="J17" s="15"/>
      <c r="K17" s="53" t="s">
        <v>578</v>
      </c>
      <c r="L17" s="347" t="e">
        <f>IF('Final demand per energy carrier'!G43&lt;0,FALSE,TRUE)</f>
        <v>#DIV/0!</v>
      </c>
      <c r="M17" s="294" t="e">
        <f>IF(L17=TRUE," ","The demand for oil in 'other appliances' is negative. Have a look at the 'Final demand per energy carrier' sheet. Please correct the application and/or technology splits in the dashboard. ")</f>
        <v>#DIV/0!</v>
      </c>
      <c r="O17" s="199"/>
      <c r="P17" s="221" t="e">
        <f>IF(L17=TRUE,1,0)</f>
        <v>#DIV/0!</v>
      </c>
    </row>
    <row r="18" spans="2:16" x14ac:dyDescent="0.2">
      <c r="B18" s="33"/>
      <c r="C18" s="14"/>
      <c r="D18" s="14"/>
      <c r="E18" s="14"/>
      <c r="F18" s="14"/>
      <c r="G18" s="216"/>
      <c r="H18" s="216"/>
      <c r="I18" s="14"/>
      <c r="J18" s="15"/>
      <c r="K18" s="53"/>
      <c r="L18" s="19"/>
      <c r="M18" s="63"/>
      <c r="O18" s="199"/>
      <c r="P18" s="221"/>
    </row>
    <row r="19" spans="2:16" x14ac:dyDescent="0.2">
      <c r="B19" s="30"/>
      <c r="C19" s="297"/>
      <c r="D19" s="297"/>
      <c r="E19" s="297"/>
      <c r="F19" s="297"/>
      <c r="G19" s="298"/>
      <c r="H19" s="298"/>
      <c r="I19" s="297"/>
      <c r="J19" s="299"/>
      <c r="K19" s="55" t="s">
        <v>570</v>
      </c>
      <c r="L19" s="365" t="b">
        <f>IF('Fuel aggregation'!J11=0,TRUE,'Fuel aggregation'!J11)</f>
        <v>1</v>
      </c>
      <c r="M19" s="349" t="str">
        <f>IF(L19=TRUE," ","(TJ) There are energy flows related to the services sector that cannot be processed by the ETM. If the amount of disregarded energy is relatively large, consider contacting Quintel Intelligence. Have a look at the fuel aggregation sheet.")</f>
        <v xml:space="preserve"> </v>
      </c>
      <c r="O19" s="199"/>
      <c r="P19" s="221"/>
    </row>
    <row r="20" spans="2:16" x14ac:dyDescent="0.2">
      <c r="B20" s="35" t="s">
        <v>100</v>
      </c>
      <c r="E20" s="57"/>
      <c r="F20" s="214"/>
      <c r="G20" s="218"/>
      <c r="H20" s="218"/>
      <c r="K20" s="53"/>
      <c r="L20" s="342"/>
      <c r="M20" s="54"/>
      <c r="O20" s="199"/>
      <c r="P20" s="221"/>
    </row>
    <row r="21" spans="2:16" x14ac:dyDescent="0.2">
      <c r="B21" s="35"/>
      <c r="C21" s="1" t="s">
        <v>416</v>
      </c>
      <c r="D21" s="1" t="s">
        <v>419</v>
      </c>
      <c r="E21" s="202">
        <f>Final_demand_residences</f>
        <v>0</v>
      </c>
      <c r="F21" s="214"/>
      <c r="G21" s="218"/>
      <c r="H21" s="218"/>
      <c r="I21" s="1" t="s">
        <v>554</v>
      </c>
      <c r="K21" s="53"/>
      <c r="L21" s="343"/>
      <c r="M21" s="54"/>
      <c r="O21" s="199"/>
      <c r="P21" s="221"/>
    </row>
    <row r="22" spans="2:16" ht="17" thickBot="1" x14ac:dyDescent="0.25">
      <c r="B22" s="35"/>
      <c r="E22" s="203"/>
      <c r="F22" s="214"/>
      <c r="G22" s="218"/>
      <c r="H22" s="218"/>
      <c r="K22" s="53"/>
      <c r="L22" s="343"/>
      <c r="M22" s="54"/>
      <c r="O22" s="199"/>
      <c r="P22" s="221"/>
    </row>
    <row r="23" spans="2:16" ht="17" thickBot="1" x14ac:dyDescent="0.25">
      <c r="B23" s="35"/>
      <c r="C23" s="1" t="s">
        <v>101</v>
      </c>
      <c r="D23" s="1" t="s">
        <v>419</v>
      </c>
      <c r="E23" s="204"/>
      <c r="F23" s="218"/>
      <c r="G23" s="218" t="s">
        <v>420</v>
      </c>
      <c r="H23" s="218"/>
      <c r="I23" s="21"/>
      <c r="J23" s="7"/>
      <c r="K23" s="7"/>
      <c r="L23" s="343"/>
      <c r="M23" s="54"/>
      <c r="O23" s="199" t="s">
        <v>501</v>
      </c>
      <c r="P23" s="221"/>
    </row>
    <row r="24" spans="2:16" ht="17" thickBot="1" x14ac:dyDescent="0.25">
      <c r="B24" s="35"/>
      <c r="C24" s="1" t="s">
        <v>104</v>
      </c>
      <c r="D24" s="1" t="s">
        <v>419</v>
      </c>
      <c r="E24" s="205"/>
      <c r="F24" s="218"/>
      <c r="G24" s="218" t="s">
        <v>421</v>
      </c>
      <c r="H24" s="218"/>
      <c r="I24" s="21"/>
      <c r="J24" s="7"/>
      <c r="K24" s="7"/>
      <c r="L24" s="343"/>
      <c r="M24" s="54"/>
      <c r="O24" s="199" t="s">
        <v>502</v>
      </c>
      <c r="P24" s="221"/>
    </row>
    <row r="25" spans="2:16" ht="17" thickBot="1" x14ac:dyDescent="0.25">
      <c r="B25" s="35"/>
      <c r="C25" s="1" t="s">
        <v>102</v>
      </c>
      <c r="D25" s="1" t="s">
        <v>419</v>
      </c>
      <c r="E25" s="205"/>
      <c r="F25" s="218"/>
      <c r="G25" s="218" t="s">
        <v>422</v>
      </c>
      <c r="H25" s="218"/>
      <c r="I25" s="21"/>
      <c r="J25" s="7"/>
      <c r="K25" s="7"/>
      <c r="L25" s="343"/>
      <c r="M25" s="54"/>
      <c r="O25" s="199" t="s">
        <v>503</v>
      </c>
      <c r="P25" s="221"/>
    </row>
    <row r="26" spans="2:16" x14ac:dyDescent="0.2">
      <c r="B26" s="35"/>
      <c r="E26" s="206"/>
      <c r="F26" s="214"/>
      <c r="G26" s="218"/>
      <c r="H26" s="218"/>
      <c r="K26" s="53"/>
      <c r="L26" s="343"/>
      <c r="M26" s="54"/>
      <c r="O26" s="199"/>
      <c r="P26" s="221"/>
    </row>
    <row r="27" spans="2:16" ht="17" thickBot="1" x14ac:dyDescent="0.25">
      <c r="B27" s="35"/>
      <c r="E27" s="206"/>
      <c r="F27" s="214"/>
      <c r="G27" s="218"/>
      <c r="H27" s="218"/>
      <c r="K27" s="53"/>
      <c r="L27" s="343"/>
      <c r="M27" s="54"/>
      <c r="O27" s="199"/>
      <c r="P27" s="221"/>
    </row>
    <row r="28" spans="2:16" ht="17" thickBot="1" x14ac:dyDescent="0.25">
      <c r="B28" s="35"/>
      <c r="C28" s="1" t="s">
        <v>595</v>
      </c>
      <c r="E28" s="205"/>
      <c r="F28" s="214"/>
      <c r="G28" s="218"/>
      <c r="H28" s="218"/>
      <c r="K28" s="53"/>
      <c r="L28" s="343"/>
      <c r="M28" s="54"/>
      <c r="O28" s="199" t="s">
        <v>596</v>
      </c>
      <c r="P28" s="221"/>
    </row>
    <row r="29" spans="2:16" ht="17" thickBot="1" x14ac:dyDescent="0.25">
      <c r="B29" s="35"/>
      <c r="C29" s="1" t="s">
        <v>591</v>
      </c>
      <c r="D29" s="1" t="s">
        <v>419</v>
      </c>
      <c r="E29" s="205" t="str">
        <f>IF(E28="no",0,"")</f>
        <v/>
      </c>
      <c r="F29" s="214"/>
      <c r="G29" s="218" t="s">
        <v>593</v>
      </c>
      <c r="H29" s="218"/>
      <c r="I29" s="21"/>
      <c r="K29" s="62" t="s">
        <v>597</v>
      </c>
      <c r="L29" s="347" t="b">
        <f>IF(E29&gt;=0,TRUE,E29)</f>
        <v>1</v>
      </c>
      <c r="M29" s="54" t="str">
        <f>IF(L29=TRUE," ","Please adjust your final demands for space heating, space cooling and lighting (and central ICT, if filled in), or alter the technology shares below.")</f>
        <v xml:space="preserve"> </v>
      </c>
      <c r="O29" s="199" t="s">
        <v>594</v>
      </c>
      <c r="P29" s="221">
        <f>IF(L29=TRUE,1,0)</f>
        <v>1</v>
      </c>
    </row>
    <row r="30" spans="2:16" x14ac:dyDescent="0.2">
      <c r="B30" s="35"/>
      <c r="E30" s="206"/>
      <c r="F30" s="214"/>
      <c r="G30" s="218"/>
      <c r="H30" s="218"/>
      <c r="K30" s="53"/>
      <c r="L30" s="343"/>
      <c r="M30" s="54"/>
      <c r="O30" s="199"/>
      <c r="P30" s="221"/>
    </row>
    <row r="31" spans="2:16" x14ac:dyDescent="0.2">
      <c r="B31" s="35"/>
      <c r="C31" s="1" t="s">
        <v>592</v>
      </c>
      <c r="D31" s="1" t="s">
        <v>419</v>
      </c>
      <c r="E31" s="344" t="e">
        <f>'Final demand per energy carrier'!J42</f>
        <v>#DIV/0!</v>
      </c>
      <c r="F31" s="214"/>
      <c r="G31" s="218"/>
      <c r="H31" s="218"/>
      <c r="K31" s="62" t="s">
        <v>567</v>
      </c>
      <c r="L31" s="347" t="e">
        <f>IF(E31&gt;0,TRUE,E31)</f>
        <v>#DIV/0!</v>
      </c>
      <c r="M31" s="54" t="e">
        <f>IF(L31=TRUE," ","Please adjust your final demands for space heating, space cooling and lighting (and central ICT, if filled in), or alter the technology shares below.")</f>
        <v>#DIV/0!</v>
      </c>
      <c r="O31" s="199"/>
      <c r="P31" s="221" t="e">
        <f>IF(L31=TRUE,1,0)</f>
        <v>#DIV/0!</v>
      </c>
    </row>
    <row r="32" spans="2:16" x14ac:dyDescent="0.2">
      <c r="B32" s="35"/>
      <c r="C32" s="1" t="s">
        <v>569</v>
      </c>
      <c r="D32" s="1" t="s">
        <v>419</v>
      </c>
      <c r="E32" s="345" t="e">
        <f>SUM('Final demand per energy carrier'!E43:G43)</f>
        <v>#DIV/0!</v>
      </c>
      <c r="F32" s="214"/>
      <c r="G32" s="218"/>
      <c r="H32" s="218"/>
      <c r="K32" s="62" t="s">
        <v>568</v>
      </c>
      <c r="L32" s="347" t="e">
        <f>IF(E32&gt;0,TRUE,E32)</f>
        <v>#DIV/0!</v>
      </c>
      <c r="M32" s="54" t="e">
        <f>IF(L32=TRUE," ","Please adjust your final demands for space heating, space cooling and/or lighting (and central ICT, if filled in.")</f>
        <v>#DIV/0!</v>
      </c>
      <c r="O32" s="199"/>
      <c r="P32" s="221" t="e">
        <f>IF(L32=TRUE,1,0)</f>
        <v>#DIV/0!</v>
      </c>
    </row>
    <row r="33" spans="2:19" x14ac:dyDescent="0.2">
      <c r="B33" s="134"/>
      <c r="C33" s="9"/>
      <c r="D33" s="9"/>
      <c r="E33" s="57"/>
      <c r="F33" s="9"/>
      <c r="G33" s="200"/>
      <c r="H33" s="200"/>
      <c r="I33" s="9"/>
      <c r="J33" s="9"/>
      <c r="K33" s="55"/>
      <c r="L33" s="55"/>
      <c r="M33" s="56"/>
      <c r="O33" s="199"/>
      <c r="P33" s="221"/>
    </row>
    <row r="34" spans="2:19" ht="16" customHeight="1" x14ac:dyDescent="0.2">
      <c r="B34" s="35" t="s">
        <v>90</v>
      </c>
      <c r="E34" s="165"/>
      <c r="K34" s="62" t="s">
        <v>236</v>
      </c>
      <c r="L34" s="347">
        <f>IF(SUM(E44:E50)=1,TRUE,SUM(E44:E50))</f>
        <v>0</v>
      </c>
      <c r="M34" s="54" t="str">
        <f>IF(L34=TRUE," ","If this check is red please adjust the percentages of heat delivered by the technologies to the left.")</f>
        <v>If this check is red please adjust the percentages of heat delivered by the technologies to the left.</v>
      </c>
      <c r="O34" s="199"/>
      <c r="P34" s="221">
        <f>IF(L34=TRUE,1,0)</f>
        <v>0</v>
      </c>
    </row>
    <row r="35" spans="2:19" ht="16" customHeight="1" x14ac:dyDescent="0.2">
      <c r="B35" s="35"/>
      <c r="C35" s="1" t="s">
        <v>519</v>
      </c>
      <c r="E35" s="344">
        <f>Final_demand_space_heating</f>
        <v>0</v>
      </c>
      <c r="K35" s="53"/>
      <c r="L35" s="295"/>
      <c r="M35" s="294"/>
      <c r="O35" s="199"/>
      <c r="P35" s="221"/>
    </row>
    <row r="36" spans="2:19" ht="16" customHeight="1" x14ac:dyDescent="0.2">
      <c r="B36" s="35"/>
      <c r="E36" s="344"/>
      <c r="K36" s="53"/>
      <c r="L36" s="295"/>
      <c r="M36" s="294"/>
      <c r="O36" s="199"/>
      <c r="P36" s="221"/>
    </row>
    <row r="37" spans="2:19" x14ac:dyDescent="0.2">
      <c r="B37" s="35"/>
      <c r="C37" s="346" t="s">
        <v>520</v>
      </c>
      <c r="E37" s="344">
        <f>'Final demand extracted from EB'!D13</f>
        <v>0</v>
      </c>
      <c r="I37" s="1" t="s">
        <v>563</v>
      </c>
      <c r="K37" s="53"/>
      <c r="L37" s="146"/>
      <c r="M37" s="54"/>
      <c r="O37" s="199"/>
      <c r="P37" s="221"/>
    </row>
    <row r="38" spans="2:19" x14ac:dyDescent="0.2">
      <c r="B38" s="35"/>
      <c r="C38" s="346" t="s">
        <v>521</v>
      </c>
      <c r="E38" s="344">
        <f>'Final demand extracted from EB'!D9</f>
        <v>0</v>
      </c>
      <c r="I38" s="1" t="s">
        <v>563</v>
      </c>
      <c r="K38" s="53"/>
      <c r="L38" s="146"/>
      <c r="M38" s="54"/>
      <c r="O38" s="199"/>
      <c r="P38" s="221"/>
    </row>
    <row r="39" spans="2:19" x14ac:dyDescent="0.2">
      <c r="B39" s="35"/>
      <c r="C39" s="346" t="s">
        <v>522</v>
      </c>
      <c r="E39" s="344">
        <f>'Final demand extracted from EB'!D17</f>
        <v>0</v>
      </c>
      <c r="I39" s="1" t="s">
        <v>563</v>
      </c>
      <c r="K39" s="53"/>
      <c r="L39" s="146"/>
      <c r="M39" s="54"/>
      <c r="O39" s="199"/>
      <c r="P39" s="221"/>
    </row>
    <row r="40" spans="2:19" x14ac:dyDescent="0.2">
      <c r="B40" s="35"/>
      <c r="E40" s="344"/>
      <c r="K40" s="53"/>
      <c r="L40" s="146"/>
      <c r="M40" s="54"/>
      <c r="O40" s="199"/>
      <c r="P40" s="221"/>
    </row>
    <row r="41" spans="2:19" ht="34" x14ac:dyDescent="0.2">
      <c r="B41" s="35"/>
      <c r="C41" s="90" t="s">
        <v>556</v>
      </c>
      <c r="E41" s="344">
        <f>E35-SUM(E37:E39)</f>
        <v>0</v>
      </c>
      <c r="K41" s="53"/>
      <c r="L41" s="146"/>
      <c r="M41" s="54"/>
      <c r="O41" s="199"/>
      <c r="P41" s="221"/>
    </row>
    <row r="42" spans="2:19" x14ac:dyDescent="0.2">
      <c r="B42" s="35"/>
      <c r="C42" s="90"/>
      <c r="E42" s="293"/>
      <c r="K42" s="53"/>
      <c r="L42" s="146"/>
      <c r="M42" s="54"/>
      <c r="O42" s="199"/>
      <c r="P42" s="221"/>
    </row>
    <row r="43" spans="2:19" ht="17" thickBot="1" x14ac:dyDescent="0.25">
      <c r="B43" s="35"/>
      <c r="C43" s="1" t="s">
        <v>555</v>
      </c>
      <c r="E43" s="57"/>
      <c r="K43" s="53"/>
      <c r="L43" s="146"/>
      <c r="M43" s="54"/>
      <c r="O43" s="199"/>
      <c r="P43" s="221"/>
    </row>
    <row r="44" spans="2:19" ht="17" thickBot="1" x14ac:dyDescent="0.25">
      <c r="B44" s="35"/>
      <c r="C44" s="346" t="s">
        <v>557</v>
      </c>
      <c r="E44" s="161"/>
      <c r="I44" s="21"/>
      <c r="K44" s="53"/>
      <c r="L44" s="146"/>
      <c r="M44" s="294"/>
      <c r="O44" s="199" t="s">
        <v>504</v>
      </c>
      <c r="P44" s="221"/>
    </row>
    <row r="45" spans="2:19" ht="18" thickBot="1" x14ac:dyDescent="0.25">
      <c r="B45" s="35"/>
      <c r="C45" s="346" t="s">
        <v>558</v>
      </c>
      <c r="E45" s="161"/>
      <c r="I45" s="21"/>
      <c r="K45" s="53"/>
      <c r="L45" s="146"/>
      <c r="M45" s="294"/>
      <c r="O45" s="199" t="s">
        <v>515</v>
      </c>
      <c r="P45" s="221"/>
      <c r="S45" s="292"/>
    </row>
    <row r="46" spans="2:19" ht="17" thickBot="1" x14ac:dyDescent="0.25">
      <c r="B46" s="35"/>
      <c r="C46" s="346" t="s">
        <v>559</v>
      </c>
      <c r="E46" s="161"/>
      <c r="I46" s="21"/>
      <c r="K46" s="53"/>
      <c r="L46" s="146"/>
      <c r="M46" s="294"/>
      <c r="O46" s="199" t="s">
        <v>505</v>
      </c>
      <c r="P46" s="221"/>
    </row>
    <row r="47" spans="2:19" ht="17" thickBot="1" x14ac:dyDescent="0.25">
      <c r="B47" s="35"/>
      <c r="C47" s="346" t="s">
        <v>560</v>
      </c>
      <c r="E47" s="161"/>
      <c r="I47" s="21"/>
      <c r="K47" s="53"/>
      <c r="L47" s="146"/>
      <c r="M47" s="54"/>
      <c r="O47" s="199" t="s">
        <v>506</v>
      </c>
      <c r="P47" s="221"/>
    </row>
    <row r="48" spans="2:19" ht="17" thickBot="1" x14ac:dyDescent="0.25">
      <c r="B48" s="35"/>
      <c r="C48" s="346" t="s">
        <v>561</v>
      </c>
      <c r="E48" s="161"/>
      <c r="I48" s="21"/>
      <c r="K48" s="53"/>
      <c r="L48" s="147"/>
      <c r="M48" s="54"/>
      <c r="O48" s="199" t="s">
        <v>507</v>
      </c>
      <c r="P48" s="221"/>
    </row>
    <row r="49" spans="2:18" ht="18" thickBot="1" x14ac:dyDescent="0.25">
      <c r="B49" s="35"/>
      <c r="C49" s="346" t="s">
        <v>562</v>
      </c>
      <c r="E49" s="161"/>
      <c r="I49" s="21"/>
      <c r="K49" s="53"/>
      <c r="L49" s="146"/>
      <c r="M49" s="54"/>
      <c r="O49" s="199" t="s">
        <v>518</v>
      </c>
      <c r="P49" s="221"/>
      <c r="R49" s="292"/>
    </row>
    <row r="50" spans="2:18" ht="18" thickBot="1" x14ac:dyDescent="0.25">
      <c r="B50" s="35"/>
      <c r="C50" s="346" t="s">
        <v>610</v>
      </c>
      <c r="E50" s="161"/>
      <c r="I50" s="21"/>
      <c r="K50" s="53"/>
      <c r="L50" s="146"/>
      <c r="M50" s="54"/>
      <c r="O50" s="199" t="s">
        <v>617</v>
      </c>
      <c r="P50" s="221"/>
      <c r="R50" s="292"/>
    </row>
    <row r="51" spans="2:18" x14ac:dyDescent="0.2">
      <c r="B51" s="134"/>
      <c r="C51" s="9"/>
      <c r="D51" s="9"/>
      <c r="E51" s="57"/>
      <c r="F51" s="9"/>
      <c r="G51" s="200"/>
      <c r="H51" s="200"/>
      <c r="I51" s="9"/>
      <c r="J51" s="9"/>
      <c r="K51" s="55"/>
      <c r="L51" s="148"/>
      <c r="M51" s="56"/>
      <c r="O51" s="199"/>
      <c r="P51" s="224"/>
    </row>
    <row r="52" spans="2:18" x14ac:dyDescent="0.2">
      <c r="B52" s="35" t="s">
        <v>103</v>
      </c>
      <c r="C52" s="58"/>
      <c r="D52" s="58"/>
      <c r="E52" s="165"/>
      <c r="K52" s="62" t="s">
        <v>236</v>
      </c>
      <c r="L52" s="347">
        <f>IF(SUM(E54:E57)=1,TRUE,SUM(E54:E57))</f>
        <v>0</v>
      </c>
      <c r="M52" s="54" t="str">
        <f>IF(L52=TRUE," ","If this check is red please adjust the percentages of heat delivered by the technologies to the left.")</f>
        <v>If this check is red please adjust the percentages of heat delivered by the technologies to the left.</v>
      </c>
      <c r="O52" s="199"/>
      <c r="P52" s="221">
        <f>IF(L52=TRUE,1,0)</f>
        <v>0</v>
      </c>
    </row>
    <row r="53" spans="2:18" ht="17" thickBot="1" x14ac:dyDescent="0.25">
      <c r="B53" s="35"/>
      <c r="C53" s="58" t="s">
        <v>564</v>
      </c>
      <c r="D53" s="58"/>
      <c r="E53" s="61"/>
      <c r="K53" s="62"/>
      <c r="L53" s="146"/>
      <c r="M53" s="54"/>
      <c r="O53" s="199"/>
      <c r="P53" s="221"/>
    </row>
    <row r="54" spans="2:18" ht="18" thickBot="1" x14ac:dyDescent="0.25">
      <c r="B54" s="35"/>
      <c r="C54" s="346" t="s">
        <v>559</v>
      </c>
      <c r="E54" s="181"/>
      <c r="I54" s="21"/>
      <c r="K54" s="53"/>
      <c r="L54" s="146"/>
      <c r="M54" s="54"/>
      <c r="O54" s="199" t="s">
        <v>508</v>
      </c>
      <c r="P54" s="224"/>
      <c r="R54" s="292"/>
    </row>
    <row r="55" spans="2:18" ht="17" thickBot="1" x14ac:dyDescent="0.25">
      <c r="B55" s="35"/>
      <c r="C55" s="346" t="s">
        <v>558</v>
      </c>
      <c r="E55" s="161"/>
      <c r="I55" s="21"/>
      <c r="K55" s="53"/>
      <c r="L55" s="146"/>
      <c r="M55" s="54"/>
      <c r="O55" s="199" t="s">
        <v>509</v>
      </c>
      <c r="P55" s="224"/>
    </row>
    <row r="56" spans="2:18" ht="17" thickBot="1" x14ac:dyDescent="0.25">
      <c r="B56" s="35"/>
      <c r="C56" s="346" t="s">
        <v>131</v>
      </c>
      <c r="D56" s="58"/>
      <c r="E56" s="181"/>
      <c r="I56" s="21"/>
      <c r="K56" s="53"/>
      <c r="L56" s="146"/>
      <c r="M56" s="54"/>
      <c r="O56" s="199" t="s">
        <v>510</v>
      </c>
      <c r="P56" s="224"/>
    </row>
    <row r="57" spans="2:18" ht="17" thickBot="1" x14ac:dyDescent="0.25">
      <c r="B57" s="35"/>
      <c r="C57" s="346" t="s">
        <v>610</v>
      </c>
      <c r="D57" s="58"/>
      <c r="E57" s="181"/>
      <c r="I57" s="21"/>
      <c r="K57" s="53"/>
      <c r="L57" s="146"/>
      <c r="M57" s="54"/>
      <c r="O57" s="199" t="s">
        <v>618</v>
      </c>
      <c r="P57" s="224"/>
    </row>
    <row r="58" spans="2:18" x14ac:dyDescent="0.2">
      <c r="B58" s="134"/>
      <c r="C58" s="9"/>
      <c r="D58" s="9"/>
      <c r="E58" s="57"/>
      <c r="F58" s="9"/>
      <c r="G58" s="200"/>
      <c r="H58" s="200"/>
      <c r="I58" s="9"/>
      <c r="J58" s="9"/>
      <c r="K58" s="55"/>
      <c r="L58" s="148"/>
      <c r="M58" s="56"/>
      <c r="O58" s="199"/>
      <c r="P58" s="224"/>
    </row>
    <row r="59" spans="2:18" x14ac:dyDescent="0.2">
      <c r="B59" s="35" t="s">
        <v>89</v>
      </c>
      <c r="E59" s="165"/>
      <c r="K59" s="62" t="s">
        <v>236</v>
      </c>
      <c r="L59" s="347">
        <f>IF(SUM(E61:E63)=1,TRUE,SUM(E61:E63))</f>
        <v>0</v>
      </c>
      <c r="M59" s="54" t="str">
        <f>IF(L59=TRUE," ","If this check is red please adjust the percentages of heat delivered by the technologies to the left.")</f>
        <v>If this check is red please adjust the percentages of heat delivered by the technologies to the left.</v>
      </c>
      <c r="O59" s="225"/>
      <c r="P59" s="221">
        <f>IF(L59=TRUE,1,0)</f>
        <v>0</v>
      </c>
    </row>
    <row r="60" spans="2:18" ht="17" thickBot="1" x14ac:dyDescent="0.25">
      <c r="B60" s="35"/>
      <c r="C60" s="1" t="s">
        <v>565</v>
      </c>
      <c r="E60" s="57"/>
      <c r="K60" s="62"/>
      <c r="L60" s="53"/>
      <c r="M60" s="54"/>
      <c r="O60" s="225"/>
      <c r="P60" s="221"/>
    </row>
    <row r="61" spans="2:18" ht="17" thickBot="1" x14ac:dyDescent="0.25">
      <c r="B61" s="35"/>
      <c r="C61" s="346" t="s">
        <v>330</v>
      </c>
      <c r="E61" s="161"/>
      <c r="I61" s="21"/>
      <c r="K61" s="53"/>
      <c r="L61" s="53"/>
      <c r="M61" s="54"/>
      <c r="O61" s="199" t="s">
        <v>369</v>
      </c>
      <c r="P61" s="7"/>
    </row>
    <row r="62" spans="2:18" ht="17" thickBot="1" x14ac:dyDescent="0.25">
      <c r="B62" s="35"/>
      <c r="C62" s="346" t="s">
        <v>331</v>
      </c>
      <c r="E62" s="161"/>
      <c r="I62" s="21"/>
      <c r="K62" s="53"/>
      <c r="L62" s="53"/>
      <c r="M62" s="54"/>
      <c r="O62" s="199" t="s">
        <v>367</v>
      </c>
      <c r="P62" s="7"/>
    </row>
    <row r="63" spans="2:18" ht="17" thickBot="1" x14ac:dyDescent="0.25">
      <c r="B63" s="35"/>
      <c r="C63" s="346" t="s">
        <v>566</v>
      </c>
      <c r="E63" s="161"/>
      <c r="I63" s="21"/>
      <c r="K63" s="53"/>
      <c r="L63" s="53"/>
      <c r="M63" s="54"/>
      <c r="O63" s="199" t="s">
        <v>368</v>
      </c>
      <c r="P63" s="7"/>
    </row>
    <row r="64" spans="2:18" ht="17" thickBot="1" x14ac:dyDescent="0.25">
      <c r="B64" s="283"/>
      <c r="C64" s="94"/>
      <c r="D64" s="94"/>
      <c r="E64" s="227"/>
      <c r="F64" s="94"/>
      <c r="G64" s="217"/>
      <c r="H64" s="217"/>
      <c r="I64" s="94"/>
      <c r="J64" s="94"/>
      <c r="K64" s="150"/>
      <c r="L64" s="150"/>
      <c r="M64" s="140"/>
      <c r="O64" s="18"/>
      <c r="P64" s="10"/>
    </row>
    <row r="65" spans="2:16" x14ac:dyDescent="0.2">
      <c r="B65" s="284" t="s">
        <v>492</v>
      </c>
      <c r="C65" s="51"/>
      <c r="D65" s="51"/>
      <c r="E65" s="51"/>
      <c r="F65" s="51"/>
      <c r="G65" s="215"/>
      <c r="H65" s="215"/>
      <c r="I65" s="51"/>
      <c r="J65" s="51"/>
      <c r="K65" s="51"/>
      <c r="L65" s="51"/>
      <c r="M65" s="27"/>
      <c r="O65" s="285"/>
      <c r="P65" s="5"/>
    </row>
    <row r="66" spans="2:16" x14ac:dyDescent="0.2">
      <c r="B66" s="28"/>
      <c r="C66" s="1" t="s">
        <v>490</v>
      </c>
      <c r="E66" s="162">
        <v>1</v>
      </c>
      <c r="M66" s="29"/>
      <c r="O66" s="199" t="s">
        <v>511</v>
      </c>
      <c r="P66" s="7"/>
    </row>
    <row r="67" spans="2:16" x14ac:dyDescent="0.2">
      <c r="B67" s="28"/>
      <c r="C67" s="1" t="s">
        <v>491</v>
      </c>
      <c r="E67" s="162">
        <v>0</v>
      </c>
      <c r="M67" s="29"/>
      <c r="O67" s="199" t="s">
        <v>512</v>
      </c>
      <c r="P67" s="7"/>
    </row>
    <row r="68" spans="2:16" x14ac:dyDescent="0.2">
      <c r="B68" s="28"/>
      <c r="E68" s="162"/>
      <c r="M68" s="29"/>
      <c r="O68" s="199"/>
      <c r="P68" s="7"/>
    </row>
    <row r="69" spans="2:16" x14ac:dyDescent="0.2">
      <c r="B69" s="28"/>
      <c r="C69" s="1" t="s">
        <v>494</v>
      </c>
      <c r="E69" s="162">
        <v>3.9E-2</v>
      </c>
      <c r="M69" s="29"/>
      <c r="O69" s="199" t="s">
        <v>513</v>
      </c>
      <c r="P69" s="7"/>
    </row>
    <row r="70" spans="2:16" x14ac:dyDescent="0.2">
      <c r="B70" s="28"/>
      <c r="C70" s="1" t="s">
        <v>495</v>
      </c>
      <c r="E70" s="162">
        <v>5.2999999999999999E-2</v>
      </c>
      <c r="M70" s="29"/>
      <c r="O70" s="199" t="s">
        <v>514</v>
      </c>
      <c r="P70" s="7"/>
    </row>
    <row r="71" spans="2:16" ht="17" thickBot="1" x14ac:dyDescent="0.25">
      <c r="B71" s="45"/>
      <c r="C71" s="94"/>
      <c r="D71" s="94"/>
      <c r="E71" s="94"/>
      <c r="F71" s="94"/>
      <c r="G71" s="217"/>
      <c r="H71" s="217"/>
      <c r="I71" s="94"/>
      <c r="J71" s="94"/>
      <c r="K71" s="94"/>
      <c r="L71" s="94"/>
      <c r="M71" s="95"/>
      <c r="O71" s="18"/>
      <c r="P71" s="10"/>
    </row>
  </sheetData>
  <mergeCells count="1">
    <mergeCell ref="B5:E5"/>
  </mergeCells>
  <conditionalFormatting sqref="L10:L11">
    <cfRule type="cellIs" dxfId="13" priority="6" operator="equal">
      <formula>TRUE</formula>
    </cfRule>
  </conditionalFormatting>
  <conditionalFormatting sqref="L15:L17">
    <cfRule type="cellIs" dxfId="12" priority="3" operator="equal">
      <formula>TRUE</formula>
    </cfRule>
  </conditionalFormatting>
  <conditionalFormatting sqref="L19">
    <cfRule type="cellIs" dxfId="11" priority="2" operator="equal">
      <formula>TRUE</formula>
    </cfRule>
  </conditionalFormatting>
  <conditionalFormatting sqref="L29">
    <cfRule type="cellIs" dxfId="10" priority="1" operator="equal">
      <formula>TRUE</formula>
    </cfRule>
  </conditionalFormatting>
  <conditionalFormatting sqref="L31:L32">
    <cfRule type="cellIs" dxfId="9" priority="7" operator="equal">
      <formula>TRUE</formula>
    </cfRule>
  </conditionalFormatting>
  <conditionalFormatting sqref="L34">
    <cfRule type="cellIs" dxfId="8" priority="11" operator="equal">
      <formula>TRUE</formula>
    </cfRule>
  </conditionalFormatting>
  <conditionalFormatting sqref="L52">
    <cfRule type="cellIs" dxfId="7" priority="10" operator="equal">
      <formula>TRUE</formula>
    </cfRule>
  </conditionalFormatting>
  <conditionalFormatting sqref="L59">
    <cfRule type="cellIs" dxfId="6" priority="9"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81" r:id="rId3" name="import_data">
              <controlPr defaultSize="0" print="0" autoFill="0" autoPict="0">
                <anchor moveWithCells="1" sizeWithCells="1">
                  <from>
                    <xdr:col>10</xdr:col>
                    <xdr:colOff>76200</xdr:colOff>
                    <xdr:row>2</xdr:row>
                    <xdr:rowOff>38100</xdr:rowOff>
                  </from>
                  <to>
                    <xdr:col>12</xdr:col>
                    <xdr:colOff>1206500</xdr:colOff>
                    <xdr:row>3</xdr:row>
                    <xdr:rowOff>0</xdr:rowOff>
                  </to>
                </anchor>
              </controlPr>
            </control>
          </mc:Choice>
        </mc:AlternateContent>
        <mc:AlternateContent xmlns:mc="http://schemas.openxmlformats.org/markup-compatibility/2006">
          <mc:Choice Requires="x14">
            <control shapeId="11282" r:id="rId4" name="export_data">
              <controlPr defaultSize="0" print="0" autoFill="0" autoPict="0">
                <anchor moveWithCells="1" sizeWithCells="1">
                  <from>
                    <xdr:col>10</xdr:col>
                    <xdr:colOff>114300</xdr:colOff>
                    <xdr:row>4</xdr:row>
                    <xdr:rowOff>228600</xdr:rowOff>
                  </from>
                  <to>
                    <xdr:col>12</xdr:col>
                    <xdr:colOff>1244600</xdr:colOff>
                    <xdr:row>4</xdr:row>
                    <xdr:rowOff>444500</xdr:rowOff>
                  </to>
                </anchor>
              </controlPr>
            </control>
          </mc:Choice>
        </mc:AlternateContent>
        <mc:AlternateContent xmlns:mc="http://schemas.openxmlformats.org/markup-compatibility/2006">
          <mc:Choice Requires="x14">
            <control shapeId="11283" r:id="rId5" name="select_dashboard">
              <controlPr defaultSize="0" print="0" autoFill="0" autoPict="0">
                <anchor moveWithCells="1" sizeWithCells="1">
                  <from>
                    <xdr:col>10</xdr:col>
                    <xdr:colOff>2247900</xdr:colOff>
                    <xdr:row>3</xdr:row>
                    <xdr:rowOff>88900</xdr:rowOff>
                  </from>
                  <to>
                    <xdr:col>12</xdr:col>
                    <xdr:colOff>1219200</xdr:colOff>
                    <xdr:row>4</xdr:row>
                    <xdr:rowOff>114300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6" x14ac:dyDescent="0.2"/>
  <cols>
    <col min="1" max="1" width="10.83203125" style="1"/>
    <col min="2" max="2" width="53.83203125" style="1" bestFit="1" customWidth="1"/>
    <col min="3" max="67" width="13.6640625" style="1" customWidth="1"/>
    <col min="68" max="16384" width="10.83203125" style="1"/>
  </cols>
  <sheetData>
    <row r="2" spans="2:67" ht="21" x14ac:dyDescent="0.25">
      <c r="B2" s="2" t="s">
        <v>448</v>
      </c>
    </row>
    <row r="3" spans="2:67" ht="15" customHeight="1" x14ac:dyDescent="0.25">
      <c r="B3" s="2"/>
    </row>
    <row r="4" spans="2:67" ht="15" customHeight="1" x14ac:dyDescent="0.2">
      <c r="B4" s="119" t="s">
        <v>93</v>
      </c>
    </row>
    <row r="5" spans="2:67" ht="60" customHeight="1" x14ac:dyDescent="0.2">
      <c r="B5" s="189" t="s">
        <v>326</v>
      </c>
      <c r="C5" s="188"/>
      <c r="D5" s="188"/>
      <c r="E5" s="188"/>
      <c r="F5" s="188"/>
      <c r="G5" s="188"/>
      <c r="H5" s="188"/>
    </row>
    <row r="6" spans="2:67" ht="15" customHeight="1" thickBot="1" x14ac:dyDescent="0.25"/>
    <row r="7" spans="2:67" ht="30" customHeight="1" x14ac:dyDescent="0.2">
      <c r="B7" s="73" t="s">
        <v>135</v>
      </c>
      <c r="C7" s="74" t="s">
        <v>39</v>
      </c>
      <c r="D7" s="74" t="s">
        <v>40</v>
      </c>
      <c r="E7" s="74" t="s">
        <v>41</v>
      </c>
      <c r="F7" s="74" t="s">
        <v>42</v>
      </c>
      <c r="G7" s="74" t="s">
        <v>43</v>
      </c>
      <c r="H7" s="74" t="s">
        <v>44</v>
      </c>
      <c r="I7" s="74" t="s">
        <v>55</v>
      </c>
      <c r="J7" s="74" t="s">
        <v>46</v>
      </c>
      <c r="K7" s="74" t="s">
        <v>47</v>
      </c>
      <c r="L7" s="74" t="s">
        <v>48</v>
      </c>
      <c r="M7" s="74" t="s">
        <v>49</v>
      </c>
      <c r="N7" s="74" t="s">
        <v>50</v>
      </c>
      <c r="O7" s="74" t="s">
        <v>51</v>
      </c>
      <c r="P7" s="74" t="s">
        <v>52</v>
      </c>
      <c r="Q7" s="74" t="s">
        <v>53</v>
      </c>
      <c r="R7" s="74" t="s">
        <v>54</v>
      </c>
      <c r="S7" s="74" t="s">
        <v>45</v>
      </c>
      <c r="T7" s="74" t="s">
        <v>136</v>
      </c>
      <c r="U7" s="74" t="s">
        <v>56</v>
      </c>
      <c r="V7" s="74" t="s">
        <v>57</v>
      </c>
      <c r="W7" s="74" t="s">
        <v>58</v>
      </c>
      <c r="X7" s="74" t="s">
        <v>59</v>
      </c>
      <c r="Y7" s="74" t="s">
        <v>60</v>
      </c>
      <c r="Z7" s="74" t="s">
        <v>61</v>
      </c>
      <c r="AA7" s="74" t="s">
        <v>62</v>
      </c>
      <c r="AB7" s="74" t="s">
        <v>63</v>
      </c>
      <c r="AC7" s="74" t="s">
        <v>64</v>
      </c>
      <c r="AD7" s="74" t="s">
        <v>65</v>
      </c>
      <c r="AE7" s="74" t="s">
        <v>66</v>
      </c>
      <c r="AF7" s="74" t="s">
        <v>67</v>
      </c>
      <c r="AG7" s="74" t="s">
        <v>68</v>
      </c>
      <c r="AH7" s="74" t="s">
        <v>69</v>
      </c>
      <c r="AI7" s="74" t="s">
        <v>70</v>
      </c>
      <c r="AJ7" s="74" t="s">
        <v>71</v>
      </c>
      <c r="AK7" s="74" t="s">
        <v>72</v>
      </c>
      <c r="AL7" s="74" t="s">
        <v>73</v>
      </c>
      <c r="AM7" s="74" t="s">
        <v>74</v>
      </c>
      <c r="AN7" s="74" t="s">
        <v>75</v>
      </c>
      <c r="AO7" s="74" t="s">
        <v>76</v>
      </c>
      <c r="AP7" s="74" t="s">
        <v>77</v>
      </c>
      <c r="AQ7" s="74" t="s">
        <v>78</v>
      </c>
      <c r="AR7" s="74" t="s">
        <v>80</v>
      </c>
      <c r="AS7" s="74" t="s">
        <v>79</v>
      </c>
      <c r="AT7" s="74" t="s">
        <v>81</v>
      </c>
      <c r="AU7" s="74" t="s">
        <v>86</v>
      </c>
      <c r="AV7" s="74" t="s">
        <v>82</v>
      </c>
      <c r="AW7" s="74" t="s">
        <v>83</v>
      </c>
      <c r="AX7" s="74" t="s">
        <v>84</v>
      </c>
      <c r="AY7" s="74" t="s">
        <v>85</v>
      </c>
      <c r="AZ7" s="74" t="s">
        <v>87</v>
      </c>
      <c r="BA7" s="74" t="s">
        <v>137</v>
      </c>
      <c r="BB7" s="74" t="s">
        <v>138</v>
      </c>
      <c r="BC7" s="74" t="s">
        <v>139</v>
      </c>
      <c r="BD7" s="74" t="s">
        <v>140</v>
      </c>
      <c r="BE7" s="74" t="s">
        <v>141</v>
      </c>
      <c r="BF7" s="74" t="s">
        <v>142</v>
      </c>
      <c r="BG7" s="74" t="s">
        <v>143</v>
      </c>
      <c r="BH7" s="74" t="s">
        <v>144</v>
      </c>
      <c r="BI7" s="74" t="s">
        <v>145</v>
      </c>
      <c r="BJ7" s="74" t="s">
        <v>146</v>
      </c>
      <c r="BK7" s="74" t="s">
        <v>31</v>
      </c>
      <c r="BL7" s="74" t="s">
        <v>147</v>
      </c>
      <c r="BM7" s="74" t="s">
        <v>148</v>
      </c>
      <c r="BN7" s="75" t="s">
        <v>133</v>
      </c>
      <c r="BO7" s="76" t="s">
        <v>149</v>
      </c>
    </row>
    <row r="8" spans="2:67" x14ac:dyDescent="0.2">
      <c r="B8" s="77" t="s">
        <v>150</v>
      </c>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59"/>
      <c r="BO8" s="79"/>
    </row>
    <row r="9" spans="2:67" x14ac:dyDescent="0.2">
      <c r="B9" s="80" t="s">
        <v>151</v>
      </c>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s="60"/>
      <c r="BO9" s="40"/>
    </row>
    <row r="10" spans="2:67" x14ac:dyDescent="0.2">
      <c r="B10" s="80" t="s">
        <v>152</v>
      </c>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s="60"/>
      <c r="BO10" s="40"/>
    </row>
    <row r="11" spans="2:67" x14ac:dyDescent="0.2">
      <c r="B11" s="80" t="s">
        <v>153</v>
      </c>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s="60"/>
      <c r="BO11" s="40"/>
    </row>
    <row r="12" spans="2:67" x14ac:dyDescent="0.2">
      <c r="B12" s="80" t="s">
        <v>154</v>
      </c>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s="60"/>
      <c r="BO12" s="40"/>
    </row>
    <row r="13" spans="2:67" x14ac:dyDescent="0.2">
      <c r="B13" s="80" t="s">
        <v>155</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s="60"/>
      <c r="BO13" s="40"/>
    </row>
    <row r="14" spans="2:67" ht="17" thickBot="1" x14ac:dyDescent="0.25">
      <c r="B14" s="80" t="s">
        <v>156</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s="60"/>
      <c r="BO14" s="40"/>
    </row>
    <row r="15" spans="2:67" ht="17" thickBot="1" x14ac:dyDescent="0.25">
      <c r="B15" s="81" t="s">
        <v>157</v>
      </c>
      <c r="C15" s="82"/>
      <c r="D15" s="82"/>
      <c r="E15" s="82"/>
      <c r="F15" s="82"/>
      <c r="G15" s="82"/>
      <c r="H15" s="82"/>
      <c r="I15" s="82"/>
      <c r="J15" s="82"/>
      <c r="K15" s="82"/>
      <c r="L15" s="82"/>
      <c r="M15" s="82"/>
      <c r="N15" s="82"/>
      <c r="O15" s="82"/>
      <c r="P15" s="82"/>
      <c r="Q15" s="82"/>
      <c r="R15" s="82"/>
      <c r="S15" s="82"/>
      <c r="T15" s="82"/>
      <c r="U15" s="82"/>
      <c r="V15" s="82"/>
      <c r="W15" s="82"/>
      <c r="X15" s="193"/>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c r="BM15" s="82"/>
      <c r="BN15" s="83"/>
      <c r="BO15" s="84"/>
    </row>
    <row r="16" spans="2:67" x14ac:dyDescent="0.2">
      <c r="B16" s="80" t="s">
        <v>158</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s="60"/>
      <c r="BO16" s="40"/>
    </row>
    <row r="17" spans="2:67" ht="17" thickBot="1" x14ac:dyDescent="0.25">
      <c r="B17" s="80" t="s">
        <v>159</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s="60"/>
      <c r="BO17" s="40"/>
    </row>
    <row r="18" spans="2:67" ht="17" thickBot="1" x14ac:dyDescent="0.25">
      <c r="B18" s="81" t="s">
        <v>160</v>
      </c>
      <c r="C18" s="82"/>
      <c r="D18" s="82"/>
      <c r="E18" s="82"/>
      <c r="F18" s="82"/>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3"/>
      <c r="BO18" s="84"/>
    </row>
    <row r="19" spans="2:67" x14ac:dyDescent="0.2">
      <c r="B19" s="80" t="s">
        <v>161</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s="60"/>
      <c r="BO19" s="40"/>
    </row>
    <row r="20" spans="2:67" x14ac:dyDescent="0.2">
      <c r="B20" s="80" t="s">
        <v>162</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s="60"/>
      <c r="BO20" s="40"/>
    </row>
    <row r="21" spans="2:67" x14ac:dyDescent="0.2">
      <c r="B21" s="80" t="s">
        <v>163</v>
      </c>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s="60"/>
      <c r="BO21" s="40"/>
    </row>
    <row r="22" spans="2:67" x14ac:dyDescent="0.2">
      <c r="B22" s="80" t="s">
        <v>164</v>
      </c>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s="60"/>
      <c r="BO22" s="40"/>
    </row>
    <row r="23" spans="2:67" x14ac:dyDescent="0.2">
      <c r="B23" s="80" t="s">
        <v>165</v>
      </c>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s="60"/>
      <c r="BO23" s="40"/>
    </row>
    <row r="24" spans="2:67" x14ac:dyDescent="0.2">
      <c r="B24" s="85" t="s">
        <v>166</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86"/>
      <c r="BO24" s="44"/>
    </row>
    <row r="25" spans="2:67" x14ac:dyDescent="0.2">
      <c r="B25" s="80" t="s">
        <v>167</v>
      </c>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s="60"/>
      <c r="BO25" s="40"/>
    </row>
    <row r="26" spans="2:67" x14ac:dyDescent="0.2">
      <c r="B26" s="80" t="s">
        <v>168</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s="60"/>
      <c r="BO26" s="40"/>
    </row>
    <row r="27" spans="2:67" x14ac:dyDescent="0.2">
      <c r="B27" s="80" t="s">
        <v>169</v>
      </c>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s="60"/>
      <c r="BO27" s="40"/>
    </row>
    <row r="28" spans="2:67" x14ac:dyDescent="0.2">
      <c r="B28" s="80" t="s">
        <v>349</v>
      </c>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s="60"/>
      <c r="BO28" s="40"/>
    </row>
    <row r="29" spans="2:67" x14ac:dyDescent="0.2">
      <c r="B29" s="80" t="s">
        <v>350</v>
      </c>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s="60"/>
      <c r="BO29" s="40"/>
    </row>
    <row r="30" spans="2:67" x14ac:dyDescent="0.2">
      <c r="B30" s="80" t="s">
        <v>351</v>
      </c>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s="60"/>
      <c r="BO30" s="40"/>
    </row>
    <row r="31" spans="2:67" x14ac:dyDescent="0.2">
      <c r="B31" s="80" t="s">
        <v>352</v>
      </c>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s="60"/>
      <c r="BO31" s="40"/>
    </row>
    <row r="32" spans="2:67" x14ac:dyDescent="0.2">
      <c r="B32" s="80" t="s">
        <v>353</v>
      </c>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s="60"/>
      <c r="BO32" s="40"/>
    </row>
    <row r="33" spans="2:67" x14ac:dyDescent="0.2">
      <c r="B33" s="80" t="s">
        <v>354</v>
      </c>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s="60"/>
      <c r="BO33" s="40"/>
    </row>
    <row r="34" spans="2:67" x14ac:dyDescent="0.2">
      <c r="B34" s="80" t="s">
        <v>170</v>
      </c>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s="60"/>
      <c r="BO34" s="40"/>
    </row>
    <row r="35" spans="2:67" x14ac:dyDescent="0.2">
      <c r="B35" s="80" t="s">
        <v>355</v>
      </c>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s="60"/>
      <c r="BO35" s="40"/>
    </row>
    <row r="36" spans="2:67" x14ac:dyDescent="0.2">
      <c r="B36" s="80" t="s">
        <v>356</v>
      </c>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s="60"/>
      <c r="BO36" s="40"/>
    </row>
    <row r="37" spans="2:67" x14ac:dyDescent="0.2">
      <c r="B37" s="80" t="s">
        <v>171</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s="60"/>
      <c r="BO37" s="40"/>
    </row>
    <row r="38" spans="2:67" x14ac:dyDescent="0.2">
      <c r="B38" s="80" t="s">
        <v>172</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s="60"/>
      <c r="BO38" s="40"/>
    </row>
    <row r="39" spans="2:67" ht="17" thickBot="1" x14ac:dyDescent="0.25">
      <c r="B39" s="80" t="s">
        <v>173</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s="60"/>
      <c r="BO39" s="40"/>
    </row>
    <row r="40" spans="2:67" ht="17" thickBot="1" x14ac:dyDescent="0.25">
      <c r="B40" s="81" t="s">
        <v>174</v>
      </c>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3"/>
      <c r="BO40" s="84"/>
    </row>
    <row r="41" spans="2:67" x14ac:dyDescent="0.2">
      <c r="B41" s="80" t="s">
        <v>175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s="60"/>
      <c r="BO41" s="40"/>
    </row>
    <row r="42" spans="2:67" x14ac:dyDescent="0.2">
      <c r="B42" s="80" t="s">
        <v>176</v>
      </c>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s="60"/>
      <c r="BO42" s="40"/>
    </row>
    <row r="43" spans="2:67" x14ac:dyDescent="0.2">
      <c r="B43" s="80" t="s">
        <v>357</v>
      </c>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s="60"/>
      <c r="BO43" s="40"/>
    </row>
    <row r="44" spans="2:67" x14ac:dyDescent="0.2">
      <c r="B44" s="80" t="s">
        <v>358</v>
      </c>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s="60"/>
      <c r="BO44" s="40"/>
    </row>
    <row r="45" spans="2:67" x14ac:dyDescent="0.2">
      <c r="B45" s="80" t="s">
        <v>177</v>
      </c>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s="60"/>
      <c r="BO45" s="40"/>
    </row>
    <row r="46" spans="2:67" x14ac:dyDescent="0.2">
      <c r="B46" s="80" t="s">
        <v>359</v>
      </c>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s="60"/>
      <c r="BO46" s="40"/>
    </row>
    <row r="47" spans="2:67" x14ac:dyDescent="0.2">
      <c r="B47" s="80" t="s">
        <v>360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s="60"/>
      <c r="BO47" s="40"/>
    </row>
    <row r="48" spans="2:67" x14ac:dyDescent="0.2">
      <c r="B48" s="80" t="s">
        <v>361</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s="60"/>
      <c r="BO48" s="40"/>
    </row>
    <row r="49" spans="2:67" x14ac:dyDescent="0.2">
      <c r="B49" s="80" t="s">
        <v>362</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s="60"/>
      <c r="BO49" s="40"/>
    </row>
    <row r="50" spans="2:67" x14ac:dyDescent="0.2">
      <c r="B50" s="80" t="s">
        <v>363</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s="60"/>
      <c r="BO50" s="40"/>
    </row>
    <row r="51" spans="2:67" x14ac:dyDescent="0.2">
      <c r="B51" s="80" t="s">
        <v>178</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s="60"/>
      <c r="BO51" s="40"/>
    </row>
    <row r="52" spans="2:67" x14ac:dyDescent="0.2">
      <c r="B52" s="80" t="s">
        <v>364</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s="60"/>
      <c r="BO52" s="40"/>
    </row>
    <row r="53" spans="2:67" x14ac:dyDescent="0.2">
      <c r="B53" s="80" t="s">
        <v>179</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s="60"/>
      <c r="BO53" s="40"/>
    </row>
    <row r="54" spans="2:67" x14ac:dyDescent="0.2">
      <c r="B54" s="80" t="s">
        <v>180</v>
      </c>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s="60"/>
      <c r="BO54" s="40"/>
    </row>
    <row r="55" spans="2:67" x14ac:dyDescent="0.2">
      <c r="B55" s="80" t="s">
        <v>181</v>
      </c>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s="60"/>
      <c r="BO55" s="40"/>
    </row>
    <row r="56" spans="2:67" x14ac:dyDescent="0.2">
      <c r="B56" s="80" t="s">
        <v>172</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s="60"/>
      <c r="BO56" s="40"/>
    </row>
    <row r="57" spans="2:67" x14ac:dyDescent="0.2">
      <c r="B57" s="80" t="s">
        <v>182</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s="60"/>
      <c r="BO57" s="40"/>
    </row>
    <row r="58" spans="2:67" ht="17" thickBot="1" x14ac:dyDescent="0.25">
      <c r="B58" s="80" t="s">
        <v>183</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s="60"/>
      <c r="BO58" s="40"/>
    </row>
    <row r="59" spans="2:67" ht="17" thickBot="1" x14ac:dyDescent="0.25">
      <c r="B59" s="81" t="s">
        <v>184</v>
      </c>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3"/>
      <c r="BO59" s="84"/>
    </row>
    <row r="60" spans="2:67" ht="17" thickBot="1" x14ac:dyDescent="0.25">
      <c r="B60" s="81" t="s">
        <v>30</v>
      </c>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3"/>
      <c r="BO60" s="84"/>
    </row>
    <row r="61" spans="2:67" x14ac:dyDescent="0.2">
      <c r="B61" s="80" t="s">
        <v>185</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s="60"/>
      <c r="BO61" s="40"/>
    </row>
    <row r="62" spans="2:67" x14ac:dyDescent="0.2">
      <c r="B62" s="80" t="s">
        <v>186</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s="60"/>
      <c r="BO62" s="40"/>
    </row>
    <row r="63" spans="2:67" x14ac:dyDescent="0.2">
      <c r="B63" s="80" t="s">
        <v>187</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s="60"/>
      <c r="BO63" s="40"/>
    </row>
    <row r="64" spans="2:67" x14ac:dyDescent="0.2">
      <c r="B64" s="80" t="s">
        <v>188</v>
      </c>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s="60"/>
      <c r="BO64" s="40"/>
    </row>
    <row r="65" spans="2:67" x14ac:dyDescent="0.2">
      <c r="B65" s="80" t="s">
        <v>189</v>
      </c>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s="60"/>
      <c r="BO65" s="40"/>
    </row>
    <row r="66" spans="2:67" x14ac:dyDescent="0.2">
      <c r="B66" s="80" t="s">
        <v>190</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s="60"/>
      <c r="BO66" s="40"/>
    </row>
    <row r="67" spans="2:67" x14ac:dyDescent="0.2">
      <c r="B67" s="80" t="s">
        <v>191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s="60"/>
      <c r="BO67" s="40"/>
    </row>
    <row r="68" spans="2:67" x14ac:dyDescent="0.2">
      <c r="B68" s="80" t="s">
        <v>192</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s="60"/>
      <c r="BO68" s="40"/>
    </row>
    <row r="69" spans="2:67" x14ac:dyDescent="0.2">
      <c r="B69" s="80" t="s">
        <v>193</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s="60"/>
      <c r="BO69" s="40"/>
    </row>
    <row r="70" spans="2:67" x14ac:dyDescent="0.2">
      <c r="B70" s="80" t="s">
        <v>194</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s="60"/>
      <c r="BO70" s="40"/>
    </row>
    <row r="71" spans="2:67" x14ac:dyDescent="0.2">
      <c r="B71" s="80" t="s">
        <v>195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s="60"/>
      <c r="BO71" s="40"/>
    </row>
    <row r="72" spans="2:67" x14ac:dyDescent="0.2">
      <c r="B72" s="80" t="s">
        <v>196</v>
      </c>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s="60"/>
      <c r="BO72" s="40"/>
    </row>
    <row r="73" spans="2:67" ht="17" thickBot="1" x14ac:dyDescent="0.25">
      <c r="B73" s="80" t="s">
        <v>197</v>
      </c>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s="60"/>
      <c r="BO73" s="40"/>
    </row>
    <row r="74" spans="2:67" ht="17" thickBot="1" x14ac:dyDescent="0.25">
      <c r="B74" s="81" t="s">
        <v>198</v>
      </c>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3"/>
      <c r="BO74" s="84"/>
    </row>
    <row r="75" spans="2:67" x14ac:dyDescent="0.2">
      <c r="B75" s="80" t="s">
        <v>199</v>
      </c>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s="60"/>
      <c r="BO75" s="40"/>
    </row>
    <row r="76" spans="2:67" x14ac:dyDescent="0.2">
      <c r="B76" s="80" t="s">
        <v>200</v>
      </c>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s="60"/>
      <c r="BO76" s="40"/>
    </row>
    <row r="77" spans="2:67" x14ac:dyDescent="0.2">
      <c r="B77" s="80" t="s">
        <v>201</v>
      </c>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s="60"/>
      <c r="BO77" s="40"/>
    </row>
    <row r="78" spans="2:67" x14ac:dyDescent="0.2">
      <c r="B78" s="80" t="s">
        <v>202</v>
      </c>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s="60"/>
      <c r="BO78" s="40"/>
    </row>
    <row r="79" spans="2:67" x14ac:dyDescent="0.2">
      <c r="B79" s="80" t="s">
        <v>203</v>
      </c>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s="60"/>
      <c r="BO79" s="40"/>
    </row>
    <row r="80" spans="2:67" ht="17" thickBot="1" x14ac:dyDescent="0.25">
      <c r="B80" s="80" t="s">
        <v>204</v>
      </c>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s="60"/>
      <c r="BO80" s="40"/>
    </row>
    <row r="81" spans="2:67" ht="17" thickBot="1" x14ac:dyDescent="0.25">
      <c r="B81" s="81" t="s">
        <v>92</v>
      </c>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3"/>
      <c r="BO81" s="84"/>
    </row>
    <row r="82" spans="2:67" x14ac:dyDescent="0.2">
      <c r="B82" s="80" t="s">
        <v>205</v>
      </c>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s="60"/>
      <c r="BO82" s="40"/>
    </row>
    <row r="83" spans="2:67" x14ac:dyDescent="0.2">
      <c r="B83" s="80" t="s">
        <v>206</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row>
    <row r="84" spans="2:67" x14ac:dyDescent="0.2">
      <c r="B84" s="80" t="s">
        <v>207</v>
      </c>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s="60"/>
      <c r="BO84" s="40"/>
    </row>
    <row r="85" spans="2:67" x14ac:dyDescent="0.2">
      <c r="B85" s="80" t="s">
        <v>208</v>
      </c>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s="60"/>
      <c r="BO85" s="40"/>
    </row>
    <row r="86" spans="2:67" ht="17" thickBot="1" x14ac:dyDescent="0.25">
      <c r="B86" s="80" t="s">
        <v>209</v>
      </c>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s="60"/>
      <c r="BO86" s="40"/>
    </row>
    <row r="87" spans="2:67" ht="17" thickBot="1" x14ac:dyDescent="0.25">
      <c r="B87" s="81" t="s">
        <v>210</v>
      </c>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2"/>
      <c r="BN87" s="83"/>
      <c r="BO87" s="84"/>
    </row>
    <row r="88" spans="2:67" x14ac:dyDescent="0.2">
      <c r="B88" s="80" t="s">
        <v>211</v>
      </c>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s="60"/>
      <c r="BO88" s="40"/>
    </row>
    <row r="89" spans="2:67" x14ac:dyDescent="0.2">
      <c r="B89" s="80" t="s">
        <v>212</v>
      </c>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s="60"/>
      <c r="BO89" s="40"/>
    </row>
    <row r="90" spans="2:67" x14ac:dyDescent="0.2">
      <c r="B90" s="80" t="s">
        <v>213</v>
      </c>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s="60"/>
      <c r="BO90" s="40"/>
    </row>
    <row r="91" spans="2:67" ht="17" thickBot="1" x14ac:dyDescent="0.25">
      <c r="B91" s="80" t="s">
        <v>214</v>
      </c>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s="60"/>
      <c r="BO91" s="40"/>
    </row>
    <row r="92" spans="2:67" ht="17" thickBot="1" x14ac:dyDescent="0.25">
      <c r="B92" s="81" t="s">
        <v>215</v>
      </c>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2"/>
      <c r="BM92" s="82"/>
      <c r="BN92" s="83"/>
      <c r="BO92" s="84"/>
    </row>
    <row r="93" spans="2:67" x14ac:dyDescent="0.2">
      <c r="B93" s="80" t="s">
        <v>216</v>
      </c>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s="60"/>
      <c r="BO93" s="40"/>
    </row>
    <row r="94" spans="2:67" x14ac:dyDescent="0.2">
      <c r="B94" s="80" t="s">
        <v>217</v>
      </c>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s="60"/>
      <c r="BO94" s="40"/>
    </row>
    <row r="95" spans="2:67" x14ac:dyDescent="0.2">
      <c r="B95" s="80" t="s">
        <v>218</v>
      </c>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s="60"/>
      <c r="BO95" s="40"/>
    </row>
    <row r="96" spans="2:67" ht="17" thickBot="1" x14ac:dyDescent="0.25">
      <c r="B96" s="80" t="s">
        <v>219</v>
      </c>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s="60"/>
      <c r="BO96" s="40"/>
    </row>
    <row r="97" spans="2:67" ht="17" thickBot="1" x14ac:dyDescent="0.25">
      <c r="B97" s="81" t="s">
        <v>220</v>
      </c>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c r="AY97" s="82"/>
      <c r="AZ97" s="82"/>
      <c r="BA97" s="82"/>
      <c r="BB97" s="82"/>
      <c r="BC97" s="82"/>
      <c r="BD97" s="82"/>
      <c r="BE97" s="82"/>
      <c r="BF97" s="82"/>
      <c r="BG97" s="82"/>
      <c r="BH97" s="82"/>
      <c r="BI97" s="82"/>
      <c r="BJ97" s="82"/>
      <c r="BK97" s="82"/>
      <c r="BL97" s="82"/>
      <c r="BM97" s="82"/>
      <c r="BN97" s="83"/>
      <c r="BO97" s="84"/>
    </row>
    <row r="98" spans="2:67" x14ac:dyDescent="0.2">
      <c r="B98" s="80" t="s">
        <v>221</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s="60"/>
      <c r="BO98" s="40"/>
    </row>
    <row r="99" spans="2:67" x14ac:dyDescent="0.2">
      <c r="B99" s="80" t="s">
        <v>222</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s="60"/>
      <c r="BO99" s="40"/>
    </row>
    <row r="100" spans="2:67" x14ac:dyDescent="0.2">
      <c r="B100" s="80" t="s">
        <v>223</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s="60"/>
      <c r="BO100" s="40"/>
    </row>
    <row r="101" spans="2:67" ht="17" thickBot="1" x14ac:dyDescent="0.25">
      <c r="B101" s="87" t="s">
        <v>224</v>
      </c>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88"/>
      <c r="BO101" s="49"/>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M38"/>
  <sheetViews>
    <sheetView workbookViewId="0">
      <selection activeCell="H40" sqref="H40"/>
    </sheetView>
  </sheetViews>
  <sheetFormatPr baseColWidth="10" defaultRowHeight="16" x14ac:dyDescent="0.2"/>
  <cols>
    <col min="1" max="1" width="10.83203125" style="1"/>
    <col min="2" max="2" width="21.6640625" style="1" customWidth="1"/>
    <col min="3" max="3" width="34" style="1" bestFit="1" customWidth="1"/>
    <col min="4" max="4" width="34" style="1" hidden="1" customWidth="1"/>
    <col min="5" max="5" width="72.5" style="1" bestFit="1" customWidth="1"/>
    <col min="6" max="6" width="18.33203125" style="1" bestFit="1" customWidth="1"/>
    <col min="7" max="9" width="16.83203125" style="1" bestFit="1" customWidth="1"/>
    <col min="10" max="10" width="17.1640625" style="1" customWidth="1"/>
    <col min="11" max="11" width="17.1640625" style="1" bestFit="1" customWidth="1"/>
    <col min="12" max="12" width="16.6640625" style="143" bestFit="1" customWidth="1"/>
    <col min="13" max="13" width="20.83203125" style="1" bestFit="1" customWidth="1"/>
    <col min="14" max="16384" width="10.83203125" style="1"/>
  </cols>
  <sheetData>
    <row r="2" spans="2:13" ht="21" x14ac:dyDescent="0.25">
      <c r="B2" s="2" t="s">
        <v>234</v>
      </c>
    </row>
    <row r="4" spans="2:13" x14ac:dyDescent="0.2">
      <c r="B4" s="3" t="s">
        <v>93</v>
      </c>
      <c r="C4" s="4"/>
      <c r="D4" s="4"/>
      <c r="E4" s="5"/>
      <c r="F4" s="17"/>
    </row>
    <row r="5" spans="2:13" x14ac:dyDescent="0.2">
      <c r="B5" s="375" t="s">
        <v>548</v>
      </c>
      <c r="C5" s="376"/>
      <c r="D5" s="376"/>
      <c r="E5" s="377"/>
      <c r="F5" s="314"/>
      <c r="G5" s="213"/>
      <c r="H5" s="213"/>
      <c r="I5" s="213"/>
      <c r="J5" s="213"/>
      <c r="K5" s="213"/>
    </row>
    <row r="6" spans="2:13" ht="17" thickBot="1" x14ac:dyDescent="0.25"/>
    <row r="7" spans="2:13" x14ac:dyDescent="0.2">
      <c r="B7" s="303" t="s">
        <v>545</v>
      </c>
      <c r="C7" s="304"/>
      <c r="D7" s="304"/>
      <c r="E7" s="305" t="s">
        <v>546</v>
      </c>
      <c r="F7" s="301" t="s">
        <v>547</v>
      </c>
      <c r="G7" s="300"/>
      <c r="H7" s="301"/>
      <c r="I7" s="306"/>
      <c r="J7" s="307"/>
      <c r="K7" s="51"/>
      <c r="L7" s="27"/>
      <c r="M7" s="243" t="s">
        <v>449</v>
      </c>
    </row>
    <row r="8" spans="2:13" ht="34" x14ac:dyDescent="0.2">
      <c r="B8" s="308" t="s">
        <v>336</v>
      </c>
      <c r="C8" s="280" t="s">
        <v>225</v>
      </c>
      <c r="E8" s="318" t="s">
        <v>411</v>
      </c>
      <c r="F8" s="1" t="s">
        <v>525</v>
      </c>
      <c r="G8" s="1" t="s">
        <v>526</v>
      </c>
      <c r="H8" s="1" t="s">
        <v>526</v>
      </c>
      <c r="I8" s="309" t="s">
        <v>544</v>
      </c>
      <c r="J8" s="311" t="s">
        <v>228</v>
      </c>
      <c r="K8" s="312" t="s">
        <v>227</v>
      </c>
      <c r="L8" s="313" t="s">
        <v>283</v>
      </c>
    </row>
    <row r="9" spans="2:13" ht="15" customHeight="1" x14ac:dyDescent="0.2">
      <c r="B9" s="41"/>
      <c r="C9" s="9"/>
      <c r="D9" s="70"/>
      <c r="E9" s="310"/>
      <c r="F9" s="302" t="s">
        <v>527</v>
      </c>
      <c r="G9" s="302" t="s">
        <v>528</v>
      </c>
      <c r="H9" s="302" t="s">
        <v>543</v>
      </c>
      <c r="I9" s="10" t="s">
        <v>529</v>
      </c>
      <c r="J9" s="18"/>
      <c r="K9" s="9"/>
      <c r="L9" s="277"/>
    </row>
    <row r="10" spans="2:13" x14ac:dyDescent="0.2">
      <c r="B10" s="66"/>
      <c r="C10" s="68"/>
      <c r="D10" s="68"/>
      <c r="E10" s="315"/>
      <c r="F10" s="68"/>
      <c r="G10" s="68"/>
      <c r="H10" s="68"/>
      <c r="I10" s="68"/>
      <c r="J10" s="319"/>
      <c r="K10" s="135"/>
      <c r="L10" s="320"/>
    </row>
    <row r="11" spans="2:13" x14ac:dyDescent="0.2">
      <c r="B11" s="48" t="s">
        <v>90</v>
      </c>
      <c r="C11" t="s">
        <v>121</v>
      </c>
      <c r="D11"/>
      <c r="E11" s="316" t="s">
        <v>530</v>
      </c>
      <c r="F11" s="326"/>
      <c r="G11" s="326" t="s">
        <v>552</v>
      </c>
      <c r="H11" s="326" t="s">
        <v>552</v>
      </c>
      <c r="I11" s="326" t="s">
        <v>552</v>
      </c>
      <c r="J11" s="335">
        <f>F11</f>
        <v>0</v>
      </c>
      <c r="K11" s="321"/>
      <c r="L11" s="330">
        <f>J11</f>
        <v>0</v>
      </c>
      <c r="M11" s="243" t="s">
        <v>454</v>
      </c>
    </row>
    <row r="12" spans="2:13" x14ac:dyDescent="0.2">
      <c r="B12" s="69"/>
      <c r="C12" t="s">
        <v>123</v>
      </c>
      <c r="D12"/>
      <c r="E12" s="316" t="s">
        <v>531</v>
      </c>
      <c r="F12" s="326"/>
      <c r="G12" s="326"/>
      <c r="H12" s="326" t="s">
        <v>552</v>
      </c>
      <c r="I12" s="326" t="s">
        <v>552</v>
      </c>
      <c r="J12" s="335"/>
      <c r="K12" s="321" t="e">
        <f>1/G12</f>
        <v>#DIV/0!</v>
      </c>
      <c r="L12" s="330" t="e">
        <f>K12</f>
        <v>#DIV/0!</v>
      </c>
      <c r="M12" s="243" t="s">
        <v>457</v>
      </c>
    </row>
    <row r="13" spans="2:13" x14ac:dyDescent="0.2">
      <c r="B13" s="69"/>
      <c r="C13" t="s">
        <v>122</v>
      </c>
      <c r="D13"/>
      <c r="E13" s="316" t="s">
        <v>532</v>
      </c>
      <c r="F13" s="326"/>
      <c r="G13" s="326" t="s">
        <v>552</v>
      </c>
      <c r="H13" s="326"/>
      <c r="I13" s="326" t="s">
        <v>552</v>
      </c>
      <c r="J13" s="335"/>
      <c r="K13" s="321" t="e">
        <f>1/H13</f>
        <v>#DIV/0!</v>
      </c>
      <c r="L13" s="330" t="e">
        <f>K13</f>
        <v>#DIV/0!</v>
      </c>
      <c r="M13" s="243" t="s">
        <v>471</v>
      </c>
    </row>
    <row r="14" spans="2:13" x14ac:dyDescent="0.2">
      <c r="B14" s="69"/>
      <c r="C14" t="s">
        <v>124</v>
      </c>
      <c r="D14"/>
      <c r="E14" s="316" t="s">
        <v>533</v>
      </c>
      <c r="F14" s="326"/>
      <c r="G14" s="326" t="s">
        <v>552</v>
      </c>
      <c r="H14" s="326" t="s">
        <v>552</v>
      </c>
      <c r="I14" s="326" t="s">
        <v>552</v>
      </c>
      <c r="J14" s="335">
        <f>F14</f>
        <v>0</v>
      </c>
      <c r="K14" s="321"/>
      <c r="L14" s="330">
        <f t="shared" ref="L14" si="0">J14</f>
        <v>0</v>
      </c>
      <c r="M14" s="243" t="s">
        <v>453</v>
      </c>
    </row>
    <row r="15" spans="2:13" x14ac:dyDescent="0.2">
      <c r="B15" s="69"/>
      <c r="C15" t="s">
        <v>126</v>
      </c>
      <c r="D15"/>
      <c r="E15" s="316" t="s">
        <v>534</v>
      </c>
      <c r="F15" s="326"/>
      <c r="G15" s="326" t="s">
        <v>552</v>
      </c>
      <c r="H15" s="326" t="s">
        <v>552</v>
      </c>
      <c r="I15" s="326" t="s">
        <v>552</v>
      </c>
      <c r="J15" s="335">
        <f>F15</f>
        <v>0</v>
      </c>
      <c r="K15" s="321"/>
      <c r="L15" s="330">
        <f>J15</f>
        <v>0</v>
      </c>
      <c r="M15" s="243" t="s">
        <v>456</v>
      </c>
    </row>
    <row r="16" spans="2:13" x14ac:dyDescent="0.2">
      <c r="B16" s="69"/>
      <c r="C16" t="s">
        <v>127</v>
      </c>
      <c r="D16"/>
      <c r="E16" s="316" t="s">
        <v>535</v>
      </c>
      <c r="F16" s="326"/>
      <c r="G16" s="326" t="s">
        <v>552</v>
      </c>
      <c r="H16" s="326" t="s">
        <v>552</v>
      </c>
      <c r="I16" s="326" t="s">
        <v>552</v>
      </c>
      <c r="J16" s="335">
        <f>F16</f>
        <v>0</v>
      </c>
      <c r="K16" s="321"/>
      <c r="L16" s="330">
        <f>J16</f>
        <v>0</v>
      </c>
      <c r="M16" s="243" t="s">
        <v>455</v>
      </c>
    </row>
    <row r="17" spans="2:13" x14ac:dyDescent="0.2">
      <c r="B17" s="69"/>
      <c r="C17" t="s">
        <v>611</v>
      </c>
      <c r="D17"/>
      <c r="E17" s="316" t="s">
        <v>614</v>
      </c>
      <c r="F17" s="326"/>
      <c r="G17" s="326"/>
      <c r="H17" s="326" t="s">
        <v>552</v>
      </c>
      <c r="I17" s="326" t="s">
        <v>552</v>
      </c>
      <c r="J17" s="335"/>
      <c r="K17" s="321" t="e">
        <f>1/G17</f>
        <v>#DIV/0!</v>
      </c>
      <c r="L17" s="330" t="e">
        <f>K17</f>
        <v>#DIV/0!</v>
      </c>
      <c r="M17" s="243" t="s">
        <v>616</v>
      </c>
    </row>
    <row r="18" spans="2:13" x14ac:dyDescent="0.2">
      <c r="B18" s="69"/>
      <c r="E18" s="17"/>
      <c r="F18" s="327"/>
      <c r="G18" s="327"/>
      <c r="H18" s="327"/>
      <c r="I18" s="327"/>
      <c r="J18" s="335"/>
      <c r="K18" s="321"/>
      <c r="L18" s="321"/>
      <c r="M18" s="28"/>
    </row>
    <row r="19" spans="2:13" x14ac:dyDescent="0.2">
      <c r="B19" s="69"/>
      <c r="C19" t="s">
        <v>125</v>
      </c>
      <c r="D19"/>
      <c r="E19" s="316" t="s">
        <v>619</v>
      </c>
      <c r="F19" s="326"/>
      <c r="G19" s="326" t="s">
        <v>552</v>
      </c>
      <c r="H19" s="326" t="s">
        <v>552</v>
      </c>
      <c r="I19" s="326" t="s">
        <v>552</v>
      </c>
      <c r="J19" s="335">
        <f>F19</f>
        <v>0</v>
      </c>
      <c r="K19" s="321"/>
      <c r="L19" s="330">
        <f>J19</f>
        <v>0</v>
      </c>
      <c r="M19" s="243" t="s">
        <v>450</v>
      </c>
    </row>
    <row r="20" spans="2:13" x14ac:dyDescent="0.2">
      <c r="B20" s="69"/>
      <c r="C20" t="s">
        <v>128</v>
      </c>
      <c r="D20"/>
      <c r="E20" s="316" t="s">
        <v>536</v>
      </c>
      <c r="F20" s="326"/>
      <c r="G20" s="326" t="s">
        <v>552</v>
      </c>
      <c r="H20" s="326" t="s">
        <v>552</v>
      </c>
      <c r="I20" s="326" t="s">
        <v>552</v>
      </c>
      <c r="J20" s="335">
        <f>F20</f>
        <v>0</v>
      </c>
      <c r="K20" s="321"/>
      <c r="L20" s="330">
        <f>J20</f>
        <v>0</v>
      </c>
      <c r="M20" s="243" t="s">
        <v>452</v>
      </c>
    </row>
    <row r="21" spans="2:13" x14ac:dyDescent="0.2">
      <c r="B21" s="69"/>
      <c r="C21" t="s">
        <v>129</v>
      </c>
      <c r="D21"/>
      <c r="E21" s="316" t="s">
        <v>621</v>
      </c>
      <c r="F21" s="326"/>
      <c r="G21" s="326" t="s">
        <v>552</v>
      </c>
      <c r="H21" s="326" t="s">
        <v>552</v>
      </c>
      <c r="I21" s="326" t="s">
        <v>552</v>
      </c>
      <c r="J21" s="335">
        <f>F21</f>
        <v>0</v>
      </c>
      <c r="K21" s="321"/>
      <c r="L21" s="330">
        <f>J21</f>
        <v>0</v>
      </c>
      <c r="M21" s="243" t="s">
        <v>451</v>
      </c>
    </row>
    <row r="22" spans="2:13" x14ac:dyDescent="0.2">
      <c r="B22" s="28"/>
      <c r="E22" s="17"/>
      <c r="F22" s="327"/>
      <c r="G22" s="327"/>
      <c r="H22" s="327"/>
      <c r="I22" s="327"/>
      <c r="J22" s="335"/>
      <c r="K22" s="321"/>
      <c r="L22" s="330"/>
    </row>
    <row r="23" spans="2:13" x14ac:dyDescent="0.2">
      <c r="B23" s="47" t="s">
        <v>103</v>
      </c>
      <c r="C23" s="4"/>
      <c r="D23" s="4"/>
      <c r="E23" s="285"/>
      <c r="F23" s="328"/>
      <c r="G23" s="328"/>
      <c r="H23" s="328"/>
      <c r="I23" s="328"/>
      <c r="J23" s="336"/>
      <c r="K23" s="331"/>
      <c r="L23" s="332"/>
      <c r="M23" s="243"/>
    </row>
    <row r="24" spans="2:13" x14ac:dyDescent="0.2">
      <c r="B24" s="69"/>
      <c r="C24" t="s">
        <v>122</v>
      </c>
      <c r="D24"/>
      <c r="E24" s="316" t="s">
        <v>537</v>
      </c>
      <c r="F24" s="326" t="s">
        <v>552</v>
      </c>
      <c r="G24" s="326" t="s">
        <v>552</v>
      </c>
      <c r="H24" s="326"/>
      <c r="I24" s="326" t="s">
        <v>552</v>
      </c>
      <c r="J24" s="335"/>
      <c r="K24" s="321" t="e">
        <f>1/H24</f>
        <v>#DIV/0!</v>
      </c>
      <c r="L24" s="330" t="e">
        <f>K24</f>
        <v>#DIV/0!</v>
      </c>
      <c r="M24" s="243" t="s">
        <v>459</v>
      </c>
    </row>
    <row r="25" spans="2:13" x14ac:dyDescent="0.2">
      <c r="B25" s="69"/>
      <c r="C25" t="s">
        <v>123</v>
      </c>
      <c r="D25"/>
      <c r="E25" s="316" t="s">
        <v>538</v>
      </c>
      <c r="F25" s="326" t="s">
        <v>552</v>
      </c>
      <c r="G25" s="326"/>
      <c r="H25" s="326" t="s">
        <v>552</v>
      </c>
      <c r="I25" s="326" t="s">
        <v>552</v>
      </c>
      <c r="J25" s="335"/>
      <c r="K25" s="321" t="e">
        <f>1/G25</f>
        <v>#DIV/0!</v>
      </c>
      <c r="L25" s="330" t="e">
        <f>K25</f>
        <v>#DIV/0!</v>
      </c>
      <c r="M25" s="243" t="s">
        <v>460</v>
      </c>
    </row>
    <row r="26" spans="2:13" x14ac:dyDescent="0.2">
      <c r="B26" s="69"/>
      <c r="C26" t="s">
        <v>131</v>
      </c>
      <c r="D26"/>
      <c r="E26" s="316" t="s">
        <v>539</v>
      </c>
      <c r="F26" s="326" t="s">
        <v>552</v>
      </c>
      <c r="G26" s="326"/>
      <c r="H26" s="326" t="s">
        <v>552</v>
      </c>
      <c r="I26" s="326" t="s">
        <v>552</v>
      </c>
      <c r="J26" s="335"/>
      <c r="K26" s="321" t="e">
        <f>1/G26</f>
        <v>#DIV/0!</v>
      </c>
      <c r="L26" s="330" t="e">
        <f>K26</f>
        <v>#DIV/0!</v>
      </c>
      <c r="M26" s="243" t="s">
        <v>458</v>
      </c>
    </row>
    <row r="27" spans="2:13" x14ac:dyDescent="0.2">
      <c r="B27" s="69"/>
      <c r="C27" t="s">
        <v>611</v>
      </c>
      <c r="D27"/>
      <c r="E27" s="316" t="s">
        <v>612</v>
      </c>
      <c r="F27" s="326" t="s">
        <v>552</v>
      </c>
      <c r="G27" s="326"/>
      <c r="H27" s="326" t="s">
        <v>552</v>
      </c>
      <c r="I27" s="326" t="s">
        <v>552</v>
      </c>
      <c r="J27" s="335"/>
      <c r="K27" s="321" t="e">
        <f>1/G27</f>
        <v>#DIV/0!</v>
      </c>
      <c r="L27" s="330" t="e">
        <f>K27</f>
        <v>#DIV/0!</v>
      </c>
      <c r="M27" s="243" t="s">
        <v>613</v>
      </c>
    </row>
    <row r="28" spans="2:13" x14ac:dyDescent="0.2">
      <c r="B28" s="41"/>
      <c r="C28" s="9"/>
      <c r="D28" s="9"/>
      <c r="E28" s="18"/>
      <c r="F28" s="329"/>
      <c r="G28" s="329"/>
      <c r="H28" s="329"/>
      <c r="I28" s="329"/>
      <c r="J28" s="337"/>
      <c r="K28" s="333"/>
      <c r="L28" s="334"/>
    </row>
    <row r="29" spans="2:13" x14ac:dyDescent="0.2">
      <c r="B29" s="35" t="s">
        <v>89</v>
      </c>
      <c r="E29" s="17"/>
      <c r="F29" s="327"/>
      <c r="G29" s="327"/>
      <c r="H29" s="327"/>
      <c r="I29" s="327"/>
      <c r="J29" s="335"/>
      <c r="K29" s="321"/>
      <c r="L29" s="330"/>
    </row>
    <row r="30" spans="2:13" x14ac:dyDescent="0.2">
      <c r="B30" s="69"/>
      <c r="C30" t="s">
        <v>330</v>
      </c>
      <c r="D30"/>
      <c r="E30" s="316" t="s">
        <v>541</v>
      </c>
      <c r="F30" s="326" t="s">
        <v>552</v>
      </c>
      <c r="G30" s="326" t="s">
        <v>552</v>
      </c>
      <c r="H30" s="326" t="s">
        <v>552</v>
      </c>
      <c r="I30" s="326"/>
      <c r="J30" s="335">
        <f>I30</f>
        <v>0</v>
      </c>
      <c r="K30" s="321"/>
      <c r="L30" s="330">
        <f>J30</f>
        <v>0</v>
      </c>
      <c r="M30" s="243" t="s">
        <v>462</v>
      </c>
    </row>
    <row r="31" spans="2:13" x14ac:dyDescent="0.2">
      <c r="B31" s="69"/>
      <c r="C31" t="s">
        <v>331</v>
      </c>
      <c r="D31"/>
      <c r="E31" s="316" t="s">
        <v>540</v>
      </c>
      <c r="F31" s="326" t="s">
        <v>552</v>
      </c>
      <c r="G31" s="326" t="s">
        <v>552</v>
      </c>
      <c r="H31" s="326" t="s">
        <v>552</v>
      </c>
      <c r="I31" s="326"/>
      <c r="J31" s="335">
        <f>I31</f>
        <v>0</v>
      </c>
      <c r="K31" s="321"/>
      <c r="L31" s="330">
        <f>J31</f>
        <v>0</v>
      </c>
      <c r="M31" s="243" t="s">
        <v>463</v>
      </c>
    </row>
    <row r="32" spans="2:13" x14ac:dyDescent="0.2">
      <c r="B32" s="69"/>
      <c r="C32" t="s">
        <v>132</v>
      </c>
      <c r="D32"/>
      <c r="E32" s="316" t="s">
        <v>542</v>
      </c>
      <c r="F32" s="326" t="s">
        <v>552</v>
      </c>
      <c r="G32" s="326" t="s">
        <v>552</v>
      </c>
      <c r="H32" s="326" t="s">
        <v>552</v>
      </c>
      <c r="I32" s="326"/>
      <c r="J32" s="335">
        <f>I32</f>
        <v>0</v>
      </c>
      <c r="K32" s="321"/>
      <c r="L32" s="330">
        <f>J32</f>
        <v>0</v>
      </c>
      <c r="M32" s="243" t="s">
        <v>461</v>
      </c>
    </row>
    <row r="33" spans="2:12" ht="17" thickBot="1" x14ac:dyDescent="0.25">
      <c r="B33" s="45"/>
      <c r="C33" s="94"/>
      <c r="D33" s="94"/>
      <c r="E33" s="317"/>
      <c r="F33" s="94"/>
      <c r="G33" s="94"/>
      <c r="H33" s="94"/>
      <c r="I33" s="94"/>
      <c r="J33" s="322"/>
      <c r="K33" s="323"/>
      <c r="L33" s="324"/>
    </row>
    <row r="34" spans="2:12" x14ac:dyDescent="0.2">
      <c r="J34" s="135"/>
      <c r="K34" s="135"/>
      <c r="L34" s="321"/>
    </row>
    <row r="35" spans="2:12" x14ac:dyDescent="0.2">
      <c r="J35" s="135"/>
      <c r="K35" s="135"/>
      <c r="L35" s="321"/>
    </row>
    <row r="36" spans="2:12" x14ac:dyDescent="0.2">
      <c r="J36" s="135"/>
      <c r="K36" s="135"/>
      <c r="L36" s="321"/>
    </row>
    <row r="37" spans="2:12" ht="24" x14ac:dyDescent="0.3">
      <c r="J37" s="325"/>
      <c r="K37" s="135"/>
      <c r="L37" s="321"/>
    </row>
    <row r="38" spans="2:12" ht="24" x14ac:dyDescent="0.3">
      <c r="J38" s="325"/>
      <c r="K38" s="135"/>
      <c r="L38" s="32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E29"/>
  <sheetViews>
    <sheetView workbookViewId="0">
      <selection activeCell="C29" sqref="C29"/>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16384" width="10.83203125" style="1"/>
  </cols>
  <sheetData>
    <row r="2" spans="2:5" ht="21" x14ac:dyDescent="0.25">
      <c r="B2" s="2" t="s">
        <v>341</v>
      </c>
    </row>
    <row r="4" spans="2:5" x14ac:dyDescent="0.2">
      <c r="B4" s="3" t="s">
        <v>93</v>
      </c>
      <c r="C4" s="4"/>
      <c r="D4" s="4"/>
      <c r="E4" s="5"/>
    </row>
    <row r="5" spans="2:5" ht="45" customHeight="1" x14ac:dyDescent="0.2">
      <c r="B5" s="372" t="s">
        <v>601</v>
      </c>
      <c r="C5" s="374"/>
      <c r="D5" s="374"/>
      <c r="E5" s="373"/>
    </row>
    <row r="6" spans="2:5" ht="17" thickBot="1" x14ac:dyDescent="0.25"/>
    <row r="7" spans="2:5" ht="32" x14ac:dyDescent="0.2">
      <c r="B7" s="190" t="s">
        <v>481</v>
      </c>
      <c r="C7" s="265" t="s">
        <v>336</v>
      </c>
      <c r="D7" s="157" t="s">
        <v>472</v>
      </c>
      <c r="E7" s="158" t="s">
        <v>341</v>
      </c>
    </row>
    <row r="8" spans="2:5" x14ac:dyDescent="0.2">
      <c r="B8" s="261" t="s">
        <v>264</v>
      </c>
      <c r="C8" s="159"/>
      <c r="D8" s="4"/>
      <c r="E8" s="126"/>
    </row>
    <row r="9" spans="2:5" x14ac:dyDescent="0.2">
      <c r="B9" s="262"/>
      <c r="C9" s="16" t="s">
        <v>120</v>
      </c>
      <c r="D9" s="211" t="e">
        <f>SUM('Final demand per energy carrier'!E15:E23)</f>
        <v>#DIV/0!</v>
      </c>
      <c r="E9" s="234" t="e">
        <f>IF(SUM($D$9:$D$10)=0,0,D9/SUM($D$9:$D$10))</f>
        <v>#DIV/0!</v>
      </c>
    </row>
    <row r="10" spans="2:5" x14ac:dyDescent="0.2">
      <c r="B10" s="262"/>
      <c r="C10" s="16" t="s">
        <v>302</v>
      </c>
      <c r="D10" s="211" t="e">
        <f>'Final demand per energy carrier'!E43</f>
        <v>#DIV/0!</v>
      </c>
      <c r="E10" s="234" t="e">
        <f>IF(SUM($D$9:$D$10)=0,1,D10/SUM($D$9:$D$10))</f>
        <v>#DIV/0!</v>
      </c>
    </row>
    <row r="11" spans="2:5" x14ac:dyDescent="0.2">
      <c r="B11" s="35"/>
      <c r="C11" s="7"/>
      <c r="D11" s="206"/>
      <c r="E11" s="235"/>
    </row>
    <row r="12" spans="2:5" x14ac:dyDescent="0.2">
      <c r="B12" s="261" t="s">
        <v>581</v>
      </c>
      <c r="C12" s="159"/>
      <c r="D12" s="212"/>
      <c r="E12" s="237"/>
    </row>
    <row r="13" spans="2:5" x14ac:dyDescent="0.2">
      <c r="B13" s="262"/>
      <c r="C13" s="16" t="s">
        <v>120</v>
      </c>
      <c r="D13" s="211" t="e">
        <f>SUM('Final demand per energy carrier'!F15:F23)</f>
        <v>#DIV/0!</v>
      </c>
      <c r="E13" s="234" t="e">
        <f>IF(SUM($D$13:$D$15)=0,0,D13/SUM($D$13:$D$15))</f>
        <v>#DIV/0!</v>
      </c>
    </row>
    <row r="14" spans="2:5" x14ac:dyDescent="0.2">
      <c r="B14" s="262"/>
      <c r="C14" s="16" t="s">
        <v>119</v>
      </c>
      <c r="D14" s="211" t="e">
        <f>SUM('Final demand per energy carrier'!F26:F28)</f>
        <v>#DIV/0!</v>
      </c>
      <c r="E14" s="234" t="e">
        <f>IF(SUM($D$13:$D$15)=0,0,D14/SUM($D$13:$D$15))</f>
        <v>#DIV/0!</v>
      </c>
    </row>
    <row r="15" spans="2:5" x14ac:dyDescent="0.2">
      <c r="B15" s="262"/>
      <c r="C15" s="16" t="s">
        <v>302</v>
      </c>
      <c r="D15" s="211" t="e">
        <f>'Final demand per energy carrier'!F43</f>
        <v>#DIV/0!</v>
      </c>
      <c r="E15" s="234" t="e">
        <f>IF(SUM($D$13:$D$15)=0,1,D15/SUM($D$13:$D$15))</f>
        <v>#DIV/0!</v>
      </c>
    </row>
    <row r="16" spans="2:5" x14ac:dyDescent="0.2">
      <c r="B16" s="263"/>
      <c r="C16" s="7"/>
      <c r="D16" s="206"/>
      <c r="E16" s="238"/>
    </row>
    <row r="17" spans="2:5" x14ac:dyDescent="0.2">
      <c r="B17" s="261" t="s">
        <v>266</v>
      </c>
      <c r="C17" s="159"/>
      <c r="D17" s="212"/>
      <c r="E17" s="237"/>
    </row>
    <row r="18" spans="2:5" x14ac:dyDescent="0.2">
      <c r="B18" s="262"/>
      <c r="C18" s="16" t="s">
        <v>120</v>
      </c>
      <c r="D18" s="211" t="e">
        <f>SUM('Final demand per energy carrier'!G15:G23)</f>
        <v>#DIV/0!</v>
      </c>
      <c r="E18" s="234" t="e">
        <f>IF(SUM($D$18:$D$19)=0,0,D18/SUM($D$18:$D$19))</f>
        <v>#DIV/0!</v>
      </c>
    </row>
    <row r="19" spans="2:5" x14ac:dyDescent="0.2">
      <c r="B19" s="262"/>
      <c r="C19" s="16" t="s">
        <v>302</v>
      </c>
      <c r="D19" s="211" t="e">
        <f>'Final demand per energy carrier'!G43</f>
        <v>#DIV/0!</v>
      </c>
      <c r="E19" s="234" t="e">
        <f>IF(SUM($D$18:$D$19)=0,1,D19/SUM($D$18:$D$19))</f>
        <v>#DIV/0!</v>
      </c>
    </row>
    <row r="20" spans="2:5" x14ac:dyDescent="0.2">
      <c r="B20" s="262"/>
      <c r="C20" s="7"/>
      <c r="D20" s="206"/>
      <c r="E20" s="238"/>
    </row>
    <row r="21" spans="2:5" x14ac:dyDescent="0.2">
      <c r="B21" s="261" t="s">
        <v>300</v>
      </c>
      <c r="C21" s="159"/>
      <c r="D21" s="212"/>
      <c r="E21" s="237"/>
    </row>
    <row r="22" spans="2:5" x14ac:dyDescent="0.2">
      <c r="B22" s="262"/>
      <c r="C22" s="16" t="s">
        <v>120</v>
      </c>
      <c r="D22" s="211" t="e">
        <f>SUM('Final demand per energy carrier'!J15:J23)</f>
        <v>#DIV/0!</v>
      </c>
      <c r="E22" s="234" t="e">
        <f>IF(SUM($D$22:$D$25)=0,0,D22/SUM($D$22:$D$25))</f>
        <v>#DIV/0!</v>
      </c>
    </row>
    <row r="23" spans="2:5" x14ac:dyDescent="0.2">
      <c r="B23" s="262"/>
      <c r="C23" s="16" t="s">
        <v>119</v>
      </c>
      <c r="D23" s="211" t="e">
        <f>SUM('Final demand per energy carrier'!J26:J28)</f>
        <v>#DIV/0!</v>
      </c>
      <c r="E23" s="234" t="e">
        <f t="shared" ref="E23:E24" si="0">IF(SUM($D$22:$D$25)=0,0,D23/SUM($D$22:$D$25))</f>
        <v>#DIV/0!</v>
      </c>
    </row>
    <row r="24" spans="2:5" x14ac:dyDescent="0.2">
      <c r="B24" s="262"/>
      <c r="C24" s="16" t="s">
        <v>89</v>
      </c>
      <c r="D24" s="211" t="e">
        <f>SUM('Final demand per energy carrier'!J31:J33)</f>
        <v>#DIV/0!</v>
      </c>
      <c r="E24" s="234" t="e">
        <f t="shared" si="0"/>
        <v>#DIV/0!</v>
      </c>
    </row>
    <row r="25" spans="2:5" x14ac:dyDescent="0.2">
      <c r="B25" s="262"/>
      <c r="C25" s="16" t="s">
        <v>261</v>
      </c>
      <c r="D25" s="211" t="e">
        <f>'Final demand per energy carrier'!J42</f>
        <v>#DIV/0!</v>
      </c>
      <c r="E25" s="234" t="e">
        <f>IF(SUM($D$22:$D$25)=0,1,D25/SUM($D$22:$D$25))</f>
        <v>#DIV/0!</v>
      </c>
    </row>
    <row r="26" spans="2:5" x14ac:dyDescent="0.2">
      <c r="B26" s="261" t="s">
        <v>300</v>
      </c>
      <c r="C26" s="159"/>
      <c r="D26" s="212"/>
      <c r="E26" s="237"/>
    </row>
    <row r="27" spans="2:5" x14ac:dyDescent="0.2">
      <c r="B27" s="262"/>
      <c r="C27" s="16" t="s">
        <v>600</v>
      </c>
      <c r="D27" s="211" t="e">
        <f>SUM(D22:D25)</f>
        <v>#DIV/0!</v>
      </c>
      <c r="E27" s="234" t="e">
        <f>IF(SUM($D$27:$D$28)=0,1,D27/SUM($D$27:$D$28))</f>
        <v>#DIV/0!</v>
      </c>
    </row>
    <row r="28" spans="2:5" x14ac:dyDescent="0.2">
      <c r="B28" s="262"/>
      <c r="C28" s="16" t="s">
        <v>598</v>
      </c>
      <c r="D28" s="211">
        <f>SUM('Final demand per energy carrier'!J39)</f>
        <v>0</v>
      </c>
      <c r="E28" s="234" t="e">
        <f>IF(SUM($D$27:$D$28)=0,0,D28/SUM($D$27:$D$28))</f>
        <v>#DIV/0!</v>
      </c>
    </row>
    <row r="29" spans="2:5" ht="17" thickBot="1" x14ac:dyDescent="0.25">
      <c r="B29" s="264"/>
      <c r="C29" s="144"/>
      <c r="D29" s="156"/>
      <c r="E29" s="23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F25"/>
  <sheetViews>
    <sheetView workbookViewId="0">
      <selection activeCell="G42" sqref="G42"/>
    </sheetView>
  </sheetViews>
  <sheetFormatPr baseColWidth="10" defaultRowHeight="16" x14ac:dyDescent="0.2"/>
  <cols>
    <col min="1" max="1" width="10.83203125" style="1"/>
    <col min="2" max="2" width="30.83203125" style="1" bestFit="1" customWidth="1"/>
    <col min="3" max="3" width="30.83203125" style="1" customWidth="1"/>
    <col min="4" max="4" width="34" style="1" bestFit="1" customWidth="1"/>
    <col min="5" max="5" width="28.5" style="1" customWidth="1"/>
    <col min="6" max="6" width="22.6640625" style="1" customWidth="1"/>
    <col min="7" max="16384" width="10.83203125" style="1"/>
  </cols>
  <sheetData>
    <row r="2" spans="2:6" ht="21" x14ac:dyDescent="0.25">
      <c r="B2" s="2" t="s">
        <v>344</v>
      </c>
      <c r="C2" s="2"/>
    </row>
    <row r="4" spans="2:6" x14ac:dyDescent="0.2">
      <c r="B4" s="3" t="s">
        <v>93</v>
      </c>
      <c r="C4" s="12"/>
      <c r="D4" s="4"/>
      <c r="E4" s="4"/>
      <c r="F4" s="5"/>
    </row>
    <row r="5" spans="2:6" x14ac:dyDescent="0.2">
      <c r="B5" s="372" t="s">
        <v>325</v>
      </c>
      <c r="C5" s="374"/>
      <c r="D5" s="374"/>
      <c r="E5" s="374"/>
      <c r="F5" s="373"/>
    </row>
    <row r="6" spans="2:6" ht="17" thickBot="1" x14ac:dyDescent="0.25"/>
    <row r="7" spans="2:6" ht="48" x14ac:dyDescent="0.2">
      <c r="B7" s="190" t="s">
        <v>480</v>
      </c>
      <c r="C7" s="257" t="s">
        <v>481</v>
      </c>
      <c r="D7" s="265" t="s">
        <v>225</v>
      </c>
      <c r="E7" s="157" t="s">
        <v>345</v>
      </c>
      <c r="F7" s="158" t="s">
        <v>483</v>
      </c>
    </row>
    <row r="8" spans="2:6" x14ac:dyDescent="0.2">
      <c r="B8" s="261" t="s">
        <v>90</v>
      </c>
      <c r="C8" s="259"/>
      <c r="D8" s="159"/>
      <c r="E8" s="4"/>
      <c r="F8" s="126"/>
    </row>
    <row r="9" spans="2:6" x14ac:dyDescent="0.2">
      <c r="B9" s="262"/>
      <c r="C9" s="58" t="s">
        <v>482</v>
      </c>
      <c r="D9" s="16" t="s">
        <v>121</v>
      </c>
      <c r="E9" s="177" t="e">
        <f>'Technology split final demand'!G11</f>
        <v>#DIV/0!</v>
      </c>
      <c r="F9" s="234" t="e">
        <f>IF(SUM($E$9:$E$10)=0,1,E9/SUM($E$9:$E$10))</f>
        <v>#DIV/0!</v>
      </c>
    </row>
    <row r="10" spans="2:6" x14ac:dyDescent="0.2">
      <c r="B10" s="262"/>
      <c r="C10" s="58"/>
      <c r="D10" s="16" t="s">
        <v>122</v>
      </c>
      <c r="E10" s="177" t="e">
        <f>'Technology split final demand'!G13</f>
        <v>#DIV/0!</v>
      </c>
      <c r="F10" s="234" t="e">
        <f>IF(SUM($E$9:$E$10)=0,0,E10/SUM($E$9:$E$10))</f>
        <v>#DIV/0!</v>
      </c>
    </row>
    <row r="11" spans="2:6" x14ac:dyDescent="0.2">
      <c r="B11" s="35"/>
      <c r="D11" s="7"/>
      <c r="E11" s="162"/>
      <c r="F11" s="235"/>
    </row>
    <row r="12" spans="2:6" x14ac:dyDescent="0.2">
      <c r="B12" s="262"/>
      <c r="C12" s="58" t="s">
        <v>147</v>
      </c>
      <c r="D12" s="16" t="s">
        <v>123</v>
      </c>
      <c r="E12" s="177" t="e">
        <f>'Technology split final demand'!G12</f>
        <v>#DIV/0!</v>
      </c>
      <c r="F12" s="234" t="e">
        <f>IF(SUM($E$12:$E$14)=0,1,E12/SUM($E$12:$E$14))</f>
        <v>#DIV/0!</v>
      </c>
    </row>
    <row r="13" spans="2:6" x14ac:dyDescent="0.2">
      <c r="B13" s="262"/>
      <c r="C13" s="58"/>
      <c r="D13" s="16" t="s">
        <v>124</v>
      </c>
      <c r="E13" s="177" t="e">
        <f>'Technology split final demand'!G14</f>
        <v>#DIV/0!</v>
      </c>
      <c r="F13" s="234" t="e">
        <f t="shared" ref="F13:F14" si="0">IF(SUM($E$12:$E$14)=0,1,E13/SUM($E$12:$E$14))</f>
        <v>#DIV/0!</v>
      </c>
    </row>
    <row r="14" spans="2:6" x14ac:dyDescent="0.2">
      <c r="B14" s="262"/>
      <c r="C14" s="58"/>
      <c r="D14" s="16" t="s">
        <v>609</v>
      </c>
      <c r="E14" s="177" t="e">
        <f>'Technology split final demand'!G17</f>
        <v>#DIV/0!</v>
      </c>
      <c r="F14" s="234" t="e">
        <f t="shared" si="0"/>
        <v>#DIV/0!</v>
      </c>
    </row>
    <row r="15" spans="2:6" x14ac:dyDescent="0.2">
      <c r="B15" s="263"/>
      <c r="C15" s="260"/>
      <c r="D15" s="7"/>
      <c r="E15" s="162"/>
      <c r="F15" s="238"/>
    </row>
    <row r="16" spans="2:6" x14ac:dyDescent="0.2">
      <c r="B16" s="261" t="s">
        <v>103</v>
      </c>
      <c r="C16" s="259"/>
      <c r="D16" s="159"/>
      <c r="E16" s="236"/>
      <c r="F16" s="237"/>
    </row>
    <row r="17" spans="2:6" x14ac:dyDescent="0.2">
      <c r="B17" s="262"/>
      <c r="C17" s="58" t="s">
        <v>147</v>
      </c>
      <c r="D17" s="16" t="s">
        <v>123</v>
      </c>
      <c r="E17" s="177" t="e">
        <f>'Technology split final demand'!G25</f>
        <v>#DIV/0!</v>
      </c>
      <c r="F17" s="234" t="e">
        <f>IF(SUM($E$17:$E$19)=0,0,E17/SUM($E$17:$E$19))</f>
        <v>#DIV/0!</v>
      </c>
    </row>
    <row r="18" spans="2:6" x14ac:dyDescent="0.2">
      <c r="B18" s="262"/>
      <c r="C18" s="58"/>
      <c r="D18" s="16" t="s">
        <v>131</v>
      </c>
      <c r="E18" s="177" t="e">
        <f>'Technology split final demand'!G26</f>
        <v>#DIV/0!</v>
      </c>
      <c r="F18" s="234" t="e">
        <f t="shared" ref="F18:F19" si="1">IF(SUM($E$17:$E$19)=0,0,E18/SUM($E$17:$E$19))</f>
        <v>#DIV/0!</v>
      </c>
    </row>
    <row r="19" spans="2:6" x14ac:dyDescent="0.2">
      <c r="B19" s="262"/>
      <c r="C19" s="58"/>
      <c r="D19" s="16" t="s">
        <v>609</v>
      </c>
      <c r="E19" s="177" t="e">
        <f>'Technology split final demand'!G27</f>
        <v>#DIV/0!</v>
      </c>
      <c r="F19" s="234" t="e">
        <f t="shared" si="1"/>
        <v>#DIV/0!</v>
      </c>
    </row>
    <row r="20" spans="2:6" x14ac:dyDescent="0.2">
      <c r="B20" s="262"/>
      <c r="C20" s="58"/>
      <c r="D20" s="7"/>
      <c r="E20" s="162"/>
      <c r="F20" s="238"/>
    </row>
    <row r="21" spans="2:6" x14ac:dyDescent="0.2">
      <c r="B21" s="261" t="s">
        <v>89</v>
      </c>
      <c r="C21" s="259"/>
      <c r="D21" s="159"/>
      <c r="E21" s="236"/>
      <c r="F21" s="237"/>
    </row>
    <row r="22" spans="2:6" x14ac:dyDescent="0.2">
      <c r="B22" s="262"/>
      <c r="C22" s="58"/>
      <c r="D22" s="16" t="s">
        <v>330</v>
      </c>
      <c r="E22" s="177" t="e">
        <f>'Technology split final demand'!G30</f>
        <v>#DIV/0!</v>
      </c>
      <c r="F22" s="234" t="e">
        <f>IF(SUM($E$22:$E$24)=0,0,E22/SUM($E$22:$E$24))</f>
        <v>#DIV/0!</v>
      </c>
    </row>
    <row r="23" spans="2:6" x14ac:dyDescent="0.2">
      <c r="B23" s="262"/>
      <c r="C23" s="58"/>
      <c r="D23" s="16" t="s">
        <v>331</v>
      </c>
      <c r="E23" s="177" t="e">
        <f>'Technology split final demand'!G31</f>
        <v>#DIV/0!</v>
      </c>
      <c r="F23" s="234" t="e">
        <f>IF(SUM($E$22:$E$24)=0,0,E23/SUM($E$22:$E$24))</f>
        <v>#DIV/0!</v>
      </c>
    </row>
    <row r="24" spans="2:6" x14ac:dyDescent="0.2">
      <c r="B24" s="262"/>
      <c r="C24" s="58"/>
      <c r="D24" s="16" t="s">
        <v>132</v>
      </c>
      <c r="E24" s="177" t="e">
        <f>'Technology split final demand'!G32</f>
        <v>#DIV/0!</v>
      </c>
      <c r="F24" s="234" t="e">
        <f>IF(SUM($E$22:$E$24)=0,0,E24/SUM($E$22:$E$24))</f>
        <v>#DIV/0!</v>
      </c>
    </row>
    <row r="25" spans="2:6" ht="17" thickBot="1" x14ac:dyDescent="0.25">
      <c r="B25" s="264"/>
      <c r="C25" s="97"/>
      <c r="D25" s="160"/>
      <c r="E25" s="61"/>
      <c r="F25" s="229"/>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8" tint="0.39997558519241921"/>
  </sheetPr>
  <dimension ref="B2:L44"/>
  <sheetViews>
    <sheetView workbookViewId="0">
      <selection activeCell="H66" sqref="H66"/>
    </sheetView>
  </sheetViews>
  <sheetFormatPr baseColWidth="10" defaultRowHeight="16" x14ac:dyDescent="0.2"/>
  <cols>
    <col min="1" max="1" width="10.83203125" style="1" customWidth="1"/>
    <col min="2" max="2" width="25.83203125" style="1" customWidth="1"/>
    <col min="3" max="3" width="39.1640625" style="1" customWidth="1"/>
    <col min="4" max="4" width="14.1640625" style="1" customWidth="1"/>
    <col min="5" max="11" width="21.6640625" style="1" customWidth="1"/>
    <col min="12" max="16384" width="10.83203125" style="1"/>
  </cols>
  <sheetData>
    <row r="2" spans="2:11" ht="21" x14ac:dyDescent="0.25">
      <c r="B2" s="2" t="s">
        <v>226</v>
      </c>
    </row>
    <row r="4" spans="2:11" x14ac:dyDescent="0.2">
      <c r="B4" s="3" t="s">
        <v>93</v>
      </c>
      <c r="C4" s="4"/>
      <c r="D4" s="4"/>
      <c r="E4" s="4"/>
      <c r="F4" s="5"/>
    </row>
    <row r="5" spans="2:11" ht="30" customHeight="1" x14ac:dyDescent="0.2">
      <c r="B5" s="372" t="s">
        <v>415</v>
      </c>
      <c r="C5" s="374"/>
      <c r="D5" s="374"/>
      <c r="E5" s="374"/>
      <c r="F5" s="373"/>
      <c r="I5" s="191"/>
      <c r="J5" s="191"/>
    </row>
    <row r="6" spans="2:11" ht="17" thickBot="1" x14ac:dyDescent="0.25"/>
    <row r="7" spans="2:11" x14ac:dyDescent="0.2">
      <c r="B7" s="25" t="s">
        <v>226</v>
      </c>
      <c r="C7" s="51"/>
      <c r="D7" s="51"/>
      <c r="E7" s="51"/>
      <c r="F7" s="51"/>
      <c r="G7" s="51"/>
      <c r="H7" s="51"/>
      <c r="I7" s="51"/>
      <c r="J7" s="51"/>
      <c r="K7" s="27"/>
    </row>
    <row r="8" spans="2:11" x14ac:dyDescent="0.2">
      <c r="B8" s="28"/>
      <c r="K8" s="29"/>
    </row>
    <row r="9" spans="2:11" ht="32" x14ac:dyDescent="0.2">
      <c r="B9" s="64" t="s">
        <v>336</v>
      </c>
      <c r="C9" s="70" t="s">
        <v>130</v>
      </c>
      <c r="D9" s="99" t="s">
        <v>571</v>
      </c>
      <c r="E9" s="65" t="s">
        <v>473</v>
      </c>
      <c r="F9" s="65" t="s">
        <v>582</v>
      </c>
      <c r="G9" s="65" t="s">
        <v>474</v>
      </c>
      <c r="H9" s="65" t="s">
        <v>475</v>
      </c>
      <c r="I9" s="65" t="s">
        <v>476</v>
      </c>
      <c r="J9" s="65" t="s">
        <v>477</v>
      </c>
      <c r="K9" s="136" t="s">
        <v>478</v>
      </c>
    </row>
    <row r="10" spans="2:11" x14ac:dyDescent="0.2">
      <c r="B10" s="69"/>
      <c r="C10" s="68"/>
      <c r="D10" s="72"/>
      <c r="E10" s="68"/>
      <c r="F10" s="68"/>
      <c r="G10" s="68"/>
      <c r="H10" s="68"/>
      <c r="I10" s="68"/>
      <c r="J10" s="68"/>
      <c r="K10" s="137"/>
    </row>
    <row r="11" spans="2:11" x14ac:dyDescent="0.2">
      <c r="B11" s="48" t="s">
        <v>134</v>
      </c>
      <c r="C11" t="s">
        <v>118</v>
      </c>
      <c r="D11" s="16"/>
      <c r="E11" s="207">
        <f>'Fuel aggregation'!C11</f>
        <v>0</v>
      </c>
      <c r="F11" s="207">
        <f>'Fuel aggregation'!D11</f>
        <v>0</v>
      </c>
      <c r="G11" s="207">
        <f>'Fuel aggregation'!E11</f>
        <v>0</v>
      </c>
      <c r="H11" s="207">
        <f>'Fuel aggregation'!F11</f>
        <v>0</v>
      </c>
      <c r="I11" s="207">
        <f>'Fuel aggregation'!G11</f>
        <v>0</v>
      </c>
      <c r="J11" s="207">
        <f>'Fuel aggregation'!H11</f>
        <v>0</v>
      </c>
      <c r="K11" s="208">
        <f>'Fuel aggregation'!I11</f>
        <v>0</v>
      </c>
    </row>
    <row r="12" spans="2:11" x14ac:dyDescent="0.2">
      <c r="B12" s="69"/>
      <c r="C12"/>
      <c r="D12" s="16"/>
      <c r="E12" s="207"/>
      <c r="F12" s="207"/>
      <c r="G12" s="207"/>
      <c r="H12" s="207"/>
      <c r="I12" s="207"/>
      <c r="J12" s="207"/>
      <c r="K12" s="208"/>
    </row>
    <row r="13" spans="2:11" x14ac:dyDescent="0.2">
      <c r="B13" s="69"/>
      <c r="C13" s="68"/>
      <c r="D13" s="67"/>
      <c r="E13" s="363"/>
      <c r="F13" s="363"/>
      <c r="G13" s="363"/>
      <c r="H13" s="363"/>
      <c r="I13" s="363"/>
      <c r="J13" s="363"/>
      <c r="K13" s="364"/>
    </row>
    <row r="14" spans="2:11" x14ac:dyDescent="0.2">
      <c r="B14" s="47" t="s">
        <v>120</v>
      </c>
      <c r="C14" s="4"/>
      <c r="D14" s="5"/>
      <c r="E14" s="354"/>
      <c r="F14" s="354"/>
      <c r="G14" s="354"/>
      <c r="H14" s="354"/>
      <c r="I14" s="354"/>
      <c r="J14" s="354"/>
      <c r="K14" s="355"/>
    </row>
    <row r="15" spans="2:11" x14ac:dyDescent="0.2">
      <c r="B15" s="69"/>
      <c r="C15" t="s">
        <v>121</v>
      </c>
      <c r="D15" s="71" t="e">
        <f>'Technology split final demand'!G11</f>
        <v>#DIV/0!</v>
      </c>
      <c r="E15" s="350"/>
      <c r="F15" s="242" t="e">
        <f>D15*Final_demand_space_heating</f>
        <v>#DIV/0!</v>
      </c>
      <c r="G15" s="242"/>
      <c r="H15" s="242"/>
      <c r="I15" s="242"/>
      <c r="J15" s="242"/>
      <c r="K15" s="351"/>
    </row>
    <row r="16" spans="2:11" x14ac:dyDescent="0.2">
      <c r="B16" s="69"/>
      <c r="C16" t="s">
        <v>123</v>
      </c>
      <c r="D16" s="71" t="e">
        <f>'Technology split final demand'!G12</f>
        <v>#DIV/0!</v>
      </c>
      <c r="E16" s="350"/>
      <c r="F16" s="242"/>
      <c r="G16" s="242"/>
      <c r="H16" s="242"/>
      <c r="I16" s="242"/>
      <c r="J16" s="242" t="e">
        <f>D16*Final_demand_space_heating</f>
        <v>#DIV/0!</v>
      </c>
      <c r="K16" s="351"/>
    </row>
    <row r="17" spans="2:11" x14ac:dyDescent="0.2">
      <c r="B17" s="69"/>
      <c r="C17" t="s">
        <v>122</v>
      </c>
      <c r="D17" s="71" t="e">
        <f>'Technology split final demand'!G13</f>
        <v>#DIV/0!</v>
      </c>
      <c r="E17" s="350"/>
      <c r="F17" s="242" t="e">
        <f>D17*Final_demand_space_heating</f>
        <v>#DIV/0!</v>
      </c>
      <c r="G17" s="242"/>
      <c r="H17" s="242"/>
      <c r="I17" s="242"/>
      <c r="J17" s="242"/>
      <c r="K17" s="351"/>
    </row>
    <row r="18" spans="2:11" x14ac:dyDescent="0.2">
      <c r="B18" s="69"/>
      <c r="C18" t="s">
        <v>124</v>
      </c>
      <c r="D18" s="71" t="e">
        <f>'Technology split final demand'!G14</f>
        <v>#DIV/0!</v>
      </c>
      <c r="E18" s="350"/>
      <c r="F18" s="242"/>
      <c r="G18" s="242"/>
      <c r="H18" s="242"/>
      <c r="I18" s="242"/>
      <c r="J18" s="242" t="e">
        <f>D18*Final_demand_space_heating</f>
        <v>#DIV/0!</v>
      </c>
      <c r="K18" s="351"/>
    </row>
    <row r="19" spans="2:11" x14ac:dyDescent="0.2">
      <c r="B19" s="69"/>
      <c r="C19" t="s">
        <v>126</v>
      </c>
      <c r="D19" s="71" t="e">
        <f>'Technology split final demand'!G15</f>
        <v>#DIV/0!</v>
      </c>
      <c r="E19" s="242" t="e">
        <f>D19*Final_demand_space_heating</f>
        <v>#DIV/0!</v>
      </c>
      <c r="F19" s="242"/>
      <c r="G19" s="242"/>
      <c r="H19" s="242"/>
      <c r="I19" s="242"/>
      <c r="J19" s="242"/>
      <c r="K19" s="351"/>
    </row>
    <row r="20" spans="2:11" x14ac:dyDescent="0.2">
      <c r="B20" s="69"/>
      <c r="C20" t="s">
        <v>127</v>
      </c>
      <c r="D20" s="71" t="e">
        <f>'Technology split final demand'!G16</f>
        <v>#DIV/0!</v>
      </c>
      <c r="E20" s="350"/>
      <c r="F20" s="242"/>
      <c r="G20" s="242" t="e">
        <f>D20*Final_demand_space_heating</f>
        <v>#DIV/0!</v>
      </c>
      <c r="H20" s="242"/>
      <c r="I20" s="242"/>
      <c r="J20" s="242"/>
      <c r="K20" s="351"/>
    </row>
    <row r="21" spans="2:11" x14ac:dyDescent="0.2">
      <c r="B21" s="69"/>
      <c r="C21" t="s">
        <v>125</v>
      </c>
      <c r="D21" s="71" t="e">
        <f>'Technology split final demand'!G19</f>
        <v>#DIV/0!</v>
      </c>
      <c r="E21" s="242"/>
      <c r="F21" s="242"/>
      <c r="G21" s="242"/>
      <c r="H21" s="242"/>
      <c r="I21" s="242" t="e">
        <f>D21*Final_demand_space_heating</f>
        <v>#DIV/0!</v>
      </c>
      <c r="J21" s="242"/>
      <c r="K21" s="351"/>
    </row>
    <row r="22" spans="2:11" x14ac:dyDescent="0.2">
      <c r="B22" s="69"/>
      <c r="C22" t="s">
        <v>128</v>
      </c>
      <c r="D22" s="71" t="e">
        <f>'Technology split final demand'!G20</f>
        <v>#DIV/0!</v>
      </c>
      <c r="E22" s="242"/>
      <c r="F22" s="242"/>
      <c r="G22" s="242"/>
      <c r="H22" s="242" t="e">
        <f>D22*Final_demand_space_heating</f>
        <v>#DIV/0!</v>
      </c>
      <c r="I22" s="242"/>
      <c r="J22" s="242"/>
      <c r="K22" s="351"/>
    </row>
    <row r="23" spans="2:11" x14ac:dyDescent="0.2">
      <c r="B23" s="69"/>
      <c r="C23" t="s">
        <v>129</v>
      </c>
      <c r="D23" s="71" t="e">
        <f>'Technology split final demand'!G21</f>
        <v>#DIV/0!</v>
      </c>
      <c r="E23" s="242"/>
      <c r="F23" s="242"/>
      <c r="G23" s="242"/>
      <c r="H23" s="242"/>
      <c r="I23" s="242"/>
      <c r="J23" s="242"/>
      <c r="K23" s="351" t="e">
        <f>D23*Final_demand_space_heating</f>
        <v>#DIV/0!</v>
      </c>
    </row>
    <row r="24" spans="2:11" x14ac:dyDescent="0.2">
      <c r="B24" s="28"/>
      <c r="D24" s="7"/>
      <c r="E24" s="352"/>
      <c r="F24" s="352"/>
      <c r="G24" s="352"/>
      <c r="H24" s="352"/>
      <c r="I24" s="352"/>
      <c r="J24" s="352"/>
      <c r="K24" s="353"/>
    </row>
    <row r="25" spans="2:11" x14ac:dyDescent="0.2">
      <c r="B25" s="47" t="s">
        <v>119</v>
      </c>
      <c r="C25" s="4"/>
      <c r="D25" s="5"/>
      <c r="E25" s="354"/>
      <c r="F25" s="354"/>
      <c r="G25" s="354"/>
      <c r="H25" s="354"/>
      <c r="I25" s="354"/>
      <c r="J25" s="354"/>
      <c r="K25" s="355"/>
    </row>
    <row r="26" spans="2:11" x14ac:dyDescent="0.2">
      <c r="B26" s="69"/>
      <c r="C26" t="s">
        <v>122</v>
      </c>
      <c r="D26" s="71" t="e">
        <f>'Technology split final demand'!G24</f>
        <v>#DIV/0!</v>
      </c>
      <c r="E26" s="242"/>
      <c r="F26" s="242" t="e">
        <f>D26*Final_demand_space_cooling</f>
        <v>#DIV/0!</v>
      </c>
      <c r="G26" s="242"/>
      <c r="H26" s="242"/>
      <c r="I26" s="242"/>
      <c r="J26" s="242"/>
      <c r="K26" s="351"/>
    </row>
    <row r="27" spans="2:11" x14ac:dyDescent="0.2">
      <c r="B27" s="69"/>
      <c r="C27" t="s">
        <v>123</v>
      </c>
      <c r="D27" s="71" t="e">
        <f>'Technology split final demand'!G25</f>
        <v>#DIV/0!</v>
      </c>
      <c r="E27" s="242"/>
      <c r="F27" s="242"/>
      <c r="G27" s="242"/>
      <c r="H27" s="242"/>
      <c r="I27" s="242"/>
      <c r="J27" s="242" t="e">
        <f>D27*Final_demand_space_cooling</f>
        <v>#DIV/0!</v>
      </c>
      <c r="K27" s="351"/>
    </row>
    <row r="28" spans="2:11" x14ac:dyDescent="0.2">
      <c r="B28" s="69"/>
      <c r="C28" t="s">
        <v>131</v>
      </c>
      <c r="D28" s="71" t="e">
        <f>'Technology split final demand'!G26</f>
        <v>#DIV/0!</v>
      </c>
      <c r="E28" s="242"/>
      <c r="F28" s="242"/>
      <c r="G28" s="242"/>
      <c r="H28" s="242"/>
      <c r="I28" s="242"/>
      <c r="J28" s="242" t="e">
        <f>D28*Final_demand_space_cooling</f>
        <v>#DIV/0!</v>
      </c>
      <c r="K28" s="351"/>
    </row>
    <row r="29" spans="2:11" x14ac:dyDescent="0.2">
      <c r="B29" s="41"/>
      <c r="C29" s="9"/>
      <c r="D29" s="7"/>
      <c r="E29" s="356"/>
      <c r="F29" s="356"/>
      <c r="G29" s="356"/>
      <c r="H29" s="356"/>
      <c r="I29" s="356"/>
      <c r="J29" s="356"/>
      <c r="K29" s="357"/>
    </row>
    <row r="30" spans="2:11" x14ac:dyDescent="0.2">
      <c r="B30" s="35" t="s">
        <v>89</v>
      </c>
      <c r="D30" s="5"/>
      <c r="E30" s="352"/>
      <c r="F30" s="352"/>
      <c r="G30" s="352"/>
      <c r="H30" s="352"/>
      <c r="I30" s="352"/>
      <c r="J30" s="352"/>
      <c r="K30" s="353"/>
    </row>
    <row r="31" spans="2:11" x14ac:dyDescent="0.2">
      <c r="B31" s="69"/>
      <c r="C31" t="s">
        <v>330</v>
      </c>
      <c r="D31" s="71" t="e">
        <f>'Technology split final demand'!G30</f>
        <v>#DIV/0!</v>
      </c>
      <c r="E31" s="242"/>
      <c r="F31" s="242"/>
      <c r="G31" s="242"/>
      <c r="H31" s="242"/>
      <c r="I31" s="242"/>
      <c r="J31" s="242" t="e">
        <f>D31*Final_demand_lighting</f>
        <v>#DIV/0!</v>
      </c>
      <c r="K31" s="351"/>
    </row>
    <row r="32" spans="2:11" x14ac:dyDescent="0.2">
      <c r="B32" s="69"/>
      <c r="C32" t="s">
        <v>331</v>
      </c>
      <c r="D32" s="71" t="e">
        <f>'Technology split final demand'!G31</f>
        <v>#DIV/0!</v>
      </c>
      <c r="E32" s="242"/>
      <c r="F32" s="242"/>
      <c r="G32" s="242"/>
      <c r="H32" s="242"/>
      <c r="I32" s="242"/>
      <c r="J32" s="242" t="e">
        <f>D32*Final_demand_lighting</f>
        <v>#DIV/0!</v>
      </c>
      <c r="K32" s="351"/>
    </row>
    <row r="33" spans="2:12" x14ac:dyDescent="0.2">
      <c r="B33" s="69"/>
      <c r="C33" t="s">
        <v>132</v>
      </c>
      <c r="D33" s="71" t="e">
        <f>'Technology split final demand'!G32</f>
        <v>#DIV/0!</v>
      </c>
      <c r="E33" s="242"/>
      <c r="F33" s="242"/>
      <c r="G33" s="242"/>
      <c r="H33" s="242"/>
      <c r="I33" s="242"/>
      <c r="J33" s="242" t="e">
        <f>D33*Final_demand_lighting</f>
        <v>#DIV/0!</v>
      </c>
      <c r="K33" s="351"/>
    </row>
    <row r="34" spans="2:12" x14ac:dyDescent="0.2">
      <c r="B34" s="41"/>
      <c r="C34" s="9"/>
      <c r="D34" s="10"/>
      <c r="E34" s="356"/>
      <c r="F34" s="356"/>
      <c r="G34" s="356"/>
      <c r="H34" s="356"/>
      <c r="I34" s="356"/>
      <c r="J34" s="356"/>
      <c r="K34" s="357"/>
    </row>
    <row r="35" spans="2:12" x14ac:dyDescent="0.2">
      <c r="B35" s="35" t="s">
        <v>337</v>
      </c>
      <c r="D35" s="7"/>
      <c r="E35" s="352"/>
      <c r="F35" s="352"/>
      <c r="G35" s="352"/>
      <c r="H35" s="352"/>
      <c r="I35" s="352"/>
      <c r="J35" s="352"/>
      <c r="K35" s="353"/>
    </row>
    <row r="36" spans="2:12" x14ac:dyDescent="0.2">
      <c r="B36" s="28"/>
      <c r="C36" t="s">
        <v>572</v>
      </c>
      <c r="D36" s="71"/>
      <c r="E36" s="242" t="e">
        <f t="shared" ref="E36:K36" si="0">SUM(E15:E33)</f>
        <v>#DIV/0!</v>
      </c>
      <c r="F36" s="242" t="e">
        <f t="shared" si="0"/>
        <v>#DIV/0!</v>
      </c>
      <c r="G36" s="242" t="e">
        <f t="shared" si="0"/>
        <v>#DIV/0!</v>
      </c>
      <c r="H36" s="242" t="e">
        <f t="shared" si="0"/>
        <v>#DIV/0!</v>
      </c>
      <c r="I36" s="242" t="e">
        <f t="shared" si="0"/>
        <v>#DIV/0!</v>
      </c>
      <c r="J36" s="242" t="e">
        <f t="shared" si="0"/>
        <v>#DIV/0!</v>
      </c>
      <c r="K36" s="242" t="e">
        <f t="shared" si="0"/>
        <v>#DIV/0!</v>
      </c>
      <c r="L36" s="28"/>
    </row>
    <row r="37" spans="2:12" x14ac:dyDescent="0.2">
      <c r="B37" s="28"/>
      <c r="D37" s="7"/>
      <c r="E37" s="352"/>
      <c r="F37" s="352"/>
      <c r="G37" s="352"/>
      <c r="H37" s="352"/>
      <c r="I37" s="352"/>
      <c r="J37" s="352"/>
      <c r="K37" s="353"/>
    </row>
    <row r="38" spans="2:12" x14ac:dyDescent="0.2">
      <c r="B38" s="362" t="s">
        <v>598</v>
      </c>
      <c r="C38" s="4"/>
      <c r="D38" s="5"/>
      <c r="E38" s="354"/>
      <c r="F38" s="354"/>
      <c r="G38" s="354"/>
      <c r="H38" s="354"/>
      <c r="I38" s="354"/>
      <c r="J38" s="354"/>
      <c r="K38" s="355"/>
    </row>
    <row r="39" spans="2:12" x14ac:dyDescent="0.2">
      <c r="B39" s="28"/>
      <c r="C39" s="1" t="s">
        <v>599</v>
      </c>
      <c r="D39" s="7"/>
      <c r="E39" s="369" t="s">
        <v>552</v>
      </c>
      <c r="F39" s="369" t="s">
        <v>552</v>
      </c>
      <c r="G39" s="369" t="s">
        <v>552</v>
      </c>
      <c r="H39" s="369" t="s">
        <v>552</v>
      </c>
      <c r="I39" s="369" t="s">
        <v>552</v>
      </c>
      <c r="J39" s="242" t="str">
        <f>Dashboard!E29</f>
        <v/>
      </c>
      <c r="K39" s="370" t="s">
        <v>552</v>
      </c>
    </row>
    <row r="40" spans="2:12" x14ac:dyDescent="0.2">
      <c r="B40" s="28"/>
      <c r="C40"/>
      <c r="D40" s="366"/>
      <c r="E40" s="367"/>
      <c r="F40" s="367"/>
      <c r="G40" s="367"/>
      <c r="H40" s="367"/>
      <c r="I40" s="367"/>
      <c r="J40" s="367"/>
      <c r="K40" s="368"/>
    </row>
    <row r="41" spans="2:12" x14ac:dyDescent="0.2">
      <c r="B41" s="362" t="s">
        <v>575</v>
      </c>
      <c r="C41" s="4"/>
      <c r="D41" s="5"/>
      <c r="E41" s="354"/>
      <c r="F41" s="354"/>
      <c r="G41" s="354"/>
      <c r="H41" s="354"/>
      <c r="I41" s="354"/>
      <c r="J41" s="354"/>
      <c r="K41" s="355"/>
    </row>
    <row r="42" spans="2:12" x14ac:dyDescent="0.2">
      <c r="B42" s="28"/>
      <c r="C42" t="s">
        <v>261</v>
      </c>
      <c r="D42" s="71"/>
      <c r="E42" s="242"/>
      <c r="F42" s="242"/>
      <c r="G42" s="242"/>
      <c r="H42" s="242"/>
      <c r="I42" s="242"/>
      <c r="J42" s="242" t="e">
        <f>J11-J36-J39</f>
        <v>#DIV/0!</v>
      </c>
      <c r="K42" s="351"/>
    </row>
    <row r="43" spans="2:12" x14ac:dyDescent="0.2">
      <c r="B43" s="28"/>
      <c r="C43" t="s">
        <v>573</v>
      </c>
      <c r="D43" s="71"/>
      <c r="E43" s="242" t="e">
        <f>E11-E36</f>
        <v>#DIV/0!</v>
      </c>
      <c r="F43" s="242" t="e">
        <f>F11-F36</f>
        <v>#DIV/0!</v>
      </c>
      <c r="G43" s="242" t="e">
        <f>G11-G36</f>
        <v>#DIV/0!</v>
      </c>
      <c r="H43" s="350" t="s">
        <v>552</v>
      </c>
      <c r="I43" s="350" t="s">
        <v>552</v>
      </c>
      <c r="J43" s="350" t="s">
        <v>552</v>
      </c>
      <c r="K43" s="358" t="s">
        <v>552</v>
      </c>
    </row>
    <row r="44" spans="2:12" ht="17" thickBot="1" x14ac:dyDescent="0.25">
      <c r="B44" s="45"/>
      <c r="C44" s="94"/>
      <c r="D44" s="144"/>
      <c r="E44" s="359"/>
      <c r="F44" s="359"/>
      <c r="G44" s="359"/>
      <c r="H44" s="359"/>
      <c r="I44" s="359"/>
      <c r="J44" s="359"/>
      <c r="K44" s="360"/>
    </row>
  </sheetData>
  <mergeCells count="1">
    <mergeCell ref="B5:F5"/>
  </mergeCells>
  <conditionalFormatting sqref="E43:G43">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8" tint="0.39997558519241921"/>
  </sheetPr>
  <dimension ref="B2:J33"/>
  <sheetViews>
    <sheetView workbookViewId="0">
      <selection activeCell="H39" sqref="H39"/>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2.5" style="1" customWidth="1"/>
    <col min="6" max="6" width="22.5" style="1" customWidth="1"/>
    <col min="7" max="7" width="29.1640625" style="1" customWidth="1"/>
    <col min="8" max="8" width="32.6640625" style="1" customWidth="1"/>
    <col min="9" max="9" width="20.83203125" style="1" customWidth="1"/>
    <col min="10" max="10" width="5.1640625" style="1" customWidth="1"/>
    <col min="11" max="11" width="20.1640625" style="1" customWidth="1"/>
    <col min="12" max="12" width="10.83203125" style="1"/>
    <col min="13" max="13" width="29.83203125" style="1" customWidth="1"/>
    <col min="14" max="16384" width="10.83203125" style="1"/>
  </cols>
  <sheetData>
    <row r="2" spans="2:10" ht="21" x14ac:dyDescent="0.25">
      <c r="B2" s="2" t="s">
        <v>310</v>
      </c>
    </row>
    <row r="4" spans="2:10" x14ac:dyDescent="0.2">
      <c r="B4" s="3" t="s">
        <v>93</v>
      </c>
      <c r="C4" s="4"/>
      <c r="D4" s="4"/>
      <c r="E4" s="5"/>
    </row>
    <row r="5" spans="2:10" s="90" customFormat="1" ht="75" customHeight="1" x14ac:dyDescent="0.2">
      <c r="B5" s="372" t="s">
        <v>339</v>
      </c>
      <c r="C5" s="374"/>
      <c r="D5" s="374"/>
      <c r="E5" s="373"/>
    </row>
    <row r="6" spans="2:10" ht="17" thickBot="1" x14ac:dyDescent="0.25"/>
    <row r="7" spans="2:10" x14ac:dyDescent="0.2">
      <c r="B7" s="25" t="s">
        <v>486</v>
      </c>
      <c r="C7" s="51"/>
      <c r="D7" s="26"/>
      <c r="E7" s="26"/>
      <c r="F7" s="51"/>
      <c r="G7" s="51"/>
      <c r="H7" s="27"/>
    </row>
    <row r="8" spans="2:10" x14ac:dyDescent="0.2">
      <c r="B8" s="28"/>
      <c r="D8" s="14"/>
      <c r="E8" s="14"/>
      <c r="H8" s="29"/>
    </row>
    <row r="9" spans="2:10" ht="48" x14ac:dyDescent="0.2">
      <c r="B9" s="64" t="s">
        <v>336</v>
      </c>
      <c r="C9" s="70" t="s">
        <v>225</v>
      </c>
      <c r="D9" s="99" t="s">
        <v>239</v>
      </c>
      <c r="E9" s="99" t="s">
        <v>237</v>
      </c>
      <c r="F9" s="99" t="s">
        <v>240</v>
      </c>
      <c r="G9" s="99" t="s">
        <v>238</v>
      </c>
      <c r="H9" s="32" t="s">
        <v>18</v>
      </c>
    </row>
    <row r="10" spans="2:10" x14ac:dyDescent="0.2">
      <c r="B10" s="35" t="s">
        <v>120</v>
      </c>
      <c r="C10" s="14"/>
      <c r="D10" s="280"/>
      <c r="E10" s="280"/>
      <c r="F10" s="280"/>
      <c r="G10" s="280"/>
      <c r="H10" s="34"/>
    </row>
    <row r="11" spans="2:10" x14ac:dyDescent="0.2">
      <c r="B11" s="35"/>
      <c r="C11" t="s">
        <v>121</v>
      </c>
      <c r="D11" s="175">
        <f>Dashboard!E44</f>
        <v>0</v>
      </c>
      <c r="E11" s="100">
        <f>Eff_space_heating_gas</f>
        <v>0</v>
      </c>
      <c r="F11" s="175" t="e">
        <f t="shared" ref="F11:F17" si="0">D11/E11</f>
        <v>#DIV/0!</v>
      </c>
      <c r="G11" s="371" t="e">
        <f>F11/SUM($F$11:$F$17)*(1-SUM($G$19:$G$21))</f>
        <v>#DIV/0!</v>
      </c>
      <c r="H11" s="92"/>
      <c r="J11" s="58"/>
    </row>
    <row r="12" spans="2:10" x14ac:dyDescent="0.2">
      <c r="B12" s="35"/>
      <c r="C12" t="s">
        <v>123</v>
      </c>
      <c r="D12" s="175">
        <f>Dashboard!E45</f>
        <v>0</v>
      </c>
      <c r="E12" s="100" t="e">
        <f>Eff_space_heating_pump_storage</f>
        <v>#DIV/0!</v>
      </c>
      <c r="F12" s="175" t="e">
        <f t="shared" si="0"/>
        <v>#DIV/0!</v>
      </c>
      <c r="G12" s="371" t="e">
        <f t="shared" ref="G12:G17" si="1">F12/SUM($F$11:$F$17)*(1-SUM($G$19:$G$21))</f>
        <v>#DIV/0!</v>
      </c>
      <c r="H12" s="92"/>
      <c r="J12" s="58"/>
    </row>
    <row r="13" spans="2:10" x14ac:dyDescent="0.2">
      <c r="B13" s="35"/>
      <c r="C13" t="s">
        <v>122</v>
      </c>
      <c r="D13" s="175">
        <f>Dashboard!E46</f>
        <v>0</v>
      </c>
      <c r="E13" s="100" t="e">
        <f>Eff_space_heating_pump_gas</f>
        <v>#DIV/0!</v>
      </c>
      <c r="F13" s="175" t="e">
        <f t="shared" si="0"/>
        <v>#DIV/0!</v>
      </c>
      <c r="G13" s="371" t="e">
        <f t="shared" si="1"/>
        <v>#DIV/0!</v>
      </c>
      <c r="H13" s="40"/>
      <c r="J13" s="58"/>
    </row>
    <row r="14" spans="2:10" x14ac:dyDescent="0.2">
      <c r="B14" s="35"/>
      <c r="C14" t="s">
        <v>124</v>
      </c>
      <c r="D14" s="175">
        <f>Dashboard!E47</f>
        <v>0</v>
      </c>
      <c r="E14" s="100">
        <f>Eff_space_heating_electric</f>
        <v>0</v>
      </c>
      <c r="F14" s="175" t="e">
        <f t="shared" si="0"/>
        <v>#DIV/0!</v>
      </c>
      <c r="G14" s="371" t="e">
        <f t="shared" si="1"/>
        <v>#DIV/0!</v>
      </c>
      <c r="H14" s="40"/>
      <c r="J14" s="58"/>
    </row>
    <row r="15" spans="2:10" x14ac:dyDescent="0.2">
      <c r="B15" s="35"/>
      <c r="C15" t="s">
        <v>126</v>
      </c>
      <c r="D15" s="175">
        <f>Dashboard!E48</f>
        <v>0</v>
      </c>
      <c r="E15" s="100">
        <f>Eff_space_heating_coal</f>
        <v>0</v>
      </c>
      <c r="F15" s="175" t="e">
        <f t="shared" si="0"/>
        <v>#DIV/0!</v>
      </c>
      <c r="G15" s="371" t="e">
        <f t="shared" si="1"/>
        <v>#DIV/0!</v>
      </c>
      <c r="H15" s="40"/>
      <c r="J15" s="58"/>
    </row>
    <row r="16" spans="2:10" x14ac:dyDescent="0.2">
      <c r="B16" s="35"/>
      <c r="C16" t="s">
        <v>127</v>
      </c>
      <c r="D16" s="175">
        <f>Dashboard!E49</f>
        <v>0</v>
      </c>
      <c r="E16" s="100">
        <f>Eff_space_heating_oil</f>
        <v>0</v>
      </c>
      <c r="F16" s="175" t="e">
        <f t="shared" si="0"/>
        <v>#DIV/0!</v>
      </c>
      <c r="G16" s="371" t="e">
        <f t="shared" si="1"/>
        <v>#DIV/0!</v>
      </c>
      <c r="H16" s="40"/>
      <c r="J16" s="58"/>
    </row>
    <row r="17" spans="2:10" x14ac:dyDescent="0.2">
      <c r="B17" s="35"/>
      <c r="C17" t="s">
        <v>609</v>
      </c>
      <c r="D17" s="175">
        <f>Dashboard!E51</f>
        <v>0</v>
      </c>
      <c r="E17" s="100" t="e" cm="1">
        <f t="array" ref="E17">Eff_space_heating_air_heatpump</f>
        <v>#DIV/0!</v>
      </c>
      <c r="F17" s="175" t="e">
        <f t="shared" si="0"/>
        <v>#DIV/0!</v>
      </c>
      <c r="G17" s="371" t="e">
        <f t="shared" si="1"/>
        <v>#DIV/0!</v>
      </c>
      <c r="H17" s="40"/>
      <c r="J17" s="58"/>
    </row>
    <row r="18" spans="2:10" x14ac:dyDescent="0.2">
      <c r="B18" s="35"/>
      <c r="D18" s="176"/>
      <c r="G18" s="232"/>
      <c r="H18" s="29"/>
      <c r="J18" s="58"/>
    </row>
    <row r="19" spans="2:10" x14ac:dyDescent="0.2">
      <c r="B19" s="35"/>
      <c r="C19" t="s">
        <v>125</v>
      </c>
      <c r="D19" s="175"/>
      <c r="E19" s="100"/>
      <c r="F19" s="101"/>
      <c r="G19" s="233" t="e">
        <f>'Final demand extracted from EB'!D14</f>
        <v>#DIV/0!</v>
      </c>
      <c r="H19" s="378" t="s">
        <v>304</v>
      </c>
      <c r="J19" s="58"/>
    </row>
    <row r="20" spans="2:10" x14ac:dyDescent="0.2">
      <c r="B20" s="35"/>
      <c r="C20" t="s">
        <v>128</v>
      </c>
      <c r="D20" s="175"/>
      <c r="E20" s="100"/>
      <c r="F20" s="101"/>
      <c r="G20" s="233" t="e">
        <f>'Final demand extracted from EB'!D10</f>
        <v>#DIV/0!</v>
      </c>
      <c r="H20" s="378"/>
      <c r="J20" s="58"/>
    </row>
    <row r="21" spans="2:10" ht="15" customHeight="1" x14ac:dyDescent="0.2">
      <c r="B21" s="35"/>
      <c r="C21" t="s">
        <v>129</v>
      </c>
      <c r="D21" s="175"/>
      <c r="E21" s="100"/>
      <c r="F21" s="101"/>
      <c r="G21" s="233" t="e">
        <f>'Final demand extracted from EB'!D18</f>
        <v>#DIV/0!</v>
      </c>
      <c r="H21" s="378"/>
      <c r="J21" s="58"/>
    </row>
    <row r="22" spans="2:10" x14ac:dyDescent="0.2">
      <c r="B22" s="134"/>
      <c r="C22" s="9"/>
      <c r="D22" s="275"/>
      <c r="E22" s="9"/>
      <c r="F22" s="9"/>
      <c r="G22" s="276"/>
      <c r="H22" s="277"/>
    </row>
    <row r="23" spans="2:10" x14ac:dyDescent="0.2">
      <c r="B23" s="262" t="s">
        <v>103</v>
      </c>
      <c r="C23" s="258"/>
      <c r="D23" s="267"/>
      <c r="E23" s="258"/>
      <c r="F23" s="58"/>
      <c r="G23" s="267"/>
      <c r="H23" s="268"/>
    </row>
    <row r="24" spans="2:10" x14ac:dyDescent="0.2">
      <c r="B24" s="262"/>
      <c r="C24" t="s">
        <v>122</v>
      </c>
      <c r="D24" s="279">
        <f>Dashboard!E54</f>
        <v>0</v>
      </c>
      <c r="E24" s="182" t="e">
        <f>Eff_cooling_pump</f>
        <v>#DIV/0!</v>
      </c>
      <c r="F24" s="269" t="e">
        <f>D24/E24</f>
        <v>#DIV/0!</v>
      </c>
      <c r="G24" s="270" t="e">
        <f>F24/SUM($F$24:$F$27)</f>
        <v>#DIV/0!</v>
      </c>
      <c r="H24" s="96"/>
    </row>
    <row r="25" spans="2:10" x14ac:dyDescent="0.2">
      <c r="B25" s="262"/>
      <c r="C25" t="s">
        <v>123</v>
      </c>
      <c r="D25" s="279">
        <f>Dashboard!E55</f>
        <v>0</v>
      </c>
      <c r="E25" s="182" t="e">
        <f>Eff_cooling_pump_storage</f>
        <v>#DIV/0!</v>
      </c>
      <c r="F25" s="269" t="e">
        <f>D25/E25</f>
        <v>#DIV/0!</v>
      </c>
      <c r="G25" s="270" t="e">
        <f t="shared" ref="G25:G27" si="2">F25/SUM($F$24:$F$27)</f>
        <v>#DIV/0!</v>
      </c>
      <c r="H25" s="96"/>
    </row>
    <row r="26" spans="2:10" x14ac:dyDescent="0.2">
      <c r="B26" s="262"/>
      <c r="C26" t="s">
        <v>131</v>
      </c>
      <c r="D26" s="279">
        <f>Dashboard!E56</f>
        <v>0</v>
      </c>
      <c r="E26" s="182" t="e">
        <f>Eff_cooling_airco</f>
        <v>#DIV/0!</v>
      </c>
      <c r="F26" s="269" t="e">
        <f>D26/E26</f>
        <v>#DIV/0!</v>
      </c>
      <c r="G26" s="270" t="e">
        <f t="shared" si="2"/>
        <v>#DIV/0!</v>
      </c>
      <c r="H26" s="96"/>
    </row>
    <row r="27" spans="2:10" x14ac:dyDescent="0.2">
      <c r="B27" s="262"/>
      <c r="C27" t="s">
        <v>609</v>
      </c>
      <c r="D27" s="279">
        <f>Dashboard!E57</f>
        <v>0</v>
      </c>
      <c r="E27" s="182" t="e" cm="1">
        <f t="array" ref="E27">Eff_cooling_air_heatpump</f>
        <v>#DIV/0!</v>
      </c>
      <c r="F27" s="269" t="e">
        <f>D27/E27</f>
        <v>#DIV/0!</v>
      </c>
      <c r="G27" s="270" t="e">
        <f t="shared" si="2"/>
        <v>#DIV/0!</v>
      </c>
      <c r="H27" s="96"/>
    </row>
    <row r="28" spans="2:10" x14ac:dyDescent="0.2">
      <c r="B28" s="278"/>
      <c r="C28" s="271"/>
      <c r="D28" s="272"/>
      <c r="E28" s="271"/>
      <c r="F28" s="271"/>
      <c r="G28" s="273"/>
      <c r="H28" s="274"/>
    </row>
    <row r="29" spans="2:10" x14ac:dyDescent="0.2">
      <c r="B29" s="262" t="s">
        <v>89</v>
      </c>
      <c r="C29" s="258"/>
      <c r="D29" s="267"/>
      <c r="E29" s="258"/>
      <c r="F29" s="58"/>
      <c r="G29" s="267"/>
      <c r="H29" s="268"/>
    </row>
    <row r="30" spans="2:10" x14ac:dyDescent="0.2">
      <c r="B30" s="262"/>
      <c r="C30" t="s">
        <v>330</v>
      </c>
      <c r="D30" s="279">
        <f>Dashboard!E61</f>
        <v>0</v>
      </c>
      <c r="E30" s="182">
        <f>Eff_lighting_tube_fluorescent_standartd</f>
        <v>0</v>
      </c>
      <c r="F30" s="269" t="e">
        <f>D30/E30</f>
        <v>#DIV/0!</v>
      </c>
      <c r="G30" s="270" t="e">
        <f>F30/SUM($F$30:$F$32)</f>
        <v>#DIV/0!</v>
      </c>
      <c r="H30" s="96"/>
    </row>
    <row r="31" spans="2:10" x14ac:dyDescent="0.2">
      <c r="B31" s="262"/>
      <c r="C31" t="s">
        <v>331</v>
      </c>
      <c r="D31" s="279">
        <f>Dashboard!E62</f>
        <v>0</v>
      </c>
      <c r="E31" s="182">
        <f>Eff_lighting_tube_fluorescent_efficient</f>
        <v>0</v>
      </c>
      <c r="F31" s="269" t="e">
        <f>D31/E31</f>
        <v>#DIV/0!</v>
      </c>
      <c r="G31" s="270" t="e">
        <f>F31/SUM($F$30:$F$32)</f>
        <v>#DIV/0!</v>
      </c>
      <c r="H31" s="96"/>
    </row>
    <row r="32" spans="2:10" x14ac:dyDescent="0.2">
      <c r="B32" s="262"/>
      <c r="C32" t="s">
        <v>132</v>
      </c>
      <c r="D32" s="279">
        <f>Dashboard!E63</f>
        <v>0</v>
      </c>
      <c r="E32" s="182">
        <f>Eff_lighting_led</f>
        <v>0</v>
      </c>
      <c r="F32" s="269" t="e">
        <f>D32/E32</f>
        <v>#DIV/0!</v>
      </c>
      <c r="G32" s="270" t="e">
        <f>F32/SUM($F$30:$F$32)</f>
        <v>#DIV/0!</v>
      </c>
      <c r="H32" s="96"/>
    </row>
    <row r="33" spans="2:8" ht="17" thickBot="1" x14ac:dyDescent="0.25">
      <c r="B33" s="264"/>
      <c r="C33" s="97"/>
      <c r="D33" s="97"/>
      <c r="E33" s="97"/>
      <c r="F33" s="97"/>
      <c r="G33" s="230"/>
      <c r="H33" s="98"/>
    </row>
  </sheetData>
  <mergeCells count="2">
    <mergeCell ref="B5:E5"/>
    <mergeCell ref="H19:H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79998168889431442"/>
  </sheetPr>
  <dimension ref="B2:D19"/>
  <sheetViews>
    <sheetView workbookViewId="0">
      <selection activeCell="D13" sqref="D13"/>
    </sheetView>
  </sheetViews>
  <sheetFormatPr baseColWidth="10" defaultRowHeight="16" x14ac:dyDescent="0.2"/>
  <cols>
    <col min="1" max="1" width="10.83203125" style="1"/>
    <col min="2" max="2" width="21.6640625" style="1" customWidth="1"/>
    <col min="3" max="3" width="61.33203125" style="1" bestFit="1" customWidth="1"/>
    <col min="4" max="4" width="10.83203125" style="1" customWidth="1"/>
    <col min="5" max="16384" width="10.83203125" style="1"/>
  </cols>
  <sheetData>
    <row r="2" spans="2:4" ht="21" x14ac:dyDescent="0.25">
      <c r="B2" s="2" t="s">
        <v>306</v>
      </c>
    </row>
    <row r="4" spans="2:4" x14ac:dyDescent="0.2">
      <c r="B4" s="3" t="s">
        <v>93</v>
      </c>
      <c r="C4" s="5"/>
    </row>
    <row r="5" spans="2:4" ht="45" customHeight="1" x14ac:dyDescent="0.2">
      <c r="B5" s="372" t="s">
        <v>346</v>
      </c>
      <c r="C5" s="373"/>
    </row>
    <row r="6" spans="2:4" ht="17" thickBot="1" x14ac:dyDescent="0.25"/>
    <row r="7" spans="2:4" ht="30" customHeight="1" x14ac:dyDescent="0.2">
      <c r="B7" s="184" t="s">
        <v>323</v>
      </c>
      <c r="C7" s="185" t="s">
        <v>281</v>
      </c>
      <c r="D7" s="186" t="s">
        <v>282</v>
      </c>
    </row>
    <row r="8" spans="2:4" x14ac:dyDescent="0.2">
      <c r="B8" s="47" t="s">
        <v>301</v>
      </c>
      <c r="C8" s="4"/>
      <c r="D8" s="183"/>
    </row>
    <row r="9" spans="2:4" x14ac:dyDescent="0.2">
      <c r="B9" s="69"/>
      <c r="C9" t="s">
        <v>308</v>
      </c>
      <c r="D9" s="210">
        <f>'Fuel aggregation'!F11</f>
        <v>0</v>
      </c>
    </row>
    <row r="10" spans="2:4" x14ac:dyDescent="0.2">
      <c r="B10" s="69"/>
      <c r="C10" t="s">
        <v>293</v>
      </c>
      <c r="D10" s="231" t="e">
        <f>D9/Final_demand_space_heating</f>
        <v>#DIV/0!</v>
      </c>
    </row>
    <row r="11" spans="2:4" x14ac:dyDescent="0.2">
      <c r="B11" s="141"/>
      <c r="C11" s="9"/>
      <c r="D11" s="142"/>
    </row>
    <row r="12" spans="2:4" x14ac:dyDescent="0.2">
      <c r="B12" s="47" t="s">
        <v>144</v>
      </c>
      <c r="C12" s="4"/>
      <c r="D12" s="183"/>
    </row>
    <row r="13" spans="2:4" x14ac:dyDescent="0.2">
      <c r="B13" s="69"/>
      <c r="C13" t="s">
        <v>309</v>
      </c>
      <c r="D13" s="210">
        <f>'Fuel aggregation'!G11</f>
        <v>0</v>
      </c>
    </row>
    <row r="14" spans="2:4" x14ac:dyDescent="0.2">
      <c r="B14" s="69"/>
      <c r="C14" t="s">
        <v>295</v>
      </c>
      <c r="D14" s="231" t="e">
        <f>D13/Final_demand_space_heating</f>
        <v>#DIV/0!</v>
      </c>
    </row>
    <row r="15" spans="2:4" x14ac:dyDescent="0.2">
      <c r="B15" s="141"/>
      <c r="C15" s="9"/>
      <c r="D15" s="142"/>
    </row>
    <row r="16" spans="2:4" x14ac:dyDescent="0.2">
      <c r="B16" s="47" t="s">
        <v>129</v>
      </c>
      <c r="C16" s="5"/>
      <c r="D16" s="183"/>
    </row>
    <row r="17" spans="2:4" x14ac:dyDescent="0.2">
      <c r="B17" s="69"/>
      <c r="C17" s="16" t="s">
        <v>307</v>
      </c>
      <c r="D17" s="210">
        <f>'Fuel aggregation'!I11</f>
        <v>0</v>
      </c>
    </row>
    <row r="18" spans="2:4" x14ac:dyDescent="0.2">
      <c r="B18" s="69"/>
      <c r="C18" s="16" t="s">
        <v>294</v>
      </c>
      <c r="D18" s="231" t="e">
        <f>D17/Final_demand_space_heating</f>
        <v>#DIV/0!</v>
      </c>
    </row>
    <row r="19" spans="2:4" ht="17" thickBot="1" x14ac:dyDescent="0.25">
      <c r="B19" s="178"/>
      <c r="C19" s="144"/>
      <c r="D19" s="179"/>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79998168889431442"/>
  </sheetPr>
  <dimension ref="B2:L24"/>
  <sheetViews>
    <sheetView workbookViewId="0"/>
  </sheetViews>
  <sheetFormatPr baseColWidth="10" defaultRowHeight="16" x14ac:dyDescent="0.2"/>
  <cols>
    <col min="1" max="1" width="10.83203125" style="135"/>
    <col min="2" max="2" width="27.83203125" style="135" bestFit="1" customWidth="1"/>
    <col min="3" max="10" width="21.6640625" style="135" customWidth="1"/>
    <col min="11" max="11" width="23.6640625" style="135" bestFit="1" customWidth="1"/>
    <col min="12" max="12" width="20.33203125" style="135" customWidth="1"/>
    <col min="13" max="16384" width="10.83203125" style="135"/>
  </cols>
  <sheetData>
    <row r="2" spans="2:12" ht="21" x14ac:dyDescent="0.25">
      <c r="B2" s="2" t="s">
        <v>305</v>
      </c>
      <c r="C2" s="1"/>
      <c r="D2" s="1"/>
      <c r="E2" s="1"/>
      <c r="G2" s="1"/>
      <c r="H2" s="1"/>
    </row>
    <row r="3" spans="2:12" x14ac:dyDescent="0.2">
      <c r="B3" s="1"/>
      <c r="C3" s="1"/>
      <c r="D3" s="1"/>
      <c r="E3" s="1"/>
      <c r="G3" s="1"/>
      <c r="H3" s="1"/>
    </row>
    <row r="4" spans="2:12" x14ac:dyDescent="0.2">
      <c r="B4" s="3" t="s">
        <v>93</v>
      </c>
      <c r="C4" s="4"/>
      <c r="D4" s="4"/>
      <c r="E4" s="4"/>
      <c r="F4" s="192"/>
      <c r="G4" s="1"/>
      <c r="H4" s="1"/>
    </row>
    <row r="5" spans="2:12" ht="60" customHeight="1" x14ac:dyDescent="0.2">
      <c r="B5" s="372" t="s">
        <v>338</v>
      </c>
      <c r="C5" s="374"/>
      <c r="D5" s="374"/>
      <c r="E5" s="374"/>
      <c r="F5" s="373"/>
      <c r="G5" s="91"/>
      <c r="H5" s="91"/>
    </row>
    <row r="6" spans="2:12" ht="17" thickBot="1" x14ac:dyDescent="0.25"/>
    <row r="7" spans="2:12" x14ac:dyDescent="0.2">
      <c r="B7" s="169" t="s">
        <v>226</v>
      </c>
      <c r="C7" s="51"/>
      <c r="D7" s="26"/>
      <c r="E7" s="51"/>
      <c r="F7" s="51"/>
      <c r="G7" s="51"/>
      <c r="H7" s="51"/>
      <c r="I7" s="51"/>
      <c r="J7" s="51"/>
      <c r="K7" s="249"/>
      <c r="L7" s="27"/>
    </row>
    <row r="8" spans="2:12" x14ac:dyDescent="0.2">
      <c r="B8" s="170"/>
      <c r="C8" s="1"/>
      <c r="D8" s="1"/>
      <c r="E8" s="1"/>
      <c r="F8" s="1"/>
      <c r="G8" s="1"/>
      <c r="H8" s="1"/>
      <c r="I8" s="1"/>
      <c r="J8" s="1"/>
      <c r="K8" s="170"/>
      <c r="L8" s="29"/>
    </row>
    <row r="9" spans="2:12" ht="32" x14ac:dyDescent="0.2">
      <c r="B9" s="171"/>
      <c r="C9" s="65" t="s">
        <v>270</v>
      </c>
      <c r="D9" s="65" t="s">
        <v>583</v>
      </c>
      <c r="E9" s="65" t="s">
        <v>271</v>
      </c>
      <c r="F9" s="65" t="s">
        <v>272</v>
      </c>
      <c r="G9" s="65" t="s">
        <v>269</v>
      </c>
      <c r="H9" s="65" t="s">
        <v>268</v>
      </c>
      <c r="I9" s="65" t="s">
        <v>273</v>
      </c>
      <c r="J9" s="65" t="s">
        <v>285</v>
      </c>
      <c r="K9" s="250" t="s">
        <v>464</v>
      </c>
      <c r="L9" s="136" t="s">
        <v>465</v>
      </c>
    </row>
    <row r="10" spans="2:12" x14ac:dyDescent="0.2">
      <c r="B10" s="172"/>
      <c r="C10" s="68"/>
      <c r="D10" s="68"/>
      <c r="E10" s="68"/>
      <c r="F10" s="68"/>
      <c r="G10" s="68"/>
      <c r="H10" s="68"/>
      <c r="I10" s="68"/>
      <c r="J10" s="68"/>
      <c r="K10" s="251"/>
      <c r="L10" s="137"/>
    </row>
    <row r="11" spans="2:12" ht="32" x14ac:dyDescent="0.2">
      <c r="B11" s="173" t="s">
        <v>274</v>
      </c>
      <c r="C11" s="209">
        <f>SUM('Corrected energy balance step 2'!C83:N83)+'Corrected energy balance step 2'!S83</f>
        <v>0</v>
      </c>
      <c r="D11" s="209">
        <f>'Corrected energy balance step 2'!T83+'Corrected energy balance step 2'!AV83</f>
        <v>0</v>
      </c>
      <c r="E11" s="209">
        <f>SUM('Corrected energy balance step 2'!U83:AQ83,'Corrected energy balance step 2'!AW83:AY83)</f>
        <v>0</v>
      </c>
      <c r="F11" s="209">
        <f>'Corrected energy balance step 2'!AU83+'Corrected energy balance step 2'!AZ83+'Corrected energy balance step 2'!BA83</f>
        <v>0</v>
      </c>
      <c r="G11" s="209">
        <f>'Corrected energy balance step 2'!BH83</f>
        <v>0</v>
      </c>
      <c r="H11" s="209">
        <f>'Corrected energy balance step 2'!BL83</f>
        <v>0</v>
      </c>
      <c r="I11" s="209">
        <f>'Corrected energy balance step 2'!BM83+'Corrected energy balance step 2'!BF83</f>
        <v>0</v>
      </c>
      <c r="J11" s="209">
        <f>SUM('Corrected energy balance step 2'!O83:R83,'Corrected energy balance step 2'!AR83:AT83,'Corrected energy balance step 2'!BB83:BE83,'Corrected energy balance step 2'!BG83,'Corrected energy balance step 2'!BI83:BK83)</f>
        <v>0</v>
      </c>
      <c r="K11" s="252">
        <f>SUM(C10:J11)</f>
        <v>0</v>
      </c>
      <c r="L11" s="253">
        <f>'Corrected energy balance step 2'!$BN$83</f>
        <v>0</v>
      </c>
    </row>
    <row r="12" spans="2:12" ht="17" thickBot="1" x14ac:dyDescent="0.25">
      <c r="B12" s="174"/>
      <c r="C12" s="138"/>
      <c r="D12" s="138"/>
      <c r="E12" s="138"/>
      <c r="F12" s="138"/>
      <c r="G12" s="138"/>
      <c r="H12" s="138"/>
      <c r="I12" s="138"/>
      <c r="J12" s="138"/>
      <c r="K12" s="256"/>
      <c r="L12" s="255"/>
    </row>
    <row r="13" spans="2:12" x14ac:dyDescent="0.2">
      <c r="K13" s="254"/>
      <c r="L13" s="254"/>
    </row>
    <row r="17" spans="10:11" x14ac:dyDescent="0.2">
      <c r="J17" s="244" t="s">
        <v>466</v>
      </c>
      <c r="K17" s="192"/>
    </row>
    <row r="18" spans="10:11" x14ac:dyDescent="0.2">
      <c r="J18" s="245" t="s">
        <v>467</v>
      </c>
      <c r="K18" s="246"/>
    </row>
    <row r="19" spans="10:11" x14ac:dyDescent="0.2">
      <c r="J19" s="245" t="str">
        <f>"- total demand of aggregated carriers"</f>
        <v>- total demand of aggregated carriers</v>
      </c>
      <c r="K19" s="246"/>
    </row>
    <row r="20" spans="10:11" x14ac:dyDescent="0.2">
      <c r="J20" s="245" t="str">
        <f>"- total demand in energy balance (IEA)"</f>
        <v>- total demand in energy balance (IEA)</v>
      </c>
      <c r="K20" s="246"/>
    </row>
    <row r="21" spans="10:11" x14ac:dyDescent="0.2">
      <c r="J21" s="245" t="s">
        <v>468</v>
      </c>
      <c r="K21" s="246"/>
    </row>
    <row r="22" spans="10:11" x14ac:dyDescent="0.2">
      <c r="J22" s="245" t="s">
        <v>469</v>
      </c>
      <c r="K22" s="246"/>
    </row>
    <row r="23" spans="10:11" x14ac:dyDescent="0.2">
      <c r="J23" s="245"/>
      <c r="K23" s="246"/>
    </row>
    <row r="24" spans="10:11" x14ac:dyDescent="0.2">
      <c r="J24" s="247" t="s">
        <v>470</v>
      </c>
      <c r="K24" s="248">
        <f>K11-Final_demand_residences</f>
        <v>0</v>
      </c>
    </row>
  </sheetData>
  <mergeCells count="1">
    <mergeCell ref="B5:F5"/>
  </mergeCells>
  <conditionalFormatting sqref="C12:D12 G12:I12">
    <cfRule type="cellIs" dxfId="4" priority="7" operator="greaterThan">
      <formula>0</formula>
    </cfRule>
  </conditionalFormatting>
  <conditionalFormatting sqref="K24">
    <cfRule type="cellIs" dxfId="3" priority="3" operator="notBetween">
      <formula>-1</formula>
      <formula>1</formula>
    </cfRule>
    <cfRule type="cellIs" dxfId="2" priority="4" operator="between">
      <formula>-1</formula>
      <formula>1</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ignoredErrors>
    <ignoredError sqref="K11" emptyCellReference="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I20"/>
  <sheetViews>
    <sheetView workbookViewId="0">
      <selection activeCell="C25" sqref="C25"/>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6" style="1" customWidth="1"/>
    <col min="6" max="6" width="22.5" style="1" customWidth="1"/>
    <col min="7" max="7" width="29.1640625" style="1" customWidth="1"/>
    <col min="8" max="8" width="20.83203125" style="1" customWidth="1"/>
    <col min="9" max="9" width="5.1640625" style="1" customWidth="1"/>
    <col min="10" max="10" width="20.1640625" style="1" customWidth="1"/>
    <col min="11" max="11" width="32.5" style="1" customWidth="1"/>
    <col min="12" max="12" width="29.83203125" style="1" customWidth="1"/>
    <col min="13" max="16384" width="10.83203125" style="1"/>
  </cols>
  <sheetData>
    <row r="2" spans="2:9" ht="21" x14ac:dyDescent="0.25">
      <c r="B2" s="2" t="s">
        <v>311</v>
      </c>
    </row>
    <row r="4" spans="2:9" x14ac:dyDescent="0.2">
      <c r="B4" s="3" t="s">
        <v>93</v>
      </c>
      <c r="C4" s="4"/>
      <c r="D4" s="4"/>
      <c r="E4" s="5"/>
    </row>
    <row r="5" spans="2:9" ht="45" customHeight="1" x14ac:dyDescent="0.2">
      <c r="B5" s="372" t="s">
        <v>324</v>
      </c>
      <c r="C5" s="374"/>
      <c r="D5" s="374"/>
      <c r="E5" s="373"/>
    </row>
    <row r="6" spans="2:9" ht="17" thickBot="1" x14ac:dyDescent="0.25"/>
    <row r="7" spans="2:9" x14ac:dyDescent="0.2">
      <c r="B7" s="25" t="s">
        <v>90</v>
      </c>
      <c r="C7" s="26"/>
      <c r="D7" s="26"/>
      <c r="E7" s="26"/>
      <c r="F7" s="51"/>
      <c r="G7" s="27"/>
    </row>
    <row r="8" spans="2:9" ht="48" x14ac:dyDescent="0.2">
      <c r="B8" s="33"/>
      <c r="C8" s="93"/>
      <c r="D8" s="99" t="s">
        <v>296</v>
      </c>
      <c r="E8" s="99" t="s">
        <v>417</v>
      </c>
      <c r="F8" s="99" t="s">
        <v>418</v>
      </c>
      <c r="G8" s="180" t="s">
        <v>297</v>
      </c>
    </row>
    <row r="9" spans="2:9" x14ac:dyDescent="0.2">
      <c r="B9" s="33"/>
      <c r="C9" t="s">
        <v>121</v>
      </c>
      <c r="D9" s="281" t="e">
        <f>'Technology split final demand'!G11</f>
        <v>#DIV/0!</v>
      </c>
      <c r="E9" s="211" t="e">
        <f t="shared" ref="E9:E14" si="0">D9*Final_demand_space_heating</f>
        <v>#DIV/0!</v>
      </c>
      <c r="F9" s="211" t="e">
        <f>Eff_space_heating_gas*E9</f>
        <v>#DIV/0!</v>
      </c>
      <c r="G9" s="240" t="e">
        <f>F9/SUM($F$9:$F$19)</f>
        <v>#DIV/0!</v>
      </c>
      <c r="H9" s="58"/>
      <c r="I9" s="243"/>
    </row>
    <row r="10" spans="2:9" x14ac:dyDescent="0.2">
      <c r="B10" s="33"/>
      <c r="C10" t="s">
        <v>123</v>
      </c>
      <c r="D10" s="175" t="e">
        <f>'Technology split final demand'!G12</f>
        <v>#DIV/0!</v>
      </c>
      <c r="E10" s="211" t="e">
        <f t="shared" si="0"/>
        <v>#DIV/0!</v>
      </c>
      <c r="F10" s="211" t="e">
        <f>Eff_space_heating_pump_storage*E10</f>
        <v>#DIV/0!</v>
      </c>
      <c r="G10" s="240" t="e">
        <f t="shared" ref="G10:G19" si="1">F10/SUM($F$9:$F$19)</f>
        <v>#DIV/0!</v>
      </c>
      <c r="I10" s="243"/>
    </row>
    <row r="11" spans="2:9" x14ac:dyDescent="0.2">
      <c r="B11" s="33"/>
      <c r="C11" t="s">
        <v>122</v>
      </c>
      <c r="D11" s="175" t="e">
        <f>'Technology split final demand'!G13</f>
        <v>#DIV/0!</v>
      </c>
      <c r="E11" s="211" t="e">
        <f t="shared" si="0"/>
        <v>#DIV/0!</v>
      </c>
      <c r="F11" s="211" t="e">
        <f>Eff_space_heating_pump_gas*E11</f>
        <v>#DIV/0!</v>
      </c>
      <c r="G11" s="240" t="e">
        <f t="shared" si="1"/>
        <v>#DIV/0!</v>
      </c>
      <c r="I11" s="243"/>
    </row>
    <row r="12" spans="2:9" x14ac:dyDescent="0.2">
      <c r="B12" s="33"/>
      <c r="C12" t="s">
        <v>124</v>
      </c>
      <c r="D12" s="175" t="e">
        <f>'Technology split final demand'!G14</f>
        <v>#DIV/0!</v>
      </c>
      <c r="E12" s="211" t="e">
        <f t="shared" si="0"/>
        <v>#DIV/0!</v>
      </c>
      <c r="F12" s="211" t="e">
        <f>Eff_space_heating_electric*E12</f>
        <v>#DIV/0!</v>
      </c>
      <c r="G12" s="240" t="e">
        <f t="shared" si="1"/>
        <v>#DIV/0!</v>
      </c>
      <c r="I12" s="243"/>
    </row>
    <row r="13" spans="2:9" x14ac:dyDescent="0.2">
      <c r="B13" s="33"/>
      <c r="C13" t="s">
        <v>126</v>
      </c>
      <c r="D13" s="175" t="e">
        <f>'Technology split final demand'!G15</f>
        <v>#DIV/0!</v>
      </c>
      <c r="E13" s="211" t="e">
        <f t="shared" si="0"/>
        <v>#DIV/0!</v>
      </c>
      <c r="F13" s="211" t="e">
        <f>Eff_space_heating_coal*E13</f>
        <v>#DIV/0!</v>
      </c>
      <c r="G13" s="240" t="e">
        <f t="shared" si="1"/>
        <v>#DIV/0!</v>
      </c>
      <c r="I13" s="243"/>
    </row>
    <row r="14" spans="2:9" x14ac:dyDescent="0.2">
      <c r="B14" s="33"/>
      <c r="C14" t="s">
        <v>127</v>
      </c>
      <c r="D14" s="175" t="e">
        <f>'Technology split final demand'!G16</f>
        <v>#DIV/0!</v>
      </c>
      <c r="E14" s="211" t="e">
        <f t="shared" si="0"/>
        <v>#DIV/0!</v>
      </c>
      <c r="F14" s="211" t="e">
        <f>Eff_space_heating_oil*E14</f>
        <v>#DIV/0!</v>
      </c>
      <c r="G14" s="240" t="e">
        <f t="shared" si="1"/>
        <v>#DIV/0!</v>
      </c>
      <c r="I14" s="243"/>
    </row>
    <row r="15" spans="2:9" x14ac:dyDescent="0.2">
      <c r="B15" s="33"/>
      <c r="C15" t="s">
        <v>609</v>
      </c>
      <c r="D15" s="175" t="e">
        <f>'Technology split final demand'!G17</f>
        <v>#DIV/0!</v>
      </c>
      <c r="E15" s="211" t="e">
        <f t="shared" ref="E15" si="2">D15*Final_demand_space_heating</f>
        <v>#DIV/0!</v>
      </c>
      <c r="F15" s="211" t="e">
        <f>Eff_space_heating_oil*E15</f>
        <v>#DIV/0!</v>
      </c>
      <c r="G15" s="240" t="e">
        <f t="shared" ref="G15" si="3">F15/SUM($F$9:$F$19)</f>
        <v>#DIV/0!</v>
      </c>
      <c r="I15" s="243"/>
    </row>
    <row r="16" spans="2:9" x14ac:dyDescent="0.2">
      <c r="B16" s="28"/>
      <c r="H16" s="28"/>
      <c r="I16" s="243"/>
    </row>
    <row r="17" spans="2:9" x14ac:dyDescent="0.2">
      <c r="B17" s="33"/>
      <c r="C17" t="s">
        <v>125</v>
      </c>
      <c r="D17" s="175" t="e">
        <f>'Technology split final demand'!G19</f>
        <v>#DIV/0!</v>
      </c>
      <c r="E17" s="211" t="e">
        <f>D17*Final_demand_space_heating</f>
        <v>#DIV/0!</v>
      </c>
      <c r="F17" s="211" t="e">
        <f>Eff_space_heating_solar_thermal*E17</f>
        <v>#DIV/0!</v>
      </c>
      <c r="G17" s="240" t="e">
        <f t="shared" si="1"/>
        <v>#DIV/0!</v>
      </c>
      <c r="I17" s="243"/>
    </row>
    <row r="18" spans="2:9" x14ac:dyDescent="0.2">
      <c r="B18" s="33"/>
      <c r="C18" t="s">
        <v>128</v>
      </c>
      <c r="D18" s="175" t="e">
        <f>'Technology split final demand'!G20</f>
        <v>#DIV/0!</v>
      </c>
      <c r="E18" s="211" t="e">
        <f>D18*Final_demand_space_heating</f>
        <v>#DIV/0!</v>
      </c>
      <c r="F18" s="211" t="e">
        <f>Eff_space_heating_woodpellets*E18</f>
        <v>#DIV/0!</v>
      </c>
      <c r="G18" s="240" t="e">
        <f t="shared" si="1"/>
        <v>#DIV/0!</v>
      </c>
      <c r="I18" s="243"/>
    </row>
    <row r="19" spans="2:9" x14ac:dyDescent="0.2">
      <c r="B19" s="33"/>
      <c r="C19" t="s">
        <v>129</v>
      </c>
      <c r="D19" s="177" t="e">
        <f>'Technology split final demand'!G21</f>
        <v>#DIV/0!</v>
      </c>
      <c r="E19" s="211" t="e">
        <f>D19*Final_demand_space_heating</f>
        <v>#DIV/0!</v>
      </c>
      <c r="F19" s="211" t="e">
        <f>Eff_space_heating_district*E19</f>
        <v>#DIV/0!</v>
      </c>
      <c r="G19" s="240" t="e">
        <f t="shared" si="1"/>
        <v>#DIV/0!</v>
      </c>
    </row>
    <row r="20" spans="2:9" ht="17" thickBot="1" x14ac:dyDescent="0.25">
      <c r="B20" s="45"/>
      <c r="C20" s="94"/>
      <c r="D20" s="94"/>
      <c r="E20" s="94"/>
      <c r="F20" s="94"/>
      <c r="G20" s="95"/>
    </row>
  </sheetData>
  <mergeCells count="1">
    <mergeCell ref="B5:E5"/>
  </mergeCells>
  <pageMargins left="0.75" right="0.75" top="1" bottom="1" header="0.5" footer="0.5"/>
  <pageSetup paperSize="9" orientation="portrait" horizontalDpi="4294967292" verticalDpi="4294967292"/>
  <ignoredErrors>
    <ignoredError sqref="G9:G10 G17:G19 G11:G14" emptyCellReference="1"/>
  </ignoredError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7" tint="0.39997558519241921"/>
  </sheetPr>
  <dimension ref="A1:B5"/>
  <sheetViews>
    <sheetView workbookViewId="0">
      <selection activeCell="K26" sqref="K26"/>
    </sheetView>
  </sheetViews>
  <sheetFormatPr baseColWidth="10" defaultRowHeight="16" x14ac:dyDescent="0.2"/>
  <cols>
    <col min="1" max="1" width="51.1640625" bestFit="1" customWidth="1"/>
    <col min="8" max="8" width="17.33203125" bestFit="1" customWidth="1"/>
  </cols>
  <sheetData>
    <row r="1" spans="1:2" x14ac:dyDescent="0.2">
      <c r="A1" s="194" t="s">
        <v>371</v>
      </c>
    </row>
    <row r="2" spans="1:2" x14ac:dyDescent="0.2">
      <c r="A2" t="s">
        <v>366</v>
      </c>
      <c r="B2" t="s">
        <v>328</v>
      </c>
    </row>
    <row r="3" spans="1:2" x14ac:dyDescent="0.2">
      <c r="A3" t="s">
        <v>369</v>
      </c>
      <c r="B3" s="266" t="e">
        <f>'Technology shares'!F22</f>
        <v>#DIV/0!</v>
      </c>
    </row>
    <row r="4" spans="1:2" x14ac:dyDescent="0.2">
      <c r="A4" t="s">
        <v>367</v>
      </c>
      <c r="B4" s="266" t="e">
        <f>'Technology shares'!F23</f>
        <v>#DIV/0!</v>
      </c>
    </row>
    <row r="5" spans="1:2" x14ac:dyDescent="0.2">
      <c r="A5" t="s">
        <v>368</v>
      </c>
      <c r="B5" s="266" t="e">
        <f>'Technology shares'!F24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7"/>
  <sheetViews>
    <sheetView workbookViewId="0">
      <selection activeCell="A8" sqref="A8"/>
    </sheetView>
  </sheetViews>
  <sheetFormatPr baseColWidth="10" defaultRowHeight="16" x14ac:dyDescent="0.2"/>
  <cols>
    <col min="1" max="1" width="64.33203125" customWidth="1"/>
  </cols>
  <sheetData>
    <row r="1" spans="1:2" x14ac:dyDescent="0.2">
      <c r="A1" s="194" t="s">
        <v>375</v>
      </c>
    </row>
    <row r="2" spans="1:2" x14ac:dyDescent="0.2">
      <c r="A2" t="s">
        <v>366</v>
      </c>
      <c r="B2" t="s">
        <v>328</v>
      </c>
    </row>
    <row r="3" spans="1:2" x14ac:dyDescent="0.2">
      <c r="A3" s="194" t="s">
        <v>373</v>
      </c>
      <c r="B3" s="266" t="e">
        <f>'Technology shares'!F13</f>
        <v>#DIV/0!</v>
      </c>
    </row>
    <row r="4" spans="1:2" x14ac:dyDescent="0.2">
      <c r="A4" s="194" t="s">
        <v>374</v>
      </c>
      <c r="B4" s="266" t="e">
        <f>'Technology shares'!F12</f>
        <v>#DIV/0!</v>
      </c>
    </row>
    <row r="5" spans="1:2" x14ac:dyDescent="0.2">
      <c r="A5" s="194" t="s">
        <v>608</v>
      </c>
      <c r="B5" s="266" t="e">
        <f>'Technology shares'!F13</f>
        <v>#DIV/0!</v>
      </c>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7"/>
  <sheetViews>
    <sheetView workbookViewId="0">
      <selection activeCell="B5" sqref="B5"/>
    </sheetView>
  </sheetViews>
  <sheetFormatPr baseColWidth="10" defaultRowHeight="16" x14ac:dyDescent="0.2"/>
  <cols>
    <col min="1" max="1" width="55.33203125" bestFit="1" customWidth="1"/>
    <col min="2" max="2" width="14.83203125" bestFit="1" customWidth="1"/>
  </cols>
  <sheetData>
    <row r="1" spans="1:2" x14ac:dyDescent="0.2">
      <c r="A1" s="194" t="s">
        <v>379</v>
      </c>
    </row>
    <row r="2" spans="1:2" x14ac:dyDescent="0.2">
      <c r="A2" t="s">
        <v>366</v>
      </c>
      <c r="B2" t="s">
        <v>328</v>
      </c>
    </row>
    <row r="3" spans="1:2" x14ac:dyDescent="0.2">
      <c r="A3" s="194" t="s">
        <v>376</v>
      </c>
      <c r="B3" s="266" t="e">
        <f>'Technology shares'!F18</f>
        <v>#DIV/0!</v>
      </c>
    </row>
    <row r="4" spans="1:2" x14ac:dyDescent="0.2">
      <c r="A4" s="194" t="s">
        <v>377</v>
      </c>
      <c r="B4" s="266" t="e">
        <f>'Technology shares'!F17</f>
        <v>#DIV/0!</v>
      </c>
    </row>
    <row r="5" spans="1:2" x14ac:dyDescent="0.2">
      <c r="A5" s="228" t="s">
        <v>615</v>
      </c>
      <c r="B5" s="266" t="e">
        <f>'Technology shares'!F19</f>
        <v>#DIV/0!</v>
      </c>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B7"/>
  <sheetViews>
    <sheetView topLeftCell="A3" workbookViewId="0"/>
  </sheetViews>
  <sheetFormatPr baseColWidth="10" defaultRowHeight="16" x14ac:dyDescent="0.2"/>
  <cols>
    <col min="1" max="1" width="52.6640625" bestFit="1" customWidth="1"/>
  </cols>
  <sheetData>
    <row r="1" spans="1:2" x14ac:dyDescent="0.2">
      <c r="A1" s="194" t="s">
        <v>590</v>
      </c>
    </row>
    <row r="2" spans="1:2" x14ac:dyDescent="0.2">
      <c r="A2" t="s">
        <v>366</v>
      </c>
      <c r="B2" t="s">
        <v>328</v>
      </c>
    </row>
    <row r="3" spans="1:2" x14ac:dyDescent="0.2">
      <c r="A3" s="194" t="s">
        <v>380</v>
      </c>
      <c r="B3" s="266" t="e">
        <f>'Technology shares'!F9</f>
        <v>#DIV/0!</v>
      </c>
    </row>
    <row r="4" spans="1:2" x14ac:dyDescent="0.2">
      <c r="A4" s="194" t="s">
        <v>381</v>
      </c>
      <c r="B4" s="266" t="e">
        <f>'Technology shares'!F10</f>
        <v>#DIV/0!</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7"/>
  <sheetViews>
    <sheetView workbookViewId="0">
      <selection activeCell="B3" sqref="B3:B7"/>
    </sheetView>
  </sheetViews>
  <sheetFormatPr baseColWidth="10" defaultRowHeight="16" x14ac:dyDescent="0.2"/>
  <cols>
    <col min="1" max="1" width="42.6640625" bestFit="1" customWidth="1"/>
  </cols>
  <sheetData>
    <row r="1" spans="1:2" x14ac:dyDescent="0.2">
      <c r="A1" s="194" t="s">
        <v>382</v>
      </c>
    </row>
    <row r="2" spans="1:2" x14ac:dyDescent="0.2">
      <c r="A2" t="s">
        <v>366</v>
      </c>
      <c r="B2" t="s">
        <v>328</v>
      </c>
    </row>
    <row r="3" spans="1:2" x14ac:dyDescent="0.2">
      <c r="A3" s="194" t="s">
        <v>383</v>
      </c>
      <c r="B3" s="266" t="e">
        <f>'Application shares'!E9</f>
        <v>#DIV/0!</v>
      </c>
    </row>
    <row r="4" spans="1:2" x14ac:dyDescent="0.2">
      <c r="A4" s="194" t="s">
        <v>384</v>
      </c>
      <c r="B4" s="266" t="e">
        <f>'Application shares'!E10</f>
        <v>#DIV/0!</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7"/>
  <sheetViews>
    <sheetView workbookViewId="0">
      <selection activeCell="B3" sqref="B3"/>
    </sheetView>
  </sheetViews>
  <sheetFormatPr baseColWidth="10" defaultRowHeight="16" x14ac:dyDescent="0.2"/>
  <cols>
    <col min="1" max="1" width="48.6640625" customWidth="1"/>
  </cols>
  <sheetData>
    <row r="1" spans="1:2" x14ac:dyDescent="0.2">
      <c r="A1" s="194" t="s">
        <v>385</v>
      </c>
    </row>
    <row r="2" spans="1:2" x14ac:dyDescent="0.2">
      <c r="A2" t="s">
        <v>366</v>
      </c>
      <c r="B2" t="s">
        <v>328</v>
      </c>
    </row>
    <row r="3" spans="1:2" x14ac:dyDescent="0.2">
      <c r="A3" s="194" t="s">
        <v>587</v>
      </c>
      <c r="B3" s="266" t="e">
        <f>'Application shares'!E13</f>
        <v>#DIV/0!</v>
      </c>
    </row>
    <row r="4" spans="1:2" x14ac:dyDescent="0.2">
      <c r="A4" s="194" t="s">
        <v>588</v>
      </c>
      <c r="B4" s="266" t="e">
        <f>'Application shares'!E14</f>
        <v>#DIV/0!</v>
      </c>
    </row>
    <row r="5" spans="1:2" x14ac:dyDescent="0.2">
      <c r="A5" s="194" t="s">
        <v>589</v>
      </c>
      <c r="B5" s="266" t="e">
        <f>'Application shares'!E15</f>
        <v>#DIV/0!</v>
      </c>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B7"/>
  <sheetViews>
    <sheetView workbookViewId="0">
      <selection activeCell="B3" sqref="B3:B7"/>
    </sheetView>
  </sheetViews>
  <sheetFormatPr baseColWidth="10" defaultRowHeight="16" x14ac:dyDescent="0.2"/>
  <cols>
    <col min="1" max="1" width="45.1640625" bestFit="1" customWidth="1"/>
  </cols>
  <sheetData>
    <row r="1" spans="1:2" x14ac:dyDescent="0.2">
      <c r="A1" s="194" t="s">
        <v>386</v>
      </c>
    </row>
    <row r="2" spans="1:2" x14ac:dyDescent="0.2">
      <c r="A2" t="s">
        <v>366</v>
      </c>
      <c r="B2" t="s">
        <v>328</v>
      </c>
    </row>
    <row r="3" spans="1:2" x14ac:dyDescent="0.2">
      <c r="A3" s="194" t="s">
        <v>387</v>
      </c>
      <c r="B3" s="266" t="e">
        <f>'Application shares'!E18</f>
        <v>#DIV/0!</v>
      </c>
    </row>
    <row r="4" spans="1:2" x14ac:dyDescent="0.2">
      <c r="A4" s="194" t="s">
        <v>388</v>
      </c>
      <c r="B4" s="266" t="e">
        <f>'Application shares'!E19</f>
        <v>#DIV/0!</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7"/>
  <sheetViews>
    <sheetView workbookViewId="0">
      <selection activeCell="B3" sqref="B3"/>
    </sheetView>
  </sheetViews>
  <sheetFormatPr baseColWidth="10" defaultRowHeight="16" x14ac:dyDescent="0.2"/>
  <cols>
    <col min="1" max="1" width="45.5" bestFit="1" customWidth="1"/>
  </cols>
  <sheetData>
    <row r="1" spans="1:2" x14ac:dyDescent="0.2">
      <c r="A1" s="194" t="s">
        <v>389</v>
      </c>
    </row>
    <row r="2" spans="1:2" x14ac:dyDescent="0.2">
      <c r="A2" t="s">
        <v>366</v>
      </c>
      <c r="B2" t="s">
        <v>328</v>
      </c>
    </row>
    <row r="3" spans="1:2" x14ac:dyDescent="0.2">
      <c r="A3" s="194" t="s">
        <v>372</v>
      </c>
      <c r="B3" s="266" t="e">
        <f>'Application shares'!E22</f>
        <v>#DIV/0!</v>
      </c>
    </row>
    <row r="4" spans="1:2" x14ac:dyDescent="0.2">
      <c r="A4" s="194" t="s">
        <v>378</v>
      </c>
      <c r="B4" s="266" t="e">
        <f>'Application shares'!E23</f>
        <v>#DIV/0!</v>
      </c>
    </row>
    <row r="5" spans="1:2" x14ac:dyDescent="0.2">
      <c r="A5" s="194" t="s">
        <v>370</v>
      </c>
      <c r="B5" s="266" t="e">
        <f>'Application shares'!E24</f>
        <v>#DIV/0!</v>
      </c>
    </row>
    <row r="6" spans="1:2" x14ac:dyDescent="0.2">
      <c r="A6" s="194" t="s">
        <v>390</v>
      </c>
      <c r="B6" s="266" t="e">
        <f>'Application shares'!E25</f>
        <v>#DIV/0!</v>
      </c>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7"/>
  <sheetViews>
    <sheetView workbookViewId="0">
      <selection activeCell="B4" sqref="B4"/>
    </sheetView>
  </sheetViews>
  <sheetFormatPr baseColWidth="10" defaultRowHeight="16" x14ac:dyDescent="0.2"/>
  <cols>
    <col min="1" max="1" width="48.5" bestFit="1" customWidth="1"/>
  </cols>
  <sheetData>
    <row r="1" spans="1:2" x14ac:dyDescent="0.2">
      <c r="A1" s="194" t="s">
        <v>391</v>
      </c>
    </row>
    <row r="2" spans="1:2" x14ac:dyDescent="0.2">
      <c r="A2" t="s">
        <v>366</v>
      </c>
      <c r="B2" t="s">
        <v>328</v>
      </c>
    </row>
    <row r="3" spans="1:2" x14ac:dyDescent="0.2">
      <c r="A3" s="194" t="s">
        <v>392</v>
      </c>
      <c r="B3" s="266">
        <f>Dashboard!E66</f>
        <v>1</v>
      </c>
    </row>
    <row r="4" spans="1:2" x14ac:dyDescent="0.2">
      <c r="A4" s="194" t="s">
        <v>393</v>
      </c>
      <c r="B4" s="266">
        <f>Dashboard!E67</f>
        <v>0</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7"/>
  <sheetViews>
    <sheetView workbookViewId="0">
      <selection activeCell="B4" sqref="A1:B4"/>
    </sheetView>
  </sheetViews>
  <sheetFormatPr baseColWidth="10" defaultRowHeight="16" x14ac:dyDescent="0.2"/>
  <cols>
    <col min="1" max="1" width="52.1640625" bestFit="1" customWidth="1"/>
    <col min="2" max="2" width="14.83203125" bestFit="1" customWidth="1"/>
  </cols>
  <sheetData>
    <row r="1" spans="1:2" x14ac:dyDescent="0.2">
      <c r="A1" t="s">
        <v>394</v>
      </c>
    </row>
    <row r="2" spans="1:2" x14ac:dyDescent="0.2">
      <c r="A2" t="s">
        <v>366</v>
      </c>
      <c r="B2" t="s">
        <v>328</v>
      </c>
    </row>
    <row r="3" spans="1:2" x14ac:dyDescent="0.2">
      <c r="A3" t="s">
        <v>395</v>
      </c>
      <c r="B3" s="266">
        <v>0</v>
      </c>
    </row>
    <row r="4" spans="1:2" x14ac:dyDescent="0.2">
      <c r="A4" t="s">
        <v>396</v>
      </c>
      <c r="B4" s="266">
        <v>1</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theme="7" tint="0.39997558519241921"/>
  </sheetPr>
  <dimension ref="A1:B7"/>
  <sheetViews>
    <sheetView workbookViewId="0">
      <selection activeCell="A2" sqref="A2"/>
    </sheetView>
  </sheetViews>
  <sheetFormatPr baseColWidth="10" defaultRowHeight="16" x14ac:dyDescent="0.2"/>
  <cols>
    <col min="1" max="1" width="43" bestFit="1" customWidth="1"/>
    <col min="2" max="2" width="14.83203125" bestFit="1" customWidth="1"/>
  </cols>
  <sheetData>
    <row r="1" spans="1:2" x14ac:dyDescent="0.2">
      <c r="A1" t="s">
        <v>398</v>
      </c>
    </row>
    <row r="2" spans="1:2" x14ac:dyDescent="0.2">
      <c r="A2" t="s">
        <v>366</v>
      </c>
      <c r="B2" t="s">
        <v>328</v>
      </c>
    </row>
    <row r="3" spans="1:2" x14ac:dyDescent="0.2">
      <c r="A3" t="s">
        <v>397</v>
      </c>
      <c r="B3" s="266">
        <v>0</v>
      </c>
    </row>
    <row r="4" spans="1:2" x14ac:dyDescent="0.2">
      <c r="A4" t="s">
        <v>399</v>
      </c>
      <c r="B4" s="266">
        <v>1</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2">
    <tabColor theme="7" tint="0.39997558519241921"/>
  </sheetPr>
  <dimension ref="A1:B7"/>
  <sheetViews>
    <sheetView workbookViewId="0">
      <selection activeCell="B3" sqref="B3"/>
    </sheetView>
  </sheetViews>
  <sheetFormatPr baseColWidth="10" defaultRowHeight="16" x14ac:dyDescent="0.2"/>
  <cols>
    <col min="1" max="1" width="47.6640625" bestFit="1" customWidth="1"/>
    <col min="2" max="2" width="14.5" bestFit="1" customWidth="1"/>
  </cols>
  <sheetData>
    <row r="1" spans="1:2" x14ac:dyDescent="0.2">
      <c r="A1" t="s">
        <v>400</v>
      </c>
    </row>
    <row r="2" spans="1:2" x14ac:dyDescent="0.2">
      <c r="A2" t="s">
        <v>366</v>
      </c>
      <c r="B2" t="s">
        <v>328</v>
      </c>
    </row>
    <row r="3" spans="1:2" x14ac:dyDescent="0.2">
      <c r="A3" t="s">
        <v>401</v>
      </c>
      <c r="B3" s="266">
        <f>1-B4</f>
        <v>0.96099999999999997</v>
      </c>
    </row>
    <row r="4" spans="1:2" x14ac:dyDescent="0.2">
      <c r="A4" t="s">
        <v>402</v>
      </c>
      <c r="B4" s="266">
        <f>Dashboard!E69</f>
        <v>3.9E-2</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3">
    <tabColor theme="7" tint="0.39997558519241921"/>
  </sheetPr>
  <dimension ref="A1:B7"/>
  <sheetViews>
    <sheetView workbookViewId="0">
      <selection activeCell="B4" sqref="B4"/>
    </sheetView>
  </sheetViews>
  <sheetFormatPr baseColWidth="10" defaultRowHeight="16" x14ac:dyDescent="0.2"/>
  <cols>
    <col min="1" max="1" width="61.6640625" bestFit="1" customWidth="1"/>
    <col min="2" max="2" width="14.5" bestFit="1" customWidth="1"/>
  </cols>
  <sheetData>
    <row r="1" spans="1:2" x14ac:dyDescent="0.2">
      <c r="A1" t="s">
        <v>403</v>
      </c>
    </row>
    <row r="2" spans="1:2" x14ac:dyDescent="0.2">
      <c r="A2" t="s">
        <v>366</v>
      </c>
      <c r="B2" t="s">
        <v>328</v>
      </c>
    </row>
    <row r="3" spans="1:2" x14ac:dyDescent="0.2">
      <c r="A3" t="s">
        <v>404</v>
      </c>
      <c r="B3" s="266">
        <f>1-B4</f>
        <v>0.94699999999999995</v>
      </c>
    </row>
    <row r="4" spans="1:2" x14ac:dyDescent="0.2">
      <c r="A4" t="s">
        <v>405</v>
      </c>
      <c r="B4" s="266">
        <f>Dashboard!E70</f>
        <v>5.2999999999999999E-2</v>
      </c>
    </row>
    <row r="5" spans="1:2" x14ac:dyDescent="0.2">
      <c r="B5" s="266"/>
    </row>
    <row r="6" spans="1:2" x14ac:dyDescent="0.2">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7" tint="0.39997558519241921"/>
  </sheetPr>
  <dimension ref="A1:B7"/>
  <sheetViews>
    <sheetView workbookViewId="0">
      <selection activeCell="E43" sqref="E43"/>
    </sheetView>
  </sheetViews>
  <sheetFormatPr baseColWidth="10" defaultRowHeight="16" x14ac:dyDescent="0.2"/>
  <cols>
    <col min="1" max="1" width="45.5" bestFit="1" customWidth="1"/>
  </cols>
  <sheetData>
    <row r="1" spans="1:2" x14ac:dyDescent="0.2">
      <c r="A1" s="194" t="s">
        <v>602</v>
      </c>
    </row>
    <row r="2" spans="1:2" x14ac:dyDescent="0.2">
      <c r="A2" t="s">
        <v>366</v>
      </c>
      <c r="B2" t="s">
        <v>328</v>
      </c>
    </row>
    <row r="3" spans="1:2" x14ac:dyDescent="0.2">
      <c r="A3" s="194" t="s">
        <v>603</v>
      </c>
      <c r="B3" s="266" t="e">
        <f>'Application shares'!E27</f>
        <v>#DIV/0!</v>
      </c>
    </row>
    <row r="4" spans="1:2" x14ac:dyDescent="0.2">
      <c r="A4" s="194" t="s">
        <v>604</v>
      </c>
      <c r="B4" s="266" t="e">
        <f>'Application shares'!E28</f>
        <v>#DIV/0!</v>
      </c>
    </row>
    <row r="5" spans="1:2" x14ac:dyDescent="0.2">
      <c r="A5" s="194"/>
      <c r="B5" s="266"/>
    </row>
    <row r="6" spans="1:2" x14ac:dyDescent="0.2">
      <c r="A6" s="194"/>
      <c r="B6" s="266"/>
    </row>
    <row r="7" spans="1:2" x14ac:dyDescent="0.2">
      <c r="B7" s="26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22</vt:i4>
      </vt:variant>
    </vt:vector>
  </HeadingPairs>
  <TitlesOfParts>
    <vt:vector size="52"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Final demand per energy carrier</vt:lpstr>
      <vt:lpstr>Technology split final demand</vt:lpstr>
      <vt:lpstr>Final demand extracted from EB</vt:lpstr>
      <vt:lpstr>Fuel aggregation</vt:lpstr>
      <vt:lpstr>Tech split of useful demand</vt:lpstr>
      <vt:lpstr>csv_ps_final_demand_lighting</vt:lpstr>
      <vt:lpstr>csv_ps_space_heating_electricit</vt:lpstr>
      <vt:lpstr>csv_ps_cooling_electricity</vt:lpstr>
      <vt:lpstr>csv_ps_space_heating_gas</vt:lpstr>
      <vt:lpstr>csv_ps_final_demand_coal</vt:lpstr>
      <vt:lpstr>csv_ps_final_demand_gas</vt:lpstr>
      <vt:lpstr>csv_ps_final_demand_oil</vt:lpstr>
      <vt:lpstr>csv_ps_final_demand_electricity</vt:lpstr>
      <vt:lpstr>csv_ps_final_demand_wood_p</vt:lpstr>
      <vt:lpstr>csv_heating_useful_insulation</vt:lpstr>
      <vt:lpstr>csv_cooling_useful_insulation</vt:lpstr>
      <vt:lpstr>csv_light_saving_detection</vt:lpstr>
      <vt:lpstr>csv_light_saving_control</vt:lpstr>
      <vt:lpstr>csv_ps_sector_electricity</vt:lpstr>
      <vt:lpstr>base_year</vt:lpstr>
      <vt:lpstr>country</vt:lpstr>
      <vt:lpstr>Eff_cooling_air_heatpump</vt:lpstr>
      <vt:lpstr>Eff_cooling_airco</vt:lpstr>
      <vt:lpstr>Eff_cooling_pump</vt:lpstr>
      <vt:lpstr>Eff_cooling_pump_storage</vt:lpstr>
      <vt:lpstr>Eff_lighting_led</vt:lpstr>
      <vt:lpstr>Eff_lighting_tube_fluorescent_efficient</vt:lpstr>
      <vt:lpstr>Eff_lighting_tube_fluorescent_standartd</vt:lpstr>
      <vt:lpstr>Eff_space_heating_coal</vt:lpstr>
      <vt:lpstr>Eff_space_heating_district</vt:lpstr>
      <vt:lpstr>Eff_space_heating_electric</vt:lpstr>
      <vt:lpstr>Eff_space_heating_gas</vt:lpstr>
      <vt:lpstr>Eff_space_heating_oil</vt:lpstr>
      <vt:lpstr>Eff_space_heating_pump_gas</vt:lpstr>
      <vt:lpstr>Eff_space_heating_pump_storage</vt:lpstr>
      <vt:lpstr>Eff_space_heating_solar_thermal</vt:lpstr>
      <vt:lpstr>Eff_space_heating_woodpellets</vt:lpstr>
      <vt:lpstr>Final_demand_lighting</vt:lpstr>
      <vt:lpstr>Final_demand_residences</vt:lpstr>
      <vt:lpstr>Final_demand_space_cooling</vt:lpstr>
      <vt:lpstr>Final_demand_space_heating</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Mathijs Bijkerk</cp:lastModifiedBy>
  <dcterms:created xsi:type="dcterms:W3CDTF">2013-06-25T11:11:29Z</dcterms:created>
  <dcterms:modified xsi:type="dcterms:W3CDTF">2023-11-30T12:28:27Z</dcterms:modified>
</cp:coreProperties>
</file>