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buildings/"/>
    </mc:Choice>
  </mc:AlternateContent>
  <xr:revisionPtr revIDLastSave="0" documentId="13_ncr:1_{4C44FC4C-FC9D-0C46-858C-68C589E18C10}" xr6:coauthVersionLast="47" xr6:coauthVersionMax="47" xr10:uidLastSave="{00000000-0000-0000-0000-000000000000}"/>
  <bookViews>
    <workbookView xWindow="0" yWindow="500" windowWidth="28800" windowHeight="17500" tabRatio="762" activeTab="1" xr2:uid="{00000000-000D-0000-FFFF-FFFF00000000}"/>
  </bookViews>
  <sheets>
    <sheet name="Cover sheet" sheetId="14" r:id="rId1"/>
    <sheet name="Dashboard" sheetId="12" r:id="rId2"/>
    <sheet name="Research data" sheetId="13" r:id="rId3"/>
    <sheet name="Sources" sheetId="15" r:id="rId4"/>
    <sheet name="Notes" sheetId="17"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8" i="13" l="1"/>
  <c r="E17" i="13"/>
  <c r="E6" i="13"/>
  <c r="H6" i="13"/>
  <c r="G6" i="13"/>
  <c r="G7" i="13"/>
  <c r="C10" i="17"/>
  <c r="C19" i="17"/>
  <c r="E30" i="12"/>
  <c r="G14" i="13"/>
  <c r="E14" i="13" s="1"/>
  <c r="E31" i="12" s="1"/>
  <c r="C14" i="17"/>
  <c r="C18" i="17"/>
  <c r="C17" i="17"/>
  <c r="C16" i="17"/>
  <c r="G8" i="17"/>
  <c r="F8" i="17"/>
  <c r="H5" i="17"/>
  <c r="G12" i="17" s="1"/>
  <c r="C5" i="17"/>
  <c r="C13" i="17"/>
  <c r="C12" i="17"/>
  <c r="H9" i="17"/>
  <c r="H7" i="13" s="1"/>
  <c r="E7" i="13" s="1"/>
  <c r="E11" i="12" s="1"/>
  <c r="C9" i="17"/>
  <c r="C8" i="17"/>
  <c r="C6" i="17"/>
  <c r="C7" i="17"/>
  <c r="H6" i="17"/>
  <c r="G9" i="13" s="1"/>
  <c r="E9" i="13" s="1"/>
  <c r="E14" i="12" s="1"/>
  <c r="E10" i="12" l="1"/>
  <c r="F17" i="17"/>
  <c r="G17" i="17"/>
  <c r="H17" i="17" s="1"/>
  <c r="G18" i="13" s="1"/>
  <c r="F12" i="17"/>
  <c r="H12" i="17" s="1"/>
  <c r="H8" i="17"/>
  <c r="E13" i="13"/>
  <c r="E12" i="13"/>
  <c r="G18" i="17" l="1"/>
  <c r="G17" i="13"/>
  <c r="G8" i="13"/>
  <c r="E16" i="12" s="1"/>
  <c r="G15" i="17"/>
  <c r="F15" i="17"/>
  <c r="G14" i="17"/>
  <c r="F14" i="17"/>
  <c r="F16" i="17"/>
  <c r="G16" i="17"/>
  <c r="F13" i="17"/>
  <c r="G13" i="17"/>
  <c r="H14" i="17" l="1"/>
  <c r="I17" i="13" s="1"/>
  <c r="H15" i="17"/>
  <c r="H19" i="17" s="1"/>
  <c r="H16" i="17"/>
  <c r="H18" i="13" s="1"/>
  <c r="H13" i="17"/>
  <c r="F18" i="17" l="1"/>
  <c r="H18" i="17" s="1"/>
  <c r="I18" i="13" s="1"/>
  <c r="H17" i="13"/>
  <c r="E19" i="13" l="1"/>
  <c r="E23" i="12"/>
  <c r="E19" i="12"/>
</calcChain>
</file>

<file path=xl/sharedStrings.xml><?xml version="1.0" encoding="utf-8"?>
<sst xmlns="http://schemas.openxmlformats.org/spreadsheetml/2006/main" count="231" uniqueCount="156">
  <si>
    <t>Source</t>
  </si>
  <si>
    <t>years</t>
  </si>
  <si>
    <t>%</t>
  </si>
  <si>
    <t>km2</t>
  </si>
  <si>
    <t>-</t>
  </si>
  <si>
    <t>Technical lifetime</t>
  </si>
  <si>
    <t>Value</t>
  </si>
  <si>
    <t>Other</t>
  </si>
  <si>
    <t>Initial investment costs</t>
  </si>
  <si>
    <t>yes=1, no=0</t>
  </si>
  <si>
    <t>cost_of_installing</t>
  </si>
  <si>
    <t>Definition</t>
  </si>
  <si>
    <t>Unit</t>
  </si>
  <si>
    <t>Link</t>
  </si>
  <si>
    <t>Cover Sheet</t>
  </si>
  <si>
    <t>Document</t>
  </si>
  <si>
    <t>Country</t>
  </si>
  <si>
    <t>Organization</t>
  </si>
  <si>
    <t>Definition on the sources</t>
  </si>
  <si>
    <t>Installation cost</t>
  </si>
  <si>
    <t>Technical lifetime of the plant</t>
  </si>
  <si>
    <t xml:space="preserve">Construction time of the plant </t>
  </si>
  <si>
    <t>Electricity output capacity</t>
  </si>
  <si>
    <t>Date published</t>
  </si>
  <si>
    <t>Attribute</t>
  </si>
  <si>
    <t>euro</t>
  </si>
  <si>
    <t>availability</t>
  </si>
  <si>
    <t>free_co2_factor</t>
  </si>
  <si>
    <t>takes_part_in_ets</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</si>
  <si>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</si>
  <si>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</si>
  <si>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</si>
  <si>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</si>
  <si>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</si>
  <si>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</si>
  <si>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</si>
  <si>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</si>
  <si>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</si>
  <si>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</si>
  <si>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</si>
  <si>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</si>
  <si>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</si>
  <si>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</si>
  <si>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</si>
  <si>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</si>
  <si>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</si>
  <si>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</si>
  <si>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</si>
  <si>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</si>
  <si>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</si>
  <si>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</si>
  <si>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</si>
  <si>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</si>
  <si>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</si>
  <si>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</si>
  <si>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</si>
  <si>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</si>
  <si>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</si>
  <si>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</si>
  <si>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</si>
  <si>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</si>
  <si>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</si>
  <si>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</si>
  <si>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</si>
  <si>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</si>
  <si>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</si>
  <si>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</si>
  <si>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</si>
  <si>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</si>
  <si>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</si>
  <si>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</si>
  <si>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</si>
  <si>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</si>
  <si>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</si>
  <si>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Comments</t>
  </si>
  <si>
    <t>Technical</t>
  </si>
  <si>
    <r>
      <t>euro</t>
    </r>
    <r>
      <rPr>
        <sz val="12"/>
        <color theme="1"/>
        <rFont val="Calibri"/>
        <family val="2"/>
        <scheme val="minor"/>
      </rPr>
      <t>/year</t>
    </r>
  </si>
  <si>
    <t>input.ambient_heat</t>
  </si>
  <si>
    <t>output.useable_heat</t>
  </si>
  <si>
    <t>full_load_hours</t>
  </si>
  <si>
    <t>Land use</t>
  </si>
  <si>
    <r>
      <t>input.</t>
    </r>
    <r>
      <rPr>
        <sz val="12"/>
        <color theme="1"/>
        <rFont val="Calibri"/>
        <family val="2"/>
        <scheme val="minor"/>
      </rPr>
      <t>electricity</t>
    </r>
  </si>
  <si>
    <t>Subject year</t>
  </si>
  <si>
    <t>ETM Library URL</t>
  </si>
  <si>
    <r>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t>
    </r>
    <r>
      <rPr>
        <b/>
        <sz val="12"/>
        <color rgb="FF000000"/>
        <rFont val="Calibri"/>
        <family val="2"/>
      </rPr>
      <t>rake import:node NODE="nodename"</t>
    </r>
    <r>
      <rPr>
        <sz val="12"/>
        <color rgb="FF000000"/>
        <rFont val="Calibri"/>
        <family val="2"/>
      </rPr>
      <t xml:space="preserve"> the button to update the node attributes on ETSource. 
</t>
    </r>
  </si>
  <si>
    <t>Vesta</t>
  </si>
  <si>
    <t>NL</t>
  </si>
  <si>
    <t>input.electricity</t>
  </si>
  <si>
    <t>Quintel</t>
  </si>
  <si>
    <t>Weighted average cost of capital</t>
  </si>
  <si>
    <t>Quintel assumption</t>
  </si>
  <si>
    <t>Quintel assumption (see https://docs.energytransitionmodel.com/main/cost-wacc)</t>
  </si>
  <si>
    <t>No CCS unit for this plant</t>
  </si>
  <si>
    <t>Attribute (EN)</t>
  </si>
  <si>
    <t>Attribute (NL)</t>
  </si>
  <si>
    <t>Min value</t>
  </si>
  <si>
    <t>Max value</t>
  </si>
  <si>
    <t>Comment</t>
  </si>
  <si>
    <t>Data reference</t>
  </si>
  <si>
    <t>Functioneel ontwerp 5.0 Vesta MAIS</t>
  </si>
  <si>
    <t>Figure A</t>
  </si>
  <si>
    <t>Full load hours</t>
  </si>
  <si>
    <t>Vollasturen</t>
  </si>
  <si>
    <t>Afschrijftermijn</t>
  </si>
  <si>
    <t>year</t>
  </si>
  <si>
    <t>factor</t>
  </si>
  <si>
    <t>Figure B</t>
  </si>
  <si>
    <t>Date retreived</t>
  </si>
  <si>
    <t>https://refman.energytransitionmodel.com/publications/2145</t>
  </si>
  <si>
    <t>https://refman.energytransitionmodel.com/publications/2173</t>
  </si>
  <si>
    <t>Aquathermal surface water factsheet</t>
  </si>
  <si>
    <t>Figure C</t>
  </si>
  <si>
    <t>Figure D</t>
  </si>
  <si>
    <t>Figure E</t>
  </si>
  <si>
    <t>Figure F</t>
  </si>
  <si>
    <t>hours/year</t>
  </si>
  <si>
    <t>Average of values mentioned in the table</t>
  </si>
  <si>
    <t>Capacity</t>
  </si>
  <si>
    <t>Vermogen</t>
  </si>
  <si>
    <t>SPF aquathermal surface water heat pump utility buildings</t>
  </si>
  <si>
    <t>0.01-0.04 PJ mentioned in source taken as annual production based on mentioned full load hours</t>
  </si>
  <si>
    <t>Kengetallen aquathermie</t>
  </si>
  <si>
    <t>https://refman.energytransitionmodel.com/publications/2174</t>
  </si>
  <si>
    <t>Kosten per aansluiting TEO warmtepomp utiliteit</t>
  </si>
  <si>
    <t>Investment costs aquathermal heat pump utility building</t>
  </si>
  <si>
    <t>Jaarlijks geleverde energie</t>
  </si>
  <si>
    <t>PJ</t>
  </si>
  <si>
    <t>Estimated from lines in graph based on 25000 GJ annual production</t>
  </si>
  <si>
    <t xml:space="preserve">Decommissioning cost </t>
  </si>
  <si>
    <t>Annual operation and maintenance costs aquathermal heat pump utility building</t>
  </si>
  <si>
    <t>Jaarlijkse onderhouds- en beheerkosten TEO warmtepomp utiliteit</t>
  </si>
  <si>
    <t>Costs in mln €/PJ taken from 'current' values in table. Costs calculated with average heat output capacity (see above)</t>
  </si>
  <si>
    <t>Costs in €/kW estimated from lines in graph based on 25000 GJ annual production. Costs calculated with average heat output capacity (see above)</t>
  </si>
  <si>
    <t>Fixed operational costs/year. Calculated using average capacity (see above)</t>
  </si>
  <si>
    <t>SPF TEO warmtepomp utiliteit</t>
  </si>
  <si>
    <t>Based on 'onderhoudspercentage WKO-bron' and the range of investment costs in €/connection</t>
  </si>
  <si>
    <t>TNO</t>
  </si>
  <si>
    <t>IF</t>
  </si>
  <si>
    <t>Construction time</t>
  </si>
  <si>
    <t>hour</t>
  </si>
  <si>
    <t>No electricity output for this plant</t>
  </si>
  <si>
    <t>Based on minimum and maximum values of 'vaste kosten aanleggen TEO bron' en 'kosten per kW voor aanleggen TEO bron, using average heat output capacity calculated above.</t>
  </si>
  <si>
    <t>Investment costs aquathermal storage</t>
  </si>
  <si>
    <t>Kosten per aansluiting WKO bron</t>
  </si>
  <si>
    <t>Based on minimum and maximum values of 'vaste kosten aanleggen WKO systeem' en 'kosten per kW voor aanleggen WKO systeem', using average heat output capacity calculated above.</t>
  </si>
  <si>
    <t>Annual operation and maintenance costs aquathermal storage</t>
  </si>
  <si>
    <t>Jaarlijkse onderhouds- en beheerkosten WKO bronnen</t>
  </si>
  <si>
    <t>SCOP aquathermal surface water heat pump utility buildings</t>
  </si>
  <si>
    <t>SCOP TEO warmtepomp utiliteit</t>
  </si>
  <si>
    <t>Mentioned in text, but based on collective system</t>
  </si>
  <si>
    <t>Chosen for IF value because TNO assumes collective system</t>
  </si>
  <si>
    <t>eur/unit</t>
  </si>
  <si>
    <t>eur/unit/year</t>
  </si>
  <si>
    <t>Mathijs Bijkerk</t>
  </si>
  <si>
    <t>buildings_space_heater_heatpump_surface_water_water_ts_electricity.ad</t>
  </si>
  <si>
    <t>Quintel assumption to scale to 11 kW instead of 4.4 MW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</si>
</sst>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quot;€&quot;\ #,##0.00"/>
    <numFmt numFmtId="167" formatCode="&quot;€&quot;\ #,##0"/>
  </numFmts>
  <fonts count="29">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b/>
      <sz val="12"/>
      <color rgb="FF000000"/>
      <name val="Calibri"/>
      <family val="2"/>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9"/>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6">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alignment vertical="top"/>
      <protection locked="0"/>
    </xf>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163">
    <xf numFmtId="0" fontId="0" fillId="0" borderId="0" xfId="0"/>
    <xf numFmtId="0" fontId="19" fillId="3" borderId="7" xfId="0" applyFont="1" applyFill="1" applyBorder="1"/>
    <xf numFmtId="0" fontId="20" fillId="3" borderId="17" xfId="0" applyFont="1" applyFill="1" applyBorder="1"/>
    <xf numFmtId="0" fontId="21" fillId="3" borderId="7" xfId="0" applyFont="1" applyFill="1" applyBorder="1" applyAlignment="1">
      <alignment vertical="center"/>
    </xf>
    <xf numFmtId="0" fontId="21" fillId="3" borderId="1" xfId="0" applyFont="1" applyFill="1" applyBorder="1" applyAlignment="1">
      <alignment vertical="center"/>
    </xf>
    <xf numFmtId="0" fontId="19" fillId="3" borderId="0" xfId="0" applyFont="1" applyFill="1"/>
    <xf numFmtId="0" fontId="18" fillId="2" borderId="0" xfId="0" applyFont="1" applyFill="1"/>
    <xf numFmtId="0" fontId="18" fillId="2" borderId="9" xfId="0" applyFont="1" applyFill="1" applyBorder="1"/>
    <xf numFmtId="0" fontId="18" fillId="2" borderId="4" xfId="0" applyFont="1" applyFill="1" applyBorder="1"/>
    <xf numFmtId="0" fontId="20" fillId="0" borderId="0" xfId="0" applyFont="1"/>
    <xf numFmtId="0" fontId="15" fillId="2" borderId="0" xfId="0" applyFont="1" applyFill="1"/>
    <xf numFmtId="0" fontId="19" fillId="0" borderId="0" xfId="0" applyFont="1"/>
    <xf numFmtId="0" fontId="18" fillId="2" borderId="6" xfId="0" applyFont="1" applyFill="1" applyBorder="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xf numFmtId="0" fontId="15" fillId="2" borderId="7" xfId="0" applyFont="1" applyFill="1" applyBorder="1"/>
    <xf numFmtId="0" fontId="18" fillId="0" borderId="0" xfId="0" applyFont="1"/>
    <xf numFmtId="0" fontId="20" fillId="3" borderId="0" xfId="0" applyFont="1" applyFill="1"/>
    <xf numFmtId="0" fontId="14" fillId="2" borderId="18" xfId="0" applyFont="1" applyFill="1" applyBorder="1"/>
    <xf numFmtId="0" fontId="14" fillId="2" borderId="0" xfId="0" applyFont="1" applyFill="1"/>
    <xf numFmtId="0" fontId="14" fillId="0" borderId="0" xfId="0" applyFont="1"/>
    <xf numFmtId="0" fontId="14" fillId="2" borderId="3" xfId="0" applyFont="1" applyFill="1" applyBorder="1"/>
    <xf numFmtId="0" fontId="14" fillId="2" borderId="15" xfId="0" applyFont="1" applyFill="1" applyBorder="1"/>
    <xf numFmtId="0" fontId="14" fillId="2" borderId="6" xfId="0" applyFont="1" applyFill="1" applyBorder="1"/>
    <xf numFmtId="0" fontId="14" fillId="2" borderId="10" xfId="0" applyFont="1" applyFill="1" applyBorder="1"/>
    <xf numFmtId="0" fontId="14" fillId="2" borderId="11" xfId="0" applyFont="1" applyFill="1" applyBorder="1"/>
    <xf numFmtId="0" fontId="14" fillId="2" borderId="12" xfId="0" applyFont="1" applyFill="1" applyBorder="1"/>
    <xf numFmtId="0" fontId="23" fillId="2" borderId="0" xfId="0" applyFont="1" applyFill="1"/>
    <xf numFmtId="0" fontId="23" fillId="2" borderId="5" xfId="0" applyFont="1" applyFill="1" applyBorder="1"/>
    <xf numFmtId="2" fontId="14" fillId="2" borderId="18" xfId="0" applyNumberFormat="1" applyFont="1" applyFill="1" applyBorder="1"/>
    <xf numFmtId="164" fontId="14" fillId="2" borderId="18" xfId="0" applyNumberFormat="1" applyFont="1" applyFill="1" applyBorder="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xf numFmtId="49" fontId="25" fillId="2" borderId="0" xfId="0" applyNumberFormat="1" applyFont="1" applyFill="1"/>
    <xf numFmtId="0" fontId="24" fillId="2" borderId="16" xfId="0" applyFont="1" applyFill="1" applyBorder="1"/>
    <xf numFmtId="0" fontId="25" fillId="2" borderId="9" xfId="0" applyFont="1" applyFill="1" applyBorder="1"/>
    <xf numFmtId="49" fontId="25" fillId="2" borderId="9" xfId="0" applyNumberFormat="1" applyFont="1" applyFill="1" applyBorder="1"/>
    <xf numFmtId="2" fontId="18" fillId="2" borderId="9" xfId="0" applyNumberFormat="1" applyFont="1" applyFill="1" applyBorder="1" applyAlignment="1">
      <alignment vertical="center"/>
    </xf>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6" xfId="0" applyFont="1" applyFill="1" applyBorder="1"/>
    <xf numFmtId="2" fontId="13" fillId="2" borderId="18" xfId="0" applyNumberFormat="1" applyFont="1" applyFill="1" applyBorder="1" applyAlignment="1">
      <alignment horizontal="right" vertical="center"/>
    </xf>
    <xf numFmtId="0" fontId="12" fillId="2" borderId="18" xfId="0" applyFont="1" applyFill="1" applyBorder="1"/>
    <xf numFmtId="0" fontId="18" fillId="2" borderId="17" xfId="0" applyFont="1" applyFill="1" applyBorder="1"/>
    <xf numFmtId="0" fontId="18" fillId="2" borderId="7" xfId="0" applyFont="1" applyFill="1" applyBorder="1"/>
    <xf numFmtId="0" fontId="11" fillId="2" borderId="7" xfId="0" applyFont="1" applyFill="1" applyBorder="1"/>
    <xf numFmtId="0" fontId="18" fillId="2" borderId="16" xfId="0" applyFont="1" applyFill="1" applyBorder="1"/>
    <xf numFmtId="0" fontId="20" fillId="2" borderId="9" xfId="0" applyFont="1" applyFill="1" applyBorder="1"/>
    <xf numFmtId="0" fontId="19" fillId="2" borderId="0" xfId="0" applyFont="1" applyFill="1"/>
    <xf numFmtId="2" fontId="14" fillId="2" borderId="0" xfId="0" applyNumberFormat="1" applyFont="1" applyFill="1"/>
    <xf numFmtId="164" fontId="14" fillId="2" borderId="20" xfId="0" applyNumberFormat="1" applyFont="1" applyFill="1" applyBorder="1"/>
    <xf numFmtId="164" fontId="14" fillId="2" borderId="0" xfId="0" applyNumberFormat="1" applyFont="1" applyFill="1"/>
    <xf numFmtId="0" fontId="23" fillId="2" borderId="19" xfId="0" applyFont="1" applyFill="1" applyBorder="1"/>
    <xf numFmtId="0" fontId="14" fillId="2" borderId="5" xfId="0" applyFont="1" applyFill="1" applyBorder="1"/>
    <xf numFmtId="0" fontId="18" fillId="2" borderId="9" xfId="0" applyFont="1" applyFill="1" applyBorder="1" applyAlignment="1">
      <alignment vertical="center"/>
    </xf>
    <xf numFmtId="0" fontId="9" fillId="2" borderId="18" xfId="0" applyFont="1" applyFill="1" applyBorder="1"/>
    <xf numFmtId="1" fontId="13" fillId="2" borderId="18" xfId="0" applyNumberFormat="1" applyFont="1" applyFill="1" applyBorder="1" applyAlignment="1">
      <alignment horizontal="right" vertical="center"/>
    </xf>
    <xf numFmtId="0" fontId="7" fillId="0" borderId="0" xfId="0" applyFont="1"/>
    <xf numFmtId="0" fontId="6" fillId="0" borderId="0" xfId="0" applyFont="1"/>
    <xf numFmtId="0" fontId="5" fillId="0" borderId="0" xfId="0" applyFont="1"/>
    <xf numFmtId="165" fontId="13" fillId="2" borderId="18" xfId="0" applyNumberFormat="1" applyFont="1" applyFill="1" applyBorder="1" applyAlignment="1">
      <alignment vertical="center"/>
    </xf>
    <xf numFmtId="0" fontId="4" fillId="2" borderId="18" xfId="0" applyFont="1" applyFill="1" applyBorder="1"/>
    <xf numFmtId="0" fontId="15" fillId="2" borderId="1" xfId="0" applyFont="1" applyFill="1" applyBorder="1"/>
    <xf numFmtId="0" fontId="15" fillId="2" borderId="14" xfId="0" applyFont="1" applyFill="1" applyBorder="1"/>
    <xf numFmtId="0" fontId="3" fillId="0" borderId="0" xfId="0" applyFont="1"/>
    <xf numFmtId="0" fontId="13" fillId="2" borderId="15" xfId="0" applyFont="1" applyFill="1" applyBorder="1"/>
    <xf numFmtId="0" fontId="18" fillId="2" borderId="19" xfId="0" applyFont="1" applyFill="1" applyBorder="1" applyAlignment="1">
      <alignment vertical="center"/>
    </xf>
    <xf numFmtId="0" fontId="13" fillId="2" borderId="0" xfId="0" applyFont="1" applyFill="1" applyAlignment="1">
      <alignment horizontal="left" vertical="center"/>
    </xf>
    <xf numFmtId="1" fontId="13" fillId="2" borderId="0" xfId="0" applyNumberFormat="1" applyFont="1" applyFill="1" applyAlignment="1">
      <alignment vertical="center"/>
    </xf>
    <xf numFmtId="1" fontId="18" fillId="2" borderId="0" xfId="0" applyNumberFormat="1" applyFont="1" applyFill="1" applyAlignment="1">
      <alignment horizontal="left" vertical="center"/>
    </xf>
    <xf numFmtId="0" fontId="18" fillId="2" borderId="5" xfId="0" applyFont="1" applyFill="1" applyBorder="1" applyAlignment="1">
      <alignment vertical="center"/>
    </xf>
    <xf numFmtId="0" fontId="18" fillId="2" borderId="0" xfId="0" applyFont="1" applyFill="1" applyAlignment="1">
      <alignment horizontal="left" vertical="center"/>
    </xf>
    <xf numFmtId="1" fontId="18" fillId="2" borderId="0" xfId="0" applyNumberFormat="1" applyFont="1" applyFill="1" applyAlignment="1">
      <alignment vertical="center"/>
    </xf>
    <xf numFmtId="0" fontId="4" fillId="2" borderId="0" xfId="0" applyFont="1" applyFill="1" applyAlignment="1">
      <alignment horizontal="left" vertical="center"/>
    </xf>
    <xf numFmtId="0" fontId="4" fillId="0" borderId="0" xfId="0" applyFont="1" applyAlignment="1">
      <alignment horizontal="left" vertical="center"/>
    </xf>
    <xf numFmtId="165" fontId="13" fillId="0" borderId="0" xfId="0" applyNumberFormat="1" applyFont="1" applyAlignment="1">
      <alignment vertical="center"/>
    </xf>
    <xf numFmtId="165" fontId="13" fillId="2" borderId="0" xfId="0" applyNumberFormat="1" applyFont="1" applyFill="1" applyAlignment="1">
      <alignment vertical="center"/>
    </xf>
    <xf numFmtId="10" fontId="13" fillId="2" borderId="0" xfId="0" applyNumberFormat="1" applyFont="1" applyFill="1" applyAlignment="1">
      <alignment horizontal="left" vertical="center" indent="2"/>
    </xf>
    <xf numFmtId="2" fontId="13" fillId="2" borderId="0" xfId="0" applyNumberFormat="1" applyFont="1" applyFill="1" applyAlignment="1">
      <alignment horizontal="right" vertical="center"/>
    </xf>
    <xf numFmtId="1" fontId="18" fillId="2" borderId="0" xfId="0" applyNumberFormat="1" applyFont="1" applyFill="1" applyAlignment="1">
      <alignment horizontal="right" vertical="center"/>
    </xf>
    <xf numFmtId="2" fontId="18" fillId="2" borderId="0" xfId="0" applyNumberFormat="1" applyFont="1" applyFill="1" applyAlignment="1">
      <alignment horizontal="right" vertical="center"/>
    </xf>
    <xf numFmtId="0" fontId="13" fillId="0" borderId="0" xfId="0" applyFont="1" applyAlignment="1">
      <alignment horizontal="left" vertical="center" indent="2"/>
    </xf>
    <xf numFmtId="165" fontId="6" fillId="0" borderId="0" xfId="0" applyNumberFormat="1" applyFont="1" applyAlignment="1">
      <alignment vertical="center"/>
    </xf>
    <xf numFmtId="1" fontId="13" fillId="2" borderId="0" xfId="0" applyNumberFormat="1" applyFont="1" applyFill="1" applyAlignment="1">
      <alignment horizontal="right" vertical="center"/>
    </xf>
    <xf numFmtId="0" fontId="18" fillId="0" borderId="0" xfId="0" applyFont="1" applyAlignment="1">
      <alignment horizontal="left" vertical="center"/>
    </xf>
    <xf numFmtId="0" fontId="11" fillId="0" borderId="0" xfId="0" applyFont="1" applyAlignment="1">
      <alignment horizontal="left" vertical="center"/>
    </xf>
    <xf numFmtId="0" fontId="10" fillId="0" borderId="0" xfId="0" applyFont="1" applyAlignment="1">
      <alignment horizontal="left" vertical="center"/>
    </xf>
    <xf numFmtId="0" fontId="8" fillId="2" borderId="0" xfId="0" applyFont="1" applyFill="1" applyAlignment="1">
      <alignment horizontal="left" vertical="center"/>
    </xf>
    <xf numFmtId="0" fontId="11" fillId="2" borderId="0" xfId="0" applyFont="1" applyFill="1" applyAlignment="1">
      <alignment horizontal="left" vertical="center"/>
    </xf>
    <xf numFmtId="165" fontId="11" fillId="0" borderId="0" xfId="0" applyNumberFormat="1" applyFont="1" applyAlignment="1">
      <alignment vertical="center"/>
    </xf>
    <xf numFmtId="0" fontId="13" fillId="2" borderId="10" xfId="0" applyFont="1" applyFill="1" applyBorder="1"/>
    <xf numFmtId="0" fontId="13" fillId="2" borderId="11" xfId="0" applyFont="1" applyFill="1" applyBorder="1"/>
    <xf numFmtId="2" fontId="13" fillId="2" borderId="11" xfId="0" applyNumberFormat="1" applyFont="1" applyFill="1" applyBorder="1"/>
    <xf numFmtId="0" fontId="13" fillId="2" borderId="12" xfId="0" applyFont="1" applyFill="1" applyBorder="1"/>
    <xf numFmtId="0" fontId="3" fillId="2" borderId="18" xfId="0" applyFont="1" applyFill="1" applyBorder="1"/>
    <xf numFmtId="0" fontId="3" fillId="2" borderId="20" xfId="0" applyFont="1" applyFill="1" applyBorder="1"/>
    <xf numFmtId="0" fontId="25" fillId="2" borderId="16" xfId="0" applyFont="1" applyFill="1" applyBorder="1"/>
    <xf numFmtId="0" fontId="24" fillId="0" borderId="0" xfId="0" applyFont="1"/>
    <xf numFmtId="0" fontId="24" fillId="2" borderId="15" xfId="0" applyFont="1" applyFill="1" applyBorder="1"/>
    <xf numFmtId="0" fontId="24" fillId="2" borderId="5" xfId="0" applyFont="1" applyFill="1" applyBorder="1"/>
    <xf numFmtId="0" fontId="25" fillId="2" borderId="19" xfId="0" applyFont="1" applyFill="1" applyBorder="1"/>
    <xf numFmtId="17" fontId="24" fillId="0" borderId="0" xfId="0" applyNumberFormat="1" applyFont="1"/>
    <xf numFmtId="0" fontId="24" fillId="0" borderId="5" xfId="0" applyFont="1" applyBorder="1"/>
    <xf numFmtId="49" fontId="24" fillId="0" borderId="0" xfId="0" applyNumberFormat="1" applyFont="1"/>
    <xf numFmtId="0" fontId="24" fillId="2" borderId="10" xfId="0" applyFont="1" applyFill="1" applyBorder="1"/>
    <xf numFmtId="0" fontId="24" fillId="2" borderId="11" xfId="0" applyFont="1" applyFill="1" applyBorder="1"/>
    <xf numFmtId="49" fontId="24" fillId="2" borderId="11" xfId="0" applyNumberFormat="1" applyFont="1" applyFill="1" applyBorder="1"/>
    <xf numFmtId="0" fontId="24" fillId="2" borderId="12" xfId="0" applyFont="1" applyFill="1" applyBorder="1"/>
    <xf numFmtId="0" fontId="2" fillId="0" borderId="0" xfId="0" applyFont="1"/>
    <xf numFmtId="0" fontId="24" fillId="13" borderId="0" xfId="0" applyFont="1" applyFill="1"/>
    <xf numFmtId="166" fontId="24" fillId="2" borderId="0" xfId="0" applyNumberFormat="1" applyFont="1" applyFill="1"/>
    <xf numFmtId="0" fontId="2" fillId="2" borderId="18" xfId="0" applyFont="1" applyFill="1" applyBorder="1"/>
    <xf numFmtId="0" fontId="24" fillId="2" borderId="0" xfId="0" applyFont="1" applyFill="1" applyAlignment="1">
      <alignment wrapText="1"/>
    </xf>
    <xf numFmtId="164" fontId="13" fillId="2" borderId="18" xfId="0" applyNumberFormat="1" applyFont="1" applyFill="1" applyBorder="1" applyAlignment="1">
      <alignment vertical="center"/>
    </xf>
    <xf numFmtId="0" fontId="2" fillId="0" borderId="0" xfId="0" applyFont="1" applyAlignment="1">
      <alignment horizontal="left" vertical="center" indent="2"/>
    </xf>
    <xf numFmtId="0" fontId="24" fillId="0" borderId="5" xfId="177" applyFont="1" applyFill="1" applyBorder="1" applyAlignment="1" applyProtection="1"/>
    <xf numFmtId="167" fontId="13" fillId="2" borderId="18" xfId="0" applyNumberFormat="1" applyFont="1" applyFill="1" applyBorder="1" applyAlignment="1">
      <alignment vertical="center"/>
    </xf>
    <xf numFmtId="167" fontId="13" fillId="2" borderId="18" xfId="0" applyNumberFormat="1" applyFont="1" applyFill="1" applyBorder="1" applyAlignment="1">
      <alignment horizontal="right" vertical="center"/>
    </xf>
    <xf numFmtId="165" fontId="14" fillId="2" borderId="18" xfId="0" applyNumberFormat="1" applyFont="1" applyFill="1" applyBorder="1"/>
    <xf numFmtId="0" fontId="2" fillId="0" borderId="0" xfId="0" applyFont="1" applyAlignment="1">
      <alignment horizontal="left" vertical="center"/>
    </xf>
    <xf numFmtId="165" fontId="2" fillId="0" borderId="0" xfId="0" applyNumberFormat="1" applyFont="1" applyAlignment="1">
      <alignment vertical="center"/>
    </xf>
    <xf numFmtId="1" fontId="14" fillId="2" borderId="21" xfId="0" applyNumberFormat="1" applyFont="1" applyFill="1" applyBorder="1"/>
    <xf numFmtId="1" fontId="14" fillId="2" borderId="18" xfId="0" applyNumberFormat="1" applyFont="1" applyFill="1" applyBorder="1"/>
    <xf numFmtId="1" fontId="13" fillId="2" borderId="20" xfId="0" applyNumberFormat="1" applyFont="1" applyFill="1" applyBorder="1" applyAlignment="1">
      <alignment horizontal="right" vertical="center"/>
    </xf>
    <xf numFmtId="0" fontId="26" fillId="4" borderId="17" xfId="0" applyFont="1" applyFill="1" applyBorder="1" applyAlignment="1">
      <alignment horizontal="left" vertical="top" wrapText="1"/>
    </xf>
    <xf numFmtId="0" fontId="26" fillId="4" borderId="2" xfId="0" applyFont="1" applyFill="1" applyBorder="1" applyAlignment="1">
      <alignment horizontal="left" vertical="top" wrapText="1"/>
    </xf>
    <xf numFmtId="0" fontId="26" fillId="4" borderId="13" xfId="0" applyFont="1" applyFill="1" applyBorder="1" applyAlignment="1">
      <alignment horizontal="left" vertical="top" wrapText="1"/>
    </xf>
    <xf numFmtId="0" fontId="26" fillId="4" borderId="7" xfId="0" applyFont="1" applyFill="1" applyBorder="1" applyAlignment="1">
      <alignment horizontal="left" vertical="top" wrapText="1"/>
    </xf>
    <xf numFmtId="0" fontId="26" fillId="4" borderId="0" xfId="0" applyFont="1" applyFill="1" applyAlignment="1">
      <alignment horizontal="left" vertical="top" wrapText="1"/>
    </xf>
    <xf numFmtId="0" fontId="26" fillId="4" borderId="8" xfId="0" applyFont="1" applyFill="1" applyBorder="1" applyAlignment="1">
      <alignment horizontal="left" vertical="top" wrapText="1"/>
    </xf>
    <xf numFmtId="0" fontId="26" fillId="4" borderId="1" xfId="0" applyFont="1" applyFill="1" applyBorder="1" applyAlignment="1">
      <alignment horizontal="left" vertical="top" wrapText="1"/>
    </xf>
    <xf numFmtId="0" fontId="26" fillId="4" borderId="9" xfId="0" applyFont="1" applyFill="1" applyBorder="1" applyAlignment="1">
      <alignment horizontal="left" vertical="top" wrapText="1"/>
    </xf>
    <xf numFmtId="0" fontId="26" fillId="4" borderId="14" xfId="0" applyFont="1" applyFill="1" applyBorder="1" applyAlignment="1">
      <alignment horizontal="left" vertical="top" wrapText="1"/>
    </xf>
    <xf numFmtId="2" fontId="19" fillId="3" borderId="0" xfId="0" applyNumberFormat="1" applyFont="1" applyFill="1" applyBorder="1" applyAlignment="1">
      <alignment horizontal="left"/>
    </xf>
    <xf numFmtId="0" fontId="11" fillId="2" borderId="0" xfId="0" applyFont="1" applyFill="1" applyBorder="1"/>
    <xf numFmtId="0" fontId="27" fillId="2" borderId="0" xfId="0" applyFont="1" applyFill="1" applyBorder="1"/>
    <xf numFmtId="0" fontId="18" fillId="2" borderId="0"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8" borderId="0"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1" fillId="12" borderId="0" xfId="0" applyFont="1" applyFill="1" applyBorder="1"/>
    <xf numFmtId="0" fontId="15" fillId="2" borderId="13" xfId="0" applyFont="1" applyFill="1" applyBorder="1"/>
    <xf numFmtId="0" fontId="15" fillId="2" borderId="8" xfId="0" applyFont="1" applyFill="1" applyBorder="1"/>
    <xf numFmtId="0" fontId="19" fillId="3" borderId="9" xfId="0" applyFont="1" applyFill="1" applyBorder="1"/>
    <xf numFmtId="0" fontId="11" fillId="2" borderId="2" xfId="0" applyFont="1" applyFill="1" applyBorder="1"/>
    <xf numFmtId="0" fontId="15" fillId="2" borderId="9" xfId="0" applyFont="1" applyFill="1" applyBorder="1"/>
    <xf numFmtId="0" fontId="11" fillId="2" borderId="18" xfId="0" applyFont="1" applyFill="1" applyBorder="1"/>
    <xf numFmtId="0" fontId="14" fillId="0" borderId="0" xfId="0" applyFont="1" applyFill="1"/>
    <xf numFmtId="0" fontId="7" fillId="0" borderId="0" xfId="0" applyFont="1" applyFill="1"/>
  </cellXfs>
  <cellStyles count="2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13</xdr:col>
      <xdr:colOff>0</xdr:colOff>
      <xdr:row>5</xdr:row>
      <xdr:rowOff>0</xdr:rowOff>
    </xdr:from>
    <xdr:to>
      <xdr:col>18</xdr:col>
      <xdr:colOff>129940</xdr:colOff>
      <xdr:row>56</xdr:row>
      <xdr:rowOff>165100</xdr:rowOff>
    </xdr:to>
    <xdr:pic>
      <xdr:nvPicPr>
        <xdr:cNvPr id="20" name="Picture 19">
          <a:extLst>
            <a:ext uri="{FF2B5EF4-FFF2-40B4-BE49-F238E27FC236}">
              <a16:creationId xmlns:a16="http://schemas.microsoft.com/office/drawing/2014/main" id="{BB418DA2-7A55-5257-2305-7420E12A8152}"/>
            </a:ext>
          </a:extLst>
        </xdr:cNvPr>
        <xdr:cNvPicPr>
          <a:picLocks noChangeAspect="1"/>
        </xdr:cNvPicPr>
      </xdr:nvPicPr>
      <xdr:blipFill>
        <a:blip xmlns:r="http://schemas.openxmlformats.org/officeDocument/2006/relationships" r:embed="rId1"/>
        <a:stretch>
          <a:fillRect/>
        </a:stretch>
      </xdr:blipFill>
      <xdr:spPr>
        <a:xfrm>
          <a:off x="29679900" y="1028700"/>
          <a:ext cx="12766440" cy="10998200"/>
        </a:xfrm>
        <a:prstGeom prst="rect">
          <a:avLst/>
        </a:prstGeom>
      </xdr:spPr>
    </xdr:pic>
    <xdr:clientData/>
  </xdr:twoCellAnchor>
  <xdr:twoCellAnchor editAs="oneCell">
    <xdr:from>
      <xdr:col>13</xdr:col>
      <xdr:colOff>0</xdr:colOff>
      <xdr:row>61</xdr:row>
      <xdr:rowOff>0</xdr:rowOff>
    </xdr:from>
    <xdr:to>
      <xdr:col>17</xdr:col>
      <xdr:colOff>2472090</xdr:colOff>
      <xdr:row>90</xdr:row>
      <xdr:rowOff>177800</xdr:rowOff>
    </xdr:to>
    <xdr:pic>
      <xdr:nvPicPr>
        <xdr:cNvPr id="21" name="Picture 20">
          <a:extLst>
            <a:ext uri="{FF2B5EF4-FFF2-40B4-BE49-F238E27FC236}">
              <a16:creationId xmlns:a16="http://schemas.microsoft.com/office/drawing/2014/main" id="{29136CD4-1E5E-A744-8651-FE39108F49F6}"/>
            </a:ext>
          </a:extLst>
        </xdr:cNvPr>
        <xdr:cNvPicPr>
          <a:picLocks noChangeAspect="1"/>
        </xdr:cNvPicPr>
      </xdr:nvPicPr>
      <xdr:blipFill>
        <a:blip xmlns:r="http://schemas.openxmlformats.org/officeDocument/2006/relationships" r:embed="rId2"/>
        <a:stretch>
          <a:fillRect/>
        </a:stretch>
      </xdr:blipFill>
      <xdr:spPr>
        <a:xfrm>
          <a:off x="29679900" y="12420600"/>
          <a:ext cx="12581290" cy="6070600"/>
        </a:xfrm>
        <a:prstGeom prst="rect">
          <a:avLst/>
        </a:prstGeom>
      </xdr:spPr>
    </xdr:pic>
    <xdr:clientData/>
  </xdr:twoCellAnchor>
  <xdr:twoCellAnchor editAs="oneCell">
    <xdr:from>
      <xdr:col>13</xdr:col>
      <xdr:colOff>0</xdr:colOff>
      <xdr:row>91</xdr:row>
      <xdr:rowOff>203199</xdr:rowOff>
    </xdr:from>
    <xdr:to>
      <xdr:col>17</xdr:col>
      <xdr:colOff>1752600</xdr:colOff>
      <xdr:row>121</xdr:row>
      <xdr:rowOff>26284</xdr:rowOff>
    </xdr:to>
    <xdr:pic>
      <xdr:nvPicPr>
        <xdr:cNvPr id="22" name="Picture 21">
          <a:extLst>
            <a:ext uri="{FF2B5EF4-FFF2-40B4-BE49-F238E27FC236}">
              <a16:creationId xmlns:a16="http://schemas.microsoft.com/office/drawing/2014/main" id="{E698234D-5372-8760-55FA-279131CCA060}"/>
            </a:ext>
          </a:extLst>
        </xdr:cNvPr>
        <xdr:cNvPicPr>
          <a:picLocks noChangeAspect="1"/>
        </xdr:cNvPicPr>
      </xdr:nvPicPr>
      <xdr:blipFill>
        <a:blip xmlns:r="http://schemas.openxmlformats.org/officeDocument/2006/relationships" r:embed="rId3"/>
        <a:stretch>
          <a:fillRect/>
        </a:stretch>
      </xdr:blipFill>
      <xdr:spPr>
        <a:xfrm>
          <a:off x="29679900" y="18719799"/>
          <a:ext cx="11861800" cy="5919085"/>
        </a:xfrm>
        <a:prstGeom prst="rect">
          <a:avLst/>
        </a:prstGeom>
      </xdr:spPr>
    </xdr:pic>
    <xdr:clientData/>
  </xdr:twoCellAnchor>
  <xdr:twoCellAnchor editAs="oneCell">
    <xdr:from>
      <xdr:col>12</xdr:col>
      <xdr:colOff>2527299</xdr:colOff>
      <xdr:row>126</xdr:row>
      <xdr:rowOff>0</xdr:rowOff>
    </xdr:from>
    <xdr:to>
      <xdr:col>17</xdr:col>
      <xdr:colOff>2367358</xdr:colOff>
      <xdr:row>156</xdr:row>
      <xdr:rowOff>12700</xdr:rowOff>
    </xdr:to>
    <xdr:pic>
      <xdr:nvPicPr>
        <xdr:cNvPr id="23" name="Picture 22">
          <a:extLst>
            <a:ext uri="{FF2B5EF4-FFF2-40B4-BE49-F238E27FC236}">
              <a16:creationId xmlns:a16="http://schemas.microsoft.com/office/drawing/2014/main" id="{643D80A0-9770-64A9-DEAF-24C37AA1233C}"/>
            </a:ext>
          </a:extLst>
        </xdr:cNvPr>
        <xdr:cNvPicPr>
          <a:picLocks noChangeAspect="1"/>
        </xdr:cNvPicPr>
      </xdr:nvPicPr>
      <xdr:blipFill>
        <a:blip xmlns:r="http://schemas.openxmlformats.org/officeDocument/2006/relationships" r:embed="rId4"/>
        <a:stretch>
          <a:fillRect/>
        </a:stretch>
      </xdr:blipFill>
      <xdr:spPr>
        <a:xfrm>
          <a:off x="29768799" y="25628600"/>
          <a:ext cx="12476559" cy="6108700"/>
        </a:xfrm>
        <a:prstGeom prst="rect">
          <a:avLst/>
        </a:prstGeom>
      </xdr:spPr>
    </xdr:pic>
    <xdr:clientData/>
  </xdr:twoCellAnchor>
  <xdr:twoCellAnchor editAs="oneCell">
    <xdr:from>
      <xdr:col>13</xdr:col>
      <xdr:colOff>0</xdr:colOff>
      <xdr:row>158</xdr:row>
      <xdr:rowOff>0</xdr:rowOff>
    </xdr:from>
    <xdr:to>
      <xdr:col>16</xdr:col>
      <xdr:colOff>190500</xdr:colOff>
      <xdr:row>185</xdr:row>
      <xdr:rowOff>118790</xdr:rowOff>
    </xdr:to>
    <xdr:pic>
      <xdr:nvPicPr>
        <xdr:cNvPr id="24" name="Picture 23">
          <a:extLst>
            <a:ext uri="{FF2B5EF4-FFF2-40B4-BE49-F238E27FC236}">
              <a16:creationId xmlns:a16="http://schemas.microsoft.com/office/drawing/2014/main" id="{324DF777-F675-FFFB-0143-ACA3453127BE}"/>
            </a:ext>
          </a:extLst>
        </xdr:cNvPr>
        <xdr:cNvPicPr>
          <a:picLocks noChangeAspect="1"/>
        </xdr:cNvPicPr>
      </xdr:nvPicPr>
      <xdr:blipFill>
        <a:blip xmlns:r="http://schemas.openxmlformats.org/officeDocument/2006/relationships" r:embed="rId5"/>
        <a:stretch>
          <a:fillRect/>
        </a:stretch>
      </xdr:blipFill>
      <xdr:spPr>
        <a:xfrm>
          <a:off x="26289000" y="32118300"/>
          <a:ext cx="7772400" cy="5605190"/>
        </a:xfrm>
        <a:prstGeom prst="rect">
          <a:avLst/>
        </a:prstGeom>
      </xdr:spPr>
    </xdr:pic>
    <xdr:clientData/>
  </xdr:twoCellAnchor>
  <xdr:twoCellAnchor editAs="oneCell">
    <xdr:from>
      <xdr:col>19</xdr:col>
      <xdr:colOff>88900</xdr:colOff>
      <xdr:row>57</xdr:row>
      <xdr:rowOff>12700</xdr:rowOff>
    </xdr:from>
    <xdr:to>
      <xdr:col>22</xdr:col>
      <xdr:colOff>279400</xdr:colOff>
      <xdr:row>100</xdr:row>
      <xdr:rowOff>102436</xdr:rowOff>
    </xdr:to>
    <xdr:pic>
      <xdr:nvPicPr>
        <xdr:cNvPr id="25" name="Picture 24">
          <a:extLst>
            <a:ext uri="{FF2B5EF4-FFF2-40B4-BE49-F238E27FC236}">
              <a16:creationId xmlns:a16="http://schemas.microsoft.com/office/drawing/2014/main" id="{A01FE3F9-9E5A-1C4B-8E74-BC4B19CACFBA}"/>
            </a:ext>
          </a:extLst>
        </xdr:cNvPr>
        <xdr:cNvPicPr>
          <a:picLocks noChangeAspect="1"/>
        </xdr:cNvPicPr>
      </xdr:nvPicPr>
      <xdr:blipFill>
        <a:blip xmlns:r="http://schemas.openxmlformats.org/officeDocument/2006/relationships" r:embed="rId6"/>
        <a:stretch>
          <a:fillRect/>
        </a:stretch>
      </xdr:blipFill>
      <xdr:spPr>
        <a:xfrm>
          <a:off x="41541700" y="11607800"/>
          <a:ext cx="7772400" cy="8827336"/>
        </a:xfrm>
        <a:prstGeom prst="rect">
          <a:avLst/>
        </a:prstGeom>
      </xdr:spPr>
    </xdr:pic>
    <xdr:clientData/>
  </xdr:twoCellAnchor>
  <xdr:twoCellAnchor editAs="oneCell">
    <xdr:from>
      <xdr:col>23</xdr:col>
      <xdr:colOff>977900</xdr:colOff>
      <xdr:row>51</xdr:row>
      <xdr:rowOff>88900</xdr:rowOff>
    </xdr:from>
    <xdr:to>
      <xdr:col>26</xdr:col>
      <xdr:colOff>864737</xdr:colOff>
      <xdr:row>100</xdr:row>
      <xdr:rowOff>190500</xdr:rowOff>
    </xdr:to>
    <xdr:pic>
      <xdr:nvPicPr>
        <xdr:cNvPr id="26" name="Picture 25">
          <a:extLst>
            <a:ext uri="{FF2B5EF4-FFF2-40B4-BE49-F238E27FC236}">
              <a16:creationId xmlns:a16="http://schemas.microsoft.com/office/drawing/2014/main" id="{3A636AA4-E795-BE47-8581-5C1A7D5E3E2E}"/>
            </a:ext>
          </a:extLst>
        </xdr:cNvPr>
        <xdr:cNvPicPr>
          <a:picLocks noChangeAspect="1"/>
        </xdr:cNvPicPr>
      </xdr:nvPicPr>
      <xdr:blipFill>
        <a:blip xmlns:r="http://schemas.openxmlformats.org/officeDocument/2006/relationships" r:embed="rId7"/>
        <a:stretch>
          <a:fillRect/>
        </a:stretch>
      </xdr:blipFill>
      <xdr:spPr>
        <a:xfrm>
          <a:off x="56235600" y="10934700"/>
          <a:ext cx="7468737" cy="10058400"/>
        </a:xfrm>
        <a:prstGeom prst="rect">
          <a:avLst/>
        </a:prstGeom>
      </xdr:spPr>
    </xdr:pic>
    <xdr:clientData/>
  </xdr:twoCellAnchor>
  <xdr:twoCellAnchor editAs="oneCell">
    <xdr:from>
      <xdr:col>19</xdr:col>
      <xdr:colOff>0</xdr:colOff>
      <xdr:row>101</xdr:row>
      <xdr:rowOff>0</xdr:rowOff>
    </xdr:from>
    <xdr:to>
      <xdr:col>22</xdr:col>
      <xdr:colOff>190500</xdr:colOff>
      <xdr:row>141</xdr:row>
      <xdr:rowOff>174774</xdr:rowOff>
    </xdr:to>
    <xdr:pic>
      <xdr:nvPicPr>
        <xdr:cNvPr id="27" name="Picture 26">
          <a:extLst>
            <a:ext uri="{FF2B5EF4-FFF2-40B4-BE49-F238E27FC236}">
              <a16:creationId xmlns:a16="http://schemas.microsoft.com/office/drawing/2014/main" id="{1858EDA4-08DC-CE4D-BE93-F99C836147F7}"/>
            </a:ext>
          </a:extLst>
        </xdr:cNvPr>
        <xdr:cNvPicPr>
          <a:picLocks noChangeAspect="1"/>
        </xdr:cNvPicPr>
      </xdr:nvPicPr>
      <xdr:blipFill>
        <a:blip xmlns:r="http://schemas.openxmlformats.org/officeDocument/2006/relationships" r:embed="rId8"/>
        <a:stretch>
          <a:fillRect/>
        </a:stretch>
      </xdr:blipFill>
      <xdr:spPr>
        <a:xfrm>
          <a:off x="41452800" y="20535900"/>
          <a:ext cx="7772400" cy="8302774"/>
        </a:xfrm>
        <a:prstGeom prst="rect">
          <a:avLst/>
        </a:prstGeom>
      </xdr:spPr>
    </xdr:pic>
    <xdr:clientData/>
  </xdr:twoCellAnchor>
  <xdr:twoCellAnchor editAs="oneCell">
    <xdr:from>
      <xdr:col>19</xdr:col>
      <xdr:colOff>88900</xdr:colOff>
      <xdr:row>142</xdr:row>
      <xdr:rowOff>63500</xdr:rowOff>
    </xdr:from>
    <xdr:to>
      <xdr:col>22</xdr:col>
      <xdr:colOff>279400</xdr:colOff>
      <xdr:row>185</xdr:row>
      <xdr:rowOff>142500</xdr:rowOff>
    </xdr:to>
    <xdr:pic>
      <xdr:nvPicPr>
        <xdr:cNvPr id="28" name="Picture 27">
          <a:extLst>
            <a:ext uri="{FF2B5EF4-FFF2-40B4-BE49-F238E27FC236}">
              <a16:creationId xmlns:a16="http://schemas.microsoft.com/office/drawing/2014/main" id="{A7F30E8C-FFBD-8F44-83B2-1872B3B8F917}"/>
            </a:ext>
          </a:extLst>
        </xdr:cNvPr>
        <xdr:cNvPicPr>
          <a:picLocks noChangeAspect="1"/>
        </xdr:cNvPicPr>
      </xdr:nvPicPr>
      <xdr:blipFill>
        <a:blip xmlns:r="http://schemas.openxmlformats.org/officeDocument/2006/relationships" r:embed="rId9"/>
        <a:stretch>
          <a:fillRect/>
        </a:stretch>
      </xdr:blipFill>
      <xdr:spPr>
        <a:xfrm>
          <a:off x="41541700" y="28930600"/>
          <a:ext cx="7772400" cy="8816600"/>
        </a:xfrm>
        <a:prstGeom prst="rect">
          <a:avLst/>
        </a:prstGeom>
      </xdr:spPr>
    </xdr:pic>
    <xdr:clientData/>
  </xdr:twoCellAnchor>
  <xdr:twoCellAnchor editAs="oneCell">
    <xdr:from>
      <xdr:col>13</xdr:col>
      <xdr:colOff>0</xdr:colOff>
      <xdr:row>187</xdr:row>
      <xdr:rowOff>0</xdr:rowOff>
    </xdr:from>
    <xdr:to>
      <xdr:col>16</xdr:col>
      <xdr:colOff>190500</xdr:colOff>
      <xdr:row>227</xdr:row>
      <xdr:rowOff>174774</xdr:rowOff>
    </xdr:to>
    <xdr:pic>
      <xdr:nvPicPr>
        <xdr:cNvPr id="29" name="Picture 28">
          <a:extLst>
            <a:ext uri="{FF2B5EF4-FFF2-40B4-BE49-F238E27FC236}">
              <a16:creationId xmlns:a16="http://schemas.microsoft.com/office/drawing/2014/main" id="{264C5F58-C9E2-3348-81E8-A88B1B878139}"/>
            </a:ext>
          </a:extLst>
        </xdr:cNvPr>
        <xdr:cNvPicPr>
          <a:picLocks noChangeAspect="1"/>
        </xdr:cNvPicPr>
      </xdr:nvPicPr>
      <xdr:blipFill>
        <a:blip xmlns:r="http://schemas.openxmlformats.org/officeDocument/2006/relationships" r:embed="rId8"/>
        <a:stretch>
          <a:fillRect/>
        </a:stretch>
      </xdr:blipFill>
      <xdr:spPr>
        <a:xfrm>
          <a:off x="29984700" y="38455600"/>
          <a:ext cx="7772400" cy="8302774"/>
        </a:xfrm>
        <a:prstGeom prst="rect">
          <a:avLst/>
        </a:prstGeom>
      </xdr:spPr>
    </xdr:pic>
    <xdr:clientData/>
  </xdr:twoCellAnchor>
  <xdr:twoCellAnchor editAs="oneCell">
    <xdr:from>
      <xdr:col>18</xdr:col>
      <xdr:colOff>114300</xdr:colOff>
      <xdr:row>4</xdr:row>
      <xdr:rowOff>139700</xdr:rowOff>
    </xdr:from>
    <xdr:to>
      <xdr:col>24</xdr:col>
      <xdr:colOff>1089275</xdr:colOff>
      <xdr:row>29</xdr:row>
      <xdr:rowOff>177800</xdr:rowOff>
    </xdr:to>
    <xdr:pic>
      <xdr:nvPicPr>
        <xdr:cNvPr id="2" name="Picture 1">
          <a:extLst>
            <a:ext uri="{FF2B5EF4-FFF2-40B4-BE49-F238E27FC236}">
              <a16:creationId xmlns:a16="http://schemas.microsoft.com/office/drawing/2014/main" id="{A8D98588-28FF-A742-94E4-FD135F81833C}"/>
            </a:ext>
          </a:extLst>
        </xdr:cNvPr>
        <xdr:cNvPicPr>
          <a:picLocks noChangeAspect="1"/>
        </xdr:cNvPicPr>
      </xdr:nvPicPr>
      <xdr:blipFill>
        <a:blip xmlns:r="http://schemas.openxmlformats.org/officeDocument/2006/relationships" r:embed="rId10"/>
        <a:stretch>
          <a:fillRect/>
        </a:stretch>
      </xdr:blipFill>
      <xdr:spPr>
        <a:xfrm>
          <a:off x="42735500" y="965200"/>
          <a:ext cx="16138775" cy="5588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building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zoomScaleNormal="100" workbookViewId="0">
      <selection activeCell="C5" sqref="C5"/>
    </sheetView>
  </sheetViews>
  <sheetFormatPr baseColWidth="10" defaultColWidth="10.6640625" defaultRowHeight="16"/>
  <cols>
    <col min="1" max="1" width="3.5" style="17" customWidth="1"/>
    <col min="2" max="2" width="9.1640625" style="10" customWidth="1"/>
    <col min="3" max="3" width="55.1640625" style="10" customWidth="1"/>
    <col min="4" max="4" width="6.6640625" style="10" customWidth="1"/>
    <col min="5" max="16384" width="10.6640625" style="10"/>
  </cols>
  <sheetData>
    <row r="1" spans="1:4" s="15" customFormat="1">
      <c r="A1" s="13"/>
      <c r="B1" s="14"/>
      <c r="C1" s="14"/>
    </row>
    <row r="2" spans="1:4" ht="21">
      <c r="A2" s="1"/>
      <c r="B2" s="16" t="s">
        <v>14</v>
      </c>
      <c r="C2" s="16"/>
    </row>
    <row r="3" spans="1:4">
      <c r="A3" s="1"/>
      <c r="B3" s="5"/>
      <c r="C3" s="5"/>
    </row>
    <row r="4" spans="1:4">
      <c r="A4" s="1"/>
      <c r="B4" s="2" t="s">
        <v>15</v>
      </c>
      <c r="C4" s="14" t="s">
        <v>154</v>
      </c>
      <c r="D4" s="155"/>
    </row>
    <row r="5" spans="1:4">
      <c r="A5" s="1"/>
      <c r="B5" s="3" t="s">
        <v>48</v>
      </c>
      <c r="C5" s="143" t="s">
        <v>153</v>
      </c>
      <c r="D5" s="156"/>
    </row>
    <row r="6" spans="1:4">
      <c r="A6" s="1"/>
      <c r="B6" s="4" t="s">
        <v>17</v>
      </c>
      <c r="C6" s="157" t="s">
        <v>88</v>
      </c>
      <c r="D6" s="73"/>
    </row>
    <row r="7" spans="1:4">
      <c r="A7" s="1"/>
      <c r="B7" s="5"/>
      <c r="C7" s="5"/>
    </row>
    <row r="8" spans="1:4">
      <c r="A8" s="1"/>
      <c r="B8" s="5"/>
      <c r="C8" s="5"/>
    </row>
    <row r="9" spans="1:4">
      <c r="A9" s="1"/>
      <c r="B9" s="53" t="s">
        <v>49</v>
      </c>
      <c r="C9" s="158"/>
      <c r="D9" s="155"/>
    </row>
    <row r="10" spans="1:4">
      <c r="A10" s="1"/>
      <c r="B10" s="54"/>
      <c r="C10" s="144"/>
      <c r="D10" s="156"/>
    </row>
    <row r="11" spans="1:4">
      <c r="A11" s="1"/>
      <c r="B11" s="54" t="s">
        <v>50</v>
      </c>
      <c r="C11" s="145" t="s">
        <v>51</v>
      </c>
      <c r="D11" s="156"/>
    </row>
    <row r="12" spans="1:4" ht="17" thickBot="1">
      <c r="A12" s="1"/>
      <c r="B12" s="54"/>
      <c r="C12" s="146" t="s">
        <v>52</v>
      </c>
      <c r="D12" s="156"/>
    </row>
    <row r="13" spans="1:4" ht="17" thickBot="1">
      <c r="A13" s="1"/>
      <c r="B13" s="54"/>
      <c r="C13" s="160" t="s">
        <v>53</v>
      </c>
      <c r="D13" s="156"/>
    </row>
    <row r="14" spans="1:4">
      <c r="A14" s="1"/>
      <c r="B14" s="54"/>
      <c r="C14" s="144" t="s">
        <v>54</v>
      </c>
      <c r="D14" s="156"/>
    </row>
    <row r="15" spans="1:4">
      <c r="A15" s="1"/>
      <c r="B15" s="54"/>
      <c r="C15" s="144"/>
      <c r="D15" s="156"/>
    </row>
    <row r="16" spans="1:4">
      <c r="A16" s="1"/>
      <c r="B16" s="54" t="s">
        <v>55</v>
      </c>
      <c r="C16" s="147" t="s">
        <v>56</v>
      </c>
      <c r="D16" s="156"/>
    </row>
    <row r="17" spans="1:4">
      <c r="A17" s="1"/>
      <c r="B17" s="54"/>
      <c r="C17" s="148" t="s">
        <v>57</v>
      </c>
      <c r="D17" s="156"/>
    </row>
    <row r="18" spans="1:4">
      <c r="A18" s="1"/>
      <c r="B18" s="54"/>
      <c r="C18" s="149" t="s">
        <v>58</v>
      </c>
      <c r="D18" s="156"/>
    </row>
    <row r="19" spans="1:4">
      <c r="A19" s="1"/>
      <c r="B19" s="54"/>
      <c r="C19" s="150" t="s">
        <v>59</v>
      </c>
      <c r="D19" s="156"/>
    </row>
    <row r="20" spans="1:4">
      <c r="A20" s="1"/>
      <c r="B20" s="55"/>
      <c r="C20" s="151" t="s">
        <v>60</v>
      </c>
      <c r="D20" s="156"/>
    </row>
    <row r="21" spans="1:4">
      <c r="A21" s="1"/>
      <c r="B21" s="55"/>
      <c r="C21" s="152" t="s">
        <v>61</v>
      </c>
      <c r="D21" s="156"/>
    </row>
    <row r="22" spans="1:4">
      <c r="A22" s="1"/>
      <c r="B22" s="55"/>
      <c r="C22" s="153" t="s">
        <v>62</v>
      </c>
      <c r="D22" s="156"/>
    </row>
    <row r="23" spans="1:4">
      <c r="B23" s="55"/>
      <c r="C23" s="154" t="s">
        <v>63</v>
      </c>
      <c r="D23" s="156"/>
    </row>
    <row r="24" spans="1:4">
      <c r="B24" s="72"/>
      <c r="C24" s="159"/>
      <c r="D24" s="73"/>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33"/>
  <sheetViews>
    <sheetView tabSelected="1" workbookViewId="0">
      <selection activeCell="C25" sqref="C25"/>
    </sheetView>
  </sheetViews>
  <sheetFormatPr baseColWidth="10" defaultColWidth="10.6640625" defaultRowHeight="16"/>
  <cols>
    <col min="1" max="1" width="3.33203125" style="21" customWidth="1"/>
    <col min="2" max="2" width="3.6640625" style="21" customWidth="1"/>
    <col min="3" max="3" width="62.1640625" style="21" bestFit="1" customWidth="1"/>
    <col min="4" max="4" width="12.6640625" style="21" customWidth="1"/>
    <col min="5" max="5" width="17.5" style="21" customWidth="1"/>
    <col min="6" max="6" width="4.5" style="21" customWidth="1"/>
    <col min="7" max="7" width="45" style="21" customWidth="1"/>
    <col min="8" max="8" width="5.1640625" style="21" customWidth="1"/>
    <col min="9" max="9" width="46.1640625" style="21" customWidth="1"/>
    <col min="10" max="10" width="5.5" style="21" customWidth="1"/>
    <col min="11" max="16384" width="10.6640625" style="21"/>
  </cols>
  <sheetData>
    <row r="2" spans="2:10">
      <c r="B2" s="134" t="s">
        <v>84</v>
      </c>
      <c r="C2" s="135"/>
      <c r="D2" s="135"/>
      <c r="E2" s="136"/>
    </row>
    <row r="3" spans="2:10">
      <c r="B3" s="137"/>
      <c r="C3" s="138"/>
      <c r="D3" s="138"/>
      <c r="E3" s="139"/>
    </row>
    <row r="4" spans="2:10" ht="31" customHeight="1">
      <c r="B4" s="140"/>
      <c r="C4" s="141"/>
      <c r="D4" s="141"/>
      <c r="E4" s="142"/>
    </row>
    <row r="5" spans="2:10" ht="17" thickBot="1"/>
    <row r="6" spans="2:10">
      <c r="B6" s="23"/>
      <c r="C6" s="8"/>
      <c r="D6" s="8"/>
      <c r="E6" s="8"/>
      <c r="F6" s="8"/>
      <c r="G6" s="8"/>
      <c r="H6" s="8"/>
      <c r="I6" s="8"/>
      <c r="J6" s="24"/>
    </row>
    <row r="7" spans="2:10" s="29" customFormat="1" ht="19">
      <c r="B7" s="56"/>
      <c r="C7" s="7" t="s">
        <v>24</v>
      </c>
      <c r="D7" s="57" t="s">
        <v>12</v>
      </c>
      <c r="E7" s="7" t="s">
        <v>6</v>
      </c>
      <c r="F7" s="7"/>
      <c r="G7" s="7" t="s">
        <v>11</v>
      </c>
      <c r="H7" s="7"/>
      <c r="I7" s="7" t="s">
        <v>0</v>
      </c>
      <c r="J7" s="62"/>
    </row>
    <row r="8" spans="2:10" s="29" customFormat="1" ht="19">
      <c r="B8" s="12"/>
      <c r="C8" s="6"/>
      <c r="D8" s="19"/>
      <c r="E8" s="6"/>
      <c r="F8" s="6"/>
      <c r="G8" s="6"/>
      <c r="H8" s="6"/>
      <c r="I8" s="6"/>
      <c r="J8" s="30"/>
    </row>
    <row r="9" spans="2:10" s="29" customFormat="1" ht="20" thickBot="1">
      <c r="B9" s="12"/>
      <c r="C9" s="6" t="s">
        <v>75</v>
      </c>
      <c r="D9" s="19"/>
      <c r="E9" s="6"/>
      <c r="F9" s="6"/>
      <c r="G9" s="6"/>
      <c r="H9" s="6"/>
      <c r="I9" s="6"/>
      <c r="J9" s="30"/>
    </row>
    <row r="10" spans="2:10" s="29" customFormat="1" ht="20" thickBot="1">
      <c r="B10" s="12"/>
      <c r="C10" s="67" t="s">
        <v>77</v>
      </c>
      <c r="D10" s="9" t="s">
        <v>4</v>
      </c>
      <c r="E10" s="128">
        <f>ROUND('Research data'!E6,3)</f>
        <v>0.69699999999999995</v>
      </c>
      <c r="F10" s="22"/>
      <c r="G10" s="22"/>
      <c r="H10" s="18"/>
      <c r="I10" s="20"/>
      <c r="J10" s="30"/>
    </row>
    <row r="11" spans="2:10" s="29" customFormat="1" ht="20" thickBot="1">
      <c r="B11" s="12"/>
      <c r="C11" s="69" t="s">
        <v>81</v>
      </c>
      <c r="D11" s="9" t="s">
        <v>4</v>
      </c>
      <c r="E11" s="128">
        <f>ROUND('Research data'!E7,3)</f>
        <v>0.30299999999999999</v>
      </c>
      <c r="F11" s="22"/>
      <c r="G11" s="22"/>
      <c r="H11" s="18"/>
      <c r="I11" s="20"/>
      <c r="J11" s="30"/>
    </row>
    <row r="12" spans="2:10" s="29" customFormat="1" ht="20" thickBot="1">
      <c r="B12" s="12"/>
      <c r="C12" s="74" t="s">
        <v>78</v>
      </c>
      <c r="D12" s="9" t="s">
        <v>4</v>
      </c>
      <c r="E12" s="31">
        <v>1</v>
      </c>
      <c r="F12" s="22"/>
      <c r="G12" s="22"/>
      <c r="H12" s="18"/>
      <c r="I12" s="20"/>
      <c r="J12" s="30"/>
    </row>
    <row r="13" spans="2:10" ht="17" thickBot="1">
      <c r="B13" s="25"/>
      <c r="C13" s="161" t="s">
        <v>26</v>
      </c>
      <c r="D13" s="11" t="s">
        <v>4</v>
      </c>
      <c r="E13" s="31">
        <v>0</v>
      </c>
      <c r="F13" s="22"/>
      <c r="G13" s="22"/>
      <c r="H13" s="22"/>
      <c r="I13" s="104" t="s">
        <v>90</v>
      </c>
      <c r="J13" s="63"/>
    </row>
    <row r="14" spans="2:10" ht="17" thickBot="1">
      <c r="B14" s="25"/>
      <c r="C14" s="162" t="s">
        <v>79</v>
      </c>
      <c r="D14" s="11" t="s">
        <v>4</v>
      </c>
      <c r="E14" s="32">
        <f>'Research data'!E9</f>
        <v>1750</v>
      </c>
      <c r="F14" s="22"/>
      <c r="G14" s="22"/>
      <c r="H14" s="22"/>
      <c r="I14" s="104" t="s">
        <v>90</v>
      </c>
      <c r="J14" s="63"/>
    </row>
    <row r="15" spans="2:10" ht="17" thickBot="1">
      <c r="B15" s="25"/>
      <c r="C15" s="161" t="s">
        <v>29</v>
      </c>
      <c r="D15" s="11" t="s">
        <v>47</v>
      </c>
      <c r="E15" s="32">
        <v>0</v>
      </c>
      <c r="F15" s="22"/>
      <c r="G15" s="22" t="s">
        <v>22</v>
      </c>
      <c r="H15" s="22"/>
      <c r="I15" s="121" t="s">
        <v>140</v>
      </c>
      <c r="J15" s="63"/>
    </row>
    <row r="16" spans="2:10" ht="17" thickBot="1">
      <c r="B16" s="25"/>
      <c r="C16" s="161" t="s">
        <v>30</v>
      </c>
      <c r="D16" s="11" t="s">
        <v>47</v>
      </c>
      <c r="E16" s="31">
        <f>'Research data'!E8</f>
        <v>1.0999999999999999E-2</v>
      </c>
      <c r="F16" s="22"/>
      <c r="G16" s="22" t="s">
        <v>42</v>
      </c>
      <c r="H16" s="22"/>
      <c r="I16" s="20"/>
      <c r="J16" s="63"/>
    </row>
    <row r="17" spans="2:10">
      <c r="B17" s="25"/>
      <c r="C17" s="45"/>
      <c r="D17" s="58"/>
      <c r="E17" s="59"/>
      <c r="G17" s="45"/>
      <c r="J17" s="63"/>
    </row>
    <row r="18" spans="2:10" ht="17" thickBot="1">
      <c r="B18" s="25"/>
      <c r="C18" s="6" t="s">
        <v>64</v>
      </c>
      <c r="D18" s="58"/>
      <c r="E18" s="59"/>
      <c r="G18" s="45"/>
      <c r="J18" s="63"/>
    </row>
    <row r="19" spans="2:10" ht="17" thickBot="1">
      <c r="B19" s="25"/>
      <c r="C19" s="22" t="s">
        <v>31</v>
      </c>
      <c r="D19" s="11" t="s">
        <v>25</v>
      </c>
      <c r="E19" s="132">
        <f>'Research data'!E17</f>
        <v>11861</v>
      </c>
      <c r="F19" s="22"/>
      <c r="G19" s="22" t="s">
        <v>8</v>
      </c>
      <c r="H19" s="22"/>
      <c r="I19" s="71"/>
      <c r="J19" s="63"/>
    </row>
    <row r="20" spans="2:10" ht="17" thickBot="1">
      <c r="B20" s="25"/>
      <c r="C20" s="22" t="s">
        <v>32</v>
      </c>
      <c r="D20" s="11" t="s">
        <v>25</v>
      </c>
      <c r="E20" s="32">
        <v>0</v>
      </c>
      <c r="F20" s="22"/>
      <c r="G20" s="22" t="s">
        <v>43</v>
      </c>
      <c r="H20" s="22"/>
      <c r="I20" s="20" t="s">
        <v>92</v>
      </c>
      <c r="J20" s="63"/>
    </row>
    <row r="21" spans="2:10" ht="17" thickBot="1">
      <c r="B21" s="25"/>
      <c r="C21" s="22" t="s">
        <v>10</v>
      </c>
      <c r="D21" s="11" t="s">
        <v>25</v>
      </c>
      <c r="E21" s="32">
        <v>0</v>
      </c>
      <c r="F21" s="22"/>
      <c r="G21" s="22" t="s">
        <v>19</v>
      </c>
      <c r="H21" s="22"/>
      <c r="I21" s="121" t="s">
        <v>90</v>
      </c>
      <c r="J21" s="63"/>
    </row>
    <row r="22" spans="2:10" ht="17" thickBot="1">
      <c r="B22" s="25"/>
      <c r="C22" s="22" t="s">
        <v>33</v>
      </c>
      <c r="D22" s="11" t="s">
        <v>25</v>
      </c>
      <c r="E22" s="32">
        <v>0</v>
      </c>
      <c r="F22" s="22"/>
      <c r="G22" s="118" t="s">
        <v>128</v>
      </c>
      <c r="H22" s="22"/>
      <c r="I22" s="121" t="s">
        <v>90</v>
      </c>
      <c r="J22" s="63"/>
    </row>
    <row r="23" spans="2:10" ht="17" thickBot="1">
      <c r="B23" s="25"/>
      <c r="C23" s="22" t="s">
        <v>34</v>
      </c>
      <c r="D23" s="11" t="s">
        <v>41</v>
      </c>
      <c r="E23" s="131">
        <f>'Research data'!E18</f>
        <v>277</v>
      </c>
      <c r="F23" s="22"/>
      <c r="G23" s="22" t="s">
        <v>44</v>
      </c>
      <c r="H23" s="22"/>
      <c r="I23" s="52"/>
      <c r="J23" s="63"/>
    </row>
    <row r="24" spans="2:10" ht="17" thickBot="1">
      <c r="B24" s="25"/>
      <c r="C24" s="22" t="s">
        <v>35</v>
      </c>
      <c r="D24" s="11" t="s">
        <v>40</v>
      </c>
      <c r="E24" s="31">
        <v>0</v>
      </c>
      <c r="F24" s="22"/>
      <c r="G24" s="22" t="s">
        <v>45</v>
      </c>
      <c r="H24" s="22"/>
      <c r="I24" s="121" t="s">
        <v>90</v>
      </c>
      <c r="J24" s="63"/>
    </row>
    <row r="25" spans="2:10" ht="17" thickBot="1">
      <c r="B25" s="25"/>
      <c r="C25" s="22" t="s">
        <v>36</v>
      </c>
      <c r="D25" s="11" t="s">
        <v>40</v>
      </c>
      <c r="E25" s="60">
        <v>0</v>
      </c>
      <c r="F25" s="22"/>
      <c r="G25" s="22" t="s">
        <v>46</v>
      </c>
      <c r="H25" s="22"/>
      <c r="I25" s="105" t="s">
        <v>92</v>
      </c>
      <c r="J25" s="63"/>
    </row>
    <row r="26" spans="2:10" ht="17" thickBot="1">
      <c r="B26" s="25"/>
      <c r="C26" s="22" t="s">
        <v>39</v>
      </c>
      <c r="D26" s="11" t="s">
        <v>2</v>
      </c>
      <c r="E26" s="31">
        <v>0.04</v>
      </c>
      <c r="F26" s="22"/>
      <c r="G26" s="74" t="s">
        <v>89</v>
      </c>
      <c r="H26" s="22"/>
      <c r="I26" s="104" t="s">
        <v>91</v>
      </c>
      <c r="J26" s="63"/>
    </row>
    <row r="27" spans="2:10" ht="17" thickBot="1">
      <c r="B27" s="25"/>
      <c r="C27" s="22" t="s">
        <v>28</v>
      </c>
      <c r="D27" s="11" t="s">
        <v>9</v>
      </c>
      <c r="E27" s="32">
        <v>0</v>
      </c>
      <c r="F27" s="22"/>
      <c r="G27" s="22"/>
      <c r="H27" s="22"/>
      <c r="I27" s="104" t="s">
        <v>90</v>
      </c>
      <c r="J27" s="63"/>
    </row>
    <row r="28" spans="2:10">
      <c r="B28" s="25"/>
      <c r="C28" s="22"/>
      <c r="D28" s="11"/>
      <c r="E28" s="61"/>
      <c r="F28" s="22"/>
      <c r="G28" s="22"/>
      <c r="H28" s="22"/>
      <c r="J28" s="63"/>
    </row>
    <row r="29" spans="2:10" ht="17" thickBot="1">
      <c r="B29" s="25"/>
      <c r="C29" s="6" t="s">
        <v>7</v>
      </c>
      <c r="D29" s="58"/>
      <c r="E29" s="61"/>
      <c r="J29" s="63"/>
    </row>
    <row r="30" spans="2:10" ht="17" thickBot="1">
      <c r="B30" s="25"/>
      <c r="C30" s="68" t="s">
        <v>37</v>
      </c>
      <c r="D30" s="11" t="s">
        <v>1</v>
      </c>
      <c r="E30" s="32">
        <f>'Research data'!E13</f>
        <v>0</v>
      </c>
      <c r="F30" s="22"/>
      <c r="G30" s="22" t="s">
        <v>21</v>
      </c>
      <c r="H30" s="22"/>
      <c r="I30" s="65"/>
      <c r="J30" s="63"/>
    </row>
    <row r="31" spans="2:10" ht="17" thickBot="1">
      <c r="B31" s="25"/>
      <c r="C31" s="22" t="s">
        <v>38</v>
      </c>
      <c r="D31" s="11" t="s">
        <v>1</v>
      </c>
      <c r="E31" s="132">
        <f>'Research data'!E14</f>
        <v>30</v>
      </c>
      <c r="F31" s="22"/>
      <c r="G31" s="22" t="s">
        <v>20</v>
      </c>
      <c r="H31" s="22"/>
      <c r="I31" s="65"/>
      <c r="J31" s="63"/>
    </row>
    <row r="32" spans="2:10" ht="17" thickBot="1">
      <c r="B32" s="25"/>
      <c r="C32" s="22" t="s">
        <v>27</v>
      </c>
      <c r="D32" s="11" t="s">
        <v>4</v>
      </c>
      <c r="E32" s="32">
        <v>0</v>
      </c>
      <c r="F32" s="22"/>
      <c r="G32" s="22"/>
      <c r="H32" s="22"/>
      <c r="I32" s="104" t="s">
        <v>90</v>
      </c>
      <c r="J32" s="63"/>
    </row>
    <row r="33" spans="2:10" ht="20" customHeight="1" thickBot="1">
      <c r="B33" s="26"/>
      <c r="C33" s="27"/>
      <c r="D33" s="27"/>
      <c r="E33" s="27"/>
      <c r="F33" s="27"/>
      <c r="G33" s="27"/>
      <c r="H33" s="27"/>
      <c r="I33" s="27"/>
      <c r="J33" s="28"/>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K22"/>
  <sheetViews>
    <sheetView workbookViewId="0">
      <selection activeCell="E19" sqref="E19"/>
    </sheetView>
  </sheetViews>
  <sheetFormatPr baseColWidth="10" defaultColWidth="10.6640625" defaultRowHeight="16"/>
  <cols>
    <col min="1" max="2" width="3.5" style="45" customWidth="1"/>
    <col min="3" max="3" width="42.1640625" style="45" bestFit="1" customWidth="1"/>
    <col min="4" max="4" width="12.5" style="45" customWidth="1"/>
    <col min="5" max="5" width="13.33203125" style="45" bestFit="1" customWidth="1"/>
    <col min="6" max="6" width="4" style="45" customWidth="1"/>
    <col min="7" max="7" width="15.83203125" style="45" customWidth="1"/>
    <col min="8" max="8" width="15.83203125" style="46" customWidth="1"/>
    <col min="9" max="9" width="15.83203125" style="45" customWidth="1"/>
    <col min="10" max="10" width="10.6640625" style="45"/>
    <col min="11" max="11" width="59.5" style="45" customWidth="1"/>
    <col min="12" max="16384" width="10.6640625" style="45"/>
  </cols>
  <sheetData>
    <row r="1" spans="2:11" ht="17" thickBot="1"/>
    <row r="2" spans="2:11">
      <c r="B2" s="47"/>
      <c r="C2" s="48"/>
      <c r="D2" s="48"/>
      <c r="E2" s="48"/>
      <c r="F2" s="48"/>
      <c r="G2" s="48"/>
      <c r="H2" s="48"/>
      <c r="I2" s="48"/>
      <c r="J2" s="49"/>
      <c r="K2" s="75"/>
    </row>
    <row r="3" spans="2:11" s="6" customFormat="1">
      <c r="B3" s="12"/>
      <c r="C3" s="64" t="s">
        <v>66</v>
      </c>
      <c r="D3" s="64" t="s">
        <v>12</v>
      </c>
      <c r="E3" s="64" t="s">
        <v>60</v>
      </c>
      <c r="F3" s="64"/>
      <c r="G3" s="64" t="s">
        <v>136</v>
      </c>
      <c r="H3" s="64" t="s">
        <v>137</v>
      </c>
      <c r="I3" s="64" t="s">
        <v>85</v>
      </c>
      <c r="J3" s="44"/>
      <c r="K3" s="76" t="s">
        <v>74</v>
      </c>
    </row>
    <row r="4" spans="2:11">
      <c r="B4" s="50"/>
      <c r="C4" s="77"/>
      <c r="D4" s="77"/>
      <c r="E4" s="78"/>
      <c r="F4" s="78"/>
      <c r="G4" s="78"/>
      <c r="H4" s="78"/>
      <c r="I4" s="78"/>
      <c r="J4" s="79"/>
      <c r="K4" s="80"/>
    </row>
    <row r="5" spans="2:11" ht="17" thickBot="1">
      <c r="B5" s="50"/>
      <c r="C5" s="81" t="s">
        <v>65</v>
      </c>
      <c r="D5" s="81"/>
      <c r="E5" s="82"/>
      <c r="F5" s="82"/>
      <c r="G5" s="82"/>
      <c r="H5" s="82"/>
      <c r="I5" s="82"/>
      <c r="J5" s="82"/>
      <c r="K5" s="112"/>
    </row>
    <row r="6" spans="2:11" ht="17" thickBot="1">
      <c r="B6" s="50"/>
      <c r="C6" s="83" t="s">
        <v>77</v>
      </c>
      <c r="D6" s="81"/>
      <c r="E6" s="70">
        <f>H6</f>
        <v>0.69696969696969702</v>
      </c>
      <c r="F6" s="82"/>
      <c r="G6" s="70">
        <f>1-G7</f>
        <v>0.78260869565217384</v>
      </c>
      <c r="H6" s="70">
        <f>1-H7</f>
        <v>0.69696969696969702</v>
      </c>
      <c r="I6" s="86"/>
      <c r="J6" s="82"/>
      <c r="K6" s="112" t="s">
        <v>150</v>
      </c>
    </row>
    <row r="7" spans="2:11" ht="17" thickBot="1">
      <c r="B7" s="50"/>
      <c r="C7" s="83" t="s">
        <v>87</v>
      </c>
      <c r="D7" s="81"/>
      <c r="E7" s="70">
        <f>H7</f>
        <v>0.30303030303030304</v>
      </c>
      <c r="F7" s="82"/>
      <c r="G7" s="70">
        <f>1/Notes!$H$10</f>
        <v>0.21739130434782611</v>
      </c>
      <c r="H7" s="70">
        <f>1/Notes!$H$9</f>
        <v>0.30303030303030304</v>
      </c>
      <c r="I7" s="86"/>
      <c r="J7" s="82"/>
      <c r="K7" s="112" t="s">
        <v>150</v>
      </c>
    </row>
    <row r="8" spans="2:11" ht="17" thickBot="1">
      <c r="B8" s="50"/>
      <c r="C8" s="84" t="s">
        <v>42</v>
      </c>
      <c r="D8" s="85" t="s">
        <v>47</v>
      </c>
      <c r="E8" s="70">
        <v>1.0999999999999999E-2</v>
      </c>
      <c r="F8" s="86"/>
      <c r="G8" s="123">
        <f>ROUND(Notes!$H$8,1)</f>
        <v>4.4000000000000004</v>
      </c>
      <c r="H8" s="86"/>
      <c r="I8" s="86"/>
      <c r="J8" s="78"/>
      <c r="K8" s="112" t="s">
        <v>155</v>
      </c>
    </row>
    <row r="9" spans="2:11" ht="17" thickBot="1">
      <c r="B9" s="50"/>
      <c r="C9" s="129" t="s">
        <v>101</v>
      </c>
      <c r="D9" s="130" t="s">
        <v>139</v>
      </c>
      <c r="E9" s="123">
        <f>G9</f>
        <v>1750</v>
      </c>
      <c r="F9" s="86"/>
      <c r="G9" s="123">
        <f>Notes!H6</f>
        <v>1750</v>
      </c>
      <c r="H9" s="86"/>
      <c r="I9" s="86"/>
      <c r="J9" s="78"/>
      <c r="K9" s="112"/>
    </row>
    <row r="10" spans="2:11">
      <c r="B10" s="50"/>
      <c r="C10" s="87"/>
      <c r="E10" s="88"/>
      <c r="F10" s="88"/>
      <c r="G10" s="88"/>
      <c r="H10" s="88"/>
      <c r="I10" s="88"/>
      <c r="J10" s="88"/>
      <c r="K10" s="112"/>
    </row>
    <row r="11" spans="2:11" ht="17" thickBot="1">
      <c r="B11" s="50"/>
      <c r="C11" s="81" t="s">
        <v>7</v>
      </c>
      <c r="D11" s="81"/>
      <c r="E11" s="89"/>
      <c r="F11" s="89"/>
      <c r="G11" s="89"/>
      <c r="H11" s="89"/>
      <c r="I11" s="89"/>
      <c r="J11" s="90"/>
      <c r="K11" s="125"/>
    </row>
    <row r="12" spans="2:11" ht="17" thickBot="1">
      <c r="B12" s="50"/>
      <c r="C12" s="91" t="s">
        <v>80</v>
      </c>
      <c r="D12" s="92" t="s">
        <v>3</v>
      </c>
      <c r="E12" s="66">
        <f>ROUND(0,0)</f>
        <v>0</v>
      </c>
      <c r="F12" s="89"/>
      <c r="G12" s="89"/>
      <c r="H12" s="89"/>
      <c r="I12" s="89"/>
      <c r="J12" s="90"/>
      <c r="K12" s="125" t="s">
        <v>90</v>
      </c>
    </row>
    <row r="13" spans="2:11" ht="17" thickBot="1">
      <c r="B13" s="50"/>
      <c r="C13" s="124" t="s">
        <v>138</v>
      </c>
      <c r="D13" s="85" t="s">
        <v>1</v>
      </c>
      <c r="E13" s="66">
        <f>ROUND(0,0)</f>
        <v>0</v>
      </c>
      <c r="F13" s="89"/>
      <c r="G13" s="89"/>
      <c r="H13" s="89"/>
      <c r="I13" s="89"/>
      <c r="J13" s="90"/>
      <c r="K13" s="125" t="s">
        <v>90</v>
      </c>
    </row>
    <row r="14" spans="2:11" ht="17" thickBot="1">
      <c r="B14" s="50"/>
      <c r="C14" s="91" t="s">
        <v>5</v>
      </c>
      <c r="D14" s="85" t="s">
        <v>1</v>
      </c>
      <c r="E14" s="66">
        <f>G14</f>
        <v>30</v>
      </c>
      <c r="F14" s="88"/>
      <c r="G14" s="66">
        <f>Notes!H7</f>
        <v>30</v>
      </c>
      <c r="H14" s="88"/>
      <c r="I14" s="88"/>
      <c r="J14" s="93"/>
      <c r="K14" s="112"/>
    </row>
    <row r="15" spans="2:11">
      <c r="B15" s="50"/>
      <c r="C15" s="81"/>
      <c r="D15" s="81"/>
      <c r="E15" s="90"/>
      <c r="F15" s="90"/>
      <c r="G15" s="90"/>
      <c r="H15" s="90"/>
      <c r="I15" s="90"/>
      <c r="J15" s="93"/>
      <c r="K15" s="112"/>
    </row>
    <row r="16" spans="2:11" ht="17" thickBot="1">
      <c r="B16" s="50"/>
      <c r="C16" s="94" t="s">
        <v>69</v>
      </c>
      <c r="D16" s="94"/>
      <c r="E16" s="90"/>
      <c r="F16" s="90"/>
      <c r="G16" s="90"/>
      <c r="H16" s="90"/>
      <c r="I16" s="90"/>
      <c r="J16" s="90"/>
      <c r="K16" s="112"/>
    </row>
    <row r="17" spans="2:11" ht="17" thickBot="1">
      <c r="B17" s="50"/>
      <c r="C17" s="95" t="s">
        <v>70</v>
      </c>
      <c r="D17" s="95" t="s">
        <v>25</v>
      </c>
      <c r="E17" s="127">
        <f>ROUND(AVERAGE(G17:I17)/G8*E8,0)</f>
        <v>11861</v>
      </c>
      <c r="F17" s="90"/>
      <c r="G17" s="126">
        <f>ROUND(Notes!H12,0)</f>
        <v>7012500</v>
      </c>
      <c r="H17" s="126">
        <f>ROUND(Notes!H13,0)</f>
        <v>5497685</v>
      </c>
      <c r="I17" s="126">
        <f>SUM(Notes!H14:H15)</f>
        <v>1723379.6296296294</v>
      </c>
      <c r="J17" s="88"/>
      <c r="K17" s="112" t="s">
        <v>155</v>
      </c>
    </row>
    <row r="18" spans="2:11" ht="17" thickBot="1">
      <c r="B18" s="50"/>
      <c r="C18" s="96" t="s">
        <v>71</v>
      </c>
      <c r="D18" s="97" t="s">
        <v>76</v>
      </c>
      <c r="E18" s="127">
        <f>ROUND(AVERAGE(G18:I18)/G8*E8,0)</f>
        <v>277</v>
      </c>
      <c r="F18" s="90"/>
      <c r="G18" s="126">
        <f>ROUND(Notes!H17,0)</f>
        <v>137500</v>
      </c>
      <c r="H18" s="126">
        <f>ROUND(Notes!H16,0)</f>
        <v>118750</v>
      </c>
      <c r="I18" s="126">
        <f>SUM(Notes!H18:H19)</f>
        <v>75666.666666666672</v>
      </c>
      <c r="J18" s="88"/>
      <c r="K18" s="112" t="s">
        <v>155</v>
      </c>
    </row>
    <row r="19" spans="2:11" ht="17" thickBot="1">
      <c r="B19" s="50"/>
      <c r="C19" s="95" t="s">
        <v>72</v>
      </c>
      <c r="D19" s="98" t="s">
        <v>68</v>
      </c>
      <c r="E19" s="133">
        <f>ROUND(E18/(E8*1000),0)</f>
        <v>25</v>
      </c>
      <c r="F19" s="90"/>
      <c r="G19" s="90"/>
      <c r="H19" s="90"/>
      <c r="I19" s="90"/>
      <c r="J19" s="88"/>
      <c r="K19" s="112"/>
    </row>
    <row r="20" spans="2:11" ht="17" thickBot="1">
      <c r="B20" s="50"/>
      <c r="C20" s="96" t="s">
        <v>73</v>
      </c>
      <c r="D20" s="85" t="s">
        <v>40</v>
      </c>
      <c r="E20" s="51">
        <v>0</v>
      </c>
      <c r="F20" s="88"/>
      <c r="G20" s="88"/>
      <c r="H20" s="88"/>
      <c r="I20" s="88"/>
      <c r="J20" s="88"/>
      <c r="K20" s="112" t="s">
        <v>90</v>
      </c>
    </row>
    <row r="21" spans="2:11" ht="17" thickBot="1">
      <c r="B21" s="50"/>
      <c r="C21" s="95" t="s">
        <v>73</v>
      </c>
      <c r="D21" s="99" t="s">
        <v>67</v>
      </c>
      <c r="E21" s="51">
        <v>0</v>
      </c>
      <c r="F21" s="88"/>
      <c r="G21" s="88"/>
      <c r="H21" s="88"/>
      <c r="I21" s="88"/>
      <c r="J21" s="88"/>
      <c r="K21" s="112" t="s">
        <v>90</v>
      </c>
    </row>
    <row r="22" spans="2:11" ht="17" thickBot="1">
      <c r="B22" s="100"/>
      <c r="C22" s="101"/>
      <c r="D22" s="101"/>
      <c r="E22" s="101"/>
      <c r="F22" s="101"/>
      <c r="G22" s="101"/>
      <c r="H22" s="101"/>
      <c r="I22" s="101"/>
      <c r="J22" s="102"/>
      <c r="K22" s="103"/>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2"/>
  <sheetViews>
    <sheetView workbookViewId="0">
      <selection activeCell="E10" sqref="E8:J10"/>
    </sheetView>
  </sheetViews>
  <sheetFormatPr baseColWidth="10" defaultColWidth="33.1640625" defaultRowHeight="16"/>
  <cols>
    <col min="1" max="1" width="3.33203125" style="33" customWidth="1"/>
    <col min="2" max="2" width="3.5" style="33" customWidth="1"/>
    <col min="3" max="3" width="28.6640625" style="33" customWidth="1"/>
    <col min="4" max="4" width="3.1640625" style="33" customWidth="1"/>
    <col min="5" max="5" width="33" style="33" bestFit="1" customWidth="1"/>
    <col min="6" max="6" width="10.33203125" style="33" customWidth="1"/>
    <col min="7" max="9" width="12.1640625" style="33" customWidth="1"/>
    <col min="10" max="10" width="11.5" style="34" customWidth="1"/>
    <col min="11" max="11" width="66" style="33" customWidth="1"/>
    <col min="12" max="16384" width="33.1640625" style="33"/>
  </cols>
  <sheetData>
    <row r="1" spans="2:11" ht="17" thickBot="1"/>
    <row r="2" spans="2:11">
      <c r="B2" s="35"/>
      <c r="C2" s="36"/>
      <c r="D2" s="36"/>
      <c r="E2" s="36"/>
      <c r="F2" s="36"/>
      <c r="G2" s="36"/>
      <c r="H2" s="36"/>
      <c r="I2" s="36"/>
      <c r="J2" s="37"/>
      <c r="K2" s="108"/>
    </row>
    <row r="3" spans="2:11">
      <c r="B3" s="38"/>
      <c r="C3" s="39" t="s">
        <v>18</v>
      </c>
      <c r="D3" s="39"/>
      <c r="E3" s="39"/>
      <c r="F3" s="39"/>
      <c r="G3" s="39"/>
      <c r="H3" s="39"/>
      <c r="I3" s="39"/>
      <c r="J3" s="40"/>
      <c r="K3" s="109"/>
    </row>
    <row r="4" spans="2:11">
      <c r="B4" s="38"/>
      <c r="K4" s="109"/>
    </row>
    <row r="5" spans="2:11">
      <c r="B5" s="41"/>
      <c r="C5" s="42"/>
      <c r="D5" s="42"/>
      <c r="E5" s="42" t="s">
        <v>0</v>
      </c>
      <c r="F5" s="42" t="s">
        <v>16</v>
      </c>
      <c r="G5" s="42" t="s">
        <v>23</v>
      </c>
      <c r="H5" s="42" t="s">
        <v>82</v>
      </c>
      <c r="I5" s="42" t="s">
        <v>107</v>
      </c>
      <c r="J5" s="43" t="s">
        <v>83</v>
      </c>
      <c r="K5" s="110" t="s">
        <v>13</v>
      </c>
    </row>
    <row r="6" spans="2:11">
      <c r="B6" s="38"/>
      <c r="K6" s="109"/>
    </row>
    <row r="7" spans="2:11">
      <c r="B7" s="38"/>
      <c r="K7" s="109"/>
    </row>
    <row r="8" spans="2:11">
      <c r="B8" s="38"/>
      <c r="C8" s="107"/>
      <c r="D8" s="107"/>
      <c r="E8" s="107" t="s">
        <v>99</v>
      </c>
      <c r="F8" s="107" t="s">
        <v>86</v>
      </c>
      <c r="G8" s="107">
        <v>2021</v>
      </c>
      <c r="H8" s="107"/>
      <c r="I8" s="111">
        <v>45139</v>
      </c>
      <c r="J8" s="113" t="s">
        <v>108</v>
      </c>
      <c r="K8" s="112"/>
    </row>
    <row r="9" spans="2:11">
      <c r="B9" s="38"/>
      <c r="C9" s="107"/>
      <c r="D9" s="107"/>
      <c r="E9" s="107" t="s">
        <v>110</v>
      </c>
      <c r="F9" s="107" t="s">
        <v>86</v>
      </c>
      <c r="G9" s="107">
        <v>2018</v>
      </c>
      <c r="H9" s="107"/>
      <c r="I9" s="111">
        <v>45200</v>
      </c>
      <c r="J9" s="113" t="s">
        <v>109</v>
      </c>
      <c r="K9" s="112"/>
    </row>
    <row r="10" spans="2:11">
      <c r="B10" s="38"/>
      <c r="C10" s="113"/>
      <c r="D10" s="107"/>
      <c r="E10" s="107" t="s">
        <v>121</v>
      </c>
      <c r="F10" s="107" t="s">
        <v>86</v>
      </c>
      <c r="G10" s="107">
        <v>2019</v>
      </c>
      <c r="H10" s="107"/>
      <c r="I10" s="111">
        <v>45200</v>
      </c>
      <c r="J10" s="113" t="s">
        <v>122</v>
      </c>
      <c r="K10" s="112"/>
    </row>
    <row r="11" spans="2:11">
      <c r="B11" s="38"/>
      <c r="C11" s="113"/>
      <c r="D11" s="107"/>
      <c r="E11" s="107"/>
      <c r="F11" s="107"/>
      <c r="G11" s="107"/>
      <c r="H11" s="107"/>
      <c r="I11" s="111"/>
      <c r="J11" s="113"/>
      <c r="K11" s="112"/>
    </row>
    <row r="12" spans="2:11">
      <c r="B12" s="38"/>
      <c r="C12" s="113"/>
      <c r="D12" s="107"/>
      <c r="E12" s="107"/>
      <c r="F12" s="107"/>
      <c r="G12" s="107"/>
      <c r="H12" s="107"/>
      <c r="I12" s="111"/>
      <c r="J12"/>
      <c r="K12" s="112"/>
    </row>
    <row r="13" spans="2:11">
      <c r="B13" s="38"/>
      <c r="C13" s="113"/>
      <c r="D13" s="107"/>
      <c r="E13" s="107"/>
      <c r="F13" s="107"/>
      <c r="G13" s="107"/>
      <c r="H13" s="107"/>
      <c r="I13" s="111"/>
      <c r="J13"/>
      <c r="K13" s="112"/>
    </row>
    <row r="14" spans="2:11">
      <c r="B14" s="38"/>
      <c r="C14" s="113"/>
      <c r="D14" s="107"/>
      <c r="E14" s="107"/>
      <c r="F14" s="107"/>
      <c r="G14" s="107"/>
      <c r="H14" s="107"/>
      <c r="I14" s="111"/>
      <c r="J14"/>
      <c r="K14" s="112"/>
    </row>
    <row r="15" spans="2:11">
      <c r="B15" s="38"/>
      <c r="C15" s="113"/>
      <c r="D15" s="107"/>
      <c r="E15" s="107"/>
      <c r="F15" s="107"/>
      <c r="G15" s="107"/>
      <c r="H15" s="107"/>
      <c r="I15" s="111"/>
      <c r="J15"/>
      <c r="K15" s="112"/>
    </row>
    <row r="16" spans="2:11">
      <c r="B16" s="38"/>
      <c r="C16" s="113"/>
      <c r="D16" s="107"/>
      <c r="E16" s="107"/>
      <c r="F16" s="107"/>
      <c r="G16" s="107"/>
      <c r="H16" s="107"/>
      <c r="I16" s="111"/>
      <c r="J16"/>
      <c r="K16" s="112"/>
    </row>
    <row r="17" spans="2:11">
      <c r="B17" s="38"/>
      <c r="C17" s="113"/>
      <c r="D17" s="107"/>
      <c r="E17" s="107"/>
      <c r="F17" s="107"/>
      <c r="G17" s="107"/>
      <c r="H17" s="107"/>
      <c r="I17" s="111"/>
      <c r="J17"/>
      <c r="K17" s="112"/>
    </row>
    <row r="18" spans="2:11">
      <c r="B18" s="38"/>
      <c r="C18" s="113"/>
      <c r="D18" s="107"/>
      <c r="E18" s="107"/>
      <c r="F18" s="107"/>
      <c r="G18" s="107"/>
      <c r="H18" s="107"/>
      <c r="I18" s="111"/>
      <c r="J18"/>
      <c r="K18" s="112"/>
    </row>
    <row r="19" spans="2:11">
      <c r="B19" s="38"/>
      <c r="C19" s="113"/>
      <c r="D19" s="107"/>
      <c r="E19" s="107"/>
      <c r="F19" s="107"/>
      <c r="G19" s="107"/>
      <c r="H19" s="107"/>
      <c r="I19" s="111"/>
      <c r="J19"/>
      <c r="K19" s="112"/>
    </row>
    <row r="20" spans="2:11">
      <c r="B20" s="38"/>
      <c r="C20" s="113"/>
      <c r="D20" s="107"/>
      <c r="E20" s="107"/>
      <c r="F20" s="107"/>
      <c r="G20" s="107"/>
      <c r="H20" s="107"/>
      <c r="I20" s="111"/>
      <c r="J20"/>
      <c r="K20" s="112"/>
    </row>
    <row r="21" spans="2:11">
      <c r="B21" s="38"/>
      <c r="K21" s="109"/>
    </row>
    <row r="22" spans="2:11" ht="17" thickBot="1">
      <c r="B22" s="114"/>
      <c r="C22" s="115"/>
      <c r="D22" s="115"/>
      <c r="E22" s="115"/>
      <c r="F22" s="115"/>
      <c r="G22" s="115"/>
      <c r="H22" s="115"/>
      <c r="I22" s="115"/>
      <c r="J22" s="116"/>
      <c r="K22" s="117"/>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205DD-30A8-B942-8125-D11AFC90C611}">
  <sheetPr>
    <tabColor theme="6" tint="0.79998168889431442"/>
  </sheetPr>
  <dimension ref="B2:N187"/>
  <sheetViews>
    <sheetView workbookViewId="0">
      <selection activeCell="G12" sqref="G12"/>
    </sheetView>
  </sheetViews>
  <sheetFormatPr baseColWidth="10" defaultColWidth="33.1640625" defaultRowHeight="16"/>
  <cols>
    <col min="1" max="1" width="3.33203125" style="33" customWidth="1"/>
    <col min="2" max="2" width="3.5" style="33" customWidth="1"/>
    <col min="3" max="3" width="41.6640625" style="33" bestFit="1" customWidth="1"/>
    <col min="4" max="4" width="50.6640625" style="33" bestFit="1" customWidth="1"/>
    <col min="5" max="5" width="42.33203125" style="33" bestFit="1" customWidth="1"/>
    <col min="6" max="6" width="16" style="33" bestFit="1" customWidth="1"/>
    <col min="7" max="8" width="13.33203125" style="33" bestFit="1" customWidth="1"/>
    <col min="9" max="9" width="13.5" style="33" bestFit="1" customWidth="1"/>
    <col min="10" max="10" width="116" style="34" customWidth="1"/>
    <col min="11" max="11" width="13.5" style="33" bestFit="1" customWidth="1"/>
    <col min="12" max="16384" width="33.1640625" style="33"/>
  </cols>
  <sheetData>
    <row r="2" spans="2:14" ht="17" thickBot="1"/>
    <row r="3" spans="2:14">
      <c r="B3" s="35"/>
      <c r="C3" s="36"/>
      <c r="D3" s="36"/>
      <c r="E3" s="36"/>
      <c r="F3" s="36"/>
      <c r="G3" s="36"/>
      <c r="H3" s="36"/>
      <c r="I3" s="36"/>
      <c r="J3" s="36"/>
      <c r="K3" s="108"/>
    </row>
    <row r="4" spans="2:14">
      <c r="B4" s="106"/>
      <c r="C4" s="42" t="s">
        <v>0</v>
      </c>
      <c r="D4" s="42" t="s">
        <v>93</v>
      </c>
      <c r="E4" s="42" t="s">
        <v>94</v>
      </c>
      <c r="F4" s="42" t="s">
        <v>95</v>
      </c>
      <c r="G4" s="42" t="s">
        <v>96</v>
      </c>
      <c r="H4" s="42" t="s">
        <v>6</v>
      </c>
      <c r="I4" s="42" t="s">
        <v>12</v>
      </c>
      <c r="J4" s="42" t="s">
        <v>97</v>
      </c>
      <c r="K4" s="110" t="s">
        <v>98</v>
      </c>
    </row>
    <row r="5" spans="2:14">
      <c r="B5" s="38"/>
      <c r="C5" s="33" t="str">
        <f>Sources!$E$9</f>
        <v>Aquathermal surface water factsheet</v>
      </c>
      <c r="D5" s="33" t="s">
        <v>117</v>
      </c>
      <c r="E5" s="33" t="s">
        <v>125</v>
      </c>
      <c r="F5" s="119">
        <v>0.01</v>
      </c>
      <c r="G5" s="119">
        <v>0.04</v>
      </c>
      <c r="H5" s="33">
        <f>AVERAGE(F5:G5)</f>
        <v>2.5000000000000001E-2</v>
      </c>
      <c r="I5" s="33" t="s">
        <v>126</v>
      </c>
      <c r="J5" s="33"/>
      <c r="K5" s="109" t="s">
        <v>100</v>
      </c>
      <c r="N5" s="39" t="s">
        <v>100</v>
      </c>
    </row>
    <row r="6" spans="2:14">
      <c r="B6" s="38"/>
      <c r="C6" s="33" t="str">
        <f>Sources!$E$9</f>
        <v>Aquathermal surface water factsheet</v>
      </c>
      <c r="D6" s="33" t="s">
        <v>101</v>
      </c>
      <c r="E6" s="33" t="s">
        <v>102</v>
      </c>
      <c r="F6" s="119">
        <v>1500</v>
      </c>
      <c r="G6" s="119">
        <v>2000</v>
      </c>
      <c r="H6" s="33">
        <f>AVERAGE(F6:G6)</f>
        <v>1750</v>
      </c>
      <c r="I6" s="33" t="s">
        <v>115</v>
      </c>
      <c r="J6" s="33" t="s">
        <v>116</v>
      </c>
      <c r="K6" s="109" t="s">
        <v>100</v>
      </c>
    </row>
    <row r="7" spans="2:14">
      <c r="B7" s="38"/>
      <c r="C7" s="33" t="str">
        <f>Sources!$E$9</f>
        <v>Aquathermal surface water factsheet</v>
      </c>
      <c r="D7" s="33" t="s">
        <v>5</v>
      </c>
      <c r="E7" s="33" t="s">
        <v>103</v>
      </c>
      <c r="H7" s="119">
        <v>30</v>
      </c>
      <c r="I7" s="33" t="s">
        <v>104</v>
      </c>
      <c r="J7" s="33"/>
      <c r="K7" s="109" t="s">
        <v>100</v>
      </c>
    </row>
    <row r="8" spans="2:14">
      <c r="B8" s="38"/>
      <c r="C8" s="33" t="str">
        <f>Sources!$E$9</f>
        <v>Aquathermal surface water factsheet</v>
      </c>
      <c r="D8" s="33" t="s">
        <v>42</v>
      </c>
      <c r="E8" s="33" t="s">
        <v>118</v>
      </c>
      <c r="F8" s="33">
        <f>(F5*10^9)/(G6*3600)</f>
        <v>1.3888888888888888</v>
      </c>
      <c r="G8" s="33">
        <f>(G5*10^9)/(F6*3600)</f>
        <v>7.4074074074074074</v>
      </c>
      <c r="H8" s="33">
        <f>AVERAGE(F8:G8)</f>
        <v>4.3981481481481479</v>
      </c>
      <c r="I8" s="33" t="s">
        <v>47</v>
      </c>
      <c r="J8" s="33" t="s">
        <v>120</v>
      </c>
      <c r="K8" s="109" t="s">
        <v>100</v>
      </c>
    </row>
    <row r="9" spans="2:14">
      <c r="B9" s="38"/>
      <c r="C9" s="33" t="str">
        <f>Sources!$E$10</f>
        <v>Kengetallen aquathermie</v>
      </c>
      <c r="D9" s="33" t="s">
        <v>119</v>
      </c>
      <c r="E9" s="33" t="s">
        <v>134</v>
      </c>
      <c r="F9" s="119">
        <v>2.7</v>
      </c>
      <c r="G9" s="119">
        <v>3.9</v>
      </c>
      <c r="H9" s="107">
        <f>AVERAGE(F9:G9)</f>
        <v>3.3</v>
      </c>
      <c r="I9" s="33" t="s">
        <v>105</v>
      </c>
      <c r="J9" s="33" t="s">
        <v>127</v>
      </c>
      <c r="K9" s="109" t="s">
        <v>106</v>
      </c>
    </row>
    <row r="10" spans="2:14">
      <c r="B10" s="38"/>
      <c r="C10" s="33" t="str">
        <f>Sources!$E$9</f>
        <v>Aquathermal surface water factsheet</v>
      </c>
      <c r="D10" s="33" t="s">
        <v>147</v>
      </c>
      <c r="E10" s="33" t="s">
        <v>148</v>
      </c>
      <c r="F10" s="119"/>
      <c r="G10" s="119"/>
      <c r="H10" s="119">
        <v>4.5999999999999996</v>
      </c>
      <c r="J10" s="33" t="s">
        <v>149</v>
      </c>
      <c r="K10" s="109" t="s">
        <v>100</v>
      </c>
    </row>
    <row r="11" spans="2:14">
      <c r="B11" s="38"/>
      <c r="F11" s="119"/>
      <c r="G11" s="119"/>
      <c r="H11" s="107"/>
      <c r="J11" s="33"/>
      <c r="K11" s="109"/>
    </row>
    <row r="12" spans="2:14">
      <c r="B12" s="38"/>
      <c r="C12" s="33" t="str">
        <f>Sources!$E$9</f>
        <v>Aquathermal surface water factsheet</v>
      </c>
      <c r="D12" s="33" t="s">
        <v>124</v>
      </c>
      <c r="E12" s="33" t="s">
        <v>123</v>
      </c>
      <c r="F12" s="120">
        <f>166*10^6*$H$5</f>
        <v>4150000</v>
      </c>
      <c r="G12" s="120">
        <f>395*10^6*H5</f>
        <v>9875000</v>
      </c>
      <c r="H12" s="120">
        <f t="shared" ref="H12:H18" si="0">AVERAGE(F12:G12)</f>
        <v>7012500</v>
      </c>
      <c r="I12" s="33" t="s">
        <v>151</v>
      </c>
      <c r="J12" s="33" t="s">
        <v>131</v>
      </c>
      <c r="K12" s="109" t="s">
        <v>100</v>
      </c>
    </row>
    <row r="13" spans="2:14">
      <c r="B13" s="38"/>
      <c r="C13" s="33" t="str">
        <f>Sources!$E$10</f>
        <v>Kengetallen aquathermie</v>
      </c>
      <c r="D13" s="33" t="s">
        <v>124</v>
      </c>
      <c r="E13" s="33" t="s">
        <v>123</v>
      </c>
      <c r="F13" s="120">
        <f>1200*$H$8*10^3</f>
        <v>5277777.7777777771</v>
      </c>
      <c r="G13" s="120">
        <f>1300*$H$8*10^3</f>
        <v>5717592.5925925924</v>
      </c>
      <c r="H13" s="120">
        <f t="shared" si="0"/>
        <v>5497685.1851851847</v>
      </c>
      <c r="I13" s="33" t="s">
        <v>151</v>
      </c>
      <c r="J13" s="33" t="s">
        <v>132</v>
      </c>
      <c r="K13" s="109" t="s">
        <v>111</v>
      </c>
    </row>
    <row r="14" spans="2:14" ht="34">
      <c r="B14" s="38"/>
      <c r="C14" s="33" t="str">
        <f>Sources!$E$8</f>
        <v>Functioneel ontwerp 5.0 Vesta MAIS</v>
      </c>
      <c r="D14" s="33" t="s">
        <v>124</v>
      </c>
      <c r="E14" s="33" t="s">
        <v>123</v>
      </c>
      <c r="F14" s="120">
        <f>90000+198*$H$8*10^3</f>
        <v>960833.33333333326</v>
      </c>
      <c r="G14" s="120">
        <f>110000+242*$H$8*10^3</f>
        <v>1174351.8518518517</v>
      </c>
      <c r="H14" s="120">
        <f t="shared" si="0"/>
        <v>1067592.5925925924</v>
      </c>
      <c r="I14" s="33" t="s">
        <v>151</v>
      </c>
      <c r="J14" s="122" t="s">
        <v>141</v>
      </c>
      <c r="K14" s="109" t="s">
        <v>114</v>
      </c>
    </row>
    <row r="15" spans="2:14" ht="34">
      <c r="B15" s="38"/>
      <c r="D15" s="33" t="s">
        <v>142</v>
      </c>
      <c r="E15" s="33" t="s">
        <v>143</v>
      </c>
      <c r="F15" s="120">
        <f>135000+103.5*$H$8*10^3</f>
        <v>590208.33333333326</v>
      </c>
      <c r="G15" s="120">
        <f>165000+126.5*$H$8*10^3</f>
        <v>721365.74074074079</v>
      </c>
      <c r="H15" s="120">
        <f t="shared" si="0"/>
        <v>655787.03703703708</v>
      </c>
      <c r="I15" s="33" t="s">
        <v>151</v>
      </c>
      <c r="J15" s="122" t="s">
        <v>144</v>
      </c>
      <c r="K15" s="109"/>
    </row>
    <row r="16" spans="2:14">
      <c r="B16" s="38"/>
      <c r="C16" s="33" t="str">
        <f>Sources!$E$10</f>
        <v>Kengetallen aquathermie</v>
      </c>
      <c r="D16" s="33" t="s">
        <v>129</v>
      </c>
      <c r="E16" s="33" t="s">
        <v>130</v>
      </c>
      <c r="F16" s="120">
        <f>26*H8*10^3</f>
        <v>114351.85185185185</v>
      </c>
      <c r="G16" s="120">
        <f>28*H8*10^3</f>
        <v>123148.14814814813</v>
      </c>
      <c r="H16" s="120">
        <f t="shared" si="0"/>
        <v>118750</v>
      </c>
      <c r="I16" s="33" t="s">
        <v>152</v>
      </c>
      <c r="J16" s="33" t="s">
        <v>132</v>
      </c>
      <c r="K16" s="109" t="s">
        <v>112</v>
      </c>
    </row>
    <row r="17" spans="2:11">
      <c r="B17" s="38"/>
      <c r="C17" s="33" t="str">
        <f>Sources!$E$9</f>
        <v>Aquathermal surface water factsheet</v>
      </c>
      <c r="D17" s="33" t="s">
        <v>129</v>
      </c>
      <c r="E17" s="33" t="s">
        <v>130</v>
      </c>
      <c r="F17" s="120">
        <f>3*10^6*$H$5</f>
        <v>75000</v>
      </c>
      <c r="G17" s="120">
        <f>8*10^6*$H$5</f>
        <v>200000</v>
      </c>
      <c r="H17" s="120">
        <f t="shared" si="0"/>
        <v>137500</v>
      </c>
      <c r="I17" s="33" t="s">
        <v>152</v>
      </c>
      <c r="J17" s="33" t="s">
        <v>133</v>
      </c>
      <c r="K17" s="109" t="s">
        <v>100</v>
      </c>
    </row>
    <row r="18" spans="2:11">
      <c r="B18" s="38"/>
      <c r="C18" s="33" t="str">
        <f>Sources!$E$8</f>
        <v>Functioneel ontwerp 5.0 Vesta MAIS</v>
      </c>
      <c r="D18" s="33" t="s">
        <v>129</v>
      </c>
      <c r="E18" s="33" t="s">
        <v>130</v>
      </c>
      <c r="F18" s="120">
        <f>0.01*$H$13</f>
        <v>54976.851851851847</v>
      </c>
      <c r="G18" s="120">
        <f>0.01*H12</f>
        <v>70125</v>
      </c>
      <c r="H18" s="120">
        <f t="shared" si="0"/>
        <v>62550.925925925927</v>
      </c>
      <c r="I18" s="33" t="s">
        <v>152</v>
      </c>
      <c r="J18" s="33" t="s">
        <v>135</v>
      </c>
      <c r="K18" s="109" t="s">
        <v>113</v>
      </c>
    </row>
    <row r="19" spans="2:11">
      <c r="B19" s="38"/>
      <c r="C19" s="33" t="str">
        <f>Sources!$E$8</f>
        <v>Functioneel ontwerp 5.0 Vesta MAIS</v>
      </c>
      <c r="D19" s="33" t="s">
        <v>145</v>
      </c>
      <c r="E19" s="33" t="s">
        <v>146</v>
      </c>
      <c r="F19" s="120"/>
      <c r="G19" s="120"/>
      <c r="H19" s="120">
        <f>0.02*H15</f>
        <v>13115.740740740743</v>
      </c>
      <c r="I19" s="33" t="s">
        <v>152</v>
      </c>
      <c r="J19" s="33" t="s">
        <v>135</v>
      </c>
      <c r="K19" s="109" t="s">
        <v>113</v>
      </c>
    </row>
    <row r="20" spans="2:11" ht="17" thickBot="1">
      <c r="B20" s="114"/>
      <c r="C20" s="115"/>
      <c r="D20" s="115"/>
      <c r="E20" s="115"/>
      <c r="F20" s="115"/>
      <c r="G20" s="115"/>
      <c r="H20" s="115"/>
      <c r="I20" s="115"/>
      <c r="J20" s="115"/>
      <c r="K20" s="117"/>
    </row>
    <row r="21" spans="2:11">
      <c r="J21" s="33"/>
    </row>
    <row r="61" spans="14:14">
      <c r="N61" s="39" t="s">
        <v>106</v>
      </c>
    </row>
    <row r="92" spans="14:14">
      <c r="N92" s="39" t="s">
        <v>111</v>
      </c>
    </row>
    <row r="126" spans="14:14">
      <c r="N126" s="39" t="s">
        <v>112</v>
      </c>
    </row>
    <row r="158" spans="14:14">
      <c r="N158" s="39" t="s">
        <v>113</v>
      </c>
    </row>
    <row r="187" spans="14:14">
      <c r="N187" s="39" t="s">
        <v>114</v>
      </c>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2024-02-20T14:00:30Z</dcterms:modified>
</cp:coreProperties>
</file>