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source_analyses/nl/2019/6_residences/"/>
    </mc:Choice>
  </mc:AlternateContent>
  <xr:revisionPtr revIDLastSave="0" documentId="13_ncr:1_{B03BCF31-22C9-6A4F-AD47-D23C631D611F}" xr6:coauthVersionLast="47" xr6:coauthVersionMax="47" xr10:uidLastSave="{00000000-0000-0000-0000-000000000000}"/>
  <bookViews>
    <workbookView xWindow="-10380" yWindow="-28300" windowWidth="25600" windowHeight="27140" tabRatio="710" firstSheet="4" activeTab="10" xr2:uid="{00000000-000D-0000-FFFF-FFFF00000000}"/>
  </bookViews>
  <sheets>
    <sheet name="Cover sheet" sheetId="4" r:id="rId1"/>
    <sheet name="Changelog" sheetId="5" r:id="rId2"/>
    <sheet name="Sources and assumptions" sheetId="2" r:id="rId3"/>
    <sheet name="Final demand per energy carrier" sheetId="1" r:id="rId4"/>
    <sheet name="Appliances split" sheetId="10" r:id="rId5"/>
    <sheet name="Electricity" sheetId="7" r:id="rId6"/>
    <sheet name="Cooking" sheetId="6" r:id="rId7"/>
    <sheet name="Heat pumps" sheetId="8" r:id="rId8"/>
    <sheet name="Heat pumps cooling" sheetId="9" r:id="rId9"/>
    <sheet name="Housing type &amp; insulation (old)" sheetId="15" r:id="rId10"/>
    <sheet name="Housing type &amp; insulation (new)" sheetId="16" r:id="rId11"/>
    <sheet name="Lighting " sheetId="14" r:id="rId12"/>
  </sheets>
  <externalReferences>
    <externalReference r:id="rId13"/>
    <externalReference r:id="rId14"/>
  </externalReferences>
  <definedNames>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'[2]Fuel aggregation'!$L$11</definedName>
    <definedName name="Final_demand_solar_thermal">'[2]Fuel aggregation'!$G$11</definedName>
    <definedName name="Final_demand_space_heating">[2]Dashboard!$E$20</definedName>
    <definedName name="Final_demand_woodpellets">'[2]Fuel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4" i="16" l="1"/>
  <c r="I23" i="16"/>
  <c r="I22" i="16"/>
  <c r="I21" i="16"/>
  <c r="I20" i="16"/>
  <c r="I18" i="16"/>
  <c r="I17" i="16"/>
  <c r="I16" i="16"/>
  <c r="I15" i="16"/>
  <c r="I14" i="16"/>
  <c r="I12" i="16"/>
  <c r="I11" i="16"/>
  <c r="I10" i="16"/>
  <c r="I9" i="16"/>
  <c r="I8" i="16"/>
  <c r="I6" i="16"/>
  <c r="I5" i="16"/>
  <c r="I4" i="16"/>
  <c r="I3" i="16"/>
  <c r="I2" i="16"/>
  <c r="J25" i="16" l="1"/>
  <c r="J24" i="16"/>
  <c r="J23" i="16"/>
  <c r="J22" i="16"/>
  <c r="J21" i="16"/>
  <c r="J20" i="16"/>
  <c r="J19" i="16"/>
  <c r="J18" i="16"/>
  <c r="J17" i="16"/>
  <c r="J16" i="16"/>
  <c r="J15" i="16"/>
  <c r="J14" i="16"/>
  <c r="J13" i="16"/>
  <c r="J12" i="16"/>
  <c r="J11" i="16"/>
  <c r="J10" i="16"/>
  <c r="J9" i="16"/>
  <c r="J8" i="16"/>
  <c r="J7" i="16"/>
  <c r="J6" i="16"/>
  <c r="J5" i="16"/>
  <c r="J4" i="16"/>
  <c r="J3" i="16"/>
  <c r="J2" i="16"/>
  <c r="C21" i="9" l="1"/>
  <c r="C24" i="9" s="1"/>
  <c r="C25" i="9" s="1"/>
  <c r="C27" i="9" s="1"/>
  <c r="E21" i="9"/>
  <c r="E24" i="9" s="1"/>
  <c r="E25" i="9" s="1"/>
  <c r="E27" i="9" s="1"/>
  <c r="D21" i="9"/>
  <c r="C18" i="9"/>
  <c r="C17" i="9"/>
  <c r="D24" i="9"/>
  <c r="D25" i="9" s="1"/>
  <c r="D27" i="9" s="1"/>
  <c r="E28" i="9" l="1"/>
  <c r="F46" i="1" s="1"/>
  <c r="D28" i="9"/>
  <c r="F47" i="1" s="1"/>
  <c r="C28" i="9"/>
  <c r="F48" i="1" s="1"/>
  <c r="B35" i="15"/>
  <c r="E52" i="1"/>
  <c r="D22" i="10"/>
  <c r="B82" i="15" l="1"/>
  <c r="B81" i="15"/>
  <c r="B80" i="15"/>
  <c r="B79" i="15"/>
  <c r="B78" i="15"/>
  <c r="B33" i="15" l="1"/>
  <c r="B32" i="15"/>
  <c r="B29" i="15"/>
  <c r="B30" i="15"/>
  <c r="B31" i="15"/>
  <c r="O61" i="1" l="1"/>
  <c r="N61" i="1" s="1"/>
  <c r="O62" i="1"/>
  <c r="O60" i="1"/>
  <c r="N60" i="1"/>
  <c r="H12" i="14"/>
  <c r="H10" i="14"/>
  <c r="E26" i="8" l="1"/>
  <c r="D19" i="8"/>
  <c r="E21" i="1" l="1"/>
  <c r="G77" i="1"/>
  <c r="M46" i="1"/>
  <c r="F4" i="8"/>
  <c r="D31" i="15"/>
  <c r="J31" i="15" s="1"/>
  <c r="C79" i="15" l="1"/>
  <c r="C80" i="15"/>
  <c r="C81" i="15"/>
  <c r="C82" i="15"/>
  <c r="C78" i="15"/>
  <c r="B95" i="15"/>
  <c r="C92" i="15" s="1"/>
  <c r="D92" i="15" s="1"/>
  <c r="B93" i="15"/>
  <c r="C89" i="15" l="1"/>
  <c r="D89" i="15" s="1"/>
  <c r="C88" i="15"/>
  <c r="D88" i="15" s="1"/>
  <c r="C91" i="15"/>
  <c r="D91" i="15" s="1"/>
  <c r="C90" i="15"/>
  <c r="D90" i="15" s="1"/>
  <c r="I35" i="15" l="1"/>
  <c r="J35" i="15" s="1"/>
  <c r="H29" i="15"/>
  <c r="J29" i="15" s="1"/>
  <c r="G32" i="15"/>
  <c r="J32" i="15" s="1"/>
  <c r="F33" i="15"/>
  <c r="J33" i="15" s="1"/>
  <c r="E30" i="15"/>
  <c r="J30" i="15" s="1"/>
  <c r="C40" i="15"/>
  <c r="C41" i="15" s="1"/>
  <c r="C42" i="15" s="1"/>
  <c r="C43" i="15" s="1"/>
  <c r="C44" i="15" s="1"/>
  <c r="C45" i="15" s="1"/>
  <c r="C46" i="15" s="1"/>
  <c r="C47" i="15" s="1"/>
  <c r="E12" i="14"/>
  <c r="F12" i="14" s="1"/>
  <c r="G12" i="14" s="1"/>
  <c r="E11" i="14"/>
  <c r="F11" i="14" s="1"/>
  <c r="E10" i="14"/>
  <c r="R9" i="14"/>
  <c r="Q9" i="14"/>
  <c r="P9" i="14"/>
  <c r="O9" i="14"/>
  <c r="N9" i="14"/>
  <c r="R8" i="14"/>
  <c r="Q8" i="14"/>
  <c r="P8" i="14"/>
  <c r="O8" i="14"/>
  <c r="N8" i="14"/>
  <c r="E6" i="14"/>
  <c r="F6" i="14" s="1"/>
  <c r="G6" i="14" s="1"/>
  <c r="H6" i="14" s="1"/>
  <c r="E4" i="14"/>
  <c r="F4" i="14" s="1"/>
  <c r="F5" i="14" l="1"/>
  <c r="G4" i="14"/>
  <c r="F10" i="14"/>
  <c r="G11" i="14"/>
  <c r="E5" i="14"/>
  <c r="I10" i="6"/>
  <c r="H11" i="14" l="1"/>
  <c r="G10" i="14"/>
  <c r="H4" i="14"/>
  <c r="H5" i="14" s="1"/>
  <c r="G5" i="14"/>
  <c r="C10" i="9"/>
  <c r="B47" i="1" l="1"/>
  <c r="G7" i="6"/>
  <c r="E46" i="7"/>
  <c r="E45" i="7"/>
  <c r="E50" i="7"/>
  <c r="E49" i="7"/>
  <c r="C5" i="7"/>
  <c r="E48" i="7" s="1"/>
  <c r="G12" i="1"/>
  <c r="C29" i="7"/>
  <c r="M24" i="1"/>
  <c r="F18" i="8"/>
  <c r="F9" i="8"/>
  <c r="D26" i="8"/>
  <c r="H9" i="8"/>
  <c r="H4" i="8"/>
  <c r="D21" i="10"/>
  <c r="I17" i="8" s="1"/>
  <c r="E28" i="8"/>
  <c r="D28" i="8"/>
  <c r="C2" i="7"/>
  <c r="H12" i="8"/>
  <c r="P26" i="1"/>
  <c r="P42" i="1"/>
  <c r="I22" i="1"/>
  <c r="N22" i="1" s="1"/>
  <c r="H23" i="1"/>
  <c r="N23" i="1" s="1"/>
  <c r="F12" i="8"/>
  <c r="J19" i="1"/>
  <c r="D9" i="6"/>
  <c r="E9" i="6" s="1"/>
  <c r="D7" i="6"/>
  <c r="E7" i="6" s="1"/>
  <c r="D8" i="6"/>
  <c r="E8" i="6" s="1"/>
  <c r="D10" i="6"/>
  <c r="E10" i="6" s="1"/>
  <c r="M39" i="1"/>
  <c r="N34" i="1"/>
  <c r="N37" i="1"/>
  <c r="N38" i="1"/>
  <c r="C40" i="7"/>
  <c r="C39" i="7"/>
  <c r="D39" i="7" s="1"/>
  <c r="C38" i="7"/>
  <c r="C37" i="7"/>
  <c r="C35" i="7"/>
  <c r="N46" i="1"/>
  <c r="C42" i="7"/>
  <c r="C41" i="7"/>
  <c r="C36" i="7"/>
  <c r="N62" i="1"/>
  <c r="F61" i="1" s="1"/>
  <c r="C5" i="4"/>
  <c r="N56" i="1"/>
  <c r="N47" i="1"/>
  <c r="G78" i="1"/>
  <c r="G79" i="1" s="1"/>
  <c r="I77" i="1" l="1"/>
  <c r="I78" i="1" s="1"/>
  <c r="I79" i="1" s="1"/>
  <c r="N19" i="1"/>
  <c r="H12" i="1"/>
  <c r="I12" i="1"/>
  <c r="H21" i="8"/>
  <c r="J21" i="8" s="1"/>
  <c r="F16" i="1" s="1"/>
  <c r="C8" i="7"/>
  <c r="E39" i="7" s="1"/>
  <c r="J12" i="1"/>
  <c r="I18" i="8"/>
  <c r="L18" i="8" s="1"/>
  <c r="F39" i="1" s="1"/>
  <c r="F19" i="8"/>
  <c r="E19" i="8"/>
  <c r="F9" i="6"/>
  <c r="D42" i="7"/>
  <c r="D40" i="7"/>
  <c r="D37" i="7"/>
  <c r="D41" i="7"/>
  <c r="D38" i="7"/>
  <c r="D35" i="7"/>
  <c r="D36" i="7"/>
  <c r="D46" i="1"/>
  <c r="D47" i="1"/>
  <c r="K32" i="1"/>
  <c r="N32" i="1" s="1"/>
  <c r="I21" i="8"/>
  <c r="L21" i="8" s="1"/>
  <c r="F31" i="1" s="1"/>
  <c r="N31" i="1" s="1"/>
  <c r="I19" i="8"/>
  <c r="L19" i="8" s="1"/>
  <c r="F33" i="1" s="1"/>
  <c r="N33" i="1" s="1"/>
  <c r="K17" i="1"/>
  <c r="N16" i="1"/>
  <c r="F8" i="6"/>
  <c r="F7" i="6"/>
  <c r="H7" i="6" s="1"/>
  <c r="J7" i="6" s="1"/>
  <c r="B61" i="1"/>
  <c r="J77" i="1"/>
  <c r="J78" i="1" s="1"/>
  <c r="J79" i="1" s="1"/>
  <c r="E18" i="8"/>
  <c r="H17" i="8"/>
  <c r="N48" i="1"/>
  <c r="H77" i="1"/>
  <c r="H78" i="1" s="1"/>
  <c r="H79" i="1" s="1"/>
  <c r="D48" i="1"/>
  <c r="E41" i="7" l="1"/>
  <c r="E36" i="7"/>
  <c r="F67" i="1" s="1"/>
  <c r="E37" i="7"/>
  <c r="F68" i="1" s="1"/>
  <c r="E40" i="7"/>
  <c r="E36" i="1"/>
  <c r="N36" i="1" s="1"/>
  <c r="N21" i="1"/>
  <c r="E38" i="7"/>
  <c r="F69" i="1" s="1"/>
  <c r="E42" i="7"/>
  <c r="F73" i="1" s="1"/>
  <c r="M18" i="8"/>
  <c r="H19" i="8"/>
  <c r="J19" i="8" s="1"/>
  <c r="F18" i="1" s="1"/>
  <c r="D43" i="7"/>
  <c r="E35" i="7"/>
  <c r="F72" i="1"/>
  <c r="F70" i="1"/>
  <c r="F35" i="1"/>
  <c r="F71" i="1"/>
  <c r="H9" i="6"/>
  <c r="J9" i="6" s="1"/>
  <c r="H8" i="6"/>
  <c r="J8" i="6" s="1"/>
  <c r="K77" i="1"/>
  <c r="K78" i="1" s="1"/>
  <c r="K79" i="1" s="1"/>
  <c r="K12" i="1"/>
  <c r="N17" i="1"/>
  <c r="H18" i="8"/>
  <c r="J18" i="8" s="1"/>
  <c r="F60" i="1"/>
  <c r="F62" i="1"/>
  <c r="P43" i="1"/>
  <c r="O48" i="1"/>
  <c r="O46" i="1"/>
  <c r="O47" i="1"/>
  <c r="D60" i="1" l="1"/>
  <c r="N18" i="1"/>
  <c r="E39" i="1"/>
  <c r="N39" i="1" s="1"/>
  <c r="F53" i="1"/>
  <c r="E52" i="7"/>
  <c r="F52" i="7" s="1"/>
  <c r="F55" i="1"/>
  <c r="N55" i="1" s="1"/>
  <c r="F66" i="1"/>
  <c r="D67" i="1" s="1"/>
  <c r="F54" i="1"/>
  <c r="N54" i="1" s="1"/>
  <c r="D61" i="1"/>
  <c r="N35" i="1"/>
  <c r="D62" i="1"/>
  <c r="K18" i="8"/>
  <c r="E24" i="1" s="1"/>
  <c r="E15" i="1" s="1"/>
  <c r="F24" i="1"/>
  <c r="J10" i="6"/>
  <c r="N53" i="1" l="1"/>
  <c r="B53" i="1"/>
  <c r="E12" i="1"/>
  <c r="Q43" i="1"/>
  <c r="D69" i="1"/>
  <c r="D53" i="1"/>
  <c r="D73" i="1"/>
  <c r="B67" i="1"/>
  <c r="D71" i="1"/>
  <c r="D66" i="1"/>
  <c r="D72" i="1"/>
  <c r="D70" i="1"/>
  <c r="D68" i="1"/>
  <c r="K10" i="6"/>
  <c r="K9" i="6"/>
  <c r="N24" i="1"/>
  <c r="P27" i="1"/>
  <c r="F20" i="1"/>
  <c r="B16" i="1" s="1"/>
  <c r="K7" i="6"/>
  <c r="Q27" i="1"/>
  <c r="K8" i="6"/>
  <c r="N52" i="1"/>
  <c r="D52" i="1"/>
  <c r="D56" i="1"/>
  <c r="E30" i="1"/>
  <c r="B31" i="1" s="1"/>
  <c r="D55" i="1"/>
  <c r="D54" i="1"/>
  <c r="O54" i="1" l="1"/>
  <c r="O52" i="1"/>
  <c r="O53" i="1"/>
  <c r="F12" i="1"/>
  <c r="F77" i="1"/>
  <c r="F78" i="1" s="1"/>
  <c r="F79" i="1" s="1"/>
  <c r="D24" i="1"/>
  <c r="O56" i="1"/>
  <c r="O55" i="1"/>
  <c r="D36" i="1"/>
  <c r="D37" i="1"/>
  <c r="D30" i="1"/>
  <c r="D32" i="1"/>
  <c r="D34" i="1"/>
  <c r="N30" i="1"/>
  <c r="O30" i="1" s="1"/>
  <c r="D38" i="1"/>
  <c r="D31" i="1"/>
  <c r="D33" i="1"/>
  <c r="D39" i="1"/>
  <c r="D40" i="1" s="1"/>
  <c r="D35" i="1"/>
  <c r="N20" i="1"/>
  <c r="D20" i="1"/>
  <c r="D22" i="1"/>
  <c r="N15" i="1"/>
  <c r="E77" i="1"/>
  <c r="E78" i="1" s="1"/>
  <c r="E79" i="1" s="1"/>
  <c r="D15" i="1"/>
  <c r="D17" i="1"/>
  <c r="D19" i="1"/>
  <c r="D21" i="1"/>
  <c r="D16" i="1"/>
  <c r="D23" i="1"/>
  <c r="D18" i="1"/>
  <c r="O24" i="1" l="1"/>
  <c r="O20" i="1"/>
  <c r="O21" i="1"/>
  <c r="O15" i="1"/>
  <c r="O23" i="1"/>
  <c r="O17" i="1"/>
  <c r="O22" i="1"/>
  <c r="O19" i="1"/>
  <c r="O16" i="1"/>
  <c r="O18" i="1"/>
  <c r="O36" i="1"/>
  <c r="O37" i="1"/>
  <c r="O34" i="1"/>
  <c r="O38" i="1"/>
  <c r="O32" i="1"/>
  <c r="O33" i="1"/>
  <c r="O31" i="1"/>
  <c r="O39" i="1"/>
  <c r="O35" i="1"/>
</calcChain>
</file>

<file path=xl/sharedStrings.xml><?xml version="1.0" encoding="utf-8"?>
<sst xmlns="http://schemas.openxmlformats.org/spreadsheetml/2006/main" count="557" uniqueCount="409">
  <si>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</si>
  <si>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</si>
  <si>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</si>
  <si>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</si>
  <si>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</si>
  <si>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</si>
  <si>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</si>
  <si>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</si>
  <si>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</si>
  <si>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</si>
  <si>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</si>
  <si>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</si>
  <si>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</si>
  <si>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</si>
  <si>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</si>
  <si>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</si>
  <si>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</si>
  <si>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</si>
  <si>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</si>
  <si>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</si>
  <si>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</si>
  <si>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</si>
  <si>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</si>
  <si>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</si>
  <si>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</si>
  <si>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</si>
  <si>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</si>
  <si>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</si>
  <si>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</si>
  <si>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</si>
  <si>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</si>
  <si>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</si>
  <si>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</si>
  <si>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</si>
  <si>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</si>
  <si>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</si>
  <si>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Electric Heat Pump (ground)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</si>
  <si>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</si>
  <si>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</si>
  <si>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</si>
  <si>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</si>
  <si>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</si>
  <si>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</si>
  <si>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</si>
  <si>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</si>
  <si>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</si>
  <si>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Electric Heat Pump (ground)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</si>
  <si>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</si>
  <si>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</si>
  <si>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</si>
  <si>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</si>
  <si>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</si>
  <si>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</si>
  <si>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</si>
  <si>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</si>
  <si>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</si>
  <si>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</si>
  <si>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</si>
  <si>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</si>
  <si>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</si>
  <si>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</si>
  <si>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</si>
  <si>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</si>
  <si>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</si>
  <si>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</si>
  <si>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</si>
  <si>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</si>
  <si>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</si>
  <si>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</si>
  <si>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</si>
  <si>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</si>
  <si>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</si>
  <si>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</si>
  <si>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</si>
  <si>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</si>
  <si>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</si>
  <si>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</si>
  <si>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</si>
  <si>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</si>
  <si>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</si>
  <si>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</si>
  <si>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</si>
  <si>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</si>
  <si>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</si>
  <si>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</si>
  <si>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</si>
  <si>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</si>
  <si>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</si>
  <si>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</si>
  <si>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</si>
  <si>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</si>
  <si>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</si>
  <si>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</si>
  <si>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</si>
  <si>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</si>
  <si>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</si>
  <si>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</si>
  <si>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</si>
  <si>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</si>
  <si>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</si>
  <si>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</si>
  <si>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</si>
  <si>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</si>
  <si>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</si>
  <si>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Sources and assumptions</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</si>
  <si>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</si>
  <si>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</si>
  <si>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</si>
  <si>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</si>
  <si>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</si>
  <si>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</si>
  <si>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</si>
  <si>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</si>
  <si>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</si>
  <si>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</si>
  <si>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</si>
  <si>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</si>
  <si>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</si>
  <si>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</si>
  <si>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</si>
  <si>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</si>
  <si>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</si>
  <si>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</si>
  <si>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</si>
  <si>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</si>
  <si>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</si>
  <si>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</si>
  <si>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</si>
  <si>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Final electricity demand</t>
  </si>
  <si>
    <t>Technology</t>
  </si>
  <si>
    <t>Share of total</t>
  </si>
  <si>
    <t>Relative final demand</t>
  </si>
  <si>
    <t>Final electricity demand for cooking (TJ)</t>
  </si>
  <si>
    <t>Final demand (TJ)</t>
  </si>
  <si>
    <t>Assumption</t>
  </si>
  <si>
    <t>I have assumed that oil and coal can only be used for space heating and not for hot water</t>
  </si>
  <si>
    <t>Final result</t>
  </si>
  <si>
    <t>Finally, I used the efficiencies to translate the final demand in a useful demand, using the latter to determine the technology shares for each application</t>
  </si>
  <si>
    <t>Source:</t>
  </si>
  <si>
    <t>Hyperlink:</t>
  </si>
  <si>
    <t>Original data</t>
  </si>
  <si>
    <t>Corrected data</t>
  </si>
  <si>
    <t>Category</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</si>
  <si>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</si>
  <si>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Improved documentation and traceability of numbers</t>
  </si>
  <si>
    <t>The numbers in red are used to the 'Final demand per energy carrier' sheet (use Trace Dependents to find their destination)</t>
  </si>
  <si>
    <t>Technology efficiency</t>
  </si>
  <si>
    <t>TJ</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</si>
  <si>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</si>
  <si>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</si>
  <si>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</si>
  <si>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https://refman.energytransitionmodel.com/publications/2068</t>
  </si>
  <si>
    <t xml:space="preserve">Energietrends 2016, page 9 (ECN, Energie-Nederland en Netbeheer Nederland) </t>
  </si>
  <si>
    <t xml:space="preserve">The numbers from Energietrends 2016 need to be recast on the ETM categories. </t>
  </si>
  <si>
    <t>http://statline.cbs.nl/Statweb/publication/?DM=SLNL&amp;PA=82380NED&amp;D1=2,5-6&amp;D2=a&amp;D3=1&amp;D4=21&amp;HDR=T&amp;STB=G2,G1,G3&amp;VW=T</t>
  </si>
  <si>
    <t>Total heat pumps air/water</t>
  </si>
  <si>
    <t>Hybrid heat pumps</t>
  </si>
  <si>
    <t>Heat pumps air</t>
  </si>
  <si>
    <t>Number of heat pumps</t>
  </si>
  <si>
    <t>[-]</t>
  </si>
  <si>
    <t>Heat pump ground</t>
  </si>
  <si>
    <t>Final demand electricity and gas</t>
  </si>
  <si>
    <t>input.ambient_heat</t>
  </si>
  <si>
    <t>input.electricity</t>
  </si>
  <si>
    <t>input.network_gas</t>
  </si>
  <si>
    <t>input.ambient_hea</t>
  </si>
  <si>
    <t>Hybrid heat pump</t>
  </si>
  <si>
    <t>Heat pump air</t>
  </si>
  <si>
    <t>From ETSource</t>
  </si>
  <si>
    <t>hybrid heat pump (space heating</t>
  </si>
  <si>
    <t>water heating</t>
  </si>
  <si>
    <t>Final demand electricity for space heating</t>
  </si>
  <si>
    <t>final demand gas for space heating</t>
  </si>
  <si>
    <t>Final demand electricity for water heating</t>
  </si>
  <si>
    <t>final demand gas for water heating</t>
  </si>
  <si>
    <t>Final demand electricity and gas for space heating</t>
  </si>
  <si>
    <t>Final demand electricity and gas for water heating</t>
  </si>
  <si>
    <t>Tapwater</t>
  </si>
  <si>
    <t>Other</t>
  </si>
  <si>
    <t>Tapwater vs space heating</t>
  </si>
  <si>
    <t>hybrid heat pump (hot water)</t>
  </si>
  <si>
    <t>The split for FD for space heating and electiricity is based on the Energiecijfers databank (see tab application split)</t>
  </si>
  <si>
    <t>Share of final demand electricity</t>
  </si>
  <si>
    <t>Final demand electricity(TJ)</t>
  </si>
  <si>
    <t>Final demand gas (TJ)</t>
  </si>
  <si>
    <t>output.useable_heat.network_gas</t>
  </si>
  <si>
    <t>Final demand share space heating</t>
  </si>
  <si>
    <t>Final demand share water heating</t>
  </si>
  <si>
    <t>gas</t>
  </si>
  <si>
    <t>electricity</t>
  </si>
  <si>
    <t>m3</t>
  </si>
  <si>
    <t>UD shares</t>
  </si>
  <si>
    <t>UD [TJ]</t>
  </si>
  <si>
    <t>HHP for space heating</t>
  </si>
  <si>
    <t>HHP for water heating</t>
  </si>
  <si>
    <t>FD share</t>
  </si>
  <si>
    <t>Final demand share</t>
  </si>
  <si>
    <t>Apartments</t>
  </si>
  <si>
    <t>Corner houses</t>
  </si>
  <si>
    <t>Detached houses</t>
  </si>
  <si>
    <t>Semi-detached houses</t>
  </si>
  <si>
    <t>Terraced houses</t>
  </si>
  <si>
    <t>Total</t>
  </si>
  <si>
    <t>natural gas TJ per m3 (LHV):</t>
  </si>
  <si>
    <t>TJ for space heating</t>
  </si>
  <si>
    <t>https://energiecijfers.databank.nl//jive?workspace_guid=69c47922-829b-4a2e-9079-9ebf29327929</t>
  </si>
  <si>
    <t>May 4, 2021</t>
  </si>
  <si>
    <t>Updated to 2019 data</t>
  </si>
  <si>
    <t>Enenrgietrends 2016</t>
  </si>
  <si>
    <t>Electricity demand Cooling</t>
  </si>
  <si>
    <t>Final electricity demand (ex cooling , cooking and lighting)</t>
  </si>
  <si>
    <t>Electricity demand Cooking</t>
  </si>
  <si>
    <t>Electricity demand Lighting</t>
  </si>
  <si>
    <t>Electricity demand Space Heating</t>
  </si>
  <si>
    <t>Electricity demand Hot Water</t>
  </si>
  <si>
    <t>Last update</t>
  </si>
  <si>
    <t>03.05.21</t>
  </si>
  <si>
    <t>Extracted on</t>
  </si>
  <si>
    <t>04.05.21</t>
  </si>
  <si>
    <t>Source of data</t>
  </si>
  <si>
    <t>Eurostat</t>
  </si>
  <si>
    <t>NRG_BAL</t>
  </si>
  <si>
    <t>FC_OTH_HH_E_CK - Final consumption - other sectors - households - energy use - cooking</t>
  </si>
  <si>
    <t>SIEC</t>
  </si>
  <si>
    <t>TOTAL - Total</t>
  </si>
  <si>
    <t>UNIT</t>
  </si>
  <si>
    <t>TJ - Terajoule</t>
  </si>
  <si>
    <t>GEO/TIME</t>
  </si>
  <si>
    <t>NL - Netherlands</t>
  </si>
  <si>
    <t>Special value:</t>
  </si>
  <si>
    <t>:</t>
  </si>
  <si>
    <t>not available</t>
  </si>
  <si>
    <t>G3000 - Natural gas</t>
  </si>
  <si>
    <t>E7000 - Electricity</t>
  </si>
  <si>
    <t>Eurostat; Disaggregated final energy consumption in households - quantities</t>
  </si>
  <si>
    <t>https://appsso.eurostat.ec.europa.eu/</t>
  </si>
  <si>
    <t>https://ec.europa.eu/eurostat/web/energy/data/database</t>
  </si>
  <si>
    <t>https://appsso.eurostat.ec.europa.eu/nui/show.do?dataset=nrg_d_hhq&amp;lang=en</t>
  </si>
  <si>
    <t>Direct link</t>
  </si>
  <si>
    <t>Link tot database</t>
  </si>
  <si>
    <t>Eurostat 2019 energy balance</t>
  </si>
  <si>
    <t>Eurostat 2019; Disaggregated final energy consumption in households - quantities (nrg_d_hhq)	U</t>
  </si>
  <si>
    <t>Onttrekking van koude in 2019</t>
  </si>
  <si>
    <t>https://opendata.cbs.nl/#/CBS/nl/dataset/82379NED/table?dl=520DA</t>
  </si>
  <si>
    <t>CBS</t>
  </si>
  <si>
    <t xml:space="preserve">The split of electricity is done based on the following steps: </t>
  </si>
  <si>
    <t>Koeling uit bodemwarmtepompen totaal</t>
  </si>
  <si>
    <t>Vermogen bodemwarmtepompen huishoudens</t>
  </si>
  <si>
    <t>Vermogen bodemwarmtepompen overige gebouwen</t>
  </si>
  <si>
    <t>Koeling van bodemwarmtepompen huishoudens</t>
  </si>
  <si>
    <t>MW</t>
  </si>
  <si>
    <t>Improvements</t>
  </si>
  <si>
    <t xml:space="preserve">The cooling split to technologies could be improved. Data is missing at this moment. The assumptions is that heat pump ground and air cool the same amount. </t>
  </si>
  <si>
    <t xml:space="preserve">Energiecijfers </t>
  </si>
  <si>
    <t>https://energiecijfers.databank.nl/jive?workspace_guid=0f55ab62-f953-4173-9991-c8dae422b7a4</t>
  </si>
  <si>
    <t>Source</t>
  </si>
  <si>
    <t>link</t>
  </si>
  <si>
    <t>RVO, energiecijfers databank</t>
  </si>
  <si>
    <t xml:space="preserve">Eurostat is used disaggregated final electricity consumption in households - quantities for electricity demand of Cooling, Cooking, Space heating and Hot Water. </t>
  </si>
  <si>
    <t>I have used data from CBS -statline to obtain the final demands for heat pumps heating and cooling</t>
  </si>
  <si>
    <t xml:space="preserve">I have assumed that the share of gas-fired heaters for space heating is half the share of wood pellet heater for space heating. The hot water for gas-fired heaters is based on the applicance split between space heating and hot water. </t>
  </si>
  <si>
    <t>The Applicance split is based on the RVO 'energiecijfers databank'</t>
  </si>
  <si>
    <t>Electricity for lighting is based on the RVO 'energiecijfers databank'</t>
  </si>
  <si>
    <t xml:space="preserve">The electricity split between tv, computers, dishwashers etc can be improved. An old source 'Energietrends 2016' used. </t>
  </si>
  <si>
    <t xml:space="preserve">Not a good source is known for the % of led lighting in houses. </t>
  </si>
  <si>
    <t>The remaining of the electricity demand is split the various technologies/applications from 'Energietrends 2016', page 9 (https://refman.energytransitionmodel.com/publications/2068)</t>
  </si>
  <si>
    <t>The split between hybrid het pumps and heat pumps is not known</t>
  </si>
  <si>
    <t>I have assumed that wood pellets are not used for cooking in 2019</t>
  </si>
  <si>
    <t xml:space="preserve">The amount natural gas used bygas fire heaters is not known. </t>
  </si>
  <si>
    <t>Guess</t>
  </si>
  <si>
    <t>Buildings</t>
  </si>
  <si>
    <t>2015 ETM</t>
  </si>
  <si>
    <t>IEA</t>
  </si>
  <si>
    <t>https://www.iea.org/reports/lighting</t>
  </si>
  <si>
    <t>Fluorescent tube</t>
  </si>
  <si>
    <t>High-performance fluorescent tube</t>
  </si>
  <si>
    <t>Sales LED</t>
  </si>
  <si>
    <t>LED-tube</t>
  </si>
  <si>
    <t>Sales flourescent</t>
  </si>
  <si>
    <t>LED relative growth</t>
  </si>
  <si>
    <t>Households</t>
  </si>
  <si>
    <t>Fluorescent relative growth</t>
  </si>
  <si>
    <t>Incandescent</t>
  </si>
  <si>
    <t>Low-energy light bulb</t>
  </si>
  <si>
    <t>LED</t>
  </si>
  <si>
    <t>label</t>
  </si>
  <si>
    <t>x</t>
  </si>
  <si>
    <t>Detached</t>
  </si>
  <si>
    <t>Corner</t>
  </si>
  <si>
    <t>Terraced</t>
  </si>
  <si>
    <t>Semi-detached</t>
  </si>
  <si>
    <t>Apartement</t>
  </si>
  <si>
    <t>Energie-Index</t>
  </si>
  <si>
    <t>G</t>
  </si>
  <si>
    <t>&gt; 2.7</t>
  </si>
  <si>
    <t>F</t>
  </si>
  <si>
    <t>2.41 - 2.7</t>
  </si>
  <si>
    <t>E</t>
  </si>
  <si>
    <t>2.11 - 2.40</t>
  </si>
  <si>
    <t>D</t>
  </si>
  <si>
    <t>1.81 - 2.1</t>
  </si>
  <si>
    <t>C</t>
  </si>
  <si>
    <t>1.41 - 1.8</t>
  </si>
  <si>
    <t>B</t>
  </si>
  <si>
    <t>1.21 - 1.4</t>
  </si>
  <si>
    <t>A</t>
  </si>
  <si>
    <t>0.81 - 1.2</t>
  </si>
  <si>
    <t>A+</t>
  </si>
  <si>
    <t>0.61 - 0.8</t>
  </si>
  <si>
    <t>A++</t>
  </si>
  <si>
    <t>0.41 - 0.6</t>
  </si>
  <si>
    <t>A+++</t>
  </si>
  <si>
    <t>&lt; 0.4</t>
  </si>
  <si>
    <t>Calculating heat demand reduction with average EPI as input</t>
  </si>
  <si>
    <t>Average EPI (source: BAG 2019)</t>
  </si>
  <si>
    <t>woningtype</t>
  </si>
  <si>
    <t>woningvoorraad_totaal</t>
  </si>
  <si>
    <t>epi</t>
  </si>
  <si>
    <t>woningtype_share</t>
  </si>
  <si>
    <t>woningtype_naam</t>
  </si>
  <si>
    <t>energielabel</t>
  </si>
  <si>
    <t>Vrijstaande woning</t>
  </si>
  <si>
    <t>Twee-onder-een-kapwoning</t>
  </si>
  <si>
    <t>Hoekwoning</t>
  </si>
  <si>
    <t>Tussenwoning</t>
  </si>
  <si>
    <t>Appartement</t>
  </si>
  <si>
    <t>Average heat demand per housing type</t>
  </si>
  <si>
    <t>https://opendata.cbs.nl/statline/#/CBS/nl/dataset/81528NED/table?dl=55393</t>
  </si>
  <si>
    <t>Housing types</t>
  </si>
  <si>
    <t>Totaal</t>
  </si>
  <si>
    <t>%</t>
  </si>
  <si>
    <t>#</t>
  </si>
  <si>
    <t>please fill dashboard with rounded numbers</t>
  </si>
  <si>
    <t>Table: heat demand reduction vs. EPI (source: https://docs.energytransitionmodel.com/main/insulation)</t>
  </si>
  <si>
    <t>insulation_apartments_start_value</t>
  </si>
  <si>
    <t>insulation_corner_houses_start_value</t>
  </si>
  <si>
    <t>insulation_detached_houses_start_value</t>
  </si>
  <si>
    <t>insulation_semi_detached_houses_start_value</t>
  </si>
  <si>
    <t>insulation_terraced_houses_start_value</t>
  </si>
  <si>
    <t>insulation_buildings_start_value</t>
  </si>
  <si>
    <t>number_of_residences</t>
  </si>
  <si>
    <t>number_of_apartments</t>
  </si>
  <si>
    <t>number_of_corner_houses</t>
  </si>
  <si>
    <t>number_of_detached_houses</t>
  </si>
  <si>
    <t>number_of_semi_detached_houses</t>
  </si>
  <si>
    <t>number_of_terraced_houses</t>
  </si>
  <si>
    <t>Values</t>
  </si>
  <si>
    <t>key area-file</t>
  </si>
  <si>
    <t>TJ for hot water + space heating</t>
  </si>
  <si>
    <t>reductie</t>
  </si>
  <si>
    <t>mean_epi</t>
  </si>
  <si>
    <t>naam</t>
  </si>
  <si>
    <t>waarde</t>
  </si>
  <si>
    <t>Output scripts</t>
  </si>
  <si>
    <t>Households - script: residence_data_grouped.ipynb</t>
  </si>
  <si>
    <t>Buildings - script: buildings_data_grouped.ipynb</t>
  </si>
  <si>
    <t>Heat sink for cooling is where the heat should go, either the ambient air or the ground reservoir.</t>
  </si>
  <si>
    <t>Heat source for cooling is where the heat should be extracted from, the house.</t>
  </si>
  <si>
    <t>Assumed that COPcooling is used in the ETM (even though the ETM has not COP for cooling yet, https://github.com/quintel/etmodel/issues/1440)</t>
  </si>
  <si>
    <t>Assumptions</t>
  </si>
  <si>
    <t>Calculations</t>
  </si>
  <si>
    <t>Based on diagram below.</t>
  </si>
  <si>
    <t>Assumed that Qcold is equal to "Onttrekking koude uit bodem" and useful cooling demand.</t>
  </si>
  <si>
    <t>units</t>
  </si>
  <si>
    <t>kW/unit</t>
  </si>
  <si>
    <t>Full load hours</t>
  </si>
  <si>
    <t>h/y</t>
  </si>
  <si>
    <t>Useful cooling demand</t>
  </si>
  <si>
    <t>ETM</t>
  </si>
  <si>
    <t>MWh/y</t>
  </si>
  <si>
    <t>Number of units</t>
  </si>
  <si>
    <t>Airco</t>
  </si>
  <si>
    <t>Heat pump (air)</t>
  </si>
  <si>
    <t>Heat pump (ground)</t>
  </si>
  <si>
    <t>Unit</t>
  </si>
  <si>
    <t>COP</t>
  </si>
  <si>
    <t>Electricity demand</t>
  </si>
  <si>
    <t>Electricity demand scaled</t>
  </si>
  <si>
    <t>Number of heat pumps for heating (air)</t>
  </si>
  <si>
    <t>Number of heat pumps for heating (ground)</t>
  </si>
  <si>
    <t>Number of airco units</t>
  </si>
  <si>
    <t>Number of residences</t>
  </si>
  <si>
    <t>Share of residences with airco</t>
  </si>
  <si>
    <t>KEV (2020): " in 2018 bezit slechts 6 procent van de huishoudens een airco."</t>
  </si>
  <si>
    <t>ETM nl 2019</t>
  </si>
  <si>
    <t>Cooling capacity per unit</t>
  </si>
  <si>
    <t>ETM currently has 3 kW/unit airco, but assumption is that all cooling units should supply the same cooling demand</t>
  </si>
  <si>
    <t>Woningtype ETM</t>
  </si>
  <si>
    <t>Bouwjaarklasse ETM</t>
  </si>
  <si>
    <t>Woningkenmerken/oppervlakte</t>
  </si>
  <si>
    <t>Functionele vraag/ruimteverwarming</t>
  </si>
  <si>
    <t>Functionele vraag ruimteverwarming (% van totaal)</t>
  </si>
  <si>
    <t>Gemiddelde netto warmtevraag (kWh/m2)</t>
  </si>
  <si>
    <t>Aantal woningen (#)</t>
  </si>
  <si>
    <t>Calculation share in present useful demand for space heating</t>
  </si>
  <si>
    <t>Calculation typical useful demand for space heating</t>
  </si>
  <si>
    <t>&lt; 1945</t>
  </si>
  <si>
    <t>1945 - 1964</t>
  </si>
  <si>
    <t>1965 - 1984</t>
  </si>
  <si>
    <t>1985 - 2004</t>
  </si>
  <si>
    <t>&gt;= 2005</t>
  </si>
  <si>
    <t>future</t>
  </si>
  <si>
    <t>Hoekhuis</t>
  </si>
  <si>
    <t>Rijtjeshuis</t>
  </si>
  <si>
    <t>Vrijstaand huis</t>
  </si>
  <si>
    <t>Feb 20, 2024</t>
  </si>
  <si>
    <t>Added new housing stock and insulation data</t>
  </si>
  <si>
    <t>Mathijs Bijkerk</t>
  </si>
  <si>
    <t>Quintel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</si>
</sst>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
    <numFmt numFmtId="165" formatCode="0.0%"/>
    <numFmt numFmtId="166" formatCode="[$-409]mmmm\ d\,\ yyyy;@"/>
    <numFmt numFmtId="167" formatCode="0.000"/>
    <numFmt numFmtId="168" formatCode="0.0000"/>
    <numFmt numFmtId="169" formatCode="0.00000"/>
    <numFmt numFmtId="170" formatCode="0.0000000000000000"/>
    <numFmt numFmtId="171" formatCode="0.00000000000000000000000000000"/>
    <numFmt numFmtId="172" formatCode="0.000%"/>
    <numFmt numFmtId="173" formatCode="0.000000000000000%"/>
    <numFmt numFmtId="174" formatCode="#,##0.000"/>
    <numFmt numFmtId="175" formatCode="dd\.mm\.yy"/>
    <numFmt numFmtId="176" formatCode="_-* ###0.00_-;\-* ###0.00_-;_-* &quot;-&quot;??_-;_-@_-"/>
    <numFmt numFmtId="177" formatCode="#,##0.0000000000000"/>
    <numFmt numFmtId="178" formatCode="#,##0.00000000000000"/>
    <numFmt numFmtId="179" formatCode="0.000000"/>
  </numFmts>
  <fonts count="30"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u/>
      <sz val="12"/>
      <name val="Calibri"/>
      <family val="2"/>
      <scheme val="minor"/>
    </font>
    <font>
      <sz val="12"/>
      <name val="Calibri"/>
      <family val="2"/>
      <scheme val="minor"/>
    </font>
    <font>
      <i/>
      <sz val="12"/>
      <color theme="1"/>
      <name val="Calibri"/>
      <family val="2"/>
      <scheme val="minor"/>
    </font>
    <font>
      <b/>
      <u/>
      <sz val="12"/>
      <color theme="1"/>
      <name val="Calibri"/>
      <family val="2"/>
      <scheme val="minor"/>
    </font>
    <font>
      <sz val="11"/>
      <name val="Calibri"/>
      <family val="2"/>
      <scheme val="minor"/>
    </font>
    <font>
      <sz val="10"/>
      <name val="Arial"/>
      <family val="2"/>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family val="2"/>
      <scheme val="minor"/>
    </font>
    <font>
      <sz val="13"/>
      <color rgb="FF333333"/>
      <name val="Helvetica Neue"/>
      <family val="2"/>
    </font>
    <font>
      <sz val="11"/>
      <name val="Arial"/>
      <family val="2"/>
    </font>
    <font>
      <sz val="8"/>
      <name val="Calibri"/>
      <family val="2"/>
      <scheme val="minor"/>
    </font>
    <font>
      <b/>
      <i/>
      <sz val="12"/>
      <color theme="1"/>
      <name val="Calibri"/>
      <family val="2"/>
      <scheme val="minor"/>
    </font>
    <font>
      <sz val="12"/>
      <color rgb="FF999999"/>
      <name val="Helvetica"/>
      <family val="2"/>
    </font>
    <font>
      <sz val="13"/>
      <color rgb="FF333333"/>
      <name val="Helvetica"/>
      <family val="2"/>
    </font>
    <font>
      <sz val="12"/>
      <color rgb="FF333333"/>
      <name val="Helvetica"/>
      <family val="2"/>
    </font>
    <font>
      <b/>
      <sz val="12"/>
      <color rgb="FFFF0000"/>
      <name val="Calibri"/>
      <family val="2"/>
      <scheme val="minor"/>
    </font>
    <font>
      <b/>
      <i/>
      <sz val="12"/>
      <color rgb="FFFF0000"/>
      <name val="Calibri"/>
      <family val="2"/>
      <scheme val="minor"/>
    </font>
    <font>
      <i/>
      <sz val="12"/>
      <name val="Calibri"/>
      <family val="2"/>
      <scheme val="minor"/>
    </font>
    <font>
      <b/>
      <sz val="12"/>
      <color rgb="FF3F3F3F"/>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99CCFF"/>
        <bgColor rgb="FF000000"/>
      </patternFill>
    </fill>
    <fill>
      <patternFill patternType="solid">
        <fgColor rgb="FFF2F2F2"/>
      </patternFill>
    </fill>
  </fills>
  <borders count="5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style="thin">
        <color auto="1"/>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s>
  <cellStyleXfs count="126">
    <xf numFmtId="0" fontId="0" fillId="0" borderId="0"/>
    <xf numFmtId="9" fontId="2" fillId="0" borderId="0" applyFont="0" applyFill="0" applyBorder="0" applyAlignment="0" applyProtection="0"/>
    <xf numFmtId="164" fontId="10" fillId="3" borderId="23">
      <alignment horizontal="right" vertical="center"/>
    </xf>
    <xf numFmtId="0" fontId="11" fillId="0" borderId="0" applyNumberFormat="0" applyFont="0" applyFill="0" applyBorder="0" applyAlignment="0" applyProtection="0"/>
    <xf numFmtId="9" fontId="11" fillId="0" borderId="0" applyNumberFormat="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4"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1" fillId="0" borderId="0" applyFont="0" applyFill="0" applyBorder="0" applyAlignment="0" applyProtection="0"/>
    <xf numFmtId="176" fontId="1" fillId="0" borderId="0" applyFont="0" applyFill="0" applyBorder="0" applyAlignment="0" applyProtection="0"/>
    <xf numFmtId="0" fontId="29" fillId="15" borderId="51" applyNumberFormat="0" applyAlignment="0" applyProtection="0"/>
  </cellStyleXfs>
  <cellXfs count="303">
    <xf numFmtId="0" fontId="0" fillId="0" borderId="0" xfId="0"/>
    <xf numFmtId="0" fontId="5" fillId="2" borderId="0" xfId="0" applyFont="1" applyFill="1"/>
    <xf numFmtId="0" fontId="0" fillId="2" borderId="0" xfId="0" applyFill="1"/>
    <xf numFmtId="0" fontId="4" fillId="2" borderId="1" xfId="0" applyFont="1" applyFill="1" applyBorder="1"/>
    <xf numFmtId="0" fontId="0" fillId="2" borderId="2" xfId="0" applyFill="1" applyBorder="1"/>
    <xf numFmtId="0" fontId="0" fillId="2" borderId="3" xfId="0" applyFill="1" applyBorder="1"/>
    <xf numFmtId="0" fontId="4"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4" fillId="2" borderId="12"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Border="1" applyAlignment="1">
      <alignment wrapText="1"/>
    </xf>
    <xf numFmtId="0" fontId="4" fillId="0" borderId="5" xfId="0" applyFont="1" applyBorder="1" applyAlignment="1">
      <alignment vertical="top" wrapText="1"/>
    </xf>
    <xf numFmtId="0" fontId="4" fillId="0" borderId="13" xfId="0" applyFont="1" applyBorder="1" applyAlignment="1">
      <alignment vertical="top" wrapText="1"/>
    </xf>
    <xf numFmtId="0" fontId="6" fillId="2" borderId="10" xfId="0" applyFont="1" applyFill="1" applyBorder="1"/>
    <xf numFmtId="0" fontId="4" fillId="2" borderId="2" xfId="0" applyFont="1" applyFill="1" applyBorder="1" applyAlignment="1">
      <alignment vertical="top" wrapText="1"/>
    </xf>
    <xf numFmtId="3" fontId="4" fillId="2" borderId="2" xfId="0" applyNumberFormat="1" applyFont="1" applyFill="1" applyBorder="1" applyAlignment="1">
      <alignment vertical="top" wrapText="1"/>
    </xf>
    <xf numFmtId="3" fontId="4" fillId="2" borderId="14" xfId="0" applyNumberFormat="1" applyFont="1" applyFill="1" applyBorder="1" applyAlignment="1">
      <alignment vertical="top" wrapText="1"/>
    </xf>
    <xf numFmtId="0" fontId="0" fillId="2" borderId="15" xfId="0" applyFill="1" applyBorder="1"/>
    <xf numFmtId="0" fontId="3" fillId="2" borderId="10" xfId="0" applyFont="1" applyFill="1" applyBorder="1"/>
    <xf numFmtId="0" fontId="4" fillId="2" borderId="0" xfId="0" applyFont="1" applyFill="1" applyAlignment="1">
      <alignment vertical="top" wrapText="1"/>
    </xf>
    <xf numFmtId="0" fontId="0" fillId="2" borderId="5" xfId="0" applyFill="1" applyBorder="1"/>
    <xf numFmtId="0" fontId="6" fillId="2" borderId="5" xfId="0" applyFont="1" applyFill="1" applyBorder="1"/>
    <xf numFmtId="0" fontId="7" fillId="0" borderId="0" xfId="0" applyFont="1"/>
    <xf numFmtId="0" fontId="7" fillId="0" borderId="5" xfId="0" applyFont="1" applyBorder="1"/>
    <xf numFmtId="0" fontId="7" fillId="2" borderId="0" xfId="0" applyFont="1" applyFill="1"/>
    <xf numFmtId="0" fontId="6" fillId="2" borderId="0" xfId="0" applyFont="1" applyFill="1"/>
    <xf numFmtId="4" fontId="4" fillId="2" borderId="2" xfId="0" applyNumberFormat="1" applyFont="1" applyFill="1" applyBorder="1"/>
    <xf numFmtId="4" fontId="4" fillId="2" borderId="14" xfId="0" applyNumberFormat="1" applyFont="1" applyFill="1" applyBorder="1"/>
    <xf numFmtId="0" fontId="6" fillId="2" borderId="12" xfId="0" applyFont="1" applyFill="1" applyBorder="1"/>
    <xf numFmtId="0" fontId="7" fillId="2" borderId="5" xfId="0" applyFont="1" applyFill="1" applyBorder="1"/>
    <xf numFmtId="4" fontId="4" fillId="2" borderId="5" xfId="0" applyNumberFormat="1" applyFont="1" applyFill="1" applyBorder="1"/>
    <xf numFmtId="4" fontId="4" fillId="2" borderId="13" xfId="0" applyNumberFormat="1" applyFont="1" applyFill="1" applyBorder="1"/>
    <xf numFmtId="4" fontId="0" fillId="2" borderId="5" xfId="0" applyNumberFormat="1" applyFill="1" applyBorder="1"/>
    <xf numFmtId="0" fontId="0" fillId="0" borderId="5" xfId="0" applyBorder="1"/>
    <xf numFmtId="4" fontId="0" fillId="2" borderId="18" xfId="0" applyNumberFormat="1" applyFill="1" applyBorder="1"/>
    <xf numFmtId="0" fontId="9" fillId="2" borderId="10" xfId="0" applyFont="1" applyFill="1" applyBorder="1"/>
    <xf numFmtId="0" fontId="4" fillId="2" borderId="5" xfId="0" applyFont="1" applyFill="1" applyBorder="1"/>
    <xf numFmtId="4" fontId="4" fillId="2" borderId="19" xfId="0" applyNumberFormat="1" applyFont="1" applyFill="1" applyBorder="1"/>
    <xf numFmtId="0" fontId="4" fillId="2" borderId="10" xfId="0" applyFont="1" applyFill="1" applyBorder="1"/>
    <xf numFmtId="0" fontId="4" fillId="2" borderId="2" xfId="0" applyFont="1" applyFill="1" applyBorder="1"/>
    <xf numFmtId="0" fontId="4" fillId="2" borderId="3" xfId="0" applyFont="1" applyFill="1" applyBorder="1"/>
    <xf numFmtId="4" fontId="4" fillId="0" borderId="16" xfId="0" applyNumberFormat="1" applyFont="1" applyBorder="1"/>
    <xf numFmtId="4" fontId="4" fillId="0" borderId="0" xfId="0" applyNumberFormat="1" applyFont="1"/>
    <xf numFmtId="0" fontId="4" fillId="2" borderId="0" xfId="0" applyFont="1" applyFill="1"/>
    <xf numFmtId="0" fontId="4" fillId="2" borderId="20" xfId="0" applyFont="1" applyFill="1" applyBorder="1" applyAlignment="1">
      <alignment wrapText="1"/>
    </xf>
    <xf numFmtId="0" fontId="4" fillId="2" borderId="6" xfId="0" applyFont="1" applyFill="1" applyBorder="1"/>
    <xf numFmtId="9" fontId="4" fillId="0" borderId="0" xfId="1" applyFont="1" applyFill="1" applyBorder="1"/>
    <xf numFmtId="0" fontId="0" fillId="2" borderId="21" xfId="0" applyFill="1" applyBorder="1"/>
    <xf numFmtId="0" fontId="0" fillId="2" borderId="22" xfId="0" applyFill="1" applyBorder="1"/>
    <xf numFmtId="4" fontId="4" fillId="2" borderId="0" xfId="0" applyNumberFormat="1" applyFont="1" applyFill="1" applyAlignment="1">
      <alignment vertical="top" wrapText="1"/>
    </xf>
    <xf numFmtId="4" fontId="0" fillId="2" borderId="13" xfId="0" applyNumberFormat="1" applyFill="1" applyBorder="1"/>
    <xf numFmtId="4" fontId="0" fillId="2" borderId="17" xfId="0" applyNumberFormat="1" applyFill="1" applyBorder="1"/>
    <xf numFmtId="4" fontId="0" fillId="2" borderId="2" xfId="0" applyNumberFormat="1" applyFill="1" applyBorder="1"/>
    <xf numFmtId="4" fontId="0" fillId="2" borderId="14" xfId="0" applyNumberFormat="1" applyFill="1" applyBorder="1"/>
    <xf numFmtId="4" fontId="0" fillId="2" borderId="0" xfId="0" applyNumberFormat="1" applyFill="1"/>
    <xf numFmtId="4" fontId="0" fillId="2" borderId="11" xfId="0" applyNumberFormat="1" applyFill="1" applyBorder="1"/>
    <xf numFmtId="4" fontId="6" fillId="2" borderId="0" xfId="0" applyNumberFormat="1" applyFont="1" applyFill="1"/>
    <xf numFmtId="4" fontId="6" fillId="2" borderId="5" xfId="0" applyNumberFormat="1" applyFont="1" applyFill="1" applyBorder="1"/>
    <xf numFmtId="10" fontId="4" fillId="0" borderId="4" xfId="1" applyNumberFormat="1" applyFont="1" applyFill="1" applyBorder="1"/>
    <xf numFmtId="10" fontId="4" fillId="0" borderId="5" xfId="1" applyNumberFormat="1" applyFont="1" applyFill="1" applyBorder="1"/>
    <xf numFmtId="10" fontId="6" fillId="2" borderId="0" xfId="0" applyNumberFormat="1" applyFont="1" applyFill="1"/>
    <xf numFmtId="10" fontId="6" fillId="2" borderId="5" xfId="0" applyNumberFormat="1" applyFont="1" applyFill="1" applyBorder="1"/>
    <xf numFmtId="4" fontId="16" fillId="4" borderId="0" xfId="13" applyNumberFormat="1"/>
    <xf numFmtId="4" fontId="16" fillId="4" borderId="5" xfId="13" applyNumberFormat="1" applyBorder="1"/>
    <xf numFmtId="4" fontId="16" fillId="4" borderId="16" xfId="13" applyNumberFormat="1" applyBorder="1"/>
    <xf numFmtId="4" fontId="16" fillId="4" borderId="0" xfId="13" applyNumberFormat="1" applyBorder="1"/>
    <xf numFmtId="10" fontId="16" fillId="4" borderId="0" xfId="13" applyNumberFormat="1"/>
    <xf numFmtId="10" fontId="16" fillId="4" borderId="5" xfId="13" applyNumberFormat="1" applyBorder="1"/>
    <xf numFmtId="4" fontId="16" fillId="4" borderId="2" xfId="13" applyNumberFormat="1" applyBorder="1"/>
    <xf numFmtId="4" fontId="16" fillId="4" borderId="4" xfId="13" applyNumberFormat="1" applyBorder="1"/>
    <xf numFmtId="10" fontId="16" fillId="4" borderId="6" xfId="13" applyNumberFormat="1" applyBorder="1"/>
    <xf numFmtId="4" fontId="16" fillId="4" borderId="11" xfId="13" applyNumberFormat="1" applyBorder="1"/>
    <xf numFmtId="4" fontId="16" fillId="4" borderId="13" xfId="13" applyNumberFormat="1" applyBorder="1"/>
    <xf numFmtId="10" fontId="16" fillId="4" borderId="3" xfId="13" applyNumberFormat="1" applyBorder="1"/>
    <xf numFmtId="10" fontId="16" fillId="4" borderId="20" xfId="13" applyNumberFormat="1" applyBorder="1"/>
    <xf numFmtId="4" fontId="16" fillId="4" borderId="14" xfId="13" applyNumberFormat="1" applyBorder="1"/>
    <xf numFmtId="4" fontId="16" fillId="4" borderId="1" xfId="13" applyNumberFormat="1" applyBorder="1"/>
    <xf numFmtId="3" fontId="4" fillId="2" borderId="0" xfId="0" applyNumberFormat="1" applyFont="1" applyFill="1" applyAlignment="1">
      <alignment vertical="top" wrapText="1"/>
    </xf>
    <xf numFmtId="4" fontId="4" fillId="2" borderId="0" xfId="0" applyNumberFormat="1" applyFont="1" applyFill="1"/>
    <xf numFmtId="4" fontId="16" fillId="2" borderId="0" xfId="13" applyNumberFormat="1" applyFill="1" applyBorder="1"/>
    <xf numFmtId="4" fontId="0" fillId="2" borderId="10" xfId="0" applyNumberFormat="1" applyFill="1" applyBorder="1"/>
    <xf numFmtId="4" fontId="16" fillId="2" borderId="10" xfId="13" applyNumberFormat="1" applyFill="1" applyBorder="1"/>
    <xf numFmtId="4" fontId="6" fillId="2" borderId="10" xfId="0" applyNumberFormat="1" applyFont="1" applyFill="1" applyBorder="1"/>
    <xf numFmtId="4" fontId="4" fillId="2" borderId="10" xfId="0" applyNumberFormat="1" applyFont="1" applyFill="1" applyBorder="1"/>
    <xf numFmtId="10" fontId="4" fillId="2" borderId="10" xfId="1" applyNumberFormat="1" applyFont="1" applyFill="1" applyBorder="1"/>
    <xf numFmtId="9" fontId="4" fillId="2" borderId="10" xfId="1" applyFont="1" applyFill="1" applyBorder="1"/>
    <xf numFmtId="0" fontId="0" fillId="2" borderId="7" xfId="0" applyFill="1" applyBorder="1"/>
    <xf numFmtId="0" fontId="4" fillId="2" borderId="10" xfId="0" applyFont="1" applyFill="1" applyBorder="1" applyAlignment="1">
      <alignment vertical="top" wrapText="1"/>
    </xf>
    <xf numFmtId="0" fontId="4" fillId="2" borderId="0" xfId="0" applyFont="1" applyFill="1" applyAlignment="1">
      <alignment vertical="top"/>
    </xf>
    <xf numFmtId="0" fontId="4" fillId="2" borderId="11" xfId="0" applyFont="1" applyFill="1" applyBorder="1" applyAlignment="1">
      <alignment vertical="top" wrapText="1"/>
    </xf>
    <xf numFmtId="10" fontId="0" fillId="2" borderId="0" xfId="0" applyNumberFormat="1" applyFill="1"/>
    <xf numFmtId="0" fontId="0" fillId="2" borderId="24" xfId="0" applyFill="1" applyBorder="1"/>
    <xf numFmtId="165" fontId="3" fillId="2" borderId="11" xfId="1" applyNumberFormat="1" applyFont="1" applyFill="1" applyBorder="1"/>
    <xf numFmtId="0" fontId="5" fillId="2" borderId="0" xfId="44" applyFont="1" applyFill="1"/>
    <xf numFmtId="0" fontId="1" fillId="2" borderId="0" xfId="44" applyFill="1"/>
    <xf numFmtId="0" fontId="4" fillId="2" borderId="1" xfId="44" applyFont="1" applyFill="1" applyBorder="1"/>
    <xf numFmtId="0" fontId="1" fillId="2" borderId="3" xfId="44" applyFill="1" applyBorder="1"/>
    <xf numFmtId="0" fontId="4" fillId="2" borderId="0" xfId="44" applyFont="1" applyFill="1"/>
    <xf numFmtId="0" fontId="17" fillId="5" borderId="16" xfId="44" applyFont="1" applyFill="1" applyBorder="1" applyAlignment="1">
      <alignment vertical="center"/>
    </xf>
    <xf numFmtId="0" fontId="1" fillId="2" borderId="0" xfId="44" applyFill="1" applyAlignment="1">
      <alignment horizontal="left"/>
    </xf>
    <xf numFmtId="0" fontId="1" fillId="2" borderId="20" xfId="44" applyFill="1" applyBorder="1"/>
    <xf numFmtId="0" fontId="17" fillId="5" borderId="4" xfId="44" applyFont="1" applyFill="1" applyBorder="1" applyAlignment="1">
      <alignment vertical="center"/>
    </xf>
    <xf numFmtId="0" fontId="1" fillId="2" borderId="5" xfId="44" applyFill="1" applyBorder="1"/>
    <xf numFmtId="0" fontId="1" fillId="2" borderId="6" xfId="44" applyFill="1" applyBorder="1"/>
    <xf numFmtId="0" fontId="1" fillId="2" borderId="2" xfId="44" applyFill="1" applyBorder="1"/>
    <xf numFmtId="0" fontId="4" fillId="2" borderId="16" xfId="44" applyFont="1" applyFill="1" applyBorder="1"/>
    <xf numFmtId="0" fontId="8" fillId="2" borderId="0" xfId="44" applyFont="1" applyFill="1"/>
    <xf numFmtId="0" fontId="1" fillId="2" borderId="25" xfId="44" applyFill="1" applyBorder="1"/>
    <xf numFmtId="0" fontId="1" fillId="6" borderId="0" xfId="44" applyFill="1"/>
    <xf numFmtId="0" fontId="1" fillId="7" borderId="0" xfId="44" applyFill="1"/>
    <xf numFmtId="0" fontId="1" fillId="8" borderId="0" xfId="44" applyFill="1"/>
    <xf numFmtId="0" fontId="1" fillId="9" borderId="0" xfId="44" applyFill="1"/>
    <xf numFmtId="0" fontId="1" fillId="2" borderId="16" xfId="44" applyFill="1" applyBorder="1"/>
    <xf numFmtId="0" fontId="1" fillId="10" borderId="0" xfId="44" applyFill="1"/>
    <xf numFmtId="0" fontId="1" fillId="11" borderId="0" xfId="44" applyFill="1"/>
    <xf numFmtId="0" fontId="1" fillId="12" borderId="0" xfId="44" applyFill="1"/>
    <xf numFmtId="0" fontId="1" fillId="13" borderId="0" xfId="44" applyFill="1"/>
    <xf numFmtId="0" fontId="1" fillId="2" borderId="4" xfId="44" applyFill="1" applyBorder="1"/>
    <xf numFmtId="0" fontId="0" fillId="2" borderId="2" xfId="44" applyFont="1" applyFill="1" applyBorder="1"/>
    <xf numFmtId="166" fontId="0" fillId="2" borderId="0" xfId="44" applyNumberFormat="1" applyFont="1" applyFill="1" applyAlignment="1">
      <alignment horizontal="left"/>
    </xf>
    <xf numFmtId="0" fontId="0" fillId="2" borderId="0" xfId="44" applyFont="1" applyFill="1"/>
    <xf numFmtId="0" fontId="1" fillId="2" borderId="0" xfId="44" applyFill="1" applyAlignment="1">
      <alignment wrapText="1"/>
    </xf>
    <xf numFmtId="0" fontId="17" fillId="5" borderId="1" xfId="44" applyFont="1" applyFill="1" applyBorder="1" applyAlignment="1">
      <alignment vertical="top"/>
    </xf>
    <xf numFmtId="0" fontId="4" fillId="2" borderId="2" xfId="44" applyFont="1" applyFill="1" applyBorder="1" applyAlignment="1">
      <alignment wrapText="1"/>
    </xf>
    <xf numFmtId="0" fontId="4" fillId="2" borderId="3" xfId="44" applyFont="1" applyFill="1" applyBorder="1" applyAlignment="1">
      <alignment vertical="top"/>
    </xf>
    <xf numFmtId="0" fontId="17" fillId="5" borderId="16" xfId="44" applyFont="1" applyFill="1" applyBorder="1" applyAlignment="1">
      <alignment vertical="top"/>
    </xf>
    <xf numFmtId="0" fontId="4" fillId="2" borderId="0" xfId="44" applyFont="1" applyFill="1" applyAlignment="1">
      <alignment wrapText="1"/>
    </xf>
    <xf numFmtId="0" fontId="4" fillId="2" borderId="20" xfId="44" applyFont="1" applyFill="1" applyBorder="1" applyAlignment="1">
      <alignment vertical="top"/>
    </xf>
    <xf numFmtId="166" fontId="15" fillId="0" borderId="16" xfId="44" applyNumberFormat="1" applyFont="1" applyBorder="1" applyAlignment="1">
      <alignment horizontal="left" vertical="top"/>
    </xf>
    <xf numFmtId="0" fontId="1" fillId="0" borderId="0" xfId="44" applyAlignment="1">
      <alignment wrapText="1"/>
    </xf>
    <xf numFmtId="2" fontId="1" fillId="0" borderId="20" xfId="44" applyNumberFormat="1" applyBorder="1" applyAlignment="1">
      <alignment vertical="top"/>
    </xf>
    <xf numFmtId="166" fontId="1" fillId="0" borderId="16" xfId="44" applyNumberFormat="1" applyBorder="1" applyAlignment="1">
      <alignment horizontal="left" vertical="top"/>
    </xf>
    <xf numFmtId="0" fontId="1" fillId="0" borderId="16" xfId="44" applyBorder="1" applyAlignment="1">
      <alignment vertical="top"/>
    </xf>
    <xf numFmtId="0" fontId="15" fillId="0" borderId="0" xfId="44" applyFont="1" applyAlignment="1">
      <alignment wrapText="1"/>
    </xf>
    <xf numFmtId="2" fontId="15" fillId="0" borderId="20" xfId="44" applyNumberFormat="1" applyFont="1" applyBorder="1" applyAlignment="1">
      <alignment vertical="top"/>
    </xf>
    <xf numFmtId="166" fontId="1" fillId="0" borderId="4" xfId="44" applyNumberFormat="1" applyBorder="1" applyAlignment="1">
      <alignment horizontal="left" vertical="top"/>
    </xf>
    <xf numFmtId="0" fontId="1" fillId="0" borderId="5" xfId="44" applyBorder="1" applyAlignment="1">
      <alignment wrapText="1"/>
    </xf>
    <xf numFmtId="2" fontId="1" fillId="0" borderId="6" xfId="44" applyNumberFormat="1" applyBorder="1" applyAlignment="1">
      <alignment vertical="top"/>
    </xf>
    <xf numFmtId="0" fontId="1" fillId="2" borderId="0" xfId="44" applyFill="1" applyAlignment="1">
      <alignment vertical="top"/>
    </xf>
    <xf numFmtId="2" fontId="1" fillId="2" borderId="0" xfId="44" applyNumberFormat="1" applyFill="1" applyAlignment="1">
      <alignment vertical="top"/>
    </xf>
    <xf numFmtId="0" fontId="0" fillId="0" borderId="0" xfId="44" applyFont="1" applyAlignment="1">
      <alignment wrapText="1"/>
    </xf>
    <xf numFmtId="164" fontId="1" fillId="2" borderId="0" xfId="44" applyNumberFormat="1" applyFill="1" applyAlignment="1">
      <alignment horizontal="left"/>
    </xf>
    <xf numFmtId="0" fontId="8" fillId="2" borderId="0" xfId="0" applyFont="1" applyFill="1"/>
    <xf numFmtId="10" fontId="0" fillId="0" borderId="0" xfId="45" applyNumberFormat="1" applyFont="1"/>
    <xf numFmtId="10" fontId="0" fillId="0" borderId="0" xfId="0" applyNumberFormat="1"/>
    <xf numFmtId="0" fontId="4" fillId="0" borderId="0" xfId="0" applyFont="1"/>
    <xf numFmtId="0" fontId="8" fillId="0" borderId="0" xfId="0" applyFont="1"/>
    <xf numFmtId="3" fontId="0" fillId="0" borderId="0" xfId="0" applyNumberFormat="1" applyAlignment="1">
      <alignment vertical="top" wrapText="1"/>
    </xf>
    <xf numFmtId="0" fontId="18" fillId="2" borderId="0" xfId="0" applyFont="1" applyFill="1"/>
    <xf numFmtId="167" fontId="0" fillId="0" borderId="0" xfId="0" applyNumberFormat="1"/>
    <xf numFmtId="49" fontId="0" fillId="2" borderId="0" xfId="0" applyNumberFormat="1" applyFill="1"/>
    <xf numFmtId="2" fontId="0" fillId="2" borderId="0" xfId="0" applyNumberFormat="1" applyFill="1"/>
    <xf numFmtId="2" fontId="0" fillId="2" borderId="11" xfId="0" applyNumberFormat="1" applyFill="1" applyBorder="1"/>
    <xf numFmtId="0" fontId="4" fillId="2" borderId="26" xfId="0" applyFont="1" applyFill="1" applyBorder="1" applyAlignment="1">
      <alignment wrapText="1"/>
    </xf>
    <xf numFmtId="1" fontId="0" fillId="2" borderId="0" xfId="0" applyNumberFormat="1" applyFill="1"/>
    <xf numFmtId="1" fontId="4" fillId="2" borderId="22" xfId="0" applyNumberFormat="1" applyFont="1" applyFill="1" applyBorder="1"/>
    <xf numFmtId="0" fontId="0" fillId="2" borderId="9" xfId="0" applyFill="1" applyBorder="1" applyAlignment="1">
      <alignment wrapText="1"/>
    </xf>
    <xf numFmtId="0" fontId="0" fillId="2" borderId="0" xfId="0" applyFill="1" applyAlignment="1">
      <alignment wrapText="1"/>
    </xf>
    <xf numFmtId="0" fontId="0" fillId="2" borderId="8" xfId="0" applyFill="1" applyBorder="1" applyAlignment="1">
      <alignment wrapText="1"/>
    </xf>
    <xf numFmtId="0" fontId="0" fillId="2" borderId="12" xfId="0" applyFill="1" applyBorder="1"/>
    <xf numFmtId="0" fontId="13" fillId="2" borderId="0" xfId="120" applyFill="1"/>
    <xf numFmtId="0" fontId="0" fillId="2" borderId="25" xfId="0" applyFill="1" applyBorder="1"/>
    <xf numFmtId="2" fontId="0" fillId="2" borderId="25" xfId="0" applyNumberFormat="1" applyFill="1" applyBorder="1"/>
    <xf numFmtId="0" fontId="0" fillId="2" borderId="5" xfId="0" applyFill="1" applyBorder="1" applyAlignment="1">
      <alignment wrapText="1"/>
    </xf>
    <xf numFmtId="49" fontId="0" fillId="2" borderId="13" xfId="0" applyNumberFormat="1" applyFill="1" applyBorder="1" applyAlignment="1">
      <alignment wrapText="1"/>
    </xf>
    <xf numFmtId="0" fontId="0" fillId="0" borderId="25" xfId="0" applyBorder="1"/>
    <xf numFmtId="0" fontId="4" fillId="2" borderId="8" xfId="0" applyFont="1" applyFill="1" applyBorder="1"/>
    <xf numFmtId="0" fontId="7" fillId="2" borderId="10" xfId="0" applyFont="1" applyFill="1" applyBorder="1"/>
    <xf numFmtId="2" fontId="0" fillId="2" borderId="22" xfId="0" applyNumberFormat="1" applyFill="1" applyBorder="1"/>
    <xf numFmtId="0" fontId="4" fillId="2" borderId="27" xfId="0" applyFont="1" applyFill="1" applyBorder="1"/>
    <xf numFmtId="0" fontId="4" fillId="2" borderId="26" xfId="0" applyFont="1" applyFill="1" applyBorder="1"/>
    <xf numFmtId="0" fontId="0" fillId="2" borderId="30" xfId="0" applyFill="1" applyBorder="1" applyAlignment="1">
      <alignment wrapText="1"/>
    </xf>
    <xf numFmtId="0" fontId="0" fillId="2" borderId="6" xfId="0" applyFill="1" applyBorder="1" applyAlignment="1">
      <alignment wrapText="1"/>
    </xf>
    <xf numFmtId="2" fontId="0" fillId="2" borderId="20" xfId="0" applyNumberFormat="1" applyFill="1" applyBorder="1"/>
    <xf numFmtId="1" fontId="0" fillId="2" borderId="20" xfId="0" applyNumberFormat="1" applyFill="1" applyBorder="1"/>
    <xf numFmtId="2" fontId="0" fillId="2" borderId="31" xfId="0" applyNumberFormat="1" applyFill="1" applyBorder="1"/>
    <xf numFmtId="167" fontId="0" fillId="2" borderId="10" xfId="0" applyNumberFormat="1" applyFill="1" applyBorder="1"/>
    <xf numFmtId="9" fontId="0" fillId="2" borderId="0" xfId="1" applyFont="1" applyFill="1"/>
    <xf numFmtId="11" fontId="0" fillId="2" borderId="0" xfId="0" applyNumberFormat="1" applyFill="1"/>
    <xf numFmtId="165" fontId="0" fillId="2" borderId="0" xfId="0" applyNumberFormat="1" applyFill="1"/>
    <xf numFmtId="3" fontId="16" fillId="4" borderId="25" xfId="13" applyNumberFormat="1" applyBorder="1"/>
    <xf numFmtId="4" fontId="16" fillId="4" borderId="32" xfId="13" applyNumberFormat="1" applyBorder="1"/>
    <xf numFmtId="0" fontId="7" fillId="0" borderId="1" xfId="0" applyFont="1" applyBorder="1"/>
    <xf numFmtId="0" fontId="7" fillId="0" borderId="16" xfId="0" applyFont="1" applyBorder="1"/>
    <xf numFmtId="0" fontId="7" fillId="0" borderId="4" xfId="0" applyFont="1" applyBorder="1"/>
    <xf numFmtId="168" fontId="0" fillId="2" borderId="0" xfId="0" applyNumberFormat="1" applyFill="1"/>
    <xf numFmtId="167" fontId="0" fillId="2" borderId="0" xfId="0" applyNumberFormat="1" applyFill="1"/>
    <xf numFmtId="9" fontId="0" fillId="2" borderId="0" xfId="0" applyNumberFormat="1" applyFill="1"/>
    <xf numFmtId="2" fontId="4" fillId="2" borderId="0" xfId="0" applyNumberFormat="1" applyFont="1" applyFill="1"/>
    <xf numFmtId="0" fontId="4" fillId="2" borderId="28" xfId="0" applyFont="1" applyFill="1" applyBorder="1"/>
    <xf numFmtId="0" fontId="0" fillId="2" borderId="33" xfId="0" applyFill="1" applyBorder="1"/>
    <xf numFmtId="0" fontId="7" fillId="2" borderId="34" xfId="0" applyFont="1" applyFill="1" applyBorder="1"/>
    <xf numFmtId="0" fontId="0" fillId="0" borderId="22" xfId="0" applyBorder="1"/>
    <xf numFmtId="2" fontId="15" fillId="0" borderId="0" xfId="0" applyNumberFormat="1" applyFont="1"/>
    <xf numFmtId="4" fontId="8" fillId="0" borderId="0" xfId="0" applyNumberFormat="1" applyFont="1"/>
    <xf numFmtId="2" fontId="3" fillId="0" borderId="0" xfId="0" applyNumberFormat="1" applyFont="1"/>
    <xf numFmtId="9" fontId="0" fillId="0" borderId="11" xfId="1" applyFont="1" applyFill="1" applyBorder="1"/>
    <xf numFmtId="2" fontId="0" fillId="0" borderId="22" xfId="0" applyNumberFormat="1" applyBorder="1"/>
    <xf numFmtId="9" fontId="0" fillId="0" borderId="24" xfId="1" applyFont="1" applyFill="1" applyBorder="1"/>
    <xf numFmtId="168" fontId="0" fillId="2" borderId="25" xfId="0" applyNumberFormat="1" applyFill="1" applyBorder="1"/>
    <xf numFmtId="0" fontId="19" fillId="0" borderId="0" xfId="0" applyFont="1"/>
    <xf numFmtId="10" fontId="19" fillId="0" borderId="0" xfId="0" applyNumberFormat="1" applyFont="1"/>
    <xf numFmtId="169" fontId="0" fillId="2" borderId="0" xfId="0" applyNumberFormat="1" applyFill="1"/>
    <xf numFmtId="167" fontId="0" fillId="2" borderId="25" xfId="0" applyNumberFormat="1" applyFill="1" applyBorder="1"/>
    <xf numFmtId="170" fontId="0" fillId="2" borderId="0" xfId="0" applyNumberFormat="1" applyFill="1"/>
    <xf numFmtId="171" fontId="0" fillId="2" borderId="0" xfId="0" applyNumberFormat="1" applyFill="1"/>
    <xf numFmtId="2" fontId="18" fillId="2" borderId="0" xfId="0" applyNumberFormat="1" applyFont="1" applyFill="1"/>
    <xf numFmtId="167" fontId="0" fillId="2" borderId="11" xfId="0" applyNumberFormat="1" applyFill="1" applyBorder="1"/>
    <xf numFmtId="0" fontId="4" fillId="2" borderId="5" xfId="0" applyFont="1" applyFill="1" applyBorder="1" applyAlignment="1">
      <alignment vertical="center" wrapText="1"/>
    </xf>
    <xf numFmtId="0" fontId="4" fillId="2" borderId="13" xfId="0" applyFont="1" applyFill="1" applyBorder="1" applyAlignment="1">
      <alignment vertical="center" wrapText="1"/>
    </xf>
    <xf numFmtId="167" fontId="0" fillId="2" borderId="22" xfId="0" applyNumberFormat="1" applyFill="1" applyBorder="1"/>
    <xf numFmtId="167" fontId="0" fillId="2" borderId="24" xfId="0" applyNumberFormat="1" applyFill="1" applyBorder="1"/>
    <xf numFmtId="2" fontId="4" fillId="2" borderId="11" xfId="0" applyNumberFormat="1" applyFont="1" applyFill="1" applyBorder="1"/>
    <xf numFmtId="2" fontId="0" fillId="2" borderId="3" xfId="0" applyNumberFormat="1" applyFill="1" applyBorder="1"/>
    <xf numFmtId="49" fontId="0" fillId="2" borderId="5" xfId="0" applyNumberFormat="1" applyFill="1" applyBorder="1"/>
    <xf numFmtId="49" fontId="0" fillId="2" borderId="0" xfId="0" applyNumberFormat="1" applyFill="1" applyAlignment="1">
      <alignment wrapText="1"/>
    </xf>
    <xf numFmtId="0" fontId="0" fillId="2" borderId="13" xfId="0" applyFill="1" applyBorder="1" applyAlignment="1">
      <alignment wrapText="1"/>
    </xf>
    <xf numFmtId="10" fontId="0" fillId="2" borderId="0" xfId="1" applyNumberFormat="1" applyFont="1" applyFill="1"/>
    <xf numFmtId="172" fontId="0" fillId="2" borderId="0" xfId="1" applyNumberFormat="1" applyFont="1" applyFill="1"/>
    <xf numFmtId="173" fontId="0" fillId="2" borderId="0" xfId="0" applyNumberFormat="1" applyFill="1"/>
    <xf numFmtId="4" fontId="4" fillId="2" borderId="11" xfId="0" applyNumberFormat="1" applyFont="1" applyFill="1" applyBorder="1"/>
    <xf numFmtId="0" fontId="0" fillId="0" borderId="35" xfId="0" applyBorder="1"/>
    <xf numFmtId="0" fontId="0" fillId="0" borderId="11" xfId="0" applyBorder="1"/>
    <xf numFmtId="0" fontId="0" fillId="0" borderId="29" xfId="0" applyBorder="1"/>
    <xf numFmtId="0" fontId="0" fillId="7" borderId="25" xfId="0" applyFill="1" applyBorder="1"/>
    <xf numFmtId="4" fontId="0" fillId="7" borderId="25" xfId="0" applyNumberFormat="1" applyFill="1" applyBorder="1" applyAlignment="1">
      <alignment vertical="top" wrapText="1"/>
    </xf>
    <xf numFmtId="10" fontId="0" fillId="7" borderId="0" xfId="45" applyNumberFormat="1" applyFont="1" applyFill="1"/>
    <xf numFmtId="10" fontId="0" fillId="7" borderId="0" xfId="0" applyNumberFormat="1" applyFill="1"/>
    <xf numFmtId="1" fontId="0" fillId="0" borderId="0" xfId="0" applyNumberFormat="1"/>
    <xf numFmtId="2" fontId="0" fillId="0" borderId="0" xfId="0" applyNumberFormat="1"/>
    <xf numFmtId="0" fontId="11" fillId="0" borderId="0" xfId="0" applyFont="1"/>
    <xf numFmtId="0" fontId="20" fillId="0" borderId="0" xfId="0" applyFont="1"/>
    <xf numFmtId="175" fontId="11" fillId="0" borderId="0" xfId="0" applyNumberFormat="1" applyFont="1"/>
    <xf numFmtId="0" fontId="11" fillId="14" borderId="36" xfId="0" applyFont="1" applyFill="1" applyBorder="1"/>
    <xf numFmtId="0" fontId="11" fillId="14" borderId="37" xfId="0" applyFont="1" applyFill="1" applyBorder="1"/>
    <xf numFmtId="0" fontId="11" fillId="14" borderId="38" xfId="0" applyFont="1" applyFill="1" applyBorder="1"/>
    <xf numFmtId="174" fontId="11" fillId="0" borderId="39" xfId="0" applyNumberFormat="1" applyFont="1" applyBorder="1"/>
    <xf numFmtId="0" fontId="22" fillId="2" borderId="0" xfId="0" applyFont="1" applyFill="1"/>
    <xf numFmtId="3" fontId="0" fillId="7" borderId="25" xfId="0" applyNumberFormat="1" applyFill="1" applyBorder="1"/>
    <xf numFmtId="0" fontId="23" fillId="0" borderId="0" xfId="0" applyFont="1"/>
    <xf numFmtId="0" fontId="13" fillId="0" borderId="0" xfId="120"/>
    <xf numFmtId="0" fontId="24" fillId="0" borderId="0" xfId="0" applyFont="1"/>
    <xf numFmtId="10" fontId="25" fillId="0" borderId="0" xfId="0" applyNumberFormat="1" applyFont="1"/>
    <xf numFmtId="9" fontId="0" fillId="0" borderId="0" xfId="123" applyFont="1"/>
    <xf numFmtId="9" fontId="0" fillId="0" borderId="0" xfId="0" applyNumberFormat="1"/>
    <xf numFmtId="176" fontId="0" fillId="0" borderId="0" xfId="124" applyFont="1"/>
    <xf numFmtId="0" fontId="0" fillId="0" borderId="43" xfId="0" applyBorder="1"/>
    <xf numFmtId="0" fontId="4" fillId="0" borderId="43" xfId="0" applyFont="1" applyBorder="1"/>
    <xf numFmtId="9" fontId="0" fillId="0" borderId="0" xfId="1" applyFont="1"/>
    <xf numFmtId="177" fontId="3" fillId="2" borderId="10" xfId="0" applyNumberFormat="1" applyFont="1" applyFill="1" applyBorder="1" applyAlignment="1">
      <alignment horizontal="left"/>
    </xf>
    <xf numFmtId="178" fontId="16" fillId="4" borderId="0" xfId="13" applyNumberFormat="1" applyBorder="1"/>
    <xf numFmtId="178" fontId="16" fillId="4" borderId="4" xfId="13" applyNumberFormat="1" applyBorder="1"/>
    <xf numFmtId="165" fontId="3" fillId="2" borderId="11" xfId="0" applyNumberFormat="1" applyFont="1" applyFill="1" applyBorder="1"/>
    <xf numFmtId="0" fontId="26" fillId="0" borderId="0" xfId="0" applyFont="1"/>
    <xf numFmtId="9" fontId="26" fillId="0" borderId="0" xfId="123" applyFont="1"/>
    <xf numFmtId="9" fontId="26" fillId="0" borderId="0" xfId="0" applyNumberFormat="1" applyFont="1"/>
    <xf numFmtId="10" fontId="26" fillId="0" borderId="0" xfId="0" applyNumberFormat="1" applyFont="1"/>
    <xf numFmtId="2" fontId="26" fillId="0" borderId="44" xfId="0" applyNumberFormat="1" applyFont="1" applyBorder="1"/>
    <xf numFmtId="1" fontId="26" fillId="0" borderId="0" xfId="0" applyNumberFormat="1" applyFont="1"/>
    <xf numFmtId="0" fontId="4" fillId="0" borderId="45" xfId="0" applyFont="1" applyBorder="1"/>
    <xf numFmtId="0" fontId="4" fillId="0" borderId="46" xfId="0" applyFont="1" applyBorder="1"/>
    <xf numFmtId="0" fontId="4" fillId="0" borderId="47" xfId="0" applyFont="1" applyBorder="1"/>
    <xf numFmtId="0" fontId="0" fillId="0" borderId="16" xfId="0" applyBorder="1"/>
    <xf numFmtId="9" fontId="0" fillId="0" borderId="0" xfId="123" applyFont="1" applyBorder="1"/>
    <xf numFmtId="0" fontId="0" fillId="0" borderId="20" xfId="0" applyBorder="1"/>
    <xf numFmtId="0" fontId="0" fillId="0" borderId="48" xfId="0" applyBorder="1"/>
    <xf numFmtId="0" fontId="0" fillId="0" borderId="49" xfId="0" applyBorder="1"/>
    <xf numFmtId="9" fontId="0" fillId="0" borderId="49" xfId="123" applyFont="1" applyBorder="1"/>
    <xf numFmtId="9" fontId="0" fillId="0" borderId="49" xfId="0" applyNumberFormat="1" applyBorder="1"/>
    <xf numFmtId="0" fontId="0" fillId="0" borderId="50" xfId="0" applyBorder="1"/>
    <xf numFmtId="0" fontId="0" fillId="0" borderId="45" xfId="0" applyBorder="1"/>
    <xf numFmtId="0" fontId="0" fillId="0" borderId="46" xfId="0" applyBorder="1"/>
    <xf numFmtId="0" fontId="0" fillId="0" borderId="47" xfId="0" applyBorder="1"/>
    <xf numFmtId="169" fontId="0" fillId="0" borderId="44" xfId="0" applyNumberFormat="1" applyBorder="1"/>
    <xf numFmtId="169" fontId="4" fillId="0" borderId="0" xfId="0" applyNumberFormat="1" applyFont="1"/>
    <xf numFmtId="169" fontId="0" fillId="0" borderId="0" xfId="0" applyNumberFormat="1"/>
    <xf numFmtId="2" fontId="26" fillId="0" borderId="0" xfId="0" applyNumberFormat="1" applyFont="1"/>
    <xf numFmtId="0" fontId="27" fillId="0" borderId="0" xfId="0" applyFont="1"/>
    <xf numFmtId="0" fontId="22" fillId="0" borderId="0" xfId="0" applyFont="1"/>
    <xf numFmtId="0" fontId="28" fillId="0" borderId="0" xfId="0" applyFont="1"/>
    <xf numFmtId="3" fontId="26" fillId="0" borderId="25" xfId="0" applyNumberFormat="1" applyFont="1" applyBorder="1"/>
    <xf numFmtId="0" fontId="3" fillId="0" borderId="40" xfId="0" applyFont="1" applyBorder="1"/>
    <xf numFmtId="0" fontId="3" fillId="0" borderId="41" xfId="0" applyFont="1" applyBorder="1"/>
    <xf numFmtId="0" fontId="3" fillId="0" borderId="42" xfId="0" applyFont="1" applyBorder="1"/>
    <xf numFmtId="179" fontId="26" fillId="0" borderId="0" xfId="0" applyNumberFormat="1" applyFont="1"/>
    <xf numFmtId="4" fontId="16" fillId="4" borderId="49" xfId="13" applyNumberFormat="1" applyBorder="1"/>
    <xf numFmtId="0" fontId="29" fillId="15" borderId="51" xfId="125"/>
    <xf numFmtId="168" fontId="29" fillId="15" borderId="51" xfId="125" applyNumberFormat="1"/>
    <xf numFmtId="0" fontId="0" fillId="2" borderId="16" xfId="44" applyFont="1" applyFill="1" applyBorder="1" applyAlignment="1">
      <alignment horizontal="left" vertical="top" wrapText="1"/>
    </xf>
    <xf numFmtId="0" fontId="0" fillId="2" borderId="0" xfId="44" applyFont="1" applyFill="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cellXfs>
  <cellStyles count="126">
    <cellStyle name="Comma 2" xfId="124" xr:uid="{0E670677-5C94-A942-96CF-5E2F79868DF3}"/>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2"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cellStyle name="Input cel" xfId="2" xr:uid="{00000000-0005-0000-0000-000072000000}"/>
    <cellStyle name="Normal" xfId="0" builtinId="0"/>
    <cellStyle name="Normal 2" xfId="3" xr:uid="{00000000-0005-0000-0000-000074000000}"/>
    <cellStyle name="Normal 2 2" xfId="44" xr:uid="{00000000-0005-0000-0000-000075000000}"/>
    <cellStyle name="Output" xfId="125" builtinId="21"/>
    <cellStyle name="Per cent" xfId="1" builtinId="5"/>
    <cellStyle name="Per cent 2" xfId="123" xr:uid="{445082A1-9886-B24E-B1AC-0844AC47CCD8}"/>
    <cellStyle name="Percent 2" xfId="4" xr:uid="{00000000-0005-0000-0000-000077000000}"/>
    <cellStyle name="Percent 3" xfId="5" xr:uid="{00000000-0005-0000-0000-000078000000}"/>
    <cellStyle name="Percent 4" xfId="45" xr:uid="{00000000-0005-0000-0000-000079000000}"/>
    <cellStyle name="Warning Text 3" xfId="6" xr:uid="{00000000-0005-0000-0000-00007A000000}"/>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Heat</a:t>
            </a:r>
            <a:r>
              <a:rPr lang="en-GB" baseline="0"/>
              <a:t> demand reduction vs. EPI for built environment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1"/>
          <c:order val="0"/>
          <c:tx>
            <c:strRef>
              <c:f>'Housing type &amp; insulation (old)'!$D$38</c:f>
              <c:strCache>
                <c:ptCount val="1"/>
                <c:pt idx="0">
                  <c:v>Detached</c:v>
                </c:pt>
              </c:strCache>
            </c:strRef>
          </c:tx>
          <c:spPr>
            <a:ln w="28575" cap="rnd">
              <a:solidFill>
                <a:schemeClr val="accent2"/>
              </a:solidFill>
              <a:round/>
            </a:ln>
            <a:effectLst/>
          </c:spPr>
          <c:marker>
            <c:symbol val="none"/>
          </c:marker>
          <c:cat>
            <c:strRef>
              <c:f>('Housing type &amp; insulation (old)'!$B$38,'Housing type &amp; insulation (old)'!$B$48)</c:f>
              <c:strCache>
                <c:ptCount val="1"/>
                <c:pt idx="0">
                  <c:v>x</c:v>
                </c:pt>
              </c:strCache>
            </c:strRef>
          </c:cat>
          <c:val>
            <c:numRef>
              <c:f>'Housing type &amp; insulation (old)'!$D$39:$D$48</c:f>
              <c:numCache>
                <c:formatCode>0%</c:formatCode>
                <c:ptCount val="10"/>
                <c:pt idx="0">
                  <c:v>0</c:v>
                </c:pt>
                <c:pt idx="1">
                  <c:v>0.04</c:v>
                </c:pt>
                <c:pt idx="2">
                  <c:v>7.0000000000000007E-2</c:v>
                </c:pt>
                <c:pt idx="3">
                  <c:v>0.11</c:v>
                </c:pt>
                <c:pt idx="4">
                  <c:v>0.17</c:v>
                </c:pt>
                <c:pt idx="5">
                  <c:v>0.24</c:v>
                </c:pt>
                <c:pt idx="6">
                  <c:v>0.37</c:v>
                </c:pt>
                <c:pt idx="7">
                  <c:v>0.5</c:v>
                </c:pt>
                <c:pt idx="8">
                  <c:v>0.59</c:v>
                </c:pt>
                <c:pt idx="9">
                  <c:v>0.67</c:v>
                </c:pt>
              </c:numCache>
            </c:numRef>
          </c:val>
          <c:smooth val="0"/>
          <c:extLst>
            <c:ext xmlns:c16="http://schemas.microsoft.com/office/drawing/2014/chart" uri="{C3380CC4-5D6E-409C-BE32-E72D297353CC}">
              <c16:uniqueId val="{00000000-8806-874A-AE6E-887836FCC9A0}"/>
            </c:ext>
          </c:extLst>
        </c:ser>
        <c:ser>
          <c:idx val="2"/>
          <c:order val="1"/>
          <c:tx>
            <c:strRef>
              <c:f>'Housing type &amp; insulation (old)'!$E$38</c:f>
              <c:strCache>
                <c:ptCount val="1"/>
                <c:pt idx="0">
                  <c:v>Corner</c:v>
                </c:pt>
              </c:strCache>
            </c:strRef>
          </c:tx>
          <c:spPr>
            <a:ln w="28575" cap="rnd">
              <a:solidFill>
                <a:schemeClr val="accent3"/>
              </a:solidFill>
              <a:round/>
            </a:ln>
            <a:effectLst/>
          </c:spPr>
          <c:marker>
            <c:symbol val="none"/>
          </c:marker>
          <c:cat>
            <c:strRef>
              <c:f>('Housing type &amp; insulation (old)'!$B$38,'Housing type &amp; insulation (old)'!$B$48)</c:f>
              <c:strCache>
                <c:ptCount val="1"/>
                <c:pt idx="0">
                  <c:v>x</c:v>
                </c:pt>
              </c:strCache>
            </c:strRef>
          </c:cat>
          <c:val>
            <c:numRef>
              <c:f>'Housing type &amp; insulation (old)'!$E$39:$E$48</c:f>
              <c:numCache>
                <c:formatCode>0%</c:formatCode>
                <c:ptCount val="10"/>
                <c:pt idx="0">
                  <c:v>0</c:v>
                </c:pt>
                <c:pt idx="1">
                  <c:v>0.03</c:v>
                </c:pt>
                <c:pt idx="2">
                  <c:v>0.05</c:v>
                </c:pt>
                <c:pt idx="3">
                  <c:v>0.13</c:v>
                </c:pt>
                <c:pt idx="4">
                  <c:v>0.21</c:v>
                </c:pt>
                <c:pt idx="5">
                  <c:v>0.28999999999999998</c:v>
                </c:pt>
                <c:pt idx="6">
                  <c:v>0.35</c:v>
                </c:pt>
                <c:pt idx="7">
                  <c:v>0.42</c:v>
                </c:pt>
                <c:pt idx="8">
                  <c:v>0.55000000000000004</c:v>
                </c:pt>
                <c:pt idx="9">
                  <c:v>0.69</c:v>
                </c:pt>
              </c:numCache>
            </c:numRef>
          </c:val>
          <c:smooth val="0"/>
          <c:extLst>
            <c:ext xmlns:c16="http://schemas.microsoft.com/office/drawing/2014/chart" uri="{C3380CC4-5D6E-409C-BE32-E72D297353CC}">
              <c16:uniqueId val="{00000001-8806-874A-AE6E-887836FCC9A0}"/>
            </c:ext>
          </c:extLst>
        </c:ser>
        <c:ser>
          <c:idx val="3"/>
          <c:order val="2"/>
          <c:tx>
            <c:strRef>
              <c:f>'Housing type &amp; insulation (old)'!$F$38</c:f>
              <c:strCache>
                <c:ptCount val="1"/>
                <c:pt idx="0">
                  <c:v>Terraced</c:v>
                </c:pt>
              </c:strCache>
            </c:strRef>
          </c:tx>
          <c:spPr>
            <a:ln w="28575" cap="rnd">
              <a:solidFill>
                <a:schemeClr val="accent4"/>
              </a:solidFill>
              <a:round/>
            </a:ln>
            <a:effectLst/>
          </c:spPr>
          <c:marker>
            <c:symbol val="none"/>
          </c:marker>
          <c:cat>
            <c:strRef>
              <c:f>('Housing type &amp; insulation (old)'!$B$38,'Housing type &amp; insulation (old)'!$B$48)</c:f>
              <c:strCache>
                <c:ptCount val="1"/>
                <c:pt idx="0">
                  <c:v>x</c:v>
                </c:pt>
              </c:strCache>
            </c:strRef>
          </c:cat>
          <c:val>
            <c:numRef>
              <c:f>'Housing type &amp; insulation (old)'!$F$39:$F$48</c:f>
              <c:numCache>
                <c:formatCode>0%</c:formatCode>
                <c:ptCount val="10"/>
                <c:pt idx="0">
                  <c:v>0</c:v>
                </c:pt>
                <c:pt idx="1">
                  <c:v>0.03</c:v>
                </c:pt>
                <c:pt idx="2">
                  <c:v>0.05</c:v>
                </c:pt>
                <c:pt idx="3">
                  <c:v>0.13</c:v>
                </c:pt>
                <c:pt idx="4">
                  <c:v>0.21</c:v>
                </c:pt>
                <c:pt idx="5">
                  <c:v>0.28999999999999998</c:v>
                </c:pt>
                <c:pt idx="6">
                  <c:v>0.37</c:v>
                </c:pt>
                <c:pt idx="7">
                  <c:v>0.46</c:v>
                </c:pt>
                <c:pt idx="8">
                  <c:v>0.56999999999999995</c:v>
                </c:pt>
                <c:pt idx="9">
                  <c:v>0.69</c:v>
                </c:pt>
              </c:numCache>
            </c:numRef>
          </c:val>
          <c:smooth val="0"/>
          <c:extLst>
            <c:ext xmlns:c16="http://schemas.microsoft.com/office/drawing/2014/chart" uri="{C3380CC4-5D6E-409C-BE32-E72D297353CC}">
              <c16:uniqueId val="{00000002-8806-874A-AE6E-887836FCC9A0}"/>
            </c:ext>
          </c:extLst>
        </c:ser>
        <c:ser>
          <c:idx val="4"/>
          <c:order val="3"/>
          <c:tx>
            <c:strRef>
              <c:f>'Housing type &amp; insulation (old)'!$G$38</c:f>
              <c:strCache>
                <c:ptCount val="1"/>
                <c:pt idx="0">
                  <c:v>Semi-detached</c:v>
                </c:pt>
              </c:strCache>
            </c:strRef>
          </c:tx>
          <c:spPr>
            <a:ln w="28575" cap="rnd">
              <a:solidFill>
                <a:schemeClr val="accent5"/>
              </a:solidFill>
              <a:round/>
            </a:ln>
            <a:effectLst/>
          </c:spPr>
          <c:marker>
            <c:symbol val="none"/>
          </c:marker>
          <c:cat>
            <c:strRef>
              <c:f>('Housing type &amp; insulation (old)'!$B$38,'Housing type &amp; insulation (old)'!$B$48)</c:f>
              <c:strCache>
                <c:ptCount val="1"/>
                <c:pt idx="0">
                  <c:v>x</c:v>
                </c:pt>
              </c:strCache>
            </c:strRef>
          </c:cat>
          <c:val>
            <c:numRef>
              <c:f>'Housing type &amp; insulation (old)'!$G$39:$G$48</c:f>
              <c:numCache>
                <c:formatCode>0%</c:formatCode>
                <c:ptCount val="10"/>
                <c:pt idx="0">
                  <c:v>0</c:v>
                </c:pt>
                <c:pt idx="1">
                  <c:v>0.04</c:v>
                </c:pt>
                <c:pt idx="2">
                  <c:v>0.09</c:v>
                </c:pt>
                <c:pt idx="3">
                  <c:v>0.13</c:v>
                </c:pt>
                <c:pt idx="4">
                  <c:v>0.18</c:v>
                </c:pt>
                <c:pt idx="5">
                  <c:v>0.28999999999999998</c:v>
                </c:pt>
                <c:pt idx="6">
                  <c:v>0.4</c:v>
                </c:pt>
                <c:pt idx="7">
                  <c:v>0.5</c:v>
                </c:pt>
                <c:pt idx="8">
                  <c:v>0.6</c:v>
                </c:pt>
                <c:pt idx="9">
                  <c:v>0.69</c:v>
                </c:pt>
              </c:numCache>
            </c:numRef>
          </c:val>
          <c:smooth val="0"/>
          <c:extLst>
            <c:ext xmlns:c16="http://schemas.microsoft.com/office/drawing/2014/chart" uri="{C3380CC4-5D6E-409C-BE32-E72D297353CC}">
              <c16:uniqueId val="{00000003-8806-874A-AE6E-887836FCC9A0}"/>
            </c:ext>
          </c:extLst>
        </c:ser>
        <c:ser>
          <c:idx val="5"/>
          <c:order val="4"/>
          <c:tx>
            <c:strRef>
              <c:f>'Housing type &amp; insulation (old)'!$H$38</c:f>
              <c:strCache>
                <c:ptCount val="1"/>
                <c:pt idx="0">
                  <c:v>Apartement</c:v>
                </c:pt>
              </c:strCache>
            </c:strRef>
          </c:tx>
          <c:spPr>
            <a:ln w="28575" cap="rnd">
              <a:solidFill>
                <a:schemeClr val="accent6"/>
              </a:solidFill>
              <a:round/>
            </a:ln>
            <a:effectLst/>
          </c:spPr>
          <c:marker>
            <c:symbol val="none"/>
          </c:marker>
          <c:cat>
            <c:strRef>
              <c:f>('Housing type &amp; insulation (old)'!$B$38,'Housing type &amp; insulation (old)'!$B$48)</c:f>
              <c:strCache>
                <c:ptCount val="1"/>
                <c:pt idx="0">
                  <c:v>x</c:v>
                </c:pt>
              </c:strCache>
            </c:strRef>
          </c:cat>
          <c:val>
            <c:numRef>
              <c:f>'Housing type &amp; insulation (old)'!$H$39:$H$48</c:f>
              <c:numCache>
                <c:formatCode>0%</c:formatCode>
                <c:ptCount val="10"/>
                <c:pt idx="0">
                  <c:v>0</c:v>
                </c:pt>
                <c:pt idx="1">
                  <c:v>0.03</c:v>
                </c:pt>
                <c:pt idx="2">
                  <c:v>0.05</c:v>
                </c:pt>
                <c:pt idx="3">
                  <c:v>0.08</c:v>
                </c:pt>
                <c:pt idx="4">
                  <c:v>0.17</c:v>
                </c:pt>
                <c:pt idx="5">
                  <c:v>0.27</c:v>
                </c:pt>
                <c:pt idx="6">
                  <c:v>0.32</c:v>
                </c:pt>
                <c:pt idx="7">
                  <c:v>0.38</c:v>
                </c:pt>
                <c:pt idx="8">
                  <c:v>0.52</c:v>
                </c:pt>
                <c:pt idx="9">
                  <c:v>0.67</c:v>
                </c:pt>
              </c:numCache>
            </c:numRef>
          </c:val>
          <c:smooth val="0"/>
          <c:extLst>
            <c:ext xmlns:c16="http://schemas.microsoft.com/office/drawing/2014/chart" uri="{C3380CC4-5D6E-409C-BE32-E72D297353CC}">
              <c16:uniqueId val="{00000004-8806-874A-AE6E-887836FCC9A0}"/>
            </c:ext>
          </c:extLst>
        </c:ser>
        <c:ser>
          <c:idx val="0"/>
          <c:order val="5"/>
          <c:tx>
            <c:v>lineair</c:v>
          </c:tx>
          <c:spPr>
            <a:ln w="28575" cap="rnd">
              <a:solidFill>
                <a:schemeClr val="accent1"/>
              </a:solidFill>
              <a:round/>
            </a:ln>
            <a:effectLst/>
          </c:spPr>
          <c:marker>
            <c:symbol val="none"/>
          </c:marker>
          <c:val>
            <c:numRef>
              <c:f>'Housing type &amp; insulation (old)'!$C$39:$C$48</c:f>
              <c:numCache>
                <c:formatCode>0%</c:formatCode>
                <c:ptCount val="10"/>
                <c:pt idx="0">
                  <c:v>0</c:v>
                </c:pt>
                <c:pt idx="1">
                  <c:v>7.6666666666666661E-2</c:v>
                </c:pt>
                <c:pt idx="2">
                  <c:v>0.15333333333333332</c:v>
                </c:pt>
                <c:pt idx="3">
                  <c:v>0.22999999999999998</c:v>
                </c:pt>
                <c:pt idx="4">
                  <c:v>0.30666666666666664</c:v>
                </c:pt>
                <c:pt idx="5">
                  <c:v>0.3833333333333333</c:v>
                </c:pt>
                <c:pt idx="6">
                  <c:v>0.45999999999999996</c:v>
                </c:pt>
                <c:pt idx="7">
                  <c:v>0.53666666666666663</c:v>
                </c:pt>
                <c:pt idx="8">
                  <c:v>0.61333333333333329</c:v>
                </c:pt>
                <c:pt idx="9">
                  <c:v>0.69</c:v>
                </c:pt>
              </c:numCache>
            </c:numRef>
          </c:val>
          <c:smooth val="0"/>
          <c:extLst>
            <c:ext xmlns:c16="http://schemas.microsoft.com/office/drawing/2014/chart" uri="{C3380CC4-5D6E-409C-BE32-E72D297353CC}">
              <c16:uniqueId val="{00000005-8806-874A-AE6E-887836FCC9A0}"/>
            </c:ext>
          </c:extLst>
        </c:ser>
        <c:ser>
          <c:idx val="6"/>
          <c:order val="6"/>
          <c:tx>
            <c:strRef>
              <c:f>'Housing type &amp; insulation (old)'!$I$38</c:f>
              <c:strCache>
                <c:ptCount val="1"/>
                <c:pt idx="0">
                  <c:v>Buildings</c:v>
                </c:pt>
              </c:strCache>
            </c:strRef>
          </c:tx>
          <c:spPr>
            <a:ln w="28575" cap="rnd">
              <a:solidFill>
                <a:schemeClr val="accent1">
                  <a:lumMod val="60000"/>
                </a:schemeClr>
              </a:solidFill>
              <a:round/>
            </a:ln>
            <a:effectLst/>
          </c:spPr>
          <c:marker>
            <c:symbol val="none"/>
          </c:marker>
          <c:val>
            <c:numRef>
              <c:f>'Housing type &amp; insulation (old)'!$I$39:$I$48</c:f>
              <c:numCache>
                <c:formatCode>General</c:formatCode>
                <c:ptCount val="10"/>
                <c:pt idx="2" formatCode="0%">
                  <c:v>0</c:v>
                </c:pt>
                <c:pt idx="3" formatCode="0%">
                  <c:v>0.31</c:v>
                </c:pt>
                <c:pt idx="4" formatCode="0%">
                  <c:v>0.46</c:v>
                </c:pt>
                <c:pt idx="5" formatCode="0%">
                  <c:v>0.54</c:v>
                </c:pt>
                <c:pt idx="6" formatCode="0%">
                  <c:v>0.64</c:v>
                </c:pt>
                <c:pt idx="7" formatCode="0%">
                  <c:v>0.74</c:v>
                </c:pt>
              </c:numCache>
            </c:numRef>
          </c:val>
          <c:smooth val="0"/>
          <c:extLst>
            <c:ext xmlns:c16="http://schemas.microsoft.com/office/drawing/2014/chart" uri="{C3380CC4-5D6E-409C-BE32-E72D297353CC}">
              <c16:uniqueId val="{00000006-8806-874A-AE6E-887836FCC9A0}"/>
            </c:ext>
          </c:extLst>
        </c:ser>
        <c:dLbls>
          <c:showLegendKey val="0"/>
          <c:showVal val="0"/>
          <c:showCatName val="0"/>
          <c:showSerName val="0"/>
          <c:showPercent val="0"/>
          <c:showBubbleSize val="0"/>
        </c:dLbls>
        <c:smooth val="0"/>
        <c:axId val="127962991"/>
        <c:axId val="127964639"/>
      </c:lineChart>
      <c:catAx>
        <c:axId val="12796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7964639"/>
        <c:crosses val="autoZero"/>
        <c:auto val="1"/>
        <c:lblAlgn val="ctr"/>
        <c:lblOffset val="100"/>
        <c:noMultiLvlLbl val="0"/>
      </c:catAx>
      <c:valAx>
        <c:axId val="127964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7962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3</xdr:row>
      <xdr:rowOff>63500</xdr:rowOff>
    </xdr:from>
    <xdr:to>
      <xdr:col>9</xdr:col>
      <xdr:colOff>279400</xdr:colOff>
      <xdr:row>16</xdr:row>
      <xdr:rowOff>152400</xdr:rowOff>
    </xdr:to>
    <xdr:pic>
      <xdr:nvPicPr>
        <xdr:cNvPr id="3" name="Picture 2">
          <a:extLst>
            <a:ext uri="{FF2B5EF4-FFF2-40B4-BE49-F238E27FC236}">
              <a16:creationId xmlns:a16="http://schemas.microsoft.com/office/drawing/2014/main" id="{1FE8DAFB-3956-B542-9DE1-9380EDE82C39}"/>
            </a:ext>
          </a:extLst>
        </xdr:cNvPr>
        <xdr:cNvPicPr>
          <a:picLocks noChangeAspect="1"/>
        </xdr:cNvPicPr>
      </xdr:nvPicPr>
      <xdr:blipFill>
        <a:blip xmlns:r="http://schemas.openxmlformats.org/officeDocument/2006/relationships" r:embed="rId1"/>
        <a:stretch>
          <a:fillRect/>
        </a:stretch>
      </xdr:blipFill>
      <xdr:spPr>
        <a:xfrm>
          <a:off x="850900" y="673100"/>
          <a:ext cx="7759700" cy="273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8</xdr:row>
      <xdr:rowOff>76200</xdr:rowOff>
    </xdr:from>
    <xdr:to>
      <xdr:col>12</xdr:col>
      <xdr:colOff>609117</xdr:colOff>
      <xdr:row>27</xdr:row>
      <xdr:rowOff>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5105400" y="1092200"/>
          <a:ext cx="7949717" cy="3784600"/>
        </a:xfrm>
        <a:prstGeom prst="rect">
          <a:avLst/>
        </a:prstGeom>
      </xdr:spPr>
    </xdr:pic>
    <xdr:clientData/>
  </xdr:twoCellAnchor>
  <xdr:twoCellAnchor editAs="oneCell">
    <xdr:from>
      <xdr:col>14</xdr:col>
      <xdr:colOff>0</xdr:colOff>
      <xdr:row>4</xdr:row>
      <xdr:rowOff>0</xdr:rowOff>
    </xdr:from>
    <xdr:to>
      <xdr:col>24</xdr:col>
      <xdr:colOff>673100</xdr:colOff>
      <xdr:row>27</xdr:row>
      <xdr:rowOff>127000</xdr:rowOff>
    </xdr:to>
    <xdr:pic>
      <xdr:nvPicPr>
        <xdr:cNvPr id="2" name="Picture 1">
          <a:extLst>
            <a:ext uri="{FF2B5EF4-FFF2-40B4-BE49-F238E27FC236}">
              <a16:creationId xmlns:a16="http://schemas.microsoft.com/office/drawing/2014/main" id="{89C5FCDF-1709-1445-AF86-FEB9CD117BF6}"/>
            </a:ext>
          </a:extLst>
        </xdr:cNvPr>
        <xdr:cNvPicPr>
          <a:picLocks noChangeAspect="1"/>
        </xdr:cNvPicPr>
      </xdr:nvPicPr>
      <xdr:blipFill>
        <a:blip xmlns:r="http://schemas.openxmlformats.org/officeDocument/2006/relationships" r:embed="rId2"/>
        <a:stretch>
          <a:fillRect/>
        </a:stretch>
      </xdr:blipFill>
      <xdr:spPr>
        <a:xfrm>
          <a:off x="14414500" y="812800"/>
          <a:ext cx="8928100" cy="4800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167104</xdr:colOff>
      <xdr:row>23</xdr:row>
      <xdr:rowOff>0</xdr:rowOff>
    </xdr:from>
    <xdr:to>
      <xdr:col>9</xdr:col>
      <xdr:colOff>249097</xdr:colOff>
      <xdr:row>27</xdr:row>
      <xdr:rowOff>171824</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
        <a:stretch>
          <a:fillRect/>
        </a:stretch>
      </xdr:blipFill>
      <xdr:spPr>
        <a:xfrm>
          <a:off x="7074122" y="5971228"/>
          <a:ext cx="4538133" cy="996210"/>
        </a:xfrm>
        <a:prstGeom prst="rect">
          <a:avLst/>
        </a:prstGeom>
      </xdr:spPr>
    </xdr:pic>
    <xdr:clientData/>
  </xdr:twoCellAnchor>
  <xdr:twoCellAnchor editAs="oneCell">
    <xdr:from>
      <xdr:col>2</xdr:col>
      <xdr:colOff>1499018</xdr:colOff>
      <xdr:row>34</xdr:row>
      <xdr:rowOff>49095</xdr:rowOff>
    </xdr:from>
    <xdr:to>
      <xdr:col>11</xdr:col>
      <xdr:colOff>102426</xdr:colOff>
      <xdr:row>49</xdr:row>
      <xdr:rowOff>70569</xdr:rowOff>
    </xdr:to>
    <xdr:pic>
      <xdr:nvPicPr>
        <xdr:cNvPr id="2" name="Picture 1">
          <a:extLst>
            <a:ext uri="{FF2B5EF4-FFF2-40B4-BE49-F238E27FC236}">
              <a16:creationId xmlns:a16="http://schemas.microsoft.com/office/drawing/2014/main" id="{CDB2C401-874F-3B4A-8B77-A5B8EB8504B3}"/>
            </a:ext>
          </a:extLst>
        </xdr:cNvPr>
        <xdr:cNvPicPr>
          <a:picLocks noChangeAspect="1"/>
        </xdr:cNvPicPr>
      </xdr:nvPicPr>
      <xdr:blipFill>
        <a:blip xmlns:r="http://schemas.openxmlformats.org/officeDocument/2006/relationships" r:embed="rId2"/>
        <a:stretch>
          <a:fillRect/>
        </a:stretch>
      </xdr:blipFill>
      <xdr:spPr>
        <a:xfrm>
          <a:off x="2757878" y="8259534"/>
          <a:ext cx="12294899" cy="30293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114300</xdr:colOff>
      <xdr:row>0</xdr:row>
      <xdr:rowOff>165100</xdr:rowOff>
    </xdr:from>
    <xdr:to>
      <xdr:col>25</xdr:col>
      <xdr:colOff>381000</xdr:colOff>
      <xdr:row>18</xdr:row>
      <xdr:rowOff>177800</xdr:rowOff>
    </xdr:to>
    <xdr:pic>
      <xdr:nvPicPr>
        <xdr:cNvPr id="2" name="Picture 1">
          <a:extLst>
            <a:ext uri="{FF2B5EF4-FFF2-40B4-BE49-F238E27FC236}">
              <a16:creationId xmlns:a16="http://schemas.microsoft.com/office/drawing/2014/main" id="{48820381-6AE8-8345-8297-22DF27A797F6}"/>
            </a:ext>
          </a:extLst>
        </xdr:cNvPr>
        <xdr:cNvPicPr>
          <a:picLocks noChangeAspect="1"/>
        </xdr:cNvPicPr>
      </xdr:nvPicPr>
      <xdr:blipFill>
        <a:blip xmlns:r="http://schemas.openxmlformats.org/officeDocument/2006/relationships" r:embed="rId1"/>
        <a:stretch>
          <a:fillRect/>
        </a:stretch>
      </xdr:blipFill>
      <xdr:spPr>
        <a:xfrm>
          <a:off x="11976100" y="165100"/>
          <a:ext cx="12649200" cy="3606800"/>
        </a:xfrm>
        <a:prstGeom prst="rect">
          <a:avLst/>
        </a:prstGeom>
      </xdr:spPr>
    </xdr:pic>
    <xdr:clientData/>
  </xdr:twoCellAnchor>
  <xdr:twoCellAnchor editAs="oneCell">
    <xdr:from>
      <xdr:col>10</xdr:col>
      <xdr:colOff>190500</xdr:colOff>
      <xdr:row>37</xdr:row>
      <xdr:rowOff>0</xdr:rowOff>
    </xdr:from>
    <xdr:to>
      <xdr:col>25</xdr:col>
      <xdr:colOff>215900</xdr:colOff>
      <xdr:row>57</xdr:row>
      <xdr:rowOff>12700</xdr:rowOff>
    </xdr:to>
    <xdr:pic>
      <xdr:nvPicPr>
        <xdr:cNvPr id="3" name="Picture 2">
          <a:extLst>
            <a:ext uri="{FF2B5EF4-FFF2-40B4-BE49-F238E27FC236}">
              <a16:creationId xmlns:a16="http://schemas.microsoft.com/office/drawing/2014/main" id="{34AD509F-9091-154A-9E09-55A172D3F325}"/>
            </a:ext>
          </a:extLst>
        </xdr:cNvPr>
        <xdr:cNvPicPr>
          <a:picLocks noChangeAspect="1"/>
        </xdr:cNvPicPr>
      </xdr:nvPicPr>
      <xdr:blipFill>
        <a:blip xmlns:r="http://schemas.openxmlformats.org/officeDocument/2006/relationships" r:embed="rId2"/>
        <a:stretch>
          <a:fillRect/>
        </a:stretch>
      </xdr:blipFill>
      <xdr:spPr>
        <a:xfrm>
          <a:off x="9969500" y="5283200"/>
          <a:ext cx="12407900" cy="4076700"/>
        </a:xfrm>
        <a:prstGeom prst="rect">
          <a:avLst/>
        </a:prstGeom>
      </xdr:spPr>
    </xdr:pic>
    <xdr:clientData/>
  </xdr:twoCellAnchor>
  <xdr:twoCellAnchor editAs="oneCell">
    <xdr:from>
      <xdr:col>2</xdr:col>
      <xdr:colOff>368300</xdr:colOff>
      <xdr:row>37</xdr:row>
      <xdr:rowOff>10583</xdr:rowOff>
    </xdr:from>
    <xdr:to>
      <xdr:col>7</xdr:col>
      <xdr:colOff>355600</xdr:colOff>
      <xdr:row>70</xdr:row>
      <xdr:rowOff>29345</xdr:rowOff>
    </xdr:to>
    <xdr:pic>
      <xdr:nvPicPr>
        <xdr:cNvPr id="5" name="Picture 4" descr="image">
          <a:extLst>
            <a:ext uri="{FF2B5EF4-FFF2-40B4-BE49-F238E27FC236}">
              <a16:creationId xmlns:a16="http://schemas.microsoft.com/office/drawing/2014/main" id="{D40C6586-DF7F-F24B-AB94-B246799A41A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43300" y="5293783"/>
          <a:ext cx="5994400" cy="67243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706966</xdr:colOff>
      <xdr:row>50</xdr:row>
      <xdr:rowOff>25400</xdr:rowOff>
    </xdr:from>
    <xdr:to>
      <xdr:col>8</xdr:col>
      <xdr:colOff>829732</xdr:colOff>
      <xdr:row>73</xdr:row>
      <xdr:rowOff>135466</xdr:rowOff>
    </xdr:to>
    <xdr:graphicFrame macro="">
      <xdr:nvGraphicFramePr>
        <xdr:cNvPr id="2" name="Chart 1">
          <a:extLst>
            <a:ext uri="{FF2B5EF4-FFF2-40B4-BE49-F238E27FC236}">
              <a16:creationId xmlns:a16="http://schemas.microsoft.com/office/drawing/2014/main" id="{904BD6D6-34B1-EE4C-9A6D-B79997C1C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0</xdr:row>
      <xdr:rowOff>81280</xdr:rowOff>
    </xdr:from>
    <xdr:to>
      <xdr:col>9</xdr:col>
      <xdr:colOff>497840</xdr:colOff>
      <xdr:row>10</xdr:row>
      <xdr:rowOff>40640</xdr:rowOff>
    </xdr:to>
    <xdr:sp macro="" textlink="">
      <xdr:nvSpPr>
        <xdr:cNvPr id="3" name="TextBox 2">
          <a:extLst>
            <a:ext uri="{FF2B5EF4-FFF2-40B4-BE49-F238E27FC236}">
              <a16:creationId xmlns:a16="http://schemas.microsoft.com/office/drawing/2014/main" id="{F674A236-F9B1-4641-AEE6-253EAC87F2AF}"/>
            </a:ext>
          </a:extLst>
        </xdr:cNvPr>
        <xdr:cNvSpPr txBox="1"/>
      </xdr:nvSpPr>
      <xdr:spPr>
        <a:xfrm>
          <a:off x="60960" y="81280"/>
          <a:ext cx="10718800" cy="1584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a:t>
          </a:r>
          <a:r>
            <a:rPr lang="en-GB" sz="1100" baseline="0"/>
            <a:t> page contains the following data for in the analyses. The red numbers should be copied to the analyses:</a:t>
          </a:r>
        </a:p>
        <a:p>
          <a:r>
            <a:rPr lang="en-GB" sz="1100" baseline="0"/>
            <a:t>1. insulation start values for households and buildings (area_analysis)</a:t>
          </a:r>
        </a:p>
        <a:p>
          <a:r>
            <a:rPr lang="en-GB" sz="1100" baseline="0"/>
            <a:t>2. number of houses per housing type (area_analysis)</a:t>
          </a:r>
        </a:p>
        <a:p>
          <a:r>
            <a:rPr lang="en-GB" sz="1100" baseline="0"/>
            <a:t>3. percentage per housing type (residences_analysis)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4. </a:t>
          </a:r>
          <a:r>
            <a:rPr lang="en-GB" sz="1100" b="0" i="0" u="none" strike="noStrike" baseline="0">
              <a:solidFill>
                <a:schemeClr val="dk1"/>
              </a:solidFill>
              <a:effectLst/>
              <a:latin typeface="+mn-lt"/>
              <a:ea typeface="+mn-ea"/>
              <a:cs typeface="+mn-cs"/>
            </a:rPr>
            <a:t>a</a:t>
          </a:r>
          <a:r>
            <a:rPr lang="en-GB" sz="1100" b="0" i="0" u="none" strike="noStrike">
              <a:solidFill>
                <a:schemeClr val="dk1"/>
              </a:solidFill>
              <a:effectLst/>
              <a:latin typeface="+mn-lt"/>
              <a:ea typeface="+mn-ea"/>
              <a:cs typeface="+mn-cs"/>
            </a:rPr>
            <a:t>verage heat demand per housing type</a:t>
          </a:r>
          <a:r>
            <a:rPr lang="en-GB"/>
            <a:t> </a:t>
          </a:r>
          <a:r>
            <a:rPr lang="en-GB" sz="1100" baseline="0"/>
            <a:t>(residences_analysis)</a:t>
          </a:r>
        </a:p>
        <a:p>
          <a:endParaRPr lang="en-GB" sz="1100"/>
        </a:p>
        <a:p>
          <a:r>
            <a:rPr lang="en-GB" sz="1100"/>
            <a:t>How</a:t>
          </a:r>
          <a:r>
            <a:rPr lang="en-GB" sz="1100" baseline="0"/>
            <a:t> did we calculated this data? (Nora Schinkel &amp; Marlieke Verweij)</a:t>
          </a:r>
          <a:endParaRPr lang="en-GB" sz="1100"/>
        </a:p>
        <a:p>
          <a:r>
            <a:rPr lang="en-GB" sz="1100"/>
            <a:t>- The</a:t>
          </a:r>
          <a:r>
            <a:rPr lang="en-GB" sz="1100" baseline="0"/>
            <a:t> values for insulation and housing types are calculated based on the BAG2019 data (files: residences_bag20200101.csv &amp; services_bag20200101.csv) and energy label data from EPonline (files: v20201001_csv)</a:t>
          </a:r>
        </a:p>
        <a:p>
          <a:r>
            <a:rPr lang="en-GB" sz="1100" baseline="0"/>
            <a:t>- We have used the scripts in this DB folder: </a:t>
          </a:r>
          <a:r>
            <a:rPr lang="en-GB" sz="1100" b="0" i="0">
              <a:solidFill>
                <a:schemeClr val="dk1"/>
              </a:solidFill>
              <a:effectLst/>
              <a:latin typeface="+mn-lt"/>
              <a:ea typeface="+mn-ea"/>
              <a:cs typeface="+mn-cs"/>
            </a:rPr>
            <a:t>Projects/Inactive/2018_projects/201809_Heat_and_regional_energy_transition/Huizenvoorraad en energielabels per regio</a:t>
          </a:r>
          <a:r>
            <a:rPr lang="en-GB" sz="1100" baseline="0"/>
            <a:t> (buildings_data_transformation.ipynb, buildings_data_grouped.ipynb, residence_data_grouped.ipynb, residence_data_transformation.ipynb)</a:t>
          </a:r>
        </a:p>
        <a:p>
          <a:r>
            <a:rPr lang="en-GB" sz="1100" baseline="0"/>
            <a:t>- The output of this script can be pasted below.</a:t>
          </a:r>
          <a:endParaRPr lang="en-GB" sz="1100"/>
        </a:p>
      </xdr:txBody>
    </xdr:sp>
    <xdr:clientData/>
  </xdr:twoCellAnchor>
  <xdr:twoCellAnchor editAs="oneCell">
    <xdr:from>
      <xdr:col>4</xdr:col>
      <xdr:colOff>1046480</xdr:colOff>
      <xdr:row>86</xdr:row>
      <xdr:rowOff>50800</xdr:rowOff>
    </xdr:from>
    <xdr:to>
      <xdr:col>11</xdr:col>
      <xdr:colOff>782320</xdr:colOff>
      <xdr:row>110</xdr:row>
      <xdr:rowOff>184246</xdr:rowOff>
    </xdr:to>
    <xdr:pic>
      <xdr:nvPicPr>
        <xdr:cNvPr id="4" name="Picture 3">
          <a:extLst>
            <a:ext uri="{FF2B5EF4-FFF2-40B4-BE49-F238E27FC236}">
              <a16:creationId xmlns:a16="http://schemas.microsoft.com/office/drawing/2014/main" id="{350AB95F-B1A0-154E-B256-212C27E781D3}"/>
            </a:ext>
          </a:extLst>
        </xdr:cNvPr>
        <xdr:cNvPicPr>
          <a:picLocks noChangeAspect="1"/>
        </xdr:cNvPicPr>
      </xdr:nvPicPr>
      <xdr:blipFill>
        <a:blip xmlns:r="http://schemas.openxmlformats.org/officeDocument/2006/relationships" r:embed="rId2"/>
        <a:stretch>
          <a:fillRect/>
        </a:stretch>
      </xdr:blipFill>
      <xdr:spPr>
        <a:xfrm>
          <a:off x="5344160" y="13279120"/>
          <a:ext cx="7772400" cy="50712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0</xdr:colOff>
      <xdr:row>3</xdr:row>
      <xdr:rowOff>0</xdr:rowOff>
    </xdr:from>
    <xdr:to>
      <xdr:col>13</xdr:col>
      <xdr:colOff>304800</xdr:colOff>
      <xdr:row>4</xdr:row>
      <xdr:rowOff>88900</xdr:rowOff>
    </xdr:to>
    <xdr:sp macro="" textlink="">
      <xdr:nvSpPr>
        <xdr:cNvPr id="2" name="AutoShape 1">
          <a:extLst>
            <a:ext uri="{FF2B5EF4-FFF2-40B4-BE49-F238E27FC236}">
              <a16:creationId xmlns:a16="http://schemas.microsoft.com/office/drawing/2014/main" id="{2A10B552-EEDF-5346-9114-FF4E0AA5C1C0}"/>
            </a:ext>
          </a:extLst>
        </xdr:cNvPr>
        <xdr:cNvSpPr>
          <a:spLocks noChangeAspect="1" noChangeArrowheads="1"/>
        </xdr:cNvSpPr>
      </xdr:nvSpPr>
      <xdr:spPr bwMode="auto">
        <a:xfrm>
          <a:off x="11772900"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220134</xdr:colOff>
      <xdr:row>2</xdr:row>
      <xdr:rowOff>169333</xdr:rowOff>
    </xdr:from>
    <xdr:to>
      <xdr:col>13</xdr:col>
      <xdr:colOff>524934</xdr:colOff>
      <xdr:row>4</xdr:row>
      <xdr:rowOff>55033</xdr:rowOff>
    </xdr:to>
    <xdr:sp macro="" textlink="">
      <xdr:nvSpPr>
        <xdr:cNvPr id="3" name="AutoShape 2">
          <a:extLst>
            <a:ext uri="{FF2B5EF4-FFF2-40B4-BE49-F238E27FC236}">
              <a16:creationId xmlns:a16="http://schemas.microsoft.com/office/drawing/2014/main" id="{4AC2E82B-948E-B149-8E40-04F7CF5F7C01}"/>
            </a:ext>
          </a:extLst>
        </xdr:cNvPr>
        <xdr:cNvSpPr>
          <a:spLocks noChangeAspect="1" noChangeArrowheads="1"/>
        </xdr:cNvSpPr>
      </xdr:nvSpPr>
      <xdr:spPr bwMode="auto">
        <a:xfrm>
          <a:off x="11993034" y="57573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15</xdr:col>
      <xdr:colOff>0</xdr:colOff>
      <xdr:row>3</xdr:row>
      <xdr:rowOff>0</xdr:rowOff>
    </xdr:from>
    <xdr:ext cx="304800" cy="309033"/>
    <xdr:sp macro="" textlink="">
      <xdr:nvSpPr>
        <xdr:cNvPr id="4" name="AutoShape 1">
          <a:extLst>
            <a:ext uri="{FF2B5EF4-FFF2-40B4-BE49-F238E27FC236}">
              <a16:creationId xmlns:a16="http://schemas.microsoft.com/office/drawing/2014/main" id="{0FE351C8-A660-FD4C-BA86-1201977DAB68}"/>
            </a:ext>
          </a:extLst>
        </xdr:cNvPr>
        <xdr:cNvSpPr>
          <a:spLocks noChangeAspect="1" noChangeArrowheads="1"/>
        </xdr:cNvSpPr>
      </xdr:nvSpPr>
      <xdr:spPr bwMode="auto">
        <a:xfrm>
          <a:off x="13423900" y="609600"/>
          <a:ext cx="304800" cy="3090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15</xdr:col>
      <xdr:colOff>220134</xdr:colOff>
      <xdr:row>2</xdr:row>
      <xdr:rowOff>169333</xdr:rowOff>
    </xdr:from>
    <xdr:ext cx="304800" cy="309033"/>
    <xdr:sp macro="" textlink="">
      <xdr:nvSpPr>
        <xdr:cNvPr id="5" name="AutoShape 2">
          <a:extLst>
            <a:ext uri="{FF2B5EF4-FFF2-40B4-BE49-F238E27FC236}">
              <a16:creationId xmlns:a16="http://schemas.microsoft.com/office/drawing/2014/main" id="{11E8032C-B5F7-F74D-A9CD-C5A7B8ECD47C}"/>
            </a:ext>
          </a:extLst>
        </xdr:cNvPr>
        <xdr:cNvSpPr>
          <a:spLocks noChangeAspect="1" noChangeArrowheads="1"/>
        </xdr:cNvSpPr>
      </xdr:nvSpPr>
      <xdr:spPr bwMode="auto">
        <a:xfrm>
          <a:off x="13644034" y="575733"/>
          <a:ext cx="304800" cy="3090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3</xdr:row>
      <xdr:rowOff>0</xdr:rowOff>
    </xdr:from>
    <xdr:ext cx="304800" cy="309033"/>
    <xdr:sp macro="" textlink="">
      <xdr:nvSpPr>
        <xdr:cNvPr id="6" name="AutoShape 1">
          <a:extLst>
            <a:ext uri="{FF2B5EF4-FFF2-40B4-BE49-F238E27FC236}">
              <a16:creationId xmlns:a16="http://schemas.microsoft.com/office/drawing/2014/main" id="{D1AFA77C-325D-3143-A9E9-547A688DD176}"/>
            </a:ext>
          </a:extLst>
        </xdr:cNvPr>
        <xdr:cNvSpPr>
          <a:spLocks noChangeAspect="1" noChangeArrowheads="1"/>
        </xdr:cNvSpPr>
      </xdr:nvSpPr>
      <xdr:spPr bwMode="auto">
        <a:xfrm>
          <a:off x="15074900" y="609600"/>
          <a:ext cx="304800" cy="3090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220134</xdr:colOff>
      <xdr:row>2</xdr:row>
      <xdr:rowOff>169333</xdr:rowOff>
    </xdr:from>
    <xdr:ext cx="304800" cy="309033"/>
    <xdr:sp macro="" textlink="">
      <xdr:nvSpPr>
        <xdr:cNvPr id="7" name="AutoShape 2">
          <a:extLst>
            <a:ext uri="{FF2B5EF4-FFF2-40B4-BE49-F238E27FC236}">
              <a16:creationId xmlns:a16="http://schemas.microsoft.com/office/drawing/2014/main" id="{44F381C0-A90D-4B4A-B408-10065DA472E1}"/>
            </a:ext>
          </a:extLst>
        </xdr:cNvPr>
        <xdr:cNvSpPr>
          <a:spLocks noChangeAspect="1" noChangeArrowheads="1"/>
        </xdr:cNvSpPr>
      </xdr:nvSpPr>
      <xdr:spPr bwMode="auto">
        <a:xfrm>
          <a:off x="15295034" y="575733"/>
          <a:ext cx="304800" cy="3090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iea.org/reports/light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tatline.cbs.nl/Statweb/publication/?DM=SLNL&amp;PA=82380NED&amp;D1=2,5-6&amp;D2=a&amp;D3=1&amp;D4=21&amp;HDR=T&amp;STB=G2,G1,G3&amp;VW=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election activeCell="F21" sqref="F21"/>
    </sheetView>
  </sheetViews>
  <sheetFormatPr baseColWidth="10" defaultRowHeight="16" x14ac:dyDescent="0.2"/>
  <cols>
    <col min="1" max="1" width="2.83203125" style="97" customWidth="1"/>
    <col min="2" max="2" width="14" style="97" customWidth="1"/>
    <col min="3" max="3" width="44" style="97" customWidth="1"/>
    <col min="4" max="4" width="9.33203125" style="97" customWidth="1"/>
    <col min="5" max="5" width="10.83203125" style="97"/>
    <col min="6" max="6" width="34.6640625" style="97" customWidth="1"/>
    <col min="7" max="7" width="4.5" style="97" customWidth="1"/>
    <col min="8" max="8" width="20.83203125" style="97" customWidth="1"/>
    <col min="9" max="16384" width="10.83203125" style="97"/>
  </cols>
  <sheetData>
    <row r="2" spans="2:8" ht="21" x14ac:dyDescent="0.25">
      <c r="B2" s="96" t="s">
        <v>71</v>
      </c>
    </row>
    <row r="4" spans="2:8" x14ac:dyDescent="0.2">
      <c r="B4" s="98" t="s">
        <v>72</v>
      </c>
      <c r="C4" s="121" t="s">
        <v>96</v>
      </c>
      <c r="D4" s="99"/>
      <c r="F4" s="100"/>
      <c r="H4" s="100"/>
    </row>
    <row r="5" spans="2:8" x14ac:dyDescent="0.2">
      <c r="B5" s="101" t="s">
        <v>73</v>
      </c>
      <c r="C5" s="144">
        <f>MAX(Changelog!D:D)</f>
        <v>4</v>
      </c>
      <c r="D5" s="103"/>
    </row>
    <row r="6" spans="2:8" x14ac:dyDescent="0.2">
      <c r="B6" s="101" t="s">
        <v>74</v>
      </c>
      <c r="C6" s="102" t="s">
        <v>75</v>
      </c>
      <c r="D6" s="103"/>
    </row>
    <row r="7" spans="2:8" x14ac:dyDescent="0.2">
      <c r="B7" s="101" t="s">
        <v>76</v>
      </c>
      <c r="C7" s="102">
        <v>2019</v>
      </c>
      <c r="D7" s="103"/>
    </row>
    <row r="8" spans="2:8" x14ac:dyDescent="0.2">
      <c r="B8" s="101" t="s">
        <v>77</v>
      </c>
      <c r="C8" s="122" t="s">
        <v>405</v>
      </c>
      <c r="D8" s="103"/>
    </row>
    <row r="9" spans="2:8" x14ac:dyDescent="0.2">
      <c r="B9" s="101" t="s">
        <v>78</v>
      </c>
      <c r="C9" s="123" t="s">
        <v>407</v>
      </c>
      <c r="D9" s="103"/>
    </row>
    <row r="10" spans="2:8" x14ac:dyDescent="0.2">
      <c r="B10" s="104" t="s">
        <v>79</v>
      </c>
      <c r="C10" s="105" t="s">
        <v>408</v>
      </c>
      <c r="D10" s="106"/>
    </row>
    <row r="12" spans="2:8" x14ac:dyDescent="0.2">
      <c r="B12" s="98" t="s">
        <v>80</v>
      </c>
      <c r="C12" s="107"/>
      <c r="D12" s="99"/>
    </row>
    <row r="13" spans="2:8" x14ac:dyDescent="0.2">
      <c r="B13" s="108"/>
      <c r="D13" s="103"/>
    </row>
    <row r="14" spans="2:8" x14ac:dyDescent="0.2">
      <c r="B14" s="108" t="s">
        <v>81</v>
      </c>
      <c r="C14" s="109" t="s">
        <v>82</v>
      </c>
      <c r="D14" s="103"/>
    </row>
    <row r="15" spans="2:8" ht="17" thickBot="1" x14ac:dyDescent="0.25">
      <c r="B15" s="108"/>
      <c r="C15" s="100" t="s">
        <v>83</v>
      </c>
      <c r="D15" s="103"/>
    </row>
    <row r="16" spans="2:8" ht="17" thickBot="1" x14ac:dyDescent="0.25">
      <c r="B16" s="108"/>
      <c r="C16" s="110" t="s">
        <v>84</v>
      </c>
      <c r="D16" s="103"/>
    </row>
    <row r="17" spans="2:4" x14ac:dyDescent="0.2">
      <c r="B17" s="108"/>
      <c r="C17" s="97" t="s">
        <v>85</v>
      </c>
      <c r="D17" s="103"/>
    </row>
    <row r="18" spans="2:4" x14ac:dyDescent="0.2">
      <c r="B18" s="108"/>
      <c r="D18" s="103"/>
    </row>
    <row r="19" spans="2:4" x14ac:dyDescent="0.2">
      <c r="B19" s="108" t="s">
        <v>86</v>
      </c>
      <c r="C19" s="111" t="s">
        <v>87</v>
      </c>
      <c r="D19" s="103"/>
    </row>
    <row r="20" spans="2:4" x14ac:dyDescent="0.2">
      <c r="B20" s="108"/>
      <c r="C20" s="112" t="s">
        <v>88</v>
      </c>
      <c r="D20" s="103"/>
    </row>
    <row r="21" spans="2:4" x14ac:dyDescent="0.2">
      <c r="B21" s="108"/>
      <c r="C21" s="113" t="s">
        <v>89</v>
      </c>
      <c r="D21" s="103"/>
    </row>
    <row r="22" spans="2:4" x14ac:dyDescent="0.2">
      <c r="B22" s="108"/>
      <c r="C22" s="114" t="s">
        <v>90</v>
      </c>
      <c r="D22" s="103"/>
    </row>
    <row r="23" spans="2:4" x14ac:dyDescent="0.2">
      <c r="B23" s="115"/>
      <c r="C23" s="116" t="s">
        <v>91</v>
      </c>
      <c r="D23" s="103"/>
    </row>
    <row r="24" spans="2:4" x14ac:dyDescent="0.2">
      <c r="B24" s="115"/>
      <c r="C24" s="117" t="s">
        <v>92</v>
      </c>
      <c r="D24" s="103"/>
    </row>
    <row r="25" spans="2:4" x14ac:dyDescent="0.2">
      <c r="B25" s="115"/>
      <c r="C25" s="118" t="s">
        <v>93</v>
      </c>
      <c r="D25" s="103"/>
    </row>
    <row r="26" spans="2:4" x14ac:dyDescent="0.2">
      <c r="B26" s="115"/>
      <c r="C26" s="119" t="s">
        <v>94</v>
      </c>
      <c r="D26" s="103"/>
    </row>
    <row r="27" spans="2:4" x14ac:dyDescent="0.2">
      <c r="B27" s="120"/>
      <c r="C27" s="105"/>
      <c r="D27" s="106"/>
    </row>
    <row r="29" spans="2:4" x14ac:dyDescent="0.2">
      <c r="B29" s="98" t="s">
        <v>95</v>
      </c>
      <c r="C29" s="107"/>
      <c r="D29" s="99"/>
    </row>
    <row r="30" spans="2:4" x14ac:dyDescent="0.2">
      <c r="B30" s="291" t="s">
        <v>101</v>
      </c>
      <c r="C30" s="292"/>
      <c r="D30" s="293"/>
    </row>
    <row r="31" spans="2:4" x14ac:dyDescent="0.2">
      <c r="B31" s="291"/>
      <c r="C31" s="292"/>
      <c r="D31" s="293"/>
    </row>
    <row r="32" spans="2:4" x14ac:dyDescent="0.2">
      <c r="B32" s="291"/>
      <c r="C32" s="292"/>
      <c r="D32" s="293"/>
    </row>
    <row r="33" spans="2:4" x14ac:dyDescent="0.2">
      <c r="B33" s="291"/>
      <c r="C33" s="292"/>
      <c r="D33" s="293"/>
    </row>
    <row r="34" spans="2:4" x14ac:dyDescent="0.2">
      <c r="B34" s="291"/>
      <c r="C34" s="292"/>
      <c r="D34" s="293"/>
    </row>
    <row r="35" spans="2:4" x14ac:dyDescent="0.2">
      <c r="B35" s="291"/>
      <c r="C35" s="292"/>
      <c r="D35" s="293"/>
    </row>
    <row r="36" spans="2:4" x14ac:dyDescent="0.2">
      <c r="B36" s="291"/>
      <c r="C36" s="292"/>
      <c r="D36" s="293"/>
    </row>
    <row r="37" spans="2:4" x14ac:dyDescent="0.2">
      <c r="B37" s="291"/>
      <c r="C37" s="292"/>
      <c r="D37" s="293"/>
    </row>
    <row r="38" spans="2:4" x14ac:dyDescent="0.2">
      <c r="B38" s="291"/>
      <c r="C38" s="292"/>
      <c r="D38" s="293"/>
    </row>
    <row r="39" spans="2:4" x14ac:dyDescent="0.2">
      <c r="B39" s="294"/>
      <c r="C39" s="295"/>
      <c r="D39" s="296"/>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B8C3D-FFD9-F940-B20A-0DF00BB5EA6F}">
  <sheetPr>
    <tabColor theme="6"/>
  </sheetPr>
  <dimension ref="A12:L97"/>
  <sheetViews>
    <sheetView zoomScale="125" zoomScaleNormal="125" workbookViewId="0">
      <selection activeCell="D88" sqref="D88:D92"/>
    </sheetView>
  </sheetViews>
  <sheetFormatPr baseColWidth="10" defaultRowHeight="16" x14ac:dyDescent="0.2"/>
  <cols>
    <col min="1" max="1" width="19.33203125" customWidth="1"/>
    <col min="2" max="2" width="16.83203125" customWidth="1"/>
    <col min="3" max="3" width="19.33203125" customWidth="1"/>
    <col min="4" max="4" width="20.6640625" bestFit="1" customWidth="1"/>
    <col min="5" max="5" width="15.5" customWidth="1"/>
    <col min="6" max="7" width="17" customWidth="1"/>
    <col min="8" max="8" width="18.1640625" customWidth="1"/>
    <col min="9" max="9" width="12.5" bestFit="1" customWidth="1"/>
    <col min="10" max="10" width="14.33203125" customWidth="1"/>
  </cols>
  <sheetData>
    <row r="12" spans="1:6" x14ac:dyDescent="0.2">
      <c r="A12" s="148" t="s">
        <v>353</v>
      </c>
    </row>
    <row r="13" spans="1:6" x14ac:dyDescent="0.2">
      <c r="A13" t="s">
        <v>354</v>
      </c>
    </row>
    <row r="14" spans="1:6" x14ac:dyDescent="0.2">
      <c r="A14" s="273" t="s">
        <v>315</v>
      </c>
      <c r="B14" s="274" t="s">
        <v>316</v>
      </c>
      <c r="C14" s="274" t="s">
        <v>317</v>
      </c>
      <c r="D14" s="274" t="s">
        <v>318</v>
      </c>
      <c r="E14" s="274" t="s">
        <v>319</v>
      </c>
      <c r="F14" s="275" t="s">
        <v>320</v>
      </c>
    </row>
    <row r="15" spans="1:6" x14ac:dyDescent="0.2">
      <c r="A15" s="265">
        <v>1</v>
      </c>
      <c r="B15">
        <v>1023689</v>
      </c>
      <c r="C15">
        <v>1.82969632252972</v>
      </c>
      <c r="D15">
        <v>0.13009588463292701</v>
      </c>
      <c r="E15" t="s">
        <v>321</v>
      </c>
      <c r="F15" s="267" t="s">
        <v>299</v>
      </c>
    </row>
    <row r="16" spans="1:6" x14ac:dyDescent="0.2">
      <c r="A16" s="265">
        <v>2</v>
      </c>
      <c r="B16">
        <v>696110</v>
      </c>
      <c r="C16">
        <v>1.9382614904675499</v>
      </c>
      <c r="D16">
        <v>8.8465389636722694E-2</v>
      </c>
      <c r="E16" t="s">
        <v>322</v>
      </c>
      <c r="F16" s="267" t="s">
        <v>299</v>
      </c>
    </row>
    <row r="17" spans="1:12" x14ac:dyDescent="0.2">
      <c r="A17" s="265">
        <v>3</v>
      </c>
      <c r="B17">
        <v>1018121</v>
      </c>
      <c r="C17">
        <v>1.6412261981901299</v>
      </c>
      <c r="D17">
        <v>0.12938827335094899</v>
      </c>
      <c r="E17" t="s">
        <v>323</v>
      </c>
      <c r="F17" s="267" t="s">
        <v>301</v>
      </c>
    </row>
    <row r="18" spans="1:12" x14ac:dyDescent="0.2">
      <c r="A18" s="265">
        <v>4</v>
      </c>
      <c r="B18">
        <v>2365618</v>
      </c>
      <c r="C18">
        <v>1.6035921812756799</v>
      </c>
      <c r="D18">
        <v>0.30063541408921601</v>
      </c>
      <c r="E18" t="s">
        <v>324</v>
      </c>
      <c r="F18" s="267" t="s">
        <v>301</v>
      </c>
    </row>
    <row r="19" spans="1:12" x14ac:dyDescent="0.2">
      <c r="A19" s="268">
        <v>5</v>
      </c>
      <c r="B19" s="269">
        <v>2765189</v>
      </c>
      <c r="C19" s="269">
        <v>1.6518244215600799</v>
      </c>
      <c r="D19" s="269">
        <v>0.351415038290183</v>
      </c>
      <c r="E19" s="269" t="s">
        <v>325</v>
      </c>
      <c r="F19" s="272" t="s">
        <v>301</v>
      </c>
    </row>
    <row r="21" spans="1:12" x14ac:dyDescent="0.2">
      <c r="A21" t="s">
        <v>355</v>
      </c>
    </row>
    <row r="22" spans="1:12" x14ac:dyDescent="0.2">
      <c r="A22" s="273" t="s">
        <v>351</v>
      </c>
      <c r="B22" s="275" t="s">
        <v>352</v>
      </c>
    </row>
    <row r="23" spans="1:12" x14ac:dyDescent="0.2">
      <c r="A23" s="265" t="s">
        <v>350</v>
      </c>
      <c r="B23" s="267">
        <v>1.5931842809543799</v>
      </c>
    </row>
    <row r="24" spans="1:12" x14ac:dyDescent="0.2">
      <c r="A24" s="265" t="s">
        <v>320</v>
      </c>
      <c r="B24" s="267" t="s">
        <v>301</v>
      </c>
    </row>
    <row r="25" spans="1:12" x14ac:dyDescent="0.2">
      <c r="A25" s="268" t="s">
        <v>349</v>
      </c>
      <c r="B25" s="272">
        <v>0.46</v>
      </c>
    </row>
    <row r="27" spans="1:12" x14ac:dyDescent="0.2">
      <c r="A27" t="s">
        <v>313</v>
      </c>
    </row>
    <row r="28" spans="1:12" x14ac:dyDescent="0.2">
      <c r="B28" t="s">
        <v>314</v>
      </c>
      <c r="J28" s="256" t="s">
        <v>346</v>
      </c>
      <c r="K28" s="256" t="s">
        <v>347</v>
      </c>
    </row>
    <row r="29" spans="1:12" x14ac:dyDescent="0.2">
      <c r="A29" s="148" t="s">
        <v>291</v>
      </c>
      <c r="B29" s="276">
        <f>C19</f>
        <v>1.6518244215600799</v>
      </c>
      <c r="D29" s="251"/>
      <c r="E29" s="251"/>
      <c r="F29" s="251"/>
      <c r="G29" s="251"/>
      <c r="H29" s="251">
        <f>((H$43-H$42)/($B$42-$B$43))*($B$42-$B29)+H$42</f>
        <v>0.15667372017026521</v>
      </c>
      <c r="I29" s="251"/>
      <c r="J29" s="260">
        <f>H29*100</f>
        <v>15.667372017026521</v>
      </c>
      <c r="K29" s="280" t="s">
        <v>334</v>
      </c>
      <c r="L29" s="256"/>
    </row>
    <row r="30" spans="1:12" x14ac:dyDescent="0.2">
      <c r="A30" s="148" t="s">
        <v>288</v>
      </c>
      <c r="B30" s="276">
        <f>C17</f>
        <v>1.6412261981901299</v>
      </c>
      <c r="D30" s="251"/>
      <c r="E30" s="251">
        <f>((E$43-E$42)/($B$42-$B$43))*($B$42-$B30)+E$42</f>
        <v>0.20057686898511318</v>
      </c>
      <c r="F30" s="251"/>
      <c r="G30" s="251"/>
      <c r="H30" s="251"/>
      <c r="I30" s="251"/>
      <c r="J30" s="260">
        <f>E30*100</f>
        <v>20.057686898511317</v>
      </c>
      <c r="K30" s="280" t="s">
        <v>335</v>
      </c>
      <c r="L30" s="256"/>
    </row>
    <row r="31" spans="1:12" x14ac:dyDescent="0.2">
      <c r="A31" s="148" t="s">
        <v>287</v>
      </c>
      <c r="B31" s="276">
        <f>C15</f>
        <v>1.82969632252972</v>
      </c>
      <c r="D31" s="251">
        <f>((D$43-D$42)/($B$42-$B$43))*($B$42-$B31)+D$42</f>
        <v>0.13062348756633371</v>
      </c>
      <c r="E31" s="251"/>
      <c r="F31" s="251"/>
      <c r="G31" s="251"/>
      <c r="H31" s="251"/>
      <c r="I31" s="251"/>
      <c r="J31" s="260">
        <f>D31*100</f>
        <v>13.062348756633371</v>
      </c>
      <c r="K31" s="280" t="s">
        <v>336</v>
      </c>
      <c r="L31" s="256"/>
    </row>
    <row r="32" spans="1:12" x14ac:dyDescent="0.2">
      <c r="A32" s="148" t="s">
        <v>290</v>
      </c>
      <c r="B32" s="276">
        <f>C16</f>
        <v>1.9382614904675499</v>
      </c>
      <c r="D32" s="251"/>
      <c r="E32" s="251"/>
      <c r="F32" s="251"/>
      <c r="G32" s="251">
        <f>((G$43-G$42)/($B$42-$B$43))*($B$42-$B32)+G$42</f>
        <v>0.13167692993320715</v>
      </c>
      <c r="H32" s="251"/>
      <c r="I32" s="251"/>
      <c r="J32" s="260">
        <f>G32*100</f>
        <v>13.167692993320715</v>
      </c>
      <c r="K32" s="280" t="s">
        <v>337</v>
      </c>
      <c r="L32" s="256"/>
    </row>
    <row r="33" spans="1:12" x14ac:dyDescent="0.2">
      <c r="A33" s="148" t="s">
        <v>289</v>
      </c>
      <c r="B33" s="276">
        <f>C18</f>
        <v>1.6035921812756799</v>
      </c>
      <c r="D33" s="251"/>
      <c r="E33" s="251"/>
      <c r="F33" s="251">
        <f>((F$43-F$42)/($B$42-$B$43))*($B$42-$B33)+F$42</f>
        <v>0.20917892999413032</v>
      </c>
      <c r="G33" s="251"/>
      <c r="H33" s="251"/>
      <c r="I33" s="251"/>
      <c r="J33" s="260">
        <f>F33*100</f>
        <v>20.917892999413031</v>
      </c>
      <c r="K33" s="280" t="s">
        <v>338</v>
      </c>
      <c r="L33" s="256"/>
    </row>
    <row r="34" spans="1:12" x14ac:dyDescent="0.2">
      <c r="A34" s="148"/>
      <c r="B34" s="277"/>
      <c r="D34" s="251"/>
      <c r="E34" s="251"/>
      <c r="F34" s="251"/>
      <c r="G34" s="251"/>
      <c r="H34" s="251"/>
      <c r="I34" s="251"/>
      <c r="J34" s="260"/>
      <c r="K34" s="281"/>
      <c r="L34" s="256"/>
    </row>
    <row r="35" spans="1:12" x14ac:dyDescent="0.2">
      <c r="A35" s="148" t="s">
        <v>270</v>
      </c>
      <c r="B35" s="276">
        <f>B23</f>
        <v>1.5931842809543799</v>
      </c>
      <c r="D35" s="251"/>
      <c r="E35" s="251"/>
      <c r="F35" s="251"/>
      <c r="G35" s="251"/>
      <c r="H35" s="251"/>
      <c r="I35" s="251">
        <f>((I$44-I$43)/($B$43-$B$44))*($B$43-$B35)+I$43</f>
        <v>0.46181752507883206</v>
      </c>
      <c r="J35" s="260">
        <f>I35*100</f>
        <v>46.181752507883203</v>
      </c>
      <c r="K35" s="280" t="s">
        <v>339</v>
      </c>
      <c r="L35" s="256"/>
    </row>
    <row r="36" spans="1:12" x14ac:dyDescent="0.2">
      <c r="A36" s="148"/>
      <c r="B36" s="278"/>
      <c r="C36" s="279"/>
      <c r="D36" s="251"/>
      <c r="E36" s="251"/>
      <c r="F36" s="251"/>
      <c r="G36" s="251"/>
      <c r="H36" s="251"/>
      <c r="I36" s="251"/>
      <c r="L36" s="256"/>
    </row>
    <row r="37" spans="1:12" x14ac:dyDescent="0.2">
      <c r="A37" s="148" t="s">
        <v>333</v>
      </c>
    </row>
    <row r="38" spans="1:12" x14ac:dyDescent="0.2">
      <c r="A38" s="262" t="s">
        <v>285</v>
      </c>
      <c r="B38" s="263" t="s">
        <v>286</v>
      </c>
      <c r="C38" s="263"/>
      <c r="D38" s="263" t="s">
        <v>287</v>
      </c>
      <c r="E38" s="263" t="s">
        <v>288</v>
      </c>
      <c r="F38" s="263" t="s">
        <v>289</v>
      </c>
      <c r="G38" s="263" t="s">
        <v>290</v>
      </c>
      <c r="H38" s="263" t="s">
        <v>291</v>
      </c>
      <c r="I38" s="263" t="s">
        <v>270</v>
      </c>
      <c r="J38" s="264" t="s">
        <v>292</v>
      </c>
      <c r="L38" s="148"/>
    </row>
    <row r="39" spans="1:12" x14ac:dyDescent="0.2">
      <c r="A39" s="265" t="s">
        <v>293</v>
      </c>
      <c r="C39" s="266">
        <v>0</v>
      </c>
      <c r="D39" s="247">
        <v>0</v>
      </c>
      <c r="E39" s="247">
        <v>0</v>
      </c>
      <c r="F39" s="247">
        <v>0</v>
      </c>
      <c r="G39" s="247">
        <v>0</v>
      </c>
      <c r="H39" s="247">
        <v>0</v>
      </c>
      <c r="J39" s="267" t="s">
        <v>294</v>
      </c>
    </row>
    <row r="40" spans="1:12" x14ac:dyDescent="0.2">
      <c r="A40" s="265" t="s">
        <v>295</v>
      </c>
      <c r="B40">
        <v>2.5499999999999998</v>
      </c>
      <c r="C40" s="266">
        <f t="shared" ref="C40:C47" si="0">C39+C$48/9</f>
        <v>7.6666666666666661E-2</v>
      </c>
      <c r="D40" s="247">
        <v>0.04</v>
      </c>
      <c r="E40" s="247">
        <v>0.03</v>
      </c>
      <c r="F40" s="247">
        <v>0.03</v>
      </c>
      <c r="G40" s="247">
        <v>0.04</v>
      </c>
      <c r="H40" s="247">
        <v>0.03</v>
      </c>
      <c r="J40" s="267" t="s">
        <v>296</v>
      </c>
    </row>
    <row r="41" spans="1:12" x14ac:dyDescent="0.2">
      <c r="A41" s="265" t="s">
        <v>297</v>
      </c>
      <c r="B41">
        <v>2.25</v>
      </c>
      <c r="C41" s="266">
        <f t="shared" si="0"/>
        <v>0.15333333333333332</v>
      </c>
      <c r="D41" s="247">
        <v>7.0000000000000007E-2</v>
      </c>
      <c r="E41" s="247">
        <v>0.05</v>
      </c>
      <c r="F41" s="247">
        <v>0.05</v>
      </c>
      <c r="G41" s="247">
        <v>0.09</v>
      </c>
      <c r="H41" s="247">
        <v>0.05</v>
      </c>
      <c r="I41" s="247">
        <v>0</v>
      </c>
      <c r="J41" s="267" t="s">
        <v>298</v>
      </c>
    </row>
    <row r="42" spans="1:12" x14ac:dyDescent="0.2">
      <c r="A42" s="265" t="s">
        <v>299</v>
      </c>
      <c r="B42">
        <v>1.95</v>
      </c>
      <c r="C42" s="266">
        <f t="shared" si="0"/>
        <v>0.22999999999999998</v>
      </c>
      <c r="D42" s="247">
        <v>0.11</v>
      </c>
      <c r="E42" s="247">
        <v>0.13</v>
      </c>
      <c r="F42" s="247">
        <v>0.13</v>
      </c>
      <c r="G42" s="247">
        <v>0.13</v>
      </c>
      <c r="H42" s="247">
        <v>0.08</v>
      </c>
      <c r="I42" s="247">
        <v>0.31</v>
      </c>
      <c r="J42" s="267" t="s">
        <v>300</v>
      </c>
    </row>
    <row r="43" spans="1:12" x14ac:dyDescent="0.2">
      <c r="A43" s="265" t="s">
        <v>301</v>
      </c>
      <c r="B43">
        <v>1.6</v>
      </c>
      <c r="C43" s="266">
        <f t="shared" si="0"/>
        <v>0.30666666666666664</v>
      </c>
      <c r="D43" s="247">
        <v>0.17</v>
      </c>
      <c r="E43" s="247">
        <v>0.21</v>
      </c>
      <c r="F43" s="247">
        <v>0.21</v>
      </c>
      <c r="G43" s="247">
        <v>0.18</v>
      </c>
      <c r="H43" s="247">
        <v>0.17</v>
      </c>
      <c r="I43" s="247">
        <v>0.46</v>
      </c>
      <c r="J43" s="267" t="s">
        <v>302</v>
      </c>
    </row>
    <row r="44" spans="1:12" x14ac:dyDescent="0.2">
      <c r="A44" s="265" t="s">
        <v>303</v>
      </c>
      <c r="B44">
        <v>1.3</v>
      </c>
      <c r="C44" s="266">
        <f t="shared" si="0"/>
        <v>0.3833333333333333</v>
      </c>
      <c r="D44" s="247">
        <v>0.24</v>
      </c>
      <c r="E44" s="247">
        <v>0.28999999999999998</v>
      </c>
      <c r="F44" s="247">
        <v>0.28999999999999998</v>
      </c>
      <c r="G44" s="247">
        <v>0.28999999999999998</v>
      </c>
      <c r="H44" s="247">
        <v>0.27</v>
      </c>
      <c r="I44" s="247">
        <v>0.54</v>
      </c>
      <c r="J44" s="267" t="s">
        <v>304</v>
      </c>
    </row>
    <row r="45" spans="1:12" x14ac:dyDescent="0.2">
      <c r="A45" s="265" t="s">
        <v>305</v>
      </c>
      <c r="B45">
        <v>1</v>
      </c>
      <c r="C45" s="266">
        <f t="shared" si="0"/>
        <v>0.45999999999999996</v>
      </c>
      <c r="D45" s="247">
        <v>0.37</v>
      </c>
      <c r="E45" s="247">
        <v>0.35</v>
      </c>
      <c r="F45" s="247">
        <v>0.37</v>
      </c>
      <c r="G45" s="247">
        <v>0.4</v>
      </c>
      <c r="H45" s="247">
        <v>0.32</v>
      </c>
      <c r="I45" s="247">
        <v>0.64</v>
      </c>
      <c r="J45" s="267" t="s">
        <v>306</v>
      </c>
    </row>
    <row r="46" spans="1:12" x14ac:dyDescent="0.2">
      <c r="A46" s="265" t="s">
        <v>307</v>
      </c>
      <c r="B46">
        <v>0.7</v>
      </c>
      <c r="C46" s="266">
        <f t="shared" si="0"/>
        <v>0.53666666666666663</v>
      </c>
      <c r="D46" s="247">
        <v>0.5</v>
      </c>
      <c r="E46" s="247">
        <v>0.42</v>
      </c>
      <c r="F46" s="247">
        <v>0.46</v>
      </c>
      <c r="G46" s="247">
        <v>0.5</v>
      </c>
      <c r="H46" s="247">
        <v>0.38</v>
      </c>
      <c r="I46" s="247">
        <v>0.74</v>
      </c>
      <c r="J46" s="267" t="s">
        <v>308</v>
      </c>
    </row>
    <row r="47" spans="1:12" x14ac:dyDescent="0.2">
      <c r="A47" s="265" t="s">
        <v>309</v>
      </c>
      <c r="B47">
        <v>0.5</v>
      </c>
      <c r="C47" s="266">
        <f t="shared" si="0"/>
        <v>0.61333333333333329</v>
      </c>
      <c r="D47" s="247">
        <v>0.59</v>
      </c>
      <c r="E47" s="247">
        <v>0.55000000000000004</v>
      </c>
      <c r="F47" s="247">
        <v>0.56999999999999995</v>
      </c>
      <c r="G47" s="247">
        <v>0.6</v>
      </c>
      <c r="H47" s="247">
        <v>0.52</v>
      </c>
      <c r="J47" s="267" t="s">
        <v>310</v>
      </c>
    </row>
    <row r="48" spans="1:12" x14ac:dyDescent="0.2">
      <c r="A48" s="268" t="s">
        <v>311</v>
      </c>
      <c r="B48" s="269"/>
      <c r="C48" s="270">
        <v>0.69</v>
      </c>
      <c r="D48" s="271">
        <v>0.67</v>
      </c>
      <c r="E48" s="271">
        <v>0.69</v>
      </c>
      <c r="F48" s="271">
        <v>0.69</v>
      </c>
      <c r="G48" s="271">
        <v>0.69</v>
      </c>
      <c r="H48" s="271">
        <v>0.67</v>
      </c>
      <c r="I48" s="269"/>
      <c r="J48" s="272" t="s">
        <v>312</v>
      </c>
    </row>
    <row r="49" spans="3:8" x14ac:dyDescent="0.2">
      <c r="C49" s="246"/>
      <c r="D49" s="247"/>
      <c r="E49" s="247"/>
      <c r="F49" s="247"/>
      <c r="G49" s="247"/>
      <c r="H49" s="247"/>
    </row>
    <row r="75" spans="1:5" s="249" customFormat="1" x14ac:dyDescent="0.2">
      <c r="A75" s="250" t="s">
        <v>328</v>
      </c>
    </row>
    <row r="76" spans="1:5" ht="17" thickBot="1" x14ac:dyDescent="0.25">
      <c r="B76" t="s">
        <v>330</v>
      </c>
      <c r="C76" t="s">
        <v>331</v>
      </c>
      <c r="D76" s="256" t="s">
        <v>347</v>
      </c>
    </row>
    <row r="77" spans="1:5" ht="17" thickBot="1" x14ac:dyDescent="0.25">
      <c r="A77" t="s">
        <v>329</v>
      </c>
      <c r="C77" s="283">
        <v>7891786</v>
      </c>
      <c r="D77" s="256" t="s">
        <v>340</v>
      </c>
      <c r="E77" s="282" t="s">
        <v>332</v>
      </c>
    </row>
    <row r="78" spans="1:5" x14ac:dyDescent="0.2">
      <c r="A78" t="s">
        <v>197</v>
      </c>
      <c r="B78" s="284">
        <f>D19</f>
        <v>0.351415038290183</v>
      </c>
      <c r="C78" s="261">
        <f>B78*$C$77</f>
        <v>2773292.2793679303</v>
      </c>
      <c r="D78" s="256" t="s">
        <v>341</v>
      </c>
      <c r="E78" s="282" t="s">
        <v>332</v>
      </c>
    </row>
    <row r="79" spans="1:5" x14ac:dyDescent="0.2">
      <c r="A79" t="s">
        <v>198</v>
      </c>
      <c r="B79" s="285">
        <f>D17</f>
        <v>0.12938827335094899</v>
      </c>
      <c r="C79" s="261">
        <f t="shared" ref="C79:C82" si="1">B79*$C$77</f>
        <v>1021104.5641951923</v>
      </c>
      <c r="D79" s="256" t="s">
        <v>342</v>
      </c>
      <c r="E79" s="282" t="s">
        <v>332</v>
      </c>
    </row>
    <row r="80" spans="1:5" x14ac:dyDescent="0.2">
      <c r="A80" t="s">
        <v>199</v>
      </c>
      <c r="B80" s="285">
        <f>D15</f>
        <v>0.13009588463292701</v>
      </c>
      <c r="C80" s="261">
        <f t="shared" si="1"/>
        <v>1026688.8810037485</v>
      </c>
      <c r="D80" s="256" t="s">
        <v>343</v>
      </c>
      <c r="E80" s="282" t="s">
        <v>332</v>
      </c>
    </row>
    <row r="81" spans="1:5" x14ac:dyDescent="0.2">
      <c r="A81" t="s">
        <v>200</v>
      </c>
      <c r="B81" s="285">
        <f>D16</f>
        <v>8.8465389636722694E-2</v>
      </c>
      <c r="C81" s="261">
        <f t="shared" si="1"/>
        <v>698149.9234196333</v>
      </c>
      <c r="D81" s="256" t="s">
        <v>344</v>
      </c>
      <c r="E81" s="282" t="s">
        <v>332</v>
      </c>
    </row>
    <row r="82" spans="1:5" ht="17" thickBot="1" x14ac:dyDescent="0.25">
      <c r="A82" t="s">
        <v>201</v>
      </c>
      <c r="B82" s="286">
        <f>D18</f>
        <v>0.30063541408921601</v>
      </c>
      <c r="C82" s="261">
        <f t="shared" si="1"/>
        <v>2372550.3520134776</v>
      </c>
      <c r="D82" s="256" t="s">
        <v>345</v>
      </c>
      <c r="E82" s="282" t="s">
        <v>332</v>
      </c>
    </row>
    <row r="85" spans="1:5" s="249" customFormat="1" x14ac:dyDescent="0.2">
      <c r="A85" s="250" t="s">
        <v>326</v>
      </c>
    </row>
    <row r="87" spans="1:5" ht="17" thickBot="1" x14ac:dyDescent="0.25">
      <c r="B87" t="s">
        <v>190</v>
      </c>
      <c r="C87" s="25" t="s">
        <v>348</v>
      </c>
      <c r="D87" s="256" t="s">
        <v>204</v>
      </c>
    </row>
    <row r="88" spans="1:5" ht="17" thickBot="1" x14ac:dyDescent="0.25">
      <c r="A88" t="s">
        <v>197</v>
      </c>
      <c r="B88" s="168">
        <v>770</v>
      </c>
      <c r="C88" s="25">
        <f>B88*$B$95</f>
        <v>2.4370499999999996E-2</v>
      </c>
      <c r="D88" s="287">
        <f>C88*'Appliances split'!$D$22</f>
        <v>2.0591651591553732E-2</v>
      </c>
    </row>
    <row r="89" spans="1:5" ht="17" thickBot="1" x14ac:dyDescent="0.25">
      <c r="A89" s="225" t="s">
        <v>198</v>
      </c>
      <c r="B89" s="224">
        <v>1320</v>
      </c>
      <c r="C89" s="25">
        <f t="shared" ref="C89:C91" si="2">B89*$B$95</f>
        <v>4.1777999999999996E-2</v>
      </c>
      <c r="D89" s="287">
        <f>C89*'Appliances split'!$D$22</f>
        <v>3.5299974156949257E-2</v>
      </c>
    </row>
    <row r="90" spans="1:5" ht="17" thickBot="1" x14ac:dyDescent="0.25">
      <c r="A90" t="s">
        <v>199</v>
      </c>
      <c r="B90" s="168">
        <v>2040</v>
      </c>
      <c r="C90" s="25">
        <f t="shared" si="2"/>
        <v>6.4565999999999998E-2</v>
      </c>
      <c r="D90" s="287">
        <f>C90*'Appliances split'!$D$22</f>
        <v>5.455450551528522E-2</v>
      </c>
    </row>
    <row r="91" spans="1:5" ht="17" thickBot="1" x14ac:dyDescent="0.25">
      <c r="A91" t="s">
        <v>200</v>
      </c>
      <c r="B91" s="168">
        <v>1540</v>
      </c>
      <c r="C91" s="25">
        <f t="shared" si="2"/>
        <v>4.8740999999999993E-2</v>
      </c>
      <c r="D91" s="287">
        <f>C91*'Appliances split'!$D$22</f>
        <v>4.1183303183107464E-2</v>
      </c>
    </row>
    <row r="92" spans="1:5" ht="17" thickBot="1" x14ac:dyDescent="0.25">
      <c r="A92" t="s">
        <v>201</v>
      </c>
      <c r="B92" s="226">
        <v>1100</v>
      </c>
      <c r="C92" s="25">
        <f>B92*$B$95</f>
        <v>3.4814999999999999E-2</v>
      </c>
      <c r="D92" s="287">
        <f>C92*'Appliances split'!$D$22</f>
        <v>2.941664513079105E-2</v>
      </c>
    </row>
    <row r="93" spans="1:5" x14ac:dyDescent="0.2">
      <c r="A93" s="148" t="s">
        <v>202</v>
      </c>
      <c r="B93">
        <f>SUM(B88:B92)</f>
        <v>6770</v>
      </c>
      <c r="C93" s="25"/>
    </row>
    <row r="95" spans="1:5" x14ac:dyDescent="0.2">
      <c r="A95" t="s">
        <v>203</v>
      </c>
      <c r="B95">
        <f>31.65/1000000</f>
        <v>3.1649999999999997E-5</v>
      </c>
    </row>
    <row r="97" spans="1:1" x14ac:dyDescent="0.2">
      <c r="A97" t="s">
        <v>327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86981-08CE-9849-AA21-58B506D64BE6}">
  <sheetPr>
    <tabColor theme="6"/>
  </sheetPr>
  <dimension ref="A1:J25"/>
  <sheetViews>
    <sheetView tabSelected="1" workbookViewId="0">
      <selection activeCell="G37" sqref="G37"/>
    </sheetView>
  </sheetViews>
  <sheetFormatPr baseColWidth="10" defaultRowHeight="16" x14ac:dyDescent="0.2"/>
  <cols>
    <col min="1" max="1" width="15.1640625" bestFit="1" customWidth="1"/>
    <col min="2" max="2" width="18.33203125" bestFit="1" customWidth="1"/>
    <col min="3" max="3" width="27.33203125" bestFit="1" customWidth="1"/>
    <col min="4" max="4" width="32.5" bestFit="1" customWidth="1"/>
    <col min="5" max="5" width="44.5" bestFit="1" customWidth="1"/>
    <col min="6" max="6" width="37.33203125" bestFit="1" customWidth="1"/>
    <col min="7" max="7" width="18" bestFit="1" customWidth="1"/>
    <col min="9" max="9" width="52.5" bestFit="1" customWidth="1"/>
    <col min="10" max="10" width="44.33203125" bestFit="1" customWidth="1"/>
  </cols>
  <sheetData>
    <row r="1" spans="1:10" x14ac:dyDescent="0.2">
      <c r="A1" t="s">
        <v>387</v>
      </c>
      <c r="B1" t="s">
        <v>388</v>
      </c>
      <c r="C1" t="s">
        <v>389</v>
      </c>
      <c r="D1" t="s">
        <v>390</v>
      </c>
      <c r="E1" t="s">
        <v>391</v>
      </c>
      <c r="F1" t="s">
        <v>392</v>
      </c>
      <c r="G1" t="s">
        <v>393</v>
      </c>
      <c r="I1" t="s">
        <v>394</v>
      </c>
      <c r="J1" t="s">
        <v>395</v>
      </c>
    </row>
    <row r="2" spans="1:10" x14ac:dyDescent="0.2">
      <c r="A2" t="s">
        <v>325</v>
      </c>
      <c r="B2" t="s">
        <v>396</v>
      </c>
      <c r="C2">
        <v>44414974</v>
      </c>
      <c r="D2">
        <v>18276902.100000001</v>
      </c>
      <c r="E2">
        <v>6.2504072686922303</v>
      </c>
      <c r="F2">
        <v>309.27847985772098</v>
      </c>
      <c r="G2">
        <v>540698</v>
      </c>
      <c r="I2" s="289">
        <f>E2/SUM($E$2:$E$24)</f>
        <v>6.2504072686922374E-2</v>
      </c>
      <c r="J2" s="290">
        <f>ROUND(F2,4)</f>
        <v>309.27850000000001</v>
      </c>
    </row>
    <row r="3" spans="1:10" x14ac:dyDescent="0.2">
      <c r="A3" t="s">
        <v>325</v>
      </c>
      <c r="B3" t="s">
        <v>397</v>
      </c>
      <c r="C3">
        <v>27890053</v>
      </c>
      <c r="D3">
        <v>13875609</v>
      </c>
      <c r="E3">
        <v>4.7452356464245202</v>
      </c>
      <c r="F3">
        <v>225.70477284026001</v>
      </c>
      <c r="G3">
        <v>389344</v>
      </c>
      <c r="I3" s="289">
        <f>E3/SUM($E$2:$E$24)</f>
        <v>4.7452356464245254E-2</v>
      </c>
      <c r="J3" s="290">
        <f t="shared" ref="J3:J25" si="0">ROUND(F3,4)</f>
        <v>225.70480000000001</v>
      </c>
    </row>
    <row r="4" spans="1:10" x14ac:dyDescent="0.2">
      <c r="A4" t="s">
        <v>325</v>
      </c>
      <c r="B4" t="s">
        <v>398</v>
      </c>
      <c r="C4">
        <v>56562565</v>
      </c>
      <c r="D4">
        <v>27895882.300000001</v>
      </c>
      <c r="E4">
        <v>9.5399441623371608</v>
      </c>
      <c r="F4">
        <v>193.54202735707099</v>
      </c>
      <c r="G4">
        <v>764434</v>
      </c>
      <c r="I4" s="289">
        <f>E4/SUM($E$2:$E$24)</f>
        <v>9.5399441623371717E-2</v>
      </c>
      <c r="J4" s="290">
        <f t="shared" si="0"/>
        <v>193.542</v>
      </c>
    </row>
    <row r="5" spans="1:10" x14ac:dyDescent="0.2">
      <c r="A5" t="s">
        <v>325</v>
      </c>
      <c r="B5" t="s">
        <v>399</v>
      </c>
      <c r="C5">
        <v>49783421</v>
      </c>
      <c r="D5">
        <v>22525752.100000001</v>
      </c>
      <c r="E5">
        <v>7.70344579668122</v>
      </c>
      <c r="F5">
        <v>154.594618709565</v>
      </c>
      <c r="G5">
        <v>619871</v>
      </c>
      <c r="I5" s="289">
        <f>E5/SUM($E$2:$E$24)</f>
        <v>7.7034457966812284E-2</v>
      </c>
      <c r="J5" s="290">
        <f t="shared" si="0"/>
        <v>154.59460000000001</v>
      </c>
    </row>
    <row r="6" spans="1:10" x14ac:dyDescent="0.2">
      <c r="A6" t="s">
        <v>325</v>
      </c>
      <c r="B6" t="s">
        <v>400</v>
      </c>
      <c r="C6">
        <v>40708229</v>
      </c>
      <c r="D6">
        <v>17911659.699999999</v>
      </c>
      <c r="E6">
        <v>6.1255002281388604</v>
      </c>
      <c r="F6">
        <v>115.92626172524101</v>
      </c>
      <c r="G6">
        <v>488170</v>
      </c>
      <c r="I6" s="289">
        <f>E6/SUM($E$2:$E$24)</f>
        <v>6.1255002281388672E-2</v>
      </c>
      <c r="J6" s="290">
        <f t="shared" si="0"/>
        <v>115.9263</v>
      </c>
    </row>
    <row r="7" spans="1:10" x14ac:dyDescent="0.2">
      <c r="A7" t="s">
        <v>325</v>
      </c>
      <c r="B7" t="s">
        <v>401</v>
      </c>
      <c r="F7">
        <v>110</v>
      </c>
      <c r="J7" s="290">
        <f t="shared" si="0"/>
        <v>110</v>
      </c>
    </row>
    <row r="8" spans="1:10" x14ac:dyDescent="0.2">
      <c r="A8" t="s">
        <v>402</v>
      </c>
      <c r="B8" t="s">
        <v>396</v>
      </c>
      <c r="C8">
        <v>42319610</v>
      </c>
      <c r="D8">
        <v>11319480.699999999</v>
      </c>
      <c r="E8">
        <v>3.87108078042949</v>
      </c>
      <c r="F8">
        <v>296.123887883272</v>
      </c>
      <c r="G8">
        <v>303284</v>
      </c>
      <c r="I8" s="289">
        <f>E8/SUM($E$2:$E$24)</f>
        <v>3.8710807804294943E-2</v>
      </c>
      <c r="J8" s="290">
        <f t="shared" si="0"/>
        <v>296.12389999999999</v>
      </c>
    </row>
    <row r="9" spans="1:10" x14ac:dyDescent="0.2">
      <c r="A9" t="s">
        <v>402</v>
      </c>
      <c r="B9" t="s">
        <v>397</v>
      </c>
      <c r="C9">
        <v>34068266</v>
      </c>
      <c r="D9">
        <v>11214793.5</v>
      </c>
      <c r="E9">
        <v>3.8352794377162098</v>
      </c>
      <c r="F9">
        <v>243.25368305128899</v>
      </c>
      <c r="G9">
        <v>298740</v>
      </c>
      <c r="I9" s="289">
        <f>E9/SUM($E$2:$E$24)</f>
        <v>3.8352794377162144E-2</v>
      </c>
      <c r="J9" s="290">
        <f t="shared" si="0"/>
        <v>243.25370000000001</v>
      </c>
    </row>
    <row r="10" spans="1:10" x14ac:dyDescent="0.2">
      <c r="A10" t="s">
        <v>402</v>
      </c>
      <c r="B10" t="s">
        <v>398</v>
      </c>
      <c r="C10">
        <v>71096282</v>
      </c>
      <c r="D10">
        <v>21281918</v>
      </c>
      <c r="E10">
        <v>7.2780744915688897</v>
      </c>
      <c r="F10">
        <v>202.52217979636899</v>
      </c>
      <c r="G10">
        <v>565690</v>
      </c>
      <c r="I10" s="289">
        <f>E10/SUM($E$2:$E$24)</f>
        <v>7.2780744915688977E-2</v>
      </c>
      <c r="J10" s="290">
        <f t="shared" si="0"/>
        <v>202.5222</v>
      </c>
    </row>
    <row r="11" spans="1:10" x14ac:dyDescent="0.2">
      <c r="A11" t="s">
        <v>402</v>
      </c>
      <c r="B11" t="s">
        <v>399</v>
      </c>
      <c r="C11">
        <v>51077095</v>
      </c>
      <c r="D11">
        <v>14212784.800000001</v>
      </c>
      <c r="E11">
        <v>4.8605443601012901</v>
      </c>
      <c r="F11">
        <v>160.398378457121</v>
      </c>
      <c r="G11">
        <v>379710</v>
      </c>
      <c r="I11" s="289">
        <f>E11/SUM($E$2:$E$24)</f>
        <v>4.8605443601012953E-2</v>
      </c>
      <c r="J11" s="290">
        <f t="shared" si="0"/>
        <v>160.39840000000001</v>
      </c>
    </row>
    <row r="12" spans="1:10" x14ac:dyDescent="0.2">
      <c r="A12" t="s">
        <v>402</v>
      </c>
      <c r="B12" t="s">
        <v>400</v>
      </c>
      <c r="C12">
        <v>26335112</v>
      </c>
      <c r="D12">
        <v>6666818.5</v>
      </c>
      <c r="E12">
        <v>2.2799449591324201</v>
      </c>
      <c r="F12">
        <v>116.370726220474</v>
      </c>
      <c r="G12">
        <v>178722</v>
      </c>
      <c r="I12" s="289">
        <f>E12/SUM($E$2:$E$24)</f>
        <v>2.2799449591324229E-2</v>
      </c>
      <c r="J12" s="290">
        <f t="shared" si="0"/>
        <v>116.3707</v>
      </c>
    </row>
    <row r="13" spans="1:10" x14ac:dyDescent="0.2">
      <c r="A13" t="s">
        <v>402</v>
      </c>
      <c r="B13" t="s">
        <v>401</v>
      </c>
      <c r="F13">
        <v>110</v>
      </c>
      <c r="J13" s="290">
        <f t="shared" si="0"/>
        <v>110</v>
      </c>
    </row>
    <row r="14" spans="1:10" x14ac:dyDescent="0.2">
      <c r="A14" t="s">
        <v>403</v>
      </c>
      <c r="B14" t="s">
        <v>396</v>
      </c>
      <c r="C14">
        <v>42190927</v>
      </c>
      <c r="D14">
        <v>12436635.5</v>
      </c>
      <c r="E14">
        <v>4.25312979748771</v>
      </c>
      <c r="F14">
        <v>268.966530856188</v>
      </c>
      <c r="G14">
        <v>342679</v>
      </c>
      <c r="I14" s="289">
        <f>E14/SUM($E$2:$E$24)</f>
        <v>4.2531297974877147E-2</v>
      </c>
      <c r="J14" s="290">
        <f t="shared" si="0"/>
        <v>268.9665</v>
      </c>
    </row>
    <row r="15" spans="1:10" x14ac:dyDescent="0.2">
      <c r="A15" t="s">
        <v>403</v>
      </c>
      <c r="B15" t="s">
        <v>397</v>
      </c>
      <c r="C15">
        <v>31376348</v>
      </c>
      <c r="D15">
        <v>11531907.4</v>
      </c>
      <c r="E15">
        <v>3.94372730348244</v>
      </c>
      <c r="F15">
        <v>217.03963053440199</v>
      </c>
      <c r="G15">
        <v>309325</v>
      </c>
      <c r="I15" s="289">
        <f>E15/SUM($E$2:$E$24)</f>
        <v>3.9437273034824444E-2</v>
      </c>
      <c r="J15" s="290">
        <f t="shared" si="0"/>
        <v>217.03960000000001</v>
      </c>
    </row>
    <row r="16" spans="1:10" x14ac:dyDescent="0.2">
      <c r="A16" t="s">
        <v>403</v>
      </c>
      <c r="B16" t="s">
        <v>398</v>
      </c>
      <c r="C16">
        <v>102417775</v>
      </c>
      <c r="D16">
        <v>32813301.800000001</v>
      </c>
      <c r="E16">
        <v>11.221622732252399</v>
      </c>
      <c r="F16">
        <v>187.35790834926499</v>
      </c>
      <c r="G16">
        <v>875089</v>
      </c>
      <c r="I16" s="289">
        <f>E16/SUM($E$2:$E$24)</f>
        <v>0.11221622732252412</v>
      </c>
      <c r="J16" s="290">
        <f t="shared" si="0"/>
        <v>187.3579</v>
      </c>
    </row>
    <row r="17" spans="1:10" x14ac:dyDescent="0.2">
      <c r="A17" t="s">
        <v>403</v>
      </c>
      <c r="B17" t="s">
        <v>399</v>
      </c>
      <c r="C17">
        <v>72145976</v>
      </c>
      <c r="D17">
        <v>22257734.600000001</v>
      </c>
      <c r="E17">
        <v>7.6117881119723503</v>
      </c>
      <c r="F17">
        <v>154.097358187352</v>
      </c>
      <c r="G17">
        <v>600576</v>
      </c>
      <c r="I17" s="289">
        <f>E17/SUM($E$2:$E$24)</f>
        <v>7.611788111972359E-2</v>
      </c>
      <c r="J17" s="290">
        <f t="shared" si="0"/>
        <v>154.09739999999999</v>
      </c>
    </row>
    <row r="18" spans="1:10" x14ac:dyDescent="0.2">
      <c r="A18" t="s">
        <v>403</v>
      </c>
      <c r="B18" t="s">
        <v>400</v>
      </c>
      <c r="C18">
        <v>32555680</v>
      </c>
      <c r="D18">
        <v>9209553.0999999996</v>
      </c>
      <c r="E18">
        <v>3.14951939462689</v>
      </c>
      <c r="F18">
        <v>114.238811161058</v>
      </c>
      <c r="G18">
        <v>250132</v>
      </c>
      <c r="I18" s="289">
        <f>E18/SUM($E$2:$E$24)</f>
        <v>3.1495193946268936E-2</v>
      </c>
      <c r="J18" s="290">
        <f t="shared" si="0"/>
        <v>114.2388</v>
      </c>
    </row>
    <row r="19" spans="1:10" x14ac:dyDescent="0.2">
      <c r="A19" t="s">
        <v>403</v>
      </c>
      <c r="B19" t="s">
        <v>401</v>
      </c>
      <c r="F19">
        <v>110</v>
      </c>
      <c r="J19" s="290">
        <f t="shared" si="0"/>
        <v>110</v>
      </c>
    </row>
    <row r="20" spans="1:10" x14ac:dyDescent="0.2">
      <c r="A20" t="s">
        <v>404</v>
      </c>
      <c r="B20" t="s">
        <v>396</v>
      </c>
      <c r="C20">
        <v>59342851</v>
      </c>
      <c r="D20">
        <v>10828477.699999999</v>
      </c>
      <c r="E20">
        <v>3.70316563248165</v>
      </c>
      <c r="F20">
        <v>305.00557840129198</v>
      </c>
      <c r="G20">
        <v>285225</v>
      </c>
      <c r="I20" s="289">
        <f>E20/SUM($E$2:$E$24)</f>
        <v>3.7031656324816545E-2</v>
      </c>
      <c r="J20" s="290">
        <f t="shared" si="0"/>
        <v>305.00560000000002</v>
      </c>
    </row>
    <row r="21" spans="1:10" x14ac:dyDescent="0.2">
      <c r="A21" t="s">
        <v>404</v>
      </c>
      <c r="B21" t="s">
        <v>397</v>
      </c>
      <c r="C21">
        <v>25681493</v>
      </c>
      <c r="D21">
        <v>5430527.5999999996</v>
      </c>
      <c r="E21">
        <v>1.8571533073908499</v>
      </c>
      <c r="F21">
        <v>280.646381249093</v>
      </c>
      <c r="G21">
        <v>143135</v>
      </c>
      <c r="I21" s="289">
        <f>E21/SUM($E$2:$E$24)</f>
        <v>1.8571533073908519E-2</v>
      </c>
      <c r="J21" s="290">
        <f t="shared" si="0"/>
        <v>280.64640000000003</v>
      </c>
    </row>
    <row r="22" spans="1:10" x14ac:dyDescent="0.2">
      <c r="A22" t="s">
        <v>404</v>
      </c>
      <c r="B22" t="s">
        <v>398</v>
      </c>
      <c r="C22">
        <v>44537124</v>
      </c>
      <c r="D22">
        <v>8708653.9000000004</v>
      </c>
      <c r="E22">
        <v>2.9782199050617502</v>
      </c>
      <c r="F22">
        <v>217.96065252407899</v>
      </c>
      <c r="G22">
        <v>231185</v>
      </c>
      <c r="I22" s="289">
        <f>E22/SUM($E$2:$E$24)</f>
        <v>2.9782199050617537E-2</v>
      </c>
      <c r="J22" s="290">
        <f t="shared" si="0"/>
        <v>217.9607</v>
      </c>
    </row>
    <row r="23" spans="1:10" x14ac:dyDescent="0.2">
      <c r="A23" t="s">
        <v>404</v>
      </c>
      <c r="B23" t="s">
        <v>399</v>
      </c>
      <c r="C23">
        <v>49426212</v>
      </c>
      <c r="D23">
        <v>9562809.8000000007</v>
      </c>
      <c r="E23">
        <v>3.2703275180885898</v>
      </c>
      <c r="F23">
        <v>150.80783248292099</v>
      </c>
      <c r="G23">
        <v>252567</v>
      </c>
      <c r="I23" s="289">
        <f>E23/SUM($E$2:$E$24)</f>
        <v>3.2703275180885935E-2</v>
      </c>
      <c r="J23" s="290">
        <f t="shared" si="0"/>
        <v>150.80779999999999</v>
      </c>
    </row>
    <row r="24" spans="1:10" x14ac:dyDescent="0.2">
      <c r="A24" t="s">
        <v>404</v>
      </c>
      <c r="B24" t="s">
        <v>400</v>
      </c>
      <c r="C24">
        <v>26275223</v>
      </c>
      <c r="D24">
        <v>4450177.0999999996</v>
      </c>
      <c r="E24">
        <v>1.5218891659329701</v>
      </c>
      <c r="F24">
        <v>116.28583954571801</v>
      </c>
      <c r="G24">
        <v>118330</v>
      </c>
      <c r="I24" s="289">
        <f>E24/SUM($E$2:$E$24)</f>
        <v>1.5218891659329718E-2</v>
      </c>
      <c r="J24" s="290">
        <f t="shared" si="0"/>
        <v>116.28579999999999</v>
      </c>
    </row>
    <row r="25" spans="1:10" x14ac:dyDescent="0.2">
      <c r="A25" t="s">
        <v>404</v>
      </c>
      <c r="B25" t="s">
        <v>401</v>
      </c>
      <c r="F25">
        <v>110</v>
      </c>
      <c r="J25" s="290">
        <f t="shared" si="0"/>
        <v>110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AB40B-B308-A243-A7D4-1EB5CC7957CB}">
  <sheetPr>
    <tabColor theme="6"/>
  </sheetPr>
  <dimension ref="A2:R12"/>
  <sheetViews>
    <sheetView zoomScale="75" workbookViewId="0">
      <selection activeCell="I15" sqref="I15"/>
    </sheetView>
  </sheetViews>
  <sheetFormatPr baseColWidth="10" defaultRowHeight="16" x14ac:dyDescent="0.2"/>
  <cols>
    <col min="2" max="2" width="24.5" bestFit="1" customWidth="1"/>
    <col min="8" max="8" width="10.83203125" style="256"/>
  </cols>
  <sheetData>
    <row r="2" spans="1:18" x14ac:dyDescent="0.2">
      <c r="E2" t="s">
        <v>269</v>
      </c>
    </row>
    <row r="3" spans="1:18" x14ac:dyDescent="0.2">
      <c r="A3" t="s">
        <v>270</v>
      </c>
      <c r="B3" s="242"/>
      <c r="C3" t="s">
        <v>271</v>
      </c>
      <c r="E3">
        <v>2016</v>
      </c>
      <c r="F3">
        <v>2017</v>
      </c>
      <c r="G3">
        <v>2018</v>
      </c>
      <c r="H3" s="256">
        <v>2019</v>
      </c>
      <c r="L3" t="s">
        <v>272</v>
      </c>
      <c r="M3" s="243" t="s">
        <v>273</v>
      </c>
    </row>
    <row r="4" spans="1:18" ht="17" x14ac:dyDescent="0.2">
      <c r="B4" s="244" t="s">
        <v>274</v>
      </c>
      <c r="C4" s="245">
        <v>0.91900000000000004</v>
      </c>
      <c r="E4" s="246">
        <f>$C4*N9</f>
        <v>0.95651020408163279</v>
      </c>
      <c r="F4" s="246">
        <f>E4*O9</f>
        <v>0.91900000000000004</v>
      </c>
      <c r="G4" s="246">
        <f>F4*P9</f>
        <v>0.91900000000000004</v>
      </c>
      <c r="H4" s="257">
        <f>G4*Q9</f>
        <v>0.90024489795918372</v>
      </c>
      <c r="M4">
        <v>2014</v>
      </c>
      <c r="N4">
        <v>2015</v>
      </c>
      <c r="O4">
        <v>2016</v>
      </c>
      <c r="P4">
        <v>2017</v>
      </c>
      <c r="Q4">
        <v>2018</v>
      </c>
      <c r="R4">
        <v>2019</v>
      </c>
    </row>
    <row r="5" spans="1:18" ht="17" x14ac:dyDescent="0.2">
      <c r="B5" s="244" t="s">
        <v>275</v>
      </c>
      <c r="C5" s="245">
        <v>6.5000000000000002E-2</v>
      </c>
      <c r="E5" s="247">
        <f>1-E4-E6</f>
        <v>1.1489795918367213E-2</v>
      </c>
      <c r="F5" s="247">
        <f t="shared" ref="F5:H5" si="0">1-F4-F6</f>
        <v>3.985714285714282E-2</v>
      </c>
      <c r="G5" s="247">
        <f t="shared" si="0"/>
        <v>2.1571428571428526E-2</v>
      </c>
      <c r="H5" s="258">
        <f t="shared" si="0"/>
        <v>1.5183673469387704E-2</v>
      </c>
      <c r="L5" t="s">
        <v>276</v>
      </c>
      <c r="M5" s="247">
        <v>7.0000000000000007E-2</v>
      </c>
      <c r="N5" s="247">
        <v>0.14000000000000001</v>
      </c>
      <c r="O5" s="247">
        <v>0.18</v>
      </c>
      <c r="P5" s="247">
        <v>0.26</v>
      </c>
      <c r="Q5" s="247">
        <v>0.37</v>
      </c>
      <c r="R5" s="247">
        <v>0.46</v>
      </c>
    </row>
    <row r="6" spans="1:18" ht="17" x14ac:dyDescent="0.2">
      <c r="B6" s="244" t="s">
        <v>277</v>
      </c>
      <c r="C6" s="245">
        <v>1.6E-2</v>
      </c>
      <c r="E6" s="246">
        <f>$C6*N8</f>
        <v>3.2000000000000001E-2</v>
      </c>
      <c r="F6" s="246">
        <f>E6*O8</f>
        <v>4.1142857142857141E-2</v>
      </c>
      <c r="G6" s="246">
        <f>F6*P8</f>
        <v>5.9428571428571435E-2</v>
      </c>
      <c r="H6" s="257">
        <f>G6*Q8</f>
        <v>8.4571428571428575E-2</v>
      </c>
      <c r="L6" t="s">
        <v>278</v>
      </c>
      <c r="M6" s="247">
        <v>0.49</v>
      </c>
      <c r="N6" s="247">
        <v>0.51</v>
      </c>
      <c r="O6" s="247">
        <v>0.49</v>
      </c>
      <c r="P6" s="247">
        <v>0.49</v>
      </c>
      <c r="Q6" s="247">
        <v>0.48</v>
      </c>
      <c r="R6" s="247">
        <v>0.46</v>
      </c>
    </row>
    <row r="7" spans="1:18" x14ac:dyDescent="0.2">
      <c r="B7" s="245"/>
    </row>
    <row r="8" spans="1:18" x14ac:dyDescent="0.2">
      <c r="L8" t="s">
        <v>279</v>
      </c>
      <c r="N8" s="248">
        <f t="shared" ref="N8:R9" si="1">N5/M5</f>
        <v>2</v>
      </c>
      <c r="O8" s="248">
        <f t="shared" si="1"/>
        <v>1.2857142857142856</v>
      </c>
      <c r="P8" s="248">
        <f t="shared" si="1"/>
        <v>1.4444444444444446</v>
      </c>
      <c r="Q8" s="248">
        <f t="shared" si="1"/>
        <v>1.4230769230769229</v>
      </c>
      <c r="R8" s="248">
        <f t="shared" si="1"/>
        <v>1.2432432432432432</v>
      </c>
    </row>
    <row r="9" spans="1:18" x14ac:dyDescent="0.2">
      <c r="A9" t="s">
        <v>280</v>
      </c>
      <c r="E9">
        <v>2016</v>
      </c>
      <c r="F9">
        <v>2017</v>
      </c>
      <c r="G9">
        <v>2018</v>
      </c>
      <c r="H9" s="256">
        <v>2019</v>
      </c>
      <c r="L9" t="s">
        <v>281</v>
      </c>
      <c r="N9" s="248">
        <f t="shared" si="1"/>
        <v>1.0408163265306123</v>
      </c>
      <c r="O9" s="248">
        <f t="shared" si="1"/>
        <v>0.96078431372549011</v>
      </c>
      <c r="P9" s="248">
        <f t="shared" si="1"/>
        <v>1</v>
      </c>
      <c r="Q9" s="248">
        <f t="shared" si="1"/>
        <v>0.97959183673469385</v>
      </c>
      <c r="R9" s="248">
        <f t="shared" si="1"/>
        <v>0.95833333333333337</v>
      </c>
    </row>
    <row r="10" spans="1:18" ht="17" x14ac:dyDescent="0.2">
      <c r="B10" s="244" t="s">
        <v>282</v>
      </c>
      <c r="C10" s="245">
        <v>0.495</v>
      </c>
      <c r="E10" s="147">
        <f>1-SUM(E11:E12)</f>
        <v>0.47499999999999998</v>
      </c>
      <c r="F10" s="147">
        <f t="shared" ref="F10:G10" si="2">1-SUM(F11:F12)</f>
        <v>0.46357142857142863</v>
      </c>
      <c r="G10" s="147">
        <f t="shared" si="2"/>
        <v>0.44071428571428573</v>
      </c>
      <c r="H10" s="259">
        <f>1-SUM(H11:H12)</f>
        <v>0.40928571428571425</v>
      </c>
    </row>
    <row r="11" spans="1:18" ht="17" x14ac:dyDescent="0.2">
      <c r="B11" s="244" t="s">
        <v>283</v>
      </c>
      <c r="C11" s="245">
        <v>0.48499999999999999</v>
      </c>
      <c r="E11" s="147">
        <f>C11</f>
        <v>0.48499999999999999</v>
      </c>
      <c r="F11" s="147">
        <f>E11</f>
        <v>0.48499999999999999</v>
      </c>
      <c r="G11" s="147">
        <f t="shared" ref="G11:H11" si="3">F11</f>
        <v>0.48499999999999999</v>
      </c>
      <c r="H11" s="259">
        <f t="shared" si="3"/>
        <v>0.48499999999999999</v>
      </c>
    </row>
    <row r="12" spans="1:18" ht="17" x14ac:dyDescent="0.2">
      <c r="B12" s="244" t="s">
        <v>284</v>
      </c>
      <c r="C12" s="245">
        <v>0.02</v>
      </c>
      <c r="E12" s="246">
        <f>$C12*N8</f>
        <v>0.04</v>
      </c>
      <c r="F12" s="246">
        <f>E12*O8</f>
        <v>5.1428571428571428E-2</v>
      </c>
      <c r="G12" s="246">
        <f t="shared" ref="G12" si="4">F12*P8</f>
        <v>7.4285714285714288E-2</v>
      </c>
      <c r="H12" s="257">
        <f>G12*Q8</f>
        <v>0.10571428571428571</v>
      </c>
    </row>
  </sheetData>
  <hyperlinks>
    <hyperlink ref="M3" r:id="rId1" xr:uid="{E52C44C6-20FF-574C-8861-2A02A1316406}"/>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13"/>
  <sheetViews>
    <sheetView workbookViewId="0">
      <selection activeCell="C29" sqref="C29"/>
    </sheetView>
  </sheetViews>
  <sheetFormatPr baseColWidth="10" defaultRowHeight="16" x14ac:dyDescent="0.2"/>
  <cols>
    <col min="1" max="1" width="10.83203125" style="97"/>
    <col min="2" max="2" width="18.6640625" style="97" customWidth="1"/>
    <col min="3" max="3" width="59.5" style="124" customWidth="1"/>
    <col min="4" max="16384" width="10.83203125" style="97"/>
  </cols>
  <sheetData>
    <row r="2" spans="2:4" ht="21" x14ac:dyDescent="0.25">
      <c r="B2" s="96" t="s">
        <v>97</v>
      </c>
    </row>
    <row r="4" spans="2:4" ht="17" x14ac:dyDescent="0.2">
      <c r="B4" s="125" t="s">
        <v>77</v>
      </c>
      <c r="C4" s="126" t="s">
        <v>98</v>
      </c>
      <c r="D4" s="127" t="s">
        <v>99</v>
      </c>
    </row>
    <row r="5" spans="2:4" x14ac:dyDescent="0.2">
      <c r="B5" s="128"/>
      <c r="C5" s="129"/>
      <c r="D5" s="130"/>
    </row>
    <row r="6" spans="2:4" ht="17" x14ac:dyDescent="0.2">
      <c r="B6" s="131">
        <v>42369</v>
      </c>
      <c r="C6" s="143" t="s">
        <v>100</v>
      </c>
      <c r="D6" s="133">
        <v>1</v>
      </c>
    </row>
    <row r="7" spans="2:4" ht="17" x14ac:dyDescent="0.2">
      <c r="B7" s="134">
        <v>42387</v>
      </c>
      <c r="C7" s="143" t="s">
        <v>144</v>
      </c>
      <c r="D7" s="133">
        <v>2</v>
      </c>
    </row>
    <row r="8" spans="2:4" ht="17" x14ac:dyDescent="0.2">
      <c r="B8" s="134" t="s">
        <v>206</v>
      </c>
      <c r="C8" s="132" t="s">
        <v>207</v>
      </c>
      <c r="D8" s="133">
        <v>3</v>
      </c>
    </row>
    <row r="9" spans="2:4" ht="17" x14ac:dyDescent="0.2">
      <c r="B9" s="134" t="s">
        <v>405</v>
      </c>
      <c r="C9" s="132" t="s">
        <v>406</v>
      </c>
      <c r="D9" s="133">
        <v>4</v>
      </c>
    </row>
    <row r="10" spans="2:4" x14ac:dyDescent="0.2">
      <c r="B10" s="134"/>
      <c r="C10" s="132"/>
      <c r="D10" s="133"/>
    </row>
    <row r="11" spans="2:4" x14ac:dyDescent="0.2">
      <c r="B11" s="134"/>
      <c r="C11" s="132"/>
      <c r="D11" s="133"/>
    </row>
    <row r="12" spans="2:4" x14ac:dyDescent="0.2">
      <c r="B12" s="134"/>
      <c r="C12" s="132"/>
      <c r="D12" s="133"/>
    </row>
    <row r="13" spans="2:4" x14ac:dyDescent="0.2">
      <c r="B13" s="134"/>
      <c r="C13" s="132"/>
      <c r="D13" s="133"/>
    </row>
    <row r="14" spans="2:4" x14ac:dyDescent="0.2">
      <c r="B14" s="134"/>
      <c r="C14" s="132"/>
      <c r="D14" s="133"/>
    </row>
    <row r="15" spans="2:4" x14ac:dyDescent="0.2">
      <c r="B15" s="134"/>
      <c r="C15" s="132"/>
      <c r="D15" s="133"/>
    </row>
    <row r="16" spans="2:4" x14ac:dyDescent="0.2">
      <c r="B16" s="134"/>
      <c r="C16" s="132"/>
      <c r="D16" s="133"/>
    </row>
    <row r="17" spans="2:4" x14ac:dyDescent="0.2">
      <c r="B17" s="134"/>
      <c r="C17" s="132"/>
      <c r="D17" s="133"/>
    </row>
    <row r="18" spans="2:4" x14ac:dyDescent="0.2">
      <c r="B18" s="134"/>
      <c r="C18" s="132"/>
      <c r="D18" s="133"/>
    </row>
    <row r="19" spans="2:4" x14ac:dyDescent="0.2">
      <c r="B19" s="134"/>
      <c r="C19" s="132"/>
      <c r="D19" s="133"/>
    </row>
    <row r="20" spans="2:4" x14ac:dyDescent="0.2">
      <c r="B20" s="134"/>
      <c r="C20" s="132"/>
      <c r="D20" s="133"/>
    </row>
    <row r="21" spans="2:4" x14ac:dyDescent="0.2">
      <c r="B21" s="134"/>
      <c r="C21" s="132"/>
      <c r="D21" s="133"/>
    </row>
    <row r="22" spans="2:4" x14ac:dyDescent="0.2">
      <c r="B22" s="134"/>
      <c r="C22" s="132"/>
      <c r="D22" s="133"/>
    </row>
    <row r="23" spans="2:4" x14ac:dyDescent="0.2">
      <c r="B23" s="134"/>
      <c r="C23" s="132"/>
      <c r="D23" s="133"/>
    </row>
    <row r="24" spans="2:4" x14ac:dyDescent="0.2">
      <c r="B24" s="134"/>
      <c r="C24" s="132"/>
      <c r="D24" s="133"/>
    </row>
    <row r="25" spans="2:4" x14ac:dyDescent="0.2">
      <c r="B25" s="134"/>
      <c r="C25" s="132"/>
      <c r="D25" s="133"/>
    </row>
    <row r="26" spans="2:4" x14ac:dyDescent="0.2">
      <c r="B26" s="134"/>
      <c r="C26" s="132"/>
      <c r="D26" s="133"/>
    </row>
    <row r="27" spans="2:4" x14ac:dyDescent="0.2">
      <c r="B27" s="134"/>
      <c r="C27" s="132"/>
      <c r="D27" s="133"/>
    </row>
    <row r="28" spans="2:4" x14ac:dyDescent="0.2">
      <c r="B28" s="134"/>
      <c r="C28" s="132"/>
      <c r="D28" s="133"/>
    </row>
    <row r="29" spans="2:4" x14ac:dyDescent="0.2">
      <c r="B29" s="134"/>
      <c r="C29" s="132"/>
      <c r="D29" s="133"/>
    </row>
    <row r="30" spans="2:4" x14ac:dyDescent="0.2">
      <c r="B30" s="134"/>
      <c r="C30" s="132"/>
      <c r="D30" s="133"/>
    </row>
    <row r="31" spans="2:4" x14ac:dyDescent="0.2">
      <c r="B31" s="134"/>
      <c r="C31" s="132"/>
      <c r="D31" s="133"/>
    </row>
    <row r="32" spans="2:4" x14ac:dyDescent="0.2">
      <c r="B32" s="135"/>
      <c r="C32" s="132"/>
      <c r="D32" s="133"/>
    </row>
    <row r="33" spans="2:4" x14ac:dyDescent="0.2">
      <c r="B33" s="134"/>
      <c r="C33" s="132"/>
      <c r="D33" s="133"/>
    </row>
    <row r="34" spans="2:4" x14ac:dyDescent="0.2">
      <c r="B34" s="134"/>
      <c r="C34" s="132"/>
      <c r="D34" s="133"/>
    </row>
    <row r="35" spans="2:4" x14ac:dyDescent="0.2">
      <c r="B35" s="134"/>
      <c r="C35" s="132"/>
      <c r="D35" s="133"/>
    </row>
    <row r="36" spans="2:4" x14ac:dyDescent="0.2">
      <c r="B36" s="134"/>
      <c r="C36" s="132"/>
      <c r="D36" s="133"/>
    </row>
    <row r="37" spans="2:4" x14ac:dyDescent="0.2">
      <c r="B37" s="134"/>
      <c r="C37" s="132"/>
      <c r="D37" s="133"/>
    </row>
    <row r="38" spans="2:4" x14ac:dyDescent="0.2">
      <c r="B38" s="134"/>
      <c r="C38" s="132"/>
      <c r="D38" s="133"/>
    </row>
    <row r="39" spans="2:4" x14ac:dyDescent="0.2">
      <c r="B39" s="134"/>
      <c r="C39" s="132"/>
      <c r="D39" s="133"/>
    </row>
    <row r="40" spans="2:4" x14ac:dyDescent="0.2">
      <c r="B40" s="131"/>
      <c r="C40" s="132"/>
      <c r="D40" s="133"/>
    </row>
    <row r="41" spans="2:4" x14ac:dyDescent="0.2">
      <c r="B41" s="134"/>
      <c r="C41" s="132"/>
      <c r="D41" s="133"/>
    </row>
    <row r="42" spans="2:4" x14ac:dyDescent="0.2">
      <c r="B42" s="131"/>
      <c r="C42" s="132"/>
      <c r="D42" s="133"/>
    </row>
    <row r="43" spans="2:4" x14ac:dyDescent="0.2">
      <c r="B43" s="131"/>
      <c r="C43" s="136"/>
      <c r="D43" s="137"/>
    </row>
    <row r="44" spans="2:4" x14ac:dyDescent="0.2">
      <c r="B44" s="131"/>
      <c r="C44" s="132"/>
      <c r="D44" s="133"/>
    </row>
    <row r="45" spans="2:4" x14ac:dyDescent="0.2">
      <c r="B45" s="134"/>
      <c r="C45" s="132"/>
      <c r="D45" s="133"/>
    </row>
    <row r="46" spans="2:4" x14ac:dyDescent="0.2">
      <c r="B46" s="134"/>
      <c r="C46" s="132"/>
      <c r="D46" s="133"/>
    </row>
    <row r="47" spans="2:4" x14ac:dyDescent="0.2">
      <c r="B47" s="134"/>
      <c r="C47" s="132"/>
      <c r="D47" s="133"/>
    </row>
    <row r="48" spans="2:4" x14ac:dyDescent="0.2">
      <c r="B48" s="138"/>
      <c r="C48" s="139"/>
      <c r="D48" s="140"/>
    </row>
    <row r="49" spans="2:4" x14ac:dyDescent="0.2">
      <c r="B49" s="141"/>
      <c r="D49" s="142"/>
    </row>
    <row r="50" spans="2:4" x14ac:dyDescent="0.2">
      <c r="B50" s="141"/>
      <c r="D50" s="142"/>
    </row>
    <row r="51" spans="2:4" x14ac:dyDescent="0.2">
      <c r="B51" s="141"/>
      <c r="D51" s="142"/>
    </row>
    <row r="52" spans="2:4" x14ac:dyDescent="0.2">
      <c r="B52" s="141"/>
      <c r="D52" s="142"/>
    </row>
    <row r="53" spans="2:4" x14ac:dyDescent="0.2">
      <c r="B53" s="141"/>
      <c r="D53" s="142"/>
    </row>
    <row r="54" spans="2:4" x14ac:dyDescent="0.2">
      <c r="B54" s="141"/>
      <c r="D54" s="142"/>
    </row>
    <row r="55" spans="2:4" x14ac:dyDescent="0.2">
      <c r="B55" s="141"/>
      <c r="D55" s="142"/>
    </row>
    <row r="56" spans="2:4" x14ac:dyDescent="0.2">
      <c r="B56" s="141"/>
      <c r="D56" s="141"/>
    </row>
    <row r="57" spans="2:4" x14ac:dyDescent="0.2">
      <c r="B57" s="141"/>
      <c r="D57" s="141"/>
    </row>
    <row r="58" spans="2:4" x14ac:dyDescent="0.2">
      <c r="B58" s="141"/>
      <c r="D58" s="141"/>
    </row>
    <row r="59" spans="2:4" x14ac:dyDescent="0.2">
      <c r="B59" s="141"/>
      <c r="D59" s="141"/>
    </row>
    <row r="60" spans="2:4" x14ac:dyDescent="0.2">
      <c r="B60" s="141"/>
      <c r="D60" s="141"/>
    </row>
    <row r="61" spans="2:4" x14ac:dyDescent="0.2">
      <c r="B61" s="141"/>
      <c r="D61" s="141"/>
    </row>
    <row r="62" spans="2:4" x14ac:dyDescent="0.2">
      <c r="B62" s="141"/>
      <c r="D62" s="141"/>
    </row>
    <row r="63" spans="2:4" x14ac:dyDescent="0.2">
      <c r="B63" s="141"/>
      <c r="D63" s="141"/>
    </row>
    <row r="64" spans="2:4" x14ac:dyDescent="0.2">
      <c r="B64" s="141"/>
      <c r="D64" s="141"/>
    </row>
    <row r="65" spans="2:4" x14ac:dyDescent="0.2">
      <c r="B65" s="141"/>
      <c r="D65" s="141"/>
    </row>
    <row r="66" spans="2:4" x14ac:dyDescent="0.2">
      <c r="B66" s="141"/>
      <c r="D66" s="141"/>
    </row>
    <row r="67" spans="2:4" x14ac:dyDescent="0.2">
      <c r="B67" s="141"/>
      <c r="D67" s="141"/>
    </row>
    <row r="68" spans="2:4" x14ac:dyDescent="0.2">
      <c r="B68" s="141"/>
      <c r="D68" s="141"/>
    </row>
    <row r="69" spans="2:4" x14ac:dyDescent="0.2">
      <c r="B69" s="141"/>
      <c r="D69" s="141"/>
    </row>
    <row r="70" spans="2:4" x14ac:dyDescent="0.2">
      <c r="B70" s="141"/>
      <c r="D70" s="141"/>
    </row>
    <row r="71" spans="2:4" x14ac:dyDescent="0.2">
      <c r="B71" s="141"/>
      <c r="D71" s="141"/>
    </row>
    <row r="72" spans="2:4" x14ac:dyDescent="0.2">
      <c r="B72" s="141"/>
      <c r="D72" s="141"/>
    </row>
    <row r="73" spans="2:4" x14ac:dyDescent="0.2">
      <c r="B73" s="141"/>
      <c r="D73" s="141"/>
    </row>
    <row r="74" spans="2:4" x14ac:dyDescent="0.2">
      <c r="B74" s="141"/>
      <c r="D74" s="141"/>
    </row>
    <row r="75" spans="2:4" x14ac:dyDescent="0.2">
      <c r="B75" s="141"/>
      <c r="D75" s="141"/>
    </row>
    <row r="76" spans="2:4" x14ac:dyDescent="0.2">
      <c r="B76" s="141"/>
      <c r="D76" s="141"/>
    </row>
    <row r="77" spans="2:4" x14ac:dyDescent="0.2">
      <c r="B77" s="141"/>
      <c r="D77" s="141"/>
    </row>
    <row r="78" spans="2:4" x14ac:dyDescent="0.2">
      <c r="B78" s="141"/>
      <c r="D78" s="141"/>
    </row>
    <row r="79" spans="2:4" x14ac:dyDescent="0.2">
      <c r="B79" s="141"/>
      <c r="D79" s="141"/>
    </row>
    <row r="80" spans="2:4" x14ac:dyDescent="0.2">
      <c r="B80" s="141"/>
      <c r="D80" s="141"/>
    </row>
    <row r="81" spans="2:4" x14ac:dyDescent="0.2">
      <c r="B81" s="141"/>
      <c r="D81" s="141"/>
    </row>
    <row r="82" spans="2:4" x14ac:dyDescent="0.2">
      <c r="B82" s="141"/>
      <c r="D82" s="141"/>
    </row>
    <row r="83" spans="2:4" x14ac:dyDescent="0.2">
      <c r="B83" s="141"/>
      <c r="D83" s="141"/>
    </row>
    <row r="84" spans="2:4" x14ac:dyDescent="0.2">
      <c r="B84" s="141"/>
      <c r="D84" s="141"/>
    </row>
    <row r="85" spans="2:4" x14ac:dyDescent="0.2">
      <c r="B85" s="141"/>
      <c r="D85" s="141"/>
    </row>
    <row r="86" spans="2:4" x14ac:dyDescent="0.2">
      <c r="B86" s="141"/>
      <c r="D86" s="141"/>
    </row>
    <row r="87" spans="2:4" x14ac:dyDescent="0.2">
      <c r="D87" s="141"/>
    </row>
    <row r="88" spans="2:4" x14ac:dyDescent="0.2">
      <c r="D88" s="141"/>
    </row>
    <row r="89" spans="2:4" x14ac:dyDescent="0.2">
      <c r="D89" s="141"/>
    </row>
    <row r="90" spans="2:4" x14ac:dyDescent="0.2">
      <c r="D90" s="141"/>
    </row>
    <row r="91" spans="2:4" x14ac:dyDescent="0.2">
      <c r="D91" s="141"/>
    </row>
    <row r="92" spans="2:4" x14ac:dyDescent="0.2">
      <c r="D92" s="141"/>
    </row>
    <row r="93" spans="2:4" x14ac:dyDescent="0.2">
      <c r="D93" s="141"/>
    </row>
    <row r="94" spans="2:4" x14ac:dyDescent="0.2">
      <c r="D94" s="141"/>
    </row>
    <row r="95" spans="2:4" x14ac:dyDescent="0.2">
      <c r="D95" s="141"/>
    </row>
    <row r="96" spans="2:4" x14ac:dyDescent="0.2">
      <c r="D96" s="141"/>
    </row>
    <row r="97" spans="4:4" x14ac:dyDescent="0.2">
      <c r="D97" s="141"/>
    </row>
    <row r="98" spans="4:4" x14ac:dyDescent="0.2">
      <c r="D98" s="141"/>
    </row>
    <row r="99" spans="4:4" x14ac:dyDescent="0.2">
      <c r="D99" s="141"/>
    </row>
    <row r="100" spans="4:4" x14ac:dyDescent="0.2">
      <c r="D100" s="141"/>
    </row>
    <row r="101" spans="4:4" x14ac:dyDescent="0.2">
      <c r="D101" s="141"/>
    </row>
    <row r="102" spans="4:4" x14ac:dyDescent="0.2">
      <c r="D102" s="141"/>
    </row>
    <row r="103" spans="4:4" x14ac:dyDescent="0.2">
      <c r="D103" s="141"/>
    </row>
    <row r="104" spans="4:4" x14ac:dyDescent="0.2">
      <c r="D104" s="141"/>
    </row>
    <row r="105" spans="4:4" x14ac:dyDescent="0.2">
      <c r="D105" s="141"/>
    </row>
    <row r="106" spans="4:4" x14ac:dyDescent="0.2">
      <c r="D106" s="141"/>
    </row>
    <row r="107" spans="4:4" x14ac:dyDescent="0.2">
      <c r="D107" s="141"/>
    </row>
    <row r="108" spans="4:4" x14ac:dyDescent="0.2">
      <c r="D108" s="141"/>
    </row>
    <row r="109" spans="4:4" x14ac:dyDescent="0.2">
      <c r="D109" s="141"/>
    </row>
    <row r="110" spans="4:4" x14ac:dyDescent="0.2">
      <c r="D110" s="141"/>
    </row>
    <row r="111" spans="4:4" x14ac:dyDescent="0.2">
      <c r="D111" s="141"/>
    </row>
    <row r="112" spans="4:4" x14ac:dyDescent="0.2">
      <c r="D112" s="141"/>
    </row>
    <row r="113" spans="4:4" x14ac:dyDescent="0.2">
      <c r="D113" s="14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4:E35"/>
  <sheetViews>
    <sheetView workbookViewId="0">
      <selection activeCell="D8" sqref="D8:D11"/>
    </sheetView>
  </sheetViews>
  <sheetFormatPr baseColWidth="10" defaultRowHeight="16" x14ac:dyDescent="0.2"/>
  <cols>
    <col min="1" max="1" width="2.6640625" style="2" customWidth="1"/>
    <col min="2" max="2" width="3.1640625" style="145" customWidth="1"/>
    <col min="3" max="3" width="2.33203125" style="2" customWidth="1"/>
    <col min="4" max="16384" width="10.83203125" style="2"/>
  </cols>
  <sheetData>
    <row r="4" spans="2:5" x14ac:dyDescent="0.2">
      <c r="B4" s="46" t="s">
        <v>104</v>
      </c>
    </row>
    <row r="6" spans="2:5" x14ac:dyDescent="0.2">
      <c r="B6" s="145">
        <v>1</v>
      </c>
      <c r="C6" s="2" t="s">
        <v>261</v>
      </c>
    </row>
    <row r="7" spans="2:5" x14ac:dyDescent="0.2">
      <c r="B7" s="145">
        <v>2</v>
      </c>
      <c r="C7" s="2" t="s">
        <v>245</v>
      </c>
      <c r="D7"/>
    </row>
    <row r="8" spans="2:5" x14ac:dyDescent="0.2">
      <c r="C8" s="2" t="s">
        <v>102</v>
      </c>
      <c r="D8" t="s">
        <v>258</v>
      </c>
    </row>
    <row r="9" spans="2:5" x14ac:dyDescent="0.2">
      <c r="C9" s="2" t="s">
        <v>102</v>
      </c>
      <c r="D9" t="s">
        <v>262</v>
      </c>
    </row>
    <row r="10" spans="2:5" x14ac:dyDescent="0.2">
      <c r="C10" s="2" t="s">
        <v>102</v>
      </c>
      <c r="D10" t="s">
        <v>265</v>
      </c>
    </row>
    <row r="11" spans="2:5" x14ac:dyDescent="0.2">
      <c r="C11" s="2" t="s">
        <v>102</v>
      </c>
      <c r="D11" s="2" t="s">
        <v>103</v>
      </c>
    </row>
    <row r="13" spans="2:5" x14ac:dyDescent="0.2">
      <c r="B13" s="145">
        <v>3</v>
      </c>
      <c r="C13" s="2" t="s">
        <v>150</v>
      </c>
    </row>
    <row r="14" spans="2:5" x14ac:dyDescent="0.2">
      <c r="B14" s="145">
        <v>4</v>
      </c>
      <c r="C14" s="2" t="s">
        <v>259</v>
      </c>
    </row>
    <row r="15" spans="2:5" x14ac:dyDescent="0.2">
      <c r="E15"/>
    </row>
    <row r="18" spans="2:3" x14ac:dyDescent="0.2">
      <c r="B18" s="46" t="s">
        <v>134</v>
      </c>
    </row>
    <row r="20" spans="2:3" x14ac:dyDescent="0.2">
      <c r="B20" s="145">
        <v>1</v>
      </c>
      <c r="C20" s="2" t="s">
        <v>181</v>
      </c>
    </row>
    <row r="21" spans="2:3" x14ac:dyDescent="0.2">
      <c r="B21" s="145">
        <v>2</v>
      </c>
      <c r="C21" s="2" t="s">
        <v>135</v>
      </c>
    </row>
    <row r="22" spans="2:3" x14ac:dyDescent="0.2">
      <c r="B22" s="145">
        <v>3</v>
      </c>
      <c r="C22" s="2" t="s">
        <v>267</v>
      </c>
    </row>
    <row r="23" spans="2:3" x14ac:dyDescent="0.2">
      <c r="B23" s="145">
        <v>4</v>
      </c>
      <c r="C23" s="2" t="s">
        <v>260</v>
      </c>
    </row>
    <row r="26" spans="2:3" x14ac:dyDescent="0.2">
      <c r="B26" s="46" t="s">
        <v>136</v>
      </c>
    </row>
    <row r="28" spans="2:3" x14ac:dyDescent="0.2">
      <c r="C28" s="2" t="s">
        <v>137</v>
      </c>
    </row>
    <row r="30" spans="2:3" x14ac:dyDescent="0.2">
      <c r="B30" s="240" t="s">
        <v>251</v>
      </c>
    </row>
    <row r="31" spans="2:3" x14ac:dyDescent="0.2">
      <c r="C31" s="145" t="s">
        <v>252</v>
      </c>
    </row>
    <row r="32" spans="2:3" x14ac:dyDescent="0.2">
      <c r="C32" s="2" t="s">
        <v>263</v>
      </c>
    </row>
    <row r="33" spans="3:3" x14ac:dyDescent="0.2">
      <c r="C33" s="145" t="s">
        <v>264</v>
      </c>
    </row>
    <row r="34" spans="3:3" x14ac:dyDescent="0.2">
      <c r="C34" s="2" t="s">
        <v>266</v>
      </c>
    </row>
    <row r="35" spans="3:3" x14ac:dyDescent="0.2">
      <c r="C35" s="2" t="s">
        <v>268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8" tint="0.39997558519241921"/>
  </sheetPr>
  <dimension ref="A2:S81"/>
  <sheetViews>
    <sheetView zoomScale="90" zoomScaleNormal="90" workbookViewId="0">
      <selection activeCell="R46" sqref="R46"/>
    </sheetView>
  </sheetViews>
  <sheetFormatPr baseColWidth="10" defaultRowHeight="16" x14ac:dyDescent="0.2"/>
  <cols>
    <col min="1" max="1" width="21.1640625" style="2" bestFit="1" customWidth="1"/>
    <col min="2" max="2" width="40.83203125" style="2" customWidth="1"/>
    <col min="3" max="3" width="41.5" style="2" bestFit="1" customWidth="1"/>
    <col min="4" max="4" width="37.33203125" style="2" customWidth="1"/>
    <col min="5" max="5" width="29" style="2" bestFit="1" customWidth="1"/>
    <col min="6" max="6" width="28" style="2" bestFit="1" customWidth="1"/>
    <col min="7" max="7" width="15.1640625" style="2" bestFit="1" customWidth="1"/>
    <col min="8" max="8" width="11.33203125" style="2" bestFit="1" customWidth="1"/>
    <col min="9" max="9" width="11" style="2" bestFit="1" customWidth="1"/>
    <col min="10" max="10" width="14.83203125" style="2" bestFit="1" customWidth="1"/>
    <col min="11" max="11" width="14.6640625" style="2" bestFit="1" customWidth="1"/>
    <col min="12" max="12" width="4.5" style="2" customWidth="1"/>
    <col min="13" max="13" width="19.83203125" style="2" customWidth="1"/>
    <col min="14" max="14" width="22.6640625" style="2" customWidth="1"/>
    <col min="15" max="15" width="29.1640625" style="2" customWidth="1"/>
    <col min="16" max="16384" width="10.83203125" style="2"/>
  </cols>
  <sheetData>
    <row r="2" spans="2:15" ht="21" x14ac:dyDescent="0.25">
      <c r="B2" s="1" t="s">
        <v>0</v>
      </c>
    </row>
    <row r="4" spans="2:15" x14ac:dyDescent="0.2">
      <c r="B4" s="3" t="s">
        <v>1</v>
      </c>
      <c r="C4" s="4"/>
      <c r="D4" s="4"/>
      <c r="E4" s="4"/>
      <c r="F4" s="4"/>
      <c r="G4" s="5"/>
    </row>
    <row r="5" spans="2:15" ht="30" customHeight="1" x14ac:dyDescent="0.2">
      <c r="B5" s="297" t="s">
        <v>143</v>
      </c>
      <c r="C5" s="298"/>
      <c r="D5" s="298"/>
      <c r="E5" s="298"/>
      <c r="F5" s="298"/>
      <c r="G5" s="299"/>
    </row>
    <row r="6" spans="2:15" ht="17" thickBot="1" x14ac:dyDescent="0.25"/>
    <row r="7" spans="2:15" x14ac:dyDescent="0.2">
      <c r="B7" s="6" t="s">
        <v>0</v>
      </c>
      <c r="C7" s="7"/>
      <c r="D7" s="7"/>
      <c r="E7" s="7"/>
      <c r="F7" s="7"/>
      <c r="G7" s="7"/>
      <c r="H7" s="7"/>
      <c r="I7" s="7"/>
      <c r="J7" s="7"/>
      <c r="K7" s="8"/>
      <c r="M7" s="89"/>
      <c r="N7" s="7"/>
      <c r="O7" s="8"/>
    </row>
    <row r="8" spans="2:15" x14ac:dyDescent="0.2">
      <c r="B8" s="9"/>
      <c r="K8" s="10"/>
      <c r="M8" s="9"/>
      <c r="O8" s="10"/>
    </row>
    <row r="9" spans="2:15" ht="51" x14ac:dyDescent="0.2">
      <c r="B9" s="11" t="s">
        <v>2</v>
      </c>
      <c r="C9" s="12" t="s">
        <v>3</v>
      </c>
      <c r="D9" s="13" t="s">
        <v>4</v>
      </c>
      <c r="E9" s="14" t="s">
        <v>5</v>
      </c>
      <c r="F9" s="14" t="s">
        <v>6</v>
      </c>
      <c r="G9" s="14" t="s">
        <v>7</v>
      </c>
      <c r="H9" s="14" t="s">
        <v>8</v>
      </c>
      <c r="I9" s="14" t="s">
        <v>9</v>
      </c>
      <c r="J9" s="14" t="s">
        <v>10</v>
      </c>
      <c r="K9" s="15" t="s">
        <v>11</v>
      </c>
      <c r="L9" s="22"/>
      <c r="M9" s="90" t="s">
        <v>68</v>
      </c>
      <c r="N9" s="91" t="s">
        <v>69</v>
      </c>
      <c r="O9" s="92" t="s">
        <v>70</v>
      </c>
    </row>
    <row r="10" spans="2:15" ht="17" thickBot="1" x14ac:dyDescent="0.25">
      <c r="B10" s="16" t="s">
        <v>12</v>
      </c>
      <c r="C10" s="17"/>
      <c r="D10" s="17"/>
      <c r="E10" s="18"/>
      <c r="F10" s="18"/>
      <c r="G10" s="18"/>
      <c r="H10" s="18"/>
      <c r="I10" s="18"/>
      <c r="J10" s="18"/>
      <c r="K10" s="19"/>
      <c r="L10" s="80"/>
      <c r="M10" s="9"/>
      <c r="O10" s="10"/>
    </row>
    <row r="11" spans="2:15" ht="17" thickBot="1" x14ac:dyDescent="0.25">
      <c r="B11" s="9"/>
      <c r="C11" s="20" t="s">
        <v>13</v>
      </c>
      <c r="D11" s="20"/>
      <c r="E11" s="227">
        <v>270203.72090000001</v>
      </c>
      <c r="F11" s="227">
        <v>84094.055139999997</v>
      </c>
      <c r="G11" s="227">
        <v>966.02036399999997</v>
      </c>
      <c r="H11" s="228">
        <v>46.892160000000004</v>
      </c>
      <c r="I11" s="241">
        <v>447.02609273869001</v>
      </c>
      <c r="J11" s="227">
        <v>16008.3554</v>
      </c>
      <c r="K11" s="227">
        <v>12081.05327</v>
      </c>
      <c r="L11" s="52"/>
      <c r="M11" s="9"/>
      <c r="O11" s="10"/>
    </row>
    <row r="12" spans="2:15" x14ac:dyDescent="0.2">
      <c r="B12" s="21"/>
      <c r="C12" s="22"/>
      <c r="D12" s="22"/>
      <c r="E12" s="52">
        <f>SUM(E15:E24)</f>
        <v>223626.46926659317</v>
      </c>
      <c r="F12" s="52">
        <f>SUM(F15:F24)</f>
        <v>6129</v>
      </c>
      <c r="G12" s="52">
        <f>SUM(G15:G24)</f>
        <v>0</v>
      </c>
      <c r="H12" s="52">
        <f t="shared" ref="H12:K12" si="0">SUM(H15:H24)</f>
        <v>46.892160000000004</v>
      </c>
      <c r="I12" s="52">
        <f t="shared" si="0"/>
        <v>447.02609273869001</v>
      </c>
      <c r="J12" s="52">
        <f t="shared" si="0"/>
        <v>16008.3554</v>
      </c>
      <c r="K12" s="52">
        <f t="shared" si="0"/>
        <v>10207.785634059252</v>
      </c>
      <c r="L12" s="52"/>
      <c r="M12" s="9"/>
      <c r="O12" s="10"/>
    </row>
    <row r="13" spans="2:15" x14ac:dyDescent="0.2">
      <c r="B13" s="11"/>
      <c r="C13" s="23"/>
      <c r="D13" s="23"/>
      <c r="E13" s="33"/>
      <c r="F13" s="33"/>
      <c r="G13" s="33"/>
      <c r="H13" s="33"/>
      <c r="I13" s="33"/>
      <c r="J13" s="33"/>
      <c r="K13" s="34"/>
      <c r="L13" s="81"/>
      <c r="M13" s="9"/>
      <c r="O13" s="10"/>
    </row>
    <row r="14" spans="2:15" x14ac:dyDescent="0.2">
      <c r="B14" s="16" t="s">
        <v>34</v>
      </c>
      <c r="C14" s="24"/>
      <c r="D14" s="23"/>
      <c r="E14" s="33"/>
      <c r="F14" s="33"/>
      <c r="G14" s="33"/>
      <c r="H14" s="33"/>
      <c r="I14" s="33"/>
      <c r="J14" s="33"/>
      <c r="K14" s="34"/>
      <c r="L14" s="81"/>
      <c r="M14" s="9"/>
      <c r="O14" s="10"/>
    </row>
    <row r="15" spans="2:15" x14ac:dyDescent="0.2">
      <c r="B15" s="21" t="s">
        <v>133</v>
      </c>
      <c r="C15" s="185" t="s">
        <v>35</v>
      </c>
      <c r="D15" s="76">
        <f t="shared" ref="D15:D24" si="1">SUM(E15:K15)/SUM($E$15:$K$24)</f>
        <v>0.84046497776643037</v>
      </c>
      <c r="E15" s="71">
        <f>((E11-E52)*'Appliances split'!D22)-SUM(E16:E24)</f>
        <v>215550.29475348166</v>
      </c>
      <c r="F15" s="71"/>
      <c r="G15" s="71"/>
      <c r="H15" s="71"/>
      <c r="I15" s="71"/>
      <c r="J15" s="71"/>
      <c r="K15" s="78"/>
      <c r="L15" s="82"/>
      <c r="M15" s="9">
        <v>1.07</v>
      </c>
      <c r="N15" s="154">
        <f t="shared" ref="N15:N23" si="2">M15*SUM(E15:K15)</f>
        <v>230638.81538622538</v>
      </c>
      <c r="O15" s="95">
        <f t="shared" ref="O15:O24" si="3">N15/SUM($N$15:$N$24)</f>
        <v>0.84146598026490826</v>
      </c>
    </row>
    <row r="16" spans="2:15" x14ac:dyDescent="0.2">
      <c r="B16" s="252">
        <f>SUM(E15:K24)</f>
        <v>256465.52855339111</v>
      </c>
      <c r="C16" s="186" t="s">
        <v>36</v>
      </c>
      <c r="D16" s="77">
        <f t="shared" si="1"/>
        <v>1.7757691510187175E-3</v>
      </c>
      <c r="E16" s="68"/>
      <c r="F16" s="68">
        <f>'Heat pumps'!J21</f>
        <v>455.42357390482198</v>
      </c>
      <c r="G16" s="68"/>
      <c r="H16" s="68"/>
      <c r="I16" s="68"/>
      <c r="J16" s="68"/>
      <c r="K16" s="74"/>
      <c r="L16" s="82"/>
      <c r="M16" s="9">
        <v>4.8000000000000078</v>
      </c>
      <c r="N16" s="154">
        <f t="shared" si="2"/>
        <v>2186.0331547431492</v>
      </c>
      <c r="O16" s="95">
        <f t="shared" si="3"/>
        <v>7.9755548881361195E-3</v>
      </c>
    </row>
    <row r="17" spans="1:17" x14ac:dyDescent="0.2">
      <c r="B17" s="16"/>
      <c r="C17" s="186" t="s">
        <v>37</v>
      </c>
      <c r="D17" s="77">
        <f t="shared" si="1"/>
        <v>3.980178424615919E-2</v>
      </c>
      <c r="E17" s="68"/>
      <c r="F17" s="68"/>
      <c r="G17" s="68"/>
      <c r="H17" s="68"/>
      <c r="I17" s="68"/>
      <c r="J17" s="68"/>
      <c r="K17" s="74">
        <f>'Appliances split'!D22*K11</f>
        <v>10207.785634059252</v>
      </c>
      <c r="L17" s="82"/>
      <c r="M17" s="9">
        <v>1</v>
      </c>
      <c r="N17" s="154">
        <f t="shared" si="2"/>
        <v>10207.785634059252</v>
      </c>
      <c r="O17" s="95">
        <f t="shared" si="3"/>
        <v>3.7242232321189395E-2</v>
      </c>
    </row>
    <row r="18" spans="1:17" x14ac:dyDescent="0.2">
      <c r="B18" s="16"/>
      <c r="C18" s="186" t="s">
        <v>38</v>
      </c>
      <c r="D18" s="77">
        <f t="shared" si="1"/>
        <v>5.701918707510625E-3</v>
      </c>
      <c r="E18" s="68"/>
      <c r="F18" s="68">
        <f>'Heat pumps'!J19</f>
        <v>1462.3455950901812</v>
      </c>
      <c r="G18" s="68"/>
      <c r="H18" s="68"/>
      <c r="I18" s="68"/>
      <c r="J18" s="68"/>
      <c r="K18" s="74"/>
      <c r="L18" s="82"/>
      <c r="M18" s="9">
        <v>4.5000000000000044</v>
      </c>
      <c r="N18" s="154">
        <f t="shared" si="2"/>
        <v>6580.5551779058214</v>
      </c>
      <c r="O18" s="95">
        <f t="shared" si="3"/>
        <v>2.4008592414035392E-2</v>
      </c>
    </row>
    <row r="19" spans="1:17" x14ac:dyDescent="0.2">
      <c r="B19" s="16"/>
      <c r="C19" s="186" t="s">
        <v>39</v>
      </c>
      <c r="D19" s="77">
        <f t="shared" si="1"/>
        <v>6.2419130907362369E-2</v>
      </c>
      <c r="E19" s="68"/>
      <c r="F19" s="68"/>
      <c r="G19" s="68"/>
      <c r="H19" s="68"/>
      <c r="I19" s="68"/>
      <c r="J19" s="68">
        <f>J11</f>
        <v>16008.3554</v>
      </c>
      <c r="K19" s="74"/>
      <c r="L19" s="82"/>
      <c r="M19" s="9">
        <v>0.82</v>
      </c>
      <c r="N19" s="154">
        <f t="shared" si="2"/>
        <v>13126.851428</v>
      </c>
      <c r="O19" s="95">
        <f t="shared" si="3"/>
        <v>4.7892194061769915E-2</v>
      </c>
    </row>
    <row r="20" spans="1:17" ht="17" thickBot="1" x14ac:dyDescent="0.25">
      <c r="B20" s="16"/>
      <c r="C20" s="186" t="s">
        <v>40</v>
      </c>
      <c r="D20" s="77">
        <f>SUM(E20:K20)/SUM($E$15:$K$24)</f>
        <v>1.614982693543025E-2</v>
      </c>
      <c r="E20" s="68"/>
      <c r="F20" s="68">
        <f>Electricity!E45-SUM(F15:F19,F21:F24)</f>
        <v>4141.8739010409117</v>
      </c>
      <c r="G20" s="68"/>
      <c r="H20" s="68"/>
      <c r="I20" s="68"/>
      <c r="J20" s="68"/>
      <c r="K20" s="74"/>
      <c r="L20" s="82"/>
      <c r="M20" s="9">
        <v>1</v>
      </c>
      <c r="N20" s="154">
        <f>M20*SUM(E20:K20)</f>
        <v>4141.8739010409117</v>
      </c>
      <c r="O20" s="95">
        <f t="shared" si="3"/>
        <v>1.5111272473528246E-2</v>
      </c>
    </row>
    <row r="21" spans="1:17" ht="17" thickBot="1" x14ac:dyDescent="0.25">
      <c r="B21" s="16"/>
      <c r="C21" s="186" t="s">
        <v>41</v>
      </c>
      <c r="D21" s="77">
        <f t="shared" si="1"/>
        <v>3.1209565453681185E-2</v>
      </c>
      <c r="E21" s="184">
        <f>J19/2</f>
        <v>8004.1777000000002</v>
      </c>
      <c r="F21" s="68"/>
      <c r="G21" s="68"/>
      <c r="H21" s="68"/>
      <c r="I21" s="68"/>
      <c r="J21" s="68"/>
      <c r="K21" s="74"/>
      <c r="L21" s="82"/>
      <c r="M21" s="9">
        <v>0.8</v>
      </c>
      <c r="N21" s="154">
        <f t="shared" si="2"/>
        <v>6403.3421600000001</v>
      </c>
      <c r="O21" s="95">
        <f t="shared" si="3"/>
        <v>2.3362045883790202E-2</v>
      </c>
    </row>
    <row r="22" spans="1:17" x14ac:dyDescent="0.2">
      <c r="B22" s="16"/>
      <c r="C22" s="186" t="s">
        <v>42</v>
      </c>
      <c r="D22" s="77">
        <f t="shared" si="1"/>
        <v>1.7430260326218769E-3</v>
      </c>
      <c r="E22" s="68"/>
      <c r="F22" s="68"/>
      <c r="G22" s="68"/>
      <c r="H22" s="68"/>
      <c r="I22" s="68">
        <f>I11</f>
        <v>447.02609273869001</v>
      </c>
      <c r="J22" s="68"/>
      <c r="K22" s="74"/>
      <c r="L22" s="82"/>
      <c r="M22" s="9">
        <v>0.85</v>
      </c>
      <c r="N22" s="154">
        <f t="shared" si="2"/>
        <v>379.97217882788652</v>
      </c>
      <c r="O22" s="95">
        <f t="shared" si="3"/>
        <v>1.3862959770903171E-3</v>
      </c>
    </row>
    <row r="23" spans="1:17" x14ac:dyDescent="0.2">
      <c r="B23" s="16"/>
      <c r="C23" s="186" t="s">
        <v>43</v>
      </c>
      <c r="D23" s="77">
        <f t="shared" si="1"/>
        <v>1.8284001075894289E-4</v>
      </c>
      <c r="E23" s="68"/>
      <c r="F23" s="68"/>
      <c r="G23" s="68"/>
      <c r="H23" s="68">
        <f>H11</f>
        <v>46.892160000000004</v>
      </c>
      <c r="I23" s="68"/>
      <c r="J23" s="68"/>
      <c r="K23" s="74"/>
      <c r="L23" s="82"/>
      <c r="M23" s="9">
        <v>0.8</v>
      </c>
      <c r="N23" s="154">
        <f t="shared" si="2"/>
        <v>37.513728000000008</v>
      </c>
      <c r="O23" s="95">
        <f t="shared" si="3"/>
        <v>1.3686562624790701E-4</v>
      </c>
    </row>
    <row r="24" spans="1:17" x14ac:dyDescent="0.2">
      <c r="B24" s="16"/>
      <c r="C24" s="187" t="s">
        <v>169</v>
      </c>
      <c r="D24" s="77">
        <f t="shared" si="1"/>
        <v>5.5116078902652779E-4</v>
      </c>
      <c r="E24" s="253">
        <f>'Heat pumps'!K18</f>
        <v>71.996813111507251</v>
      </c>
      <c r="F24" s="68">
        <f>'Heat pumps'!J18</f>
        <v>69.356929964085296</v>
      </c>
      <c r="G24" s="68"/>
      <c r="H24" s="68"/>
      <c r="I24" s="68"/>
      <c r="J24" s="68"/>
      <c r="K24" s="74"/>
      <c r="L24" s="82"/>
      <c r="M24" s="179">
        <f>1/'Heat pumps'!F4</f>
        <v>2.8109827158872616</v>
      </c>
      <c r="N24" s="154">
        <f>Q26*SUM(E24)+F24*P26</f>
        <v>388.92678442836132</v>
      </c>
      <c r="O24" s="95">
        <f t="shared" si="3"/>
        <v>1.4189660893039579E-3</v>
      </c>
    </row>
    <row r="25" spans="1:17" x14ac:dyDescent="0.2">
      <c r="B25" s="16"/>
      <c r="C25" s="27"/>
      <c r="D25" s="63"/>
      <c r="E25" s="29"/>
      <c r="F25" s="29"/>
      <c r="G25" s="29"/>
      <c r="H25" s="29"/>
      <c r="I25" s="29"/>
      <c r="J25" s="29"/>
      <c r="K25" s="30"/>
      <c r="L25" s="81"/>
      <c r="M25" s="179"/>
      <c r="N25" s="154"/>
      <c r="O25" s="255"/>
    </row>
    <row r="26" spans="1:17" x14ac:dyDescent="0.2">
      <c r="A26" s="222"/>
      <c r="B26" s="16"/>
      <c r="C26" s="27"/>
      <c r="D26" s="63"/>
      <c r="E26" s="81"/>
      <c r="F26" s="81"/>
      <c r="G26" s="81"/>
      <c r="H26" s="81"/>
      <c r="I26" s="81"/>
      <c r="J26" s="81"/>
      <c r="K26" s="223"/>
      <c r="L26" s="81"/>
      <c r="M26" s="179"/>
      <c r="N26" s="154"/>
      <c r="O26" s="255"/>
      <c r="P26" s="2">
        <f>('Heat pumps'!E5+'Heat pumps'!E4)/'Heat pumps'!E5</f>
        <v>4.4999999999999885</v>
      </c>
      <c r="Q26" s="188">
        <v>1.0669999999999999</v>
      </c>
    </row>
    <row r="27" spans="1:17" x14ac:dyDescent="0.2">
      <c r="B27" s="16"/>
      <c r="C27" s="27"/>
      <c r="D27" s="63"/>
      <c r="E27" s="81"/>
      <c r="F27" s="81"/>
      <c r="G27" s="81"/>
      <c r="H27" s="81"/>
      <c r="I27" s="81"/>
      <c r="J27" s="81"/>
      <c r="K27" s="223"/>
      <c r="L27" s="57"/>
      <c r="M27" s="179"/>
      <c r="N27" s="154"/>
      <c r="O27" s="95"/>
      <c r="P27" s="2">
        <f>F24*P26</f>
        <v>312.10618483838306</v>
      </c>
      <c r="Q27" s="2">
        <f>Q26*SUM(E24)</f>
        <v>76.820599589978229</v>
      </c>
    </row>
    <row r="28" spans="1:17" x14ac:dyDescent="0.2">
      <c r="B28" s="31"/>
      <c r="C28" s="32"/>
      <c r="D28" s="64"/>
      <c r="E28" s="33"/>
      <c r="F28" s="33"/>
      <c r="G28" s="33"/>
      <c r="H28" s="33"/>
      <c r="I28" s="33"/>
      <c r="J28" s="33"/>
      <c r="K28" s="34"/>
      <c r="L28" s="57"/>
      <c r="M28" s="179"/>
      <c r="N28" s="154"/>
      <c r="O28" s="95"/>
    </row>
    <row r="29" spans="1:17" x14ac:dyDescent="0.2">
      <c r="B29" s="16" t="s">
        <v>44</v>
      </c>
      <c r="C29" s="32"/>
      <c r="D29" s="64"/>
      <c r="E29" s="35"/>
      <c r="F29" s="35"/>
      <c r="G29" s="35"/>
      <c r="H29" s="35"/>
      <c r="I29" s="35"/>
      <c r="J29" s="35"/>
      <c r="K29" s="53"/>
      <c r="L29" s="82"/>
      <c r="M29" s="179"/>
      <c r="N29" s="154"/>
      <c r="O29" s="95"/>
    </row>
    <row r="30" spans="1:17" x14ac:dyDescent="0.2">
      <c r="B30" s="21" t="s">
        <v>133</v>
      </c>
      <c r="C30" s="25" t="s">
        <v>45</v>
      </c>
      <c r="D30" s="69">
        <f t="shared" ref="D30:D39" si="4">SUM(E30:K30)/SUM($E$30:$K$39)</f>
        <v>0.86578907992571519</v>
      </c>
      <c r="E30" s="79">
        <f>((E11-E52)*'Appliances split'!D21)-SUM(E31:E39)</f>
        <v>39552.508563247146</v>
      </c>
      <c r="F30" s="68"/>
      <c r="G30" s="68"/>
      <c r="H30" s="68"/>
      <c r="I30" s="68"/>
      <c r="J30" s="68"/>
      <c r="K30" s="74"/>
      <c r="L30" s="82"/>
      <c r="M30" s="179">
        <v>0.9</v>
      </c>
      <c r="N30" s="154">
        <f t="shared" ref="N30:N38" si="5">M30*SUM(E30:K30)</f>
        <v>35597.257706922435</v>
      </c>
      <c r="O30" s="95">
        <f>N30/SUM($N$30:$N$39)</f>
        <v>0.85073316967997459</v>
      </c>
    </row>
    <row r="31" spans="1:17" x14ac:dyDescent="0.2">
      <c r="B31" s="252">
        <f>SUM(E30:K39)</f>
        <v>45683.769269347627</v>
      </c>
      <c r="C31" s="25" t="s">
        <v>46</v>
      </c>
      <c r="D31" s="69">
        <f t="shared" si="4"/>
        <v>1.8294555688349303E-3</v>
      </c>
      <c r="E31" s="67"/>
      <c r="F31" s="68">
        <f>'Heat pumps'!L21</f>
        <v>83.576426095178078</v>
      </c>
      <c r="G31" s="68"/>
      <c r="H31" s="68"/>
      <c r="I31" s="68"/>
      <c r="J31" s="68"/>
      <c r="K31" s="74"/>
      <c r="L31" s="82"/>
      <c r="M31" s="179">
        <v>3.0000000000000031</v>
      </c>
      <c r="N31" s="154">
        <f t="shared" si="5"/>
        <v>250.72927828553449</v>
      </c>
      <c r="O31" s="95">
        <f t="shared" ref="O31:O39" si="6">N31/SUM($N$30:$N$39)</f>
        <v>5.9921389283294421E-3</v>
      </c>
    </row>
    <row r="32" spans="1:17" x14ac:dyDescent="0.2">
      <c r="B32" s="16"/>
      <c r="C32" s="25" t="s">
        <v>47</v>
      </c>
      <c r="D32" s="69">
        <f t="shared" si="4"/>
        <v>4.1005102378836637E-2</v>
      </c>
      <c r="E32" s="67"/>
      <c r="F32" s="68"/>
      <c r="G32" s="68"/>
      <c r="H32" s="68"/>
      <c r="I32" s="68"/>
      <c r="J32" s="68"/>
      <c r="K32" s="74">
        <f>'Appliances split'!D21*K11</f>
        <v>1873.2676359407503</v>
      </c>
      <c r="L32" s="82"/>
      <c r="M32" s="179">
        <v>1</v>
      </c>
      <c r="N32" s="154">
        <f t="shared" si="5"/>
        <v>1873.2676359407503</v>
      </c>
      <c r="O32" s="95">
        <f t="shared" si="6"/>
        <v>4.4768923682367734E-2</v>
      </c>
    </row>
    <row r="33" spans="1:19" x14ac:dyDescent="0.2">
      <c r="B33" s="16"/>
      <c r="C33" s="25" t="s">
        <v>48</v>
      </c>
      <c r="D33" s="69">
        <f t="shared" si="4"/>
        <v>5.8176353404383952E-3</v>
      </c>
      <c r="E33" s="67"/>
      <c r="F33" s="68">
        <f>'Heat pumps'!L19</f>
        <v>265.77151058579028</v>
      </c>
      <c r="G33" s="68"/>
      <c r="H33" s="68"/>
      <c r="I33" s="68"/>
      <c r="J33" s="68"/>
      <c r="K33" s="74"/>
      <c r="L33" s="82"/>
      <c r="M33" s="179">
        <v>3.0000000000000031</v>
      </c>
      <c r="N33" s="154">
        <f t="shared" si="5"/>
        <v>797.3145317573717</v>
      </c>
      <c r="O33" s="95">
        <f t="shared" si="6"/>
        <v>1.9054892498136095E-2</v>
      </c>
    </row>
    <row r="34" spans="1:19" x14ac:dyDescent="0.2">
      <c r="B34" s="16"/>
      <c r="C34" s="25" t="s">
        <v>49</v>
      </c>
      <c r="D34" s="69">
        <f t="shared" si="4"/>
        <v>0</v>
      </c>
      <c r="E34" s="67"/>
      <c r="F34" s="68"/>
      <c r="G34" s="68"/>
      <c r="H34" s="68"/>
      <c r="I34" s="68"/>
      <c r="J34" s="68"/>
      <c r="K34" s="74"/>
      <c r="L34" s="82"/>
      <c r="M34" s="179">
        <v>0.82</v>
      </c>
      <c r="N34" s="154">
        <f t="shared" si="5"/>
        <v>0</v>
      </c>
      <c r="O34" s="95">
        <f t="shared" si="6"/>
        <v>0</v>
      </c>
    </row>
    <row r="35" spans="1:19" ht="17" thickBot="1" x14ac:dyDescent="0.25">
      <c r="B35" s="16"/>
      <c r="C35" s="25" t="s">
        <v>50</v>
      </c>
      <c r="D35" s="69">
        <f t="shared" si="4"/>
        <v>5.2781117700756872E-2</v>
      </c>
      <c r="E35" s="67"/>
      <c r="F35" s="68">
        <f>Electricity!E46-SUM(F30:F34,F36:F39)</f>
        <v>2411.240402819657</v>
      </c>
      <c r="G35" s="68"/>
      <c r="H35" s="68"/>
      <c r="I35" s="68"/>
      <c r="J35" s="68"/>
      <c r="K35" s="74"/>
      <c r="L35" s="82"/>
      <c r="M35" s="179">
        <v>0.95</v>
      </c>
      <c r="N35" s="154">
        <f t="shared" si="5"/>
        <v>2290.6783826786741</v>
      </c>
      <c r="O35" s="95">
        <f t="shared" si="6"/>
        <v>5.4744556371674122E-2</v>
      </c>
    </row>
    <row r="36" spans="1:19" ht="17" thickBot="1" x14ac:dyDescent="0.25">
      <c r="B36" s="16"/>
      <c r="C36" s="25" t="s">
        <v>51</v>
      </c>
      <c r="D36" s="69">
        <f t="shared" si="4"/>
        <v>3.215311702391066E-2</v>
      </c>
      <c r="E36" s="183">
        <f>E21/'Appliances split'!D22*'Appliances split'!D21</f>
        <v>1468.8755794106678</v>
      </c>
      <c r="F36" s="68"/>
      <c r="G36" s="68"/>
      <c r="H36" s="68"/>
      <c r="I36" s="68"/>
      <c r="J36" s="68"/>
      <c r="K36" s="74"/>
      <c r="L36" s="82"/>
      <c r="M36" s="179">
        <v>0.67</v>
      </c>
      <c r="N36" s="154">
        <f t="shared" si="5"/>
        <v>984.1466382051475</v>
      </c>
      <c r="O36" s="95">
        <f t="shared" si="6"/>
        <v>2.3519963134332703E-2</v>
      </c>
    </row>
    <row r="37" spans="1:19" x14ac:dyDescent="0.2">
      <c r="B37" s="16"/>
      <c r="C37" s="25" t="s">
        <v>52</v>
      </c>
      <c r="D37" s="69">
        <f t="shared" si="4"/>
        <v>0</v>
      </c>
      <c r="E37" s="67"/>
      <c r="F37" s="68"/>
      <c r="G37" s="68"/>
      <c r="H37" s="68"/>
      <c r="I37" s="68">
        <v>0</v>
      </c>
      <c r="J37" s="68"/>
      <c r="K37" s="74"/>
      <c r="L37" s="82"/>
      <c r="M37" s="179">
        <v>0.85</v>
      </c>
      <c r="N37" s="154">
        <f t="shared" si="5"/>
        <v>0</v>
      </c>
      <c r="O37" s="95">
        <f t="shared" si="6"/>
        <v>0</v>
      </c>
    </row>
    <row r="38" spans="1:19" x14ac:dyDescent="0.2">
      <c r="B38" s="16"/>
      <c r="C38" s="25" t="s">
        <v>53</v>
      </c>
      <c r="D38" s="69">
        <f t="shared" si="4"/>
        <v>0</v>
      </c>
      <c r="E38" s="67"/>
      <c r="F38" s="68"/>
      <c r="G38" s="68"/>
      <c r="H38" s="68">
        <v>0</v>
      </c>
      <c r="I38" s="68"/>
      <c r="J38" s="68"/>
      <c r="K38" s="74"/>
      <c r="L38" s="82"/>
      <c r="M38" s="179">
        <v>0.8</v>
      </c>
      <c r="N38" s="154">
        <f t="shared" si="5"/>
        <v>0</v>
      </c>
      <c r="O38" s="95">
        <f t="shared" si="6"/>
        <v>0</v>
      </c>
      <c r="P38" s="182"/>
    </row>
    <row r="39" spans="1:19" x14ac:dyDescent="0.2">
      <c r="B39" s="16"/>
      <c r="C39" s="187" t="s">
        <v>180</v>
      </c>
      <c r="D39" s="69">
        <f t="shared" si="4"/>
        <v>6.2449206150724194E-4</v>
      </c>
      <c r="E39" s="254">
        <f>'Heat pumps'!M18</f>
        <v>17.117490749061652</v>
      </c>
      <c r="F39" s="66">
        <f>'Heat pumps'!L18</f>
        <v>11.411660499374433</v>
      </c>
      <c r="G39" s="66"/>
      <c r="H39" s="66"/>
      <c r="I39" s="66"/>
      <c r="J39" s="66"/>
      <c r="K39" s="75"/>
      <c r="L39" s="57"/>
      <c r="M39" s="179">
        <f>1/'Heat pumps'!H4</f>
        <v>1.687500000000002</v>
      </c>
      <c r="N39" s="154">
        <f>Q42*SUM(E39)+F39*P42</f>
        <v>49.640723172278832</v>
      </c>
      <c r="O39" s="95">
        <f t="shared" si="6"/>
        <v>1.1863557051853032E-3</v>
      </c>
    </row>
    <row r="40" spans="1:19" x14ac:dyDescent="0.2">
      <c r="B40" s="16"/>
      <c r="C40" s="27"/>
      <c r="D40" s="63">
        <f>SUM(D39:D39)</f>
        <v>6.2449206150724194E-4</v>
      </c>
      <c r="E40" s="57"/>
      <c r="F40" s="57"/>
      <c r="G40" s="57"/>
      <c r="H40" s="57"/>
      <c r="I40" s="57"/>
      <c r="J40" s="57"/>
      <c r="K40" s="58"/>
      <c r="L40" s="57"/>
      <c r="M40" s="9"/>
      <c r="N40" s="154"/>
      <c r="O40" s="95"/>
    </row>
    <row r="41" spans="1:19" x14ac:dyDescent="0.2">
      <c r="B41" s="16"/>
      <c r="C41" s="27"/>
      <c r="D41" s="63"/>
      <c r="E41" s="57"/>
      <c r="F41" s="57"/>
      <c r="G41" s="57"/>
      <c r="H41" s="57"/>
      <c r="I41" s="57"/>
      <c r="J41" s="57"/>
      <c r="K41" s="58"/>
      <c r="L41" s="57"/>
      <c r="M41" s="9"/>
      <c r="N41" s="154"/>
      <c r="O41" s="95"/>
    </row>
    <row r="42" spans="1:19" x14ac:dyDescent="0.2">
      <c r="A42" s="222"/>
      <c r="B42" s="16"/>
      <c r="C42" s="27"/>
      <c r="D42" s="63"/>
      <c r="E42" s="57"/>
      <c r="F42" s="57"/>
      <c r="G42" s="57"/>
      <c r="H42" s="57"/>
      <c r="I42" s="57"/>
      <c r="J42" s="57"/>
      <c r="K42" s="58"/>
      <c r="L42" s="57"/>
      <c r="M42" s="9"/>
      <c r="N42" s="154"/>
      <c r="O42" s="95"/>
      <c r="P42" s="2">
        <f>('Heat pumps'!G5+'Heat pumps'!G4)/'Heat pumps'!G5</f>
        <v>3.0000000000000044</v>
      </c>
      <c r="Q42" s="2">
        <v>0.9</v>
      </c>
    </row>
    <row r="43" spans="1:19" x14ac:dyDescent="0.2">
      <c r="B43" s="16"/>
      <c r="C43" s="27"/>
      <c r="D43" s="63"/>
      <c r="E43" s="57"/>
      <c r="F43" s="57"/>
      <c r="G43" s="57"/>
      <c r="H43" s="57"/>
      <c r="I43" s="57"/>
      <c r="J43" s="57"/>
      <c r="K43" s="58"/>
      <c r="L43" s="57"/>
      <c r="M43" s="9"/>
      <c r="N43" s="154"/>
      <c r="O43" s="95"/>
      <c r="P43" s="2">
        <f>F39*P42</f>
        <v>34.234981498123346</v>
      </c>
      <c r="Q43" s="2">
        <f>Q42*SUM(E39)</f>
        <v>15.405741674155488</v>
      </c>
    </row>
    <row r="44" spans="1:19" x14ac:dyDescent="0.2">
      <c r="B44" s="31"/>
      <c r="C44" s="32"/>
      <c r="D44" s="64"/>
      <c r="E44" s="35"/>
      <c r="F44" s="35"/>
      <c r="G44" s="35"/>
      <c r="H44" s="35"/>
      <c r="I44" s="35"/>
      <c r="J44" s="35"/>
      <c r="K44" s="53"/>
      <c r="L44" s="82"/>
      <c r="M44" s="9"/>
      <c r="O44" s="255"/>
    </row>
    <row r="45" spans="1:19" x14ac:dyDescent="0.2">
      <c r="B45" s="16" t="s">
        <v>54</v>
      </c>
      <c r="C45" s="32"/>
      <c r="D45" s="64"/>
      <c r="E45" s="37"/>
      <c r="F45" s="35"/>
      <c r="G45" s="35"/>
      <c r="H45" s="35"/>
      <c r="I45" s="35"/>
      <c r="J45" s="35"/>
      <c r="K45" s="53"/>
      <c r="L45" s="82"/>
      <c r="M45" s="9"/>
      <c r="O45" s="255"/>
    </row>
    <row r="46" spans="1:19" x14ac:dyDescent="0.2">
      <c r="B46" s="21" t="s">
        <v>133</v>
      </c>
      <c r="C46" s="25" t="s">
        <v>55</v>
      </c>
      <c r="D46" s="69">
        <f>F46/SUM($E$46:$K$48)</f>
        <v>2.0224268415011949E-2</v>
      </c>
      <c r="E46" s="67"/>
      <c r="F46" s="68">
        <f>'Heat pumps cooling'!E28</f>
        <v>19.546047573714525</v>
      </c>
      <c r="G46" s="68"/>
      <c r="H46" s="68"/>
      <c r="I46" s="68"/>
      <c r="J46" s="68"/>
      <c r="K46" s="74"/>
      <c r="L46" s="82"/>
      <c r="M46" s="9">
        <f>1/0.05263157895</f>
        <v>18.999999999050001</v>
      </c>
      <c r="N46" s="154">
        <f>M46*SUM(E46:K46)</f>
        <v>371.37490388200723</v>
      </c>
      <c r="O46" s="95">
        <f>N46/SUM($N$46:$N$48)</f>
        <v>8.6703649196589613E-2</v>
      </c>
    </row>
    <row r="47" spans="1:19" x14ac:dyDescent="0.2">
      <c r="B47" s="252">
        <f>SUM(E46:K48)</f>
        <v>966.46500000000003</v>
      </c>
      <c r="C47" s="25" t="s">
        <v>56</v>
      </c>
      <c r="D47" s="69">
        <f>F47/SUM($E$46:$K$48)</f>
        <v>0.25705342453029401</v>
      </c>
      <c r="E47" s="67"/>
      <c r="F47" s="68">
        <f>'Heat pumps cooling'!D28</f>
        <v>248.4331379386706</v>
      </c>
      <c r="G47" s="68"/>
      <c r="H47" s="68"/>
      <c r="I47" s="68"/>
      <c r="J47" s="68"/>
      <c r="K47" s="74"/>
      <c r="L47" s="57"/>
      <c r="M47" s="9">
        <v>4.5000000000000044</v>
      </c>
      <c r="N47" s="154">
        <f>M47*SUM(E47:K47)</f>
        <v>1117.9491207240187</v>
      </c>
      <c r="O47" s="95">
        <f>N47/SUM($N$46:$N$48)</f>
        <v>0.26100381950872936</v>
      </c>
      <c r="S47" s="157"/>
    </row>
    <row r="48" spans="1:19" x14ac:dyDescent="0.2">
      <c r="B48" s="16"/>
      <c r="C48" s="26" t="s">
        <v>57</v>
      </c>
      <c r="D48" s="73">
        <f>F48/SUM($E$46:$K$48)</f>
        <v>0.72272230705469409</v>
      </c>
      <c r="E48" s="67"/>
      <c r="F48" s="288">
        <f>'Heat pumps cooling'!C28</f>
        <v>698.4858144876149</v>
      </c>
      <c r="G48" s="66"/>
      <c r="H48" s="66"/>
      <c r="I48" s="66"/>
      <c r="J48" s="66"/>
      <c r="K48" s="75"/>
      <c r="L48" s="57"/>
      <c r="M48" s="9">
        <v>4</v>
      </c>
      <c r="N48" s="154">
        <f>M48*SUM(E48:K48)</f>
        <v>2793.9432579504596</v>
      </c>
      <c r="O48" s="95">
        <f>N48/SUM($N$46:$N$48)</f>
        <v>0.6522925312946809</v>
      </c>
    </row>
    <row r="49" spans="2:16" x14ac:dyDescent="0.2">
      <c r="B49" s="16"/>
      <c r="C49" s="27"/>
      <c r="D49" s="63"/>
      <c r="E49" s="54"/>
      <c r="F49" s="57"/>
      <c r="G49" s="57"/>
      <c r="H49" s="57"/>
      <c r="I49" s="57"/>
      <c r="J49" s="57"/>
      <c r="K49" s="58"/>
      <c r="L49" s="57"/>
      <c r="M49" s="9"/>
      <c r="N49" s="154"/>
      <c r="O49" s="95"/>
    </row>
    <row r="50" spans="2:16" x14ac:dyDescent="0.2">
      <c r="B50" s="31"/>
      <c r="C50" s="32"/>
      <c r="D50" s="64"/>
      <c r="E50" s="35"/>
      <c r="F50" s="35"/>
      <c r="G50" s="35"/>
      <c r="H50" s="35"/>
      <c r="I50" s="35"/>
      <c r="J50" s="35"/>
      <c r="K50" s="53"/>
      <c r="L50" s="82"/>
      <c r="M50" s="9"/>
      <c r="N50" s="154"/>
      <c r="O50" s="95"/>
    </row>
    <row r="51" spans="2:16" x14ac:dyDescent="0.2">
      <c r="B51" s="16" t="s">
        <v>58</v>
      </c>
      <c r="C51" s="32"/>
      <c r="D51" s="64"/>
      <c r="E51" s="37"/>
      <c r="F51" s="35"/>
      <c r="G51" s="35"/>
      <c r="H51" s="35"/>
      <c r="I51" s="35"/>
      <c r="J51" s="35"/>
      <c r="K51" s="53"/>
      <c r="L51" s="82"/>
      <c r="M51" s="9"/>
      <c r="N51" s="154"/>
      <c r="O51" s="95"/>
    </row>
    <row r="52" spans="2:16" x14ac:dyDescent="0.2">
      <c r="B52" s="21" t="s">
        <v>133</v>
      </c>
      <c r="C52" s="25" t="s">
        <v>59</v>
      </c>
      <c r="D52" s="76">
        <f>E52/SUM($E$52:$K$56)</f>
        <v>0.65790645879732734</v>
      </c>
      <c r="E52" s="67">
        <f>Cooking!I10</f>
        <v>5538.75</v>
      </c>
      <c r="F52" s="68"/>
      <c r="G52" s="68"/>
      <c r="H52" s="68"/>
      <c r="I52" s="68"/>
      <c r="J52" s="68"/>
      <c r="K52" s="74"/>
      <c r="L52" s="82"/>
      <c r="M52" s="9">
        <v>0.4</v>
      </c>
      <c r="N52" s="154">
        <f>M52*SUM(E52:K52)</f>
        <v>2215.5</v>
      </c>
      <c r="O52" s="95">
        <f>N52/SUM($N$52:$N$56)</f>
        <v>0.54494937404064159</v>
      </c>
    </row>
    <row r="53" spans="2:16" x14ac:dyDescent="0.2">
      <c r="B53" s="252">
        <f>SUM(E52:K56)</f>
        <v>8418.75</v>
      </c>
      <c r="C53" s="25" t="s">
        <v>60</v>
      </c>
      <c r="D53" s="77">
        <f>F53/SUM($E$52:$K$56)</f>
        <v>3.3295363743008205E-2</v>
      </c>
      <c r="E53" s="67"/>
      <c r="F53" s="65">
        <f>Cooking!H7</f>
        <v>280.3053435114503</v>
      </c>
      <c r="G53" s="68"/>
      <c r="H53" s="68"/>
      <c r="I53" s="68"/>
      <c r="J53" s="68"/>
      <c r="K53" s="74"/>
      <c r="L53" s="82"/>
      <c r="M53" s="9">
        <v>0.55000000000000004</v>
      </c>
      <c r="N53" s="154">
        <f>M53*SUM(E53:K53)</f>
        <v>154.16793893129767</v>
      </c>
      <c r="O53" s="95">
        <f>N53/SUM($N$52:$N$56)</f>
        <v>3.7920885496613189E-2</v>
      </c>
    </row>
    <row r="54" spans="2:16" x14ac:dyDescent="0.2">
      <c r="B54" s="16"/>
      <c r="C54" s="25" t="s">
        <v>61</v>
      </c>
      <c r="D54" s="77">
        <f>F54/SUM($E$52:$K$56)</f>
        <v>0.24416600078206022</v>
      </c>
      <c r="E54" s="67"/>
      <c r="F54" s="68">
        <f>Cooking!H8</f>
        <v>2055.5725190839694</v>
      </c>
      <c r="G54" s="68"/>
      <c r="H54" s="68"/>
      <c r="I54" s="68"/>
      <c r="J54" s="68"/>
      <c r="K54" s="74"/>
      <c r="L54" s="82"/>
      <c r="M54" s="9">
        <v>0.6</v>
      </c>
      <c r="N54" s="154">
        <f>M54*SUM(E54:K54)</f>
        <v>1233.3435114503816</v>
      </c>
      <c r="O54" s="95">
        <f>N54/SUM($N$52:$N$56)</f>
        <v>0.30336708397290557</v>
      </c>
    </row>
    <row r="55" spans="2:16" x14ac:dyDescent="0.2">
      <c r="B55" s="16"/>
      <c r="C55" s="25" t="s">
        <v>62</v>
      </c>
      <c r="D55" s="77">
        <f>F55/SUM($E$52:$K$56)</f>
        <v>6.4632176677604181E-2</v>
      </c>
      <c r="E55" s="67"/>
      <c r="F55" s="68">
        <f>Cooking!H9</f>
        <v>544.12213740458014</v>
      </c>
      <c r="G55" s="68"/>
      <c r="H55" s="68"/>
      <c r="I55" s="68"/>
      <c r="J55" s="68"/>
      <c r="K55" s="74"/>
      <c r="L55" s="57"/>
      <c r="M55" s="9">
        <v>0.85</v>
      </c>
      <c r="N55" s="154">
        <f>M55*SUM(E55:K55)</f>
        <v>462.50381679389312</v>
      </c>
      <c r="O55" s="95">
        <f>N55/SUM($N$52:$N$56)</f>
        <v>0.11376265648983959</v>
      </c>
    </row>
    <row r="56" spans="2:16" x14ac:dyDescent="0.2">
      <c r="B56" s="16"/>
      <c r="C56" s="26" t="s">
        <v>63</v>
      </c>
      <c r="D56" s="73">
        <f>H56/SUM($E$52:$K$56)</f>
        <v>0</v>
      </c>
      <c r="E56" s="67"/>
      <c r="F56" s="66"/>
      <c r="G56" s="66"/>
      <c r="H56" s="66"/>
      <c r="I56" s="66"/>
      <c r="J56" s="65">
        <v>0</v>
      </c>
      <c r="K56" s="75"/>
      <c r="L56" s="57"/>
      <c r="M56" s="9">
        <v>0.3</v>
      </c>
      <c r="N56" s="154">
        <f>M56*SUM(E56:K56)</f>
        <v>0</v>
      </c>
      <c r="O56" s="95">
        <f>N56/SUM($N$52:$N$56)</f>
        <v>0</v>
      </c>
    </row>
    <row r="57" spans="2:16" x14ac:dyDescent="0.2">
      <c r="B57" s="16"/>
      <c r="C57" s="27"/>
      <c r="D57" s="63"/>
      <c r="E57" s="54"/>
      <c r="F57" s="55"/>
      <c r="G57" s="55"/>
      <c r="H57" s="55"/>
      <c r="I57" s="55"/>
      <c r="J57" s="55"/>
      <c r="K57" s="56"/>
      <c r="L57" s="83"/>
      <c r="M57" s="9"/>
      <c r="N57" s="154"/>
      <c r="O57" s="95"/>
    </row>
    <row r="58" spans="2:16" x14ac:dyDescent="0.2">
      <c r="B58" s="31"/>
      <c r="C58" s="32"/>
      <c r="D58" s="64"/>
      <c r="E58" s="35"/>
      <c r="F58" s="35"/>
      <c r="G58" s="35"/>
      <c r="H58" s="35"/>
      <c r="I58" s="35"/>
      <c r="J58" s="35"/>
      <c r="K58" s="53"/>
      <c r="L58" s="84"/>
      <c r="M58" s="9"/>
      <c r="N58" s="154"/>
      <c r="O58" s="95"/>
    </row>
    <row r="59" spans="2:16" x14ac:dyDescent="0.2">
      <c r="B59" s="16" t="s">
        <v>64</v>
      </c>
      <c r="C59" s="32"/>
      <c r="D59" s="64"/>
      <c r="E59" s="37"/>
      <c r="F59" s="35"/>
      <c r="G59" s="35"/>
      <c r="H59" s="35"/>
      <c r="I59" s="35"/>
      <c r="J59" s="35"/>
      <c r="K59" s="35"/>
      <c r="L59" s="84"/>
      <c r="M59" s="9"/>
      <c r="N59" s="154"/>
      <c r="O59" s="95"/>
    </row>
    <row r="60" spans="2:16" x14ac:dyDescent="0.2">
      <c r="B60" s="21" t="s">
        <v>133</v>
      </c>
      <c r="C60" s="25" t="s">
        <v>65</v>
      </c>
      <c r="D60" s="69">
        <f>F60/SUM($E$60:$K$62)</f>
        <v>0.79187396351575456</v>
      </c>
      <c r="E60" s="67"/>
      <c r="F60" s="68">
        <f>$B$61*N60/SUM($N$60:$N$62)</f>
        <v>6968.49087893864</v>
      </c>
      <c r="G60" s="68"/>
      <c r="H60" s="68"/>
      <c r="I60" s="68"/>
      <c r="J60" s="68"/>
      <c r="K60" s="68"/>
      <c r="L60" s="84"/>
      <c r="M60" s="9">
        <v>0.05</v>
      </c>
      <c r="N60" s="209">
        <f>O60/M60</f>
        <v>8.1857142857142851</v>
      </c>
      <c r="O60" s="95">
        <f>'Lighting '!H10</f>
        <v>0.40928571428571425</v>
      </c>
      <c r="P60" s="2" t="s">
        <v>148</v>
      </c>
    </row>
    <row r="61" spans="2:16" x14ac:dyDescent="0.2">
      <c r="B61" s="252">
        <f>Electricity!E48</f>
        <v>8800</v>
      </c>
      <c r="C61" s="25" t="s">
        <v>66</v>
      </c>
      <c r="D61" s="69">
        <f>F61/SUM($E$60:$K$62)</f>
        <v>0.18767274737423992</v>
      </c>
      <c r="E61" s="67"/>
      <c r="F61" s="68">
        <f>$B$61*N61/SUM($N$60:$N$62)</f>
        <v>1651.5201768933114</v>
      </c>
      <c r="G61" s="68"/>
      <c r="H61" s="68"/>
      <c r="I61" s="68"/>
      <c r="J61" s="68"/>
      <c r="K61" s="68"/>
      <c r="L61" s="85"/>
      <c r="M61" s="9">
        <v>0.25</v>
      </c>
      <c r="N61" s="209">
        <f>O61/M61</f>
        <v>1.94</v>
      </c>
      <c r="O61" s="95">
        <f>'Lighting '!H11</f>
        <v>0.48499999999999999</v>
      </c>
      <c r="P61" s="151" t="s">
        <v>149</v>
      </c>
    </row>
    <row r="62" spans="2:16" x14ac:dyDescent="0.2">
      <c r="B62" s="16"/>
      <c r="C62" s="26" t="s">
        <v>67</v>
      </c>
      <c r="D62" s="73">
        <f>F62/SUM($E$60:$K$62)</f>
        <v>2.0453289110005528E-2</v>
      </c>
      <c r="E62" s="72"/>
      <c r="F62" s="66">
        <f>$B$61*N62/SUM($N$60:$N$62)</f>
        <v>179.98894416804865</v>
      </c>
      <c r="G62" s="66"/>
      <c r="H62" s="66"/>
      <c r="I62" s="66"/>
      <c r="J62" s="66"/>
      <c r="K62" s="66"/>
      <c r="L62" s="85"/>
      <c r="M62" s="9">
        <v>0.5</v>
      </c>
      <c r="N62" s="209">
        <f>O62/M62</f>
        <v>0.21142857142857141</v>
      </c>
      <c r="O62" s="95">
        <f>'Lighting '!H12</f>
        <v>0.10571428571428571</v>
      </c>
    </row>
    <row r="63" spans="2:16" x14ac:dyDescent="0.2">
      <c r="B63" s="16"/>
      <c r="C63" s="28"/>
      <c r="D63" s="63"/>
      <c r="E63" s="59"/>
      <c r="F63" s="59"/>
      <c r="G63" s="59"/>
      <c r="H63" s="59"/>
      <c r="I63" s="59"/>
      <c r="J63" s="59"/>
      <c r="K63" s="59"/>
      <c r="L63" s="85"/>
      <c r="M63" s="9"/>
      <c r="O63" s="10"/>
    </row>
    <row r="64" spans="2:16" x14ac:dyDescent="0.2">
      <c r="B64" s="31"/>
      <c r="C64" s="24"/>
      <c r="D64" s="64"/>
      <c r="E64" s="60"/>
      <c r="F64" s="60"/>
      <c r="G64" s="60"/>
      <c r="H64" s="60"/>
      <c r="I64" s="60"/>
      <c r="J64" s="60"/>
      <c r="K64" s="60"/>
      <c r="L64" s="84"/>
      <c r="M64" s="9"/>
      <c r="O64" s="10"/>
    </row>
    <row r="65" spans="2:15" x14ac:dyDescent="0.2">
      <c r="B65" s="16" t="s">
        <v>14</v>
      </c>
      <c r="C65" s="24"/>
      <c r="D65" s="64"/>
      <c r="E65" s="60"/>
      <c r="F65" s="60"/>
      <c r="G65" s="60"/>
      <c r="H65" s="60"/>
      <c r="I65" s="60"/>
      <c r="J65" s="60"/>
      <c r="K65" s="60"/>
      <c r="L65" s="84"/>
      <c r="M65" s="9"/>
      <c r="O65" s="10"/>
    </row>
    <row r="66" spans="2:15" x14ac:dyDescent="0.2">
      <c r="B66" s="21" t="s">
        <v>133</v>
      </c>
      <c r="C66" t="s">
        <v>15</v>
      </c>
      <c r="D66" s="69">
        <f>F66/SUM($E$66:$K$73)</f>
        <v>8.1967213114754106E-2</v>
      </c>
      <c r="E66" s="67"/>
      <c r="F66" s="65">
        <f>Electricity!E35</f>
        <v>5126.769683606557</v>
      </c>
      <c r="G66" s="65"/>
      <c r="H66" s="65"/>
      <c r="I66" s="65"/>
      <c r="J66" s="65"/>
      <c r="K66" s="71"/>
      <c r="L66" s="84"/>
      <c r="M66" s="9"/>
      <c r="N66" s="93"/>
      <c r="O66" s="10"/>
    </row>
    <row r="67" spans="2:15" x14ac:dyDescent="0.2">
      <c r="B67" s="252">
        <f>SUM(E66:K73)</f>
        <v>62546.590139999993</v>
      </c>
      <c r="C67" t="s">
        <v>16</v>
      </c>
      <c r="D67" s="69">
        <f t="shared" ref="D67:D73" si="7">F67/SUM($E$66:$K$73)</f>
        <v>0.29508196721311475</v>
      </c>
      <c r="E67" s="67"/>
      <c r="F67" s="65">
        <f>Electricity!E36</f>
        <v>18456.370860983603</v>
      </c>
      <c r="G67" s="65"/>
      <c r="H67" s="65"/>
      <c r="I67" s="65"/>
      <c r="J67" s="65"/>
      <c r="K67" s="68"/>
      <c r="L67" s="84"/>
      <c r="M67" s="9"/>
      <c r="N67" s="93"/>
      <c r="O67" s="10"/>
    </row>
    <row r="68" spans="2:15" x14ac:dyDescent="0.2">
      <c r="B68" s="252"/>
      <c r="C68" t="s">
        <v>17</v>
      </c>
      <c r="D68" s="69">
        <f t="shared" si="7"/>
        <v>8.1967213114754106E-2</v>
      </c>
      <c r="E68" s="67"/>
      <c r="F68" s="65">
        <f>Electricity!E37</f>
        <v>5126.769683606557</v>
      </c>
      <c r="G68" s="65"/>
      <c r="H68" s="65"/>
      <c r="I68" s="65"/>
      <c r="J68" s="65"/>
      <c r="K68" s="68"/>
      <c r="L68" s="84"/>
      <c r="M68" s="9"/>
      <c r="N68" s="93"/>
      <c r="O68" s="10"/>
    </row>
    <row r="69" spans="2:15" x14ac:dyDescent="0.2">
      <c r="B69" s="9"/>
      <c r="C69" t="s">
        <v>18</v>
      </c>
      <c r="D69" s="69">
        <f>F69/SUM($E$66:$K$73)</f>
        <v>9.8360655737704916E-2</v>
      </c>
      <c r="E69" s="67"/>
      <c r="F69" s="65">
        <f>Electricity!E38</f>
        <v>6152.1236203278677</v>
      </c>
      <c r="G69" s="65"/>
      <c r="H69" s="65"/>
      <c r="I69" s="65"/>
      <c r="J69" s="65"/>
      <c r="K69" s="68"/>
      <c r="L69" s="84"/>
      <c r="M69" s="9"/>
      <c r="N69" s="93"/>
      <c r="O69" s="10"/>
    </row>
    <row r="70" spans="2:15" x14ac:dyDescent="0.2">
      <c r="B70" s="9"/>
      <c r="C70" t="s">
        <v>19</v>
      </c>
      <c r="D70" s="69">
        <f t="shared" si="7"/>
        <v>0.13114754098360656</v>
      </c>
      <c r="E70" s="67"/>
      <c r="F70" s="65">
        <f>Electricity!E39</f>
        <v>8202.8314937704909</v>
      </c>
      <c r="G70" s="65"/>
      <c r="H70" s="65"/>
      <c r="I70" s="65"/>
      <c r="J70" s="65"/>
      <c r="K70" s="68"/>
      <c r="L70" s="84"/>
      <c r="M70" s="9"/>
      <c r="N70" s="93"/>
      <c r="O70" s="10"/>
    </row>
    <row r="71" spans="2:15" x14ac:dyDescent="0.2">
      <c r="B71" s="9"/>
      <c r="C71" t="s">
        <v>20</v>
      </c>
      <c r="D71" s="69">
        <f t="shared" si="7"/>
        <v>0.13114754098360656</v>
      </c>
      <c r="E71" s="67"/>
      <c r="F71" s="65">
        <f>Electricity!E40</f>
        <v>8202.8314937704909</v>
      </c>
      <c r="G71" s="65"/>
      <c r="H71" s="65"/>
      <c r="I71" s="65"/>
      <c r="J71" s="65"/>
      <c r="K71" s="68"/>
      <c r="L71" s="84"/>
      <c r="M71" s="9"/>
      <c r="N71" s="93"/>
      <c r="O71" s="10"/>
    </row>
    <row r="72" spans="2:15" x14ac:dyDescent="0.2">
      <c r="B72" s="9"/>
      <c r="C72" t="s">
        <v>21</v>
      </c>
      <c r="D72" s="69">
        <f t="shared" si="7"/>
        <v>6.5573770491803282E-2</v>
      </c>
      <c r="E72" s="67"/>
      <c r="F72" s="65">
        <f>Electricity!E41</f>
        <v>4101.4157468852454</v>
      </c>
      <c r="G72" s="65"/>
      <c r="H72" s="65"/>
      <c r="I72" s="65"/>
      <c r="J72" s="65"/>
      <c r="K72" s="68"/>
      <c r="L72" s="16"/>
      <c r="M72" s="9"/>
      <c r="N72" s="93"/>
      <c r="O72" s="10"/>
    </row>
    <row r="73" spans="2:15" x14ac:dyDescent="0.2">
      <c r="B73" s="9"/>
      <c r="C73" s="36" t="s">
        <v>22</v>
      </c>
      <c r="D73" s="70">
        <f t="shared" si="7"/>
        <v>0.11475409836065574</v>
      </c>
      <c r="E73" s="72"/>
      <c r="F73" s="66">
        <f>Electricity!E42</f>
        <v>7177.4775570491793</v>
      </c>
      <c r="G73" s="66"/>
      <c r="H73" s="66"/>
      <c r="I73" s="66"/>
      <c r="J73" s="66"/>
      <c r="K73" s="66"/>
      <c r="L73" s="83"/>
      <c r="M73" s="9"/>
      <c r="N73" s="93"/>
      <c r="O73" s="10"/>
    </row>
    <row r="74" spans="2:15" x14ac:dyDescent="0.2">
      <c r="B74" s="16"/>
      <c r="C74" s="28"/>
      <c r="D74" s="28"/>
      <c r="E74" s="28"/>
      <c r="F74" s="28"/>
      <c r="G74" s="28"/>
      <c r="H74" s="28"/>
      <c r="I74" s="28"/>
      <c r="J74" s="28"/>
      <c r="K74" s="28"/>
      <c r="L74" s="86"/>
      <c r="M74" s="9"/>
      <c r="O74" s="10"/>
    </row>
    <row r="75" spans="2:15" x14ac:dyDescent="0.2">
      <c r="B75" s="31"/>
      <c r="C75" s="23"/>
      <c r="D75" s="23"/>
      <c r="E75" s="37"/>
      <c r="F75" s="35"/>
      <c r="G75" s="35"/>
      <c r="H75" s="35"/>
      <c r="I75" s="35"/>
      <c r="J75" s="35"/>
      <c r="K75" s="35"/>
      <c r="L75" s="86"/>
      <c r="M75" s="9"/>
      <c r="O75" s="10"/>
    </row>
    <row r="76" spans="2:15" x14ac:dyDescent="0.2">
      <c r="B76" s="38" t="s">
        <v>23</v>
      </c>
      <c r="C76" s="39"/>
      <c r="D76" s="39"/>
      <c r="E76" s="40" t="s">
        <v>24</v>
      </c>
      <c r="F76" s="33" t="s">
        <v>25</v>
      </c>
      <c r="G76" s="33" t="s">
        <v>26</v>
      </c>
      <c r="H76" s="33" t="s">
        <v>27</v>
      </c>
      <c r="I76" s="33" t="s">
        <v>28</v>
      </c>
      <c r="J76" s="33" t="s">
        <v>29</v>
      </c>
      <c r="K76" s="33" t="s">
        <v>30</v>
      </c>
      <c r="L76" s="86"/>
      <c r="M76" s="9"/>
      <c r="O76" s="10"/>
    </row>
    <row r="77" spans="2:15" x14ac:dyDescent="0.2">
      <c r="B77" s="41"/>
      <c r="C77" s="42" t="s">
        <v>31</v>
      </c>
      <c r="D77" s="43"/>
      <c r="E77" s="44">
        <f t="shared" ref="E77:K77" si="8">SUM(E15:E74)</f>
        <v>270203.72090000001</v>
      </c>
      <c r="F77" s="45">
        <f>SUM(F15:F74)</f>
        <v>84094.055139999997</v>
      </c>
      <c r="G77" s="45">
        <f>SUM(G15:G74)</f>
        <v>0</v>
      </c>
      <c r="H77" s="45">
        <f t="shared" si="8"/>
        <v>46.892160000000004</v>
      </c>
      <c r="I77" s="45">
        <f t="shared" si="8"/>
        <v>447.02609273869001</v>
      </c>
      <c r="J77" s="45">
        <f t="shared" si="8"/>
        <v>16008.3554</v>
      </c>
      <c r="K77" s="45">
        <f t="shared" si="8"/>
        <v>12081.053270000002</v>
      </c>
      <c r="L77" s="87"/>
      <c r="M77" s="9"/>
      <c r="O77" s="10"/>
    </row>
    <row r="78" spans="2:15" x14ac:dyDescent="0.2">
      <c r="B78" s="41"/>
      <c r="C78" s="46" t="s">
        <v>32</v>
      </c>
      <c r="D78" s="47"/>
      <c r="E78" s="44">
        <f t="shared" ref="E78:K78" si="9">E11-E77</f>
        <v>0</v>
      </c>
      <c r="F78" s="45">
        <f t="shared" si="9"/>
        <v>0</v>
      </c>
      <c r="G78" s="45">
        <f t="shared" si="9"/>
        <v>966.02036399999997</v>
      </c>
      <c r="H78" s="45">
        <f t="shared" si="9"/>
        <v>0</v>
      </c>
      <c r="I78" s="45">
        <f t="shared" si="9"/>
        <v>0</v>
      </c>
      <c r="J78" s="45">
        <f t="shared" si="9"/>
        <v>0</v>
      </c>
      <c r="K78" s="45">
        <f t="shared" si="9"/>
        <v>0</v>
      </c>
      <c r="L78" s="88"/>
      <c r="M78" s="9"/>
      <c r="O78" s="10"/>
    </row>
    <row r="79" spans="2:15" x14ac:dyDescent="0.2">
      <c r="B79" s="41"/>
      <c r="C79" s="39" t="s">
        <v>33</v>
      </c>
      <c r="D79" s="48"/>
      <c r="E79" s="61">
        <f t="shared" ref="E79:K79" si="10">E78/E11</f>
        <v>0</v>
      </c>
      <c r="F79" s="62">
        <f t="shared" si="10"/>
        <v>0</v>
      </c>
      <c r="G79" s="62">
        <f t="shared" si="10"/>
        <v>1</v>
      </c>
      <c r="H79" s="62">
        <f t="shared" si="10"/>
        <v>0</v>
      </c>
      <c r="I79" s="62">
        <f t="shared" si="10"/>
        <v>0</v>
      </c>
      <c r="J79" s="62">
        <f t="shared" si="10"/>
        <v>0</v>
      </c>
      <c r="K79" s="62">
        <f t="shared" si="10"/>
        <v>0</v>
      </c>
      <c r="L79" s="9"/>
      <c r="M79" s="9"/>
      <c r="O79" s="10"/>
    </row>
    <row r="80" spans="2:15" x14ac:dyDescent="0.2">
      <c r="B80" s="41"/>
      <c r="C80" s="46"/>
      <c r="D80" s="46"/>
      <c r="E80" s="49"/>
      <c r="F80" s="49"/>
      <c r="G80" s="49"/>
      <c r="H80" s="49"/>
      <c r="I80" s="49"/>
      <c r="J80" s="49"/>
      <c r="K80" s="49"/>
      <c r="M80" s="9"/>
      <c r="O80" s="10"/>
    </row>
    <row r="81" spans="2:15" ht="17" thickBot="1" x14ac:dyDescent="0.25">
      <c r="B81" s="50"/>
      <c r="C81" s="51"/>
      <c r="D81" s="51"/>
      <c r="E81" s="51"/>
      <c r="F81" s="51"/>
      <c r="G81" s="51"/>
      <c r="H81" s="51"/>
      <c r="I81" s="51"/>
      <c r="J81" s="51"/>
      <c r="K81" s="51"/>
      <c r="M81" s="50"/>
      <c r="N81" s="51"/>
      <c r="O81" s="94"/>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68 D52:D56 D61:D62 D46:D48 B67 D70:D73" emptyCellReferenc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sheetPr>
  <dimension ref="A1:D24"/>
  <sheetViews>
    <sheetView workbookViewId="0">
      <selection activeCell="E32" sqref="E32"/>
    </sheetView>
  </sheetViews>
  <sheetFormatPr baseColWidth="10" defaultRowHeight="16" x14ac:dyDescent="0.2"/>
  <cols>
    <col min="7" max="7" width="22.6640625" bestFit="1" customWidth="1"/>
  </cols>
  <sheetData>
    <row r="1" spans="1:2" x14ac:dyDescent="0.2">
      <c r="A1" t="s">
        <v>255</v>
      </c>
      <c r="B1" t="s">
        <v>257</v>
      </c>
    </row>
    <row r="2" spans="1:2" x14ac:dyDescent="0.2">
      <c r="A2" t="s">
        <v>256</v>
      </c>
      <c r="B2" t="s">
        <v>254</v>
      </c>
    </row>
    <row r="20" spans="2:4" x14ac:dyDescent="0.2">
      <c r="D20" s="148" t="s">
        <v>179</v>
      </c>
    </row>
    <row r="21" spans="2:4" x14ac:dyDescent="0.2">
      <c r="B21" t="s">
        <v>177</v>
      </c>
      <c r="C21">
        <v>49.2</v>
      </c>
      <c r="D21" s="147">
        <f>C21/SUM(C$21:C$22)</f>
        <v>0.1550583044437441</v>
      </c>
    </row>
    <row r="22" spans="2:4" x14ac:dyDescent="0.2">
      <c r="B22" t="s">
        <v>107</v>
      </c>
      <c r="C22">
        <v>268.10000000000002</v>
      </c>
      <c r="D22" s="147">
        <f>C22/SUM(C$21:C$22)</f>
        <v>0.84494169555625598</v>
      </c>
    </row>
    <row r="23" spans="2:4" x14ac:dyDescent="0.2">
      <c r="B23" t="s">
        <v>64</v>
      </c>
      <c r="C23">
        <v>8.8000000000000007</v>
      </c>
      <c r="D23" s="152"/>
    </row>
    <row r="24" spans="2:4" x14ac:dyDescent="0.2">
      <c r="B24" t="s">
        <v>178</v>
      </c>
      <c r="C24">
        <v>64.599999999999994</v>
      </c>
      <c r="D24" s="15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sheetPr>
  <dimension ref="B2:G53"/>
  <sheetViews>
    <sheetView workbookViewId="0">
      <selection activeCell="C3" sqref="C3"/>
    </sheetView>
  </sheetViews>
  <sheetFormatPr baseColWidth="10" defaultRowHeight="16" x14ac:dyDescent="0.2"/>
  <cols>
    <col min="1" max="1" width="3.33203125" customWidth="1"/>
    <col min="2" max="2" width="49.1640625" customWidth="1"/>
    <col min="3" max="3" width="18.1640625" bestFit="1" customWidth="1"/>
    <col min="4" max="4" width="24.33203125" bestFit="1" customWidth="1"/>
    <col min="5" max="5" width="21" customWidth="1"/>
  </cols>
  <sheetData>
    <row r="2" spans="2:6" x14ac:dyDescent="0.2">
      <c r="B2" s="148" t="s">
        <v>128</v>
      </c>
      <c r="C2" s="148">
        <f>'Final demand per energy carrier'!F11</f>
        <v>84094.055139999997</v>
      </c>
      <c r="D2" s="149" t="s">
        <v>240</v>
      </c>
      <c r="E2" t="s">
        <v>239</v>
      </c>
      <c r="F2" t="s">
        <v>238</v>
      </c>
    </row>
    <row r="3" spans="2:6" x14ac:dyDescent="0.2">
      <c r="B3" s="148" t="s">
        <v>209</v>
      </c>
      <c r="C3" s="231">
        <v>966.46500000000003</v>
      </c>
      <c r="D3" s="149" t="s">
        <v>241</v>
      </c>
      <c r="E3" t="s">
        <v>236</v>
      </c>
      <c r="F3" t="s">
        <v>237</v>
      </c>
    </row>
    <row r="4" spans="2:6" x14ac:dyDescent="0.2">
      <c r="B4" s="148" t="s">
        <v>211</v>
      </c>
      <c r="C4">
        <v>2880</v>
      </c>
      <c r="D4" s="149" t="s">
        <v>241</v>
      </c>
      <c r="E4" t="s">
        <v>236</v>
      </c>
      <c r="F4" t="s">
        <v>237</v>
      </c>
    </row>
    <row r="5" spans="2:6" x14ac:dyDescent="0.2">
      <c r="B5" s="148" t="s">
        <v>212</v>
      </c>
      <c r="C5">
        <f>'Appliances split'!C23*1000</f>
        <v>8800</v>
      </c>
      <c r="D5" s="149" t="s">
        <v>253</v>
      </c>
      <c r="E5" t="s">
        <v>205</v>
      </c>
      <c r="F5" t="s">
        <v>205</v>
      </c>
    </row>
    <row r="6" spans="2:6" x14ac:dyDescent="0.2">
      <c r="B6" s="148" t="s">
        <v>213</v>
      </c>
      <c r="C6">
        <v>6129</v>
      </c>
      <c r="D6" s="149" t="s">
        <v>241</v>
      </c>
      <c r="E6" t="s">
        <v>236</v>
      </c>
      <c r="F6" t="s">
        <v>237</v>
      </c>
    </row>
    <row r="7" spans="2:6" x14ac:dyDescent="0.2">
      <c r="B7" s="148" t="s">
        <v>214</v>
      </c>
      <c r="C7">
        <v>2772</v>
      </c>
      <c r="D7" s="149" t="s">
        <v>241</v>
      </c>
      <c r="E7" t="s">
        <v>236</v>
      </c>
      <c r="F7" t="s">
        <v>237</v>
      </c>
    </row>
    <row r="8" spans="2:6" x14ac:dyDescent="0.2">
      <c r="B8" s="148" t="s">
        <v>210</v>
      </c>
      <c r="C8" s="231">
        <f>C2-SUM(C3:C7)</f>
        <v>62546.59014</v>
      </c>
      <c r="D8" s="149"/>
    </row>
    <row r="10" spans="2:6" x14ac:dyDescent="0.2">
      <c r="C10" t="s">
        <v>208</v>
      </c>
    </row>
    <row r="11" spans="2:6" x14ac:dyDescent="0.2">
      <c r="B11" t="s">
        <v>127</v>
      </c>
      <c r="C11" s="229">
        <v>0.05</v>
      </c>
    </row>
    <row r="12" spans="2:6" x14ac:dyDescent="0.2">
      <c r="B12" t="s">
        <v>126</v>
      </c>
      <c r="C12" s="229">
        <v>0.05</v>
      </c>
    </row>
    <row r="13" spans="2:6" x14ac:dyDescent="0.2">
      <c r="B13" t="s">
        <v>125</v>
      </c>
      <c r="C13" s="229">
        <v>0.06</v>
      </c>
    </row>
    <row r="14" spans="2:6" x14ac:dyDescent="0.2">
      <c r="B14" t="s">
        <v>124</v>
      </c>
      <c r="C14" s="229">
        <v>0.04</v>
      </c>
    </row>
    <row r="15" spans="2:6" x14ac:dyDescent="0.2">
      <c r="B15" t="s">
        <v>123</v>
      </c>
      <c r="C15" s="229">
        <v>0.13</v>
      </c>
    </row>
    <row r="16" spans="2:6" x14ac:dyDescent="0.2">
      <c r="B16" t="s">
        <v>122</v>
      </c>
      <c r="C16" s="229">
        <v>0.05</v>
      </c>
    </row>
    <row r="17" spans="2:7" x14ac:dyDescent="0.2">
      <c r="B17" t="s">
        <v>121</v>
      </c>
      <c r="C17" s="229">
        <v>0.08</v>
      </c>
    </row>
    <row r="18" spans="2:7" x14ac:dyDescent="0.2">
      <c r="B18" t="s">
        <v>120</v>
      </c>
      <c r="C18" s="229">
        <v>0.04</v>
      </c>
    </row>
    <row r="19" spans="2:7" x14ac:dyDescent="0.2">
      <c r="B19" t="s">
        <v>119</v>
      </c>
      <c r="C19" s="229">
        <v>0.04</v>
      </c>
    </row>
    <row r="20" spans="2:7" x14ac:dyDescent="0.2">
      <c r="B20" t="s">
        <v>118</v>
      </c>
      <c r="C20" s="229">
        <v>0.08</v>
      </c>
    </row>
    <row r="21" spans="2:7" x14ac:dyDescent="0.2">
      <c r="B21" t="s">
        <v>117</v>
      </c>
      <c r="C21" s="229">
        <v>0.05</v>
      </c>
    </row>
    <row r="22" spans="2:7" x14ac:dyDescent="0.2">
      <c r="B22" t="s">
        <v>116</v>
      </c>
      <c r="C22" s="229"/>
    </row>
    <row r="23" spans="2:7" x14ac:dyDescent="0.2">
      <c r="B23" t="s">
        <v>115</v>
      </c>
      <c r="C23" s="229"/>
    </row>
    <row r="24" spans="2:7" x14ac:dyDescent="0.2">
      <c r="B24" t="s">
        <v>114</v>
      </c>
      <c r="C24" s="229">
        <v>0.04</v>
      </c>
    </row>
    <row r="25" spans="2:7" x14ac:dyDescent="0.2">
      <c r="B25" t="s">
        <v>113</v>
      </c>
      <c r="C25" s="229">
        <v>0.01</v>
      </c>
    </row>
    <row r="26" spans="2:7" x14ac:dyDescent="0.2">
      <c r="B26" t="s">
        <v>112</v>
      </c>
      <c r="C26" s="229">
        <v>0.01</v>
      </c>
    </row>
    <row r="27" spans="2:7" x14ac:dyDescent="0.2">
      <c r="B27" t="s">
        <v>111</v>
      </c>
      <c r="C27" s="229">
        <v>0.01</v>
      </c>
    </row>
    <row r="28" spans="2:7" x14ac:dyDescent="0.2">
      <c r="B28" t="s">
        <v>110</v>
      </c>
      <c r="C28" s="229"/>
      <c r="E28" t="s">
        <v>138</v>
      </c>
      <c r="F28" t="s">
        <v>152</v>
      </c>
    </row>
    <row r="29" spans="2:7" x14ac:dyDescent="0.2">
      <c r="B29" t="s">
        <v>109</v>
      </c>
      <c r="C29" s="230">
        <f>SUM(C11:C28)</f>
        <v>0.7400000000000001</v>
      </c>
      <c r="E29" t="s">
        <v>139</v>
      </c>
      <c r="F29" t="s">
        <v>151</v>
      </c>
      <c r="G29" s="150"/>
    </row>
    <row r="30" spans="2:7" x14ac:dyDescent="0.2">
      <c r="G30" s="150"/>
    </row>
    <row r="31" spans="2:7" x14ac:dyDescent="0.2">
      <c r="B31" t="s">
        <v>153</v>
      </c>
      <c r="G31" s="150"/>
    </row>
    <row r="32" spans="2:7" x14ac:dyDescent="0.2">
      <c r="G32" s="150"/>
    </row>
    <row r="34" spans="2:5" s="148" customFormat="1" x14ac:dyDescent="0.2">
      <c r="B34" s="148" t="s">
        <v>142</v>
      </c>
      <c r="C34" s="148" t="s">
        <v>140</v>
      </c>
      <c r="D34" s="148" t="s">
        <v>141</v>
      </c>
      <c r="E34" s="148" t="s">
        <v>128</v>
      </c>
    </row>
    <row r="35" spans="2:5" x14ac:dyDescent="0.2">
      <c r="B35" t="s">
        <v>108</v>
      </c>
      <c r="C35" s="147">
        <f>C11</f>
        <v>0.05</v>
      </c>
      <c r="D35" s="146">
        <f>C35/SUM($C$35:$C$42)</f>
        <v>8.1967213114754092E-2</v>
      </c>
      <c r="E35" s="198">
        <f>D35*$C$8</f>
        <v>5126.769683606557</v>
      </c>
    </row>
    <row r="36" spans="2:5" x14ac:dyDescent="0.2">
      <c r="B36" t="s">
        <v>16</v>
      </c>
      <c r="C36" s="147">
        <f>C15+C16</f>
        <v>0.18</v>
      </c>
      <c r="D36" s="146">
        <f t="shared" ref="D36:D42" si="0">C36/SUM($C$35:$C$42)</f>
        <v>0.29508196721311469</v>
      </c>
      <c r="E36" s="198">
        <f t="shared" ref="E36:E42" si="1">D36*$C$8</f>
        <v>18456.370860983603</v>
      </c>
    </row>
    <row r="37" spans="2:5" x14ac:dyDescent="0.2">
      <c r="B37" t="s">
        <v>17</v>
      </c>
      <c r="C37" s="147">
        <f>C12</f>
        <v>0.05</v>
      </c>
      <c r="D37" s="146">
        <f t="shared" si="0"/>
        <v>8.1967213114754092E-2</v>
      </c>
      <c r="E37" s="198">
        <f t="shared" si="1"/>
        <v>5126.769683606557</v>
      </c>
    </row>
    <row r="38" spans="2:5" x14ac:dyDescent="0.2">
      <c r="B38" t="s">
        <v>18</v>
      </c>
      <c r="C38" s="147">
        <f>C13</f>
        <v>0.06</v>
      </c>
      <c r="D38" s="146">
        <f t="shared" si="0"/>
        <v>9.8360655737704902E-2</v>
      </c>
      <c r="E38" s="198">
        <f t="shared" si="1"/>
        <v>6152.1236203278677</v>
      </c>
    </row>
    <row r="39" spans="2:5" x14ac:dyDescent="0.2">
      <c r="B39" t="s">
        <v>19</v>
      </c>
      <c r="C39" s="147">
        <f>C17</f>
        <v>0.08</v>
      </c>
      <c r="D39" s="146">
        <f t="shared" si="0"/>
        <v>0.13114754098360654</v>
      </c>
      <c r="E39" s="198">
        <f t="shared" si="1"/>
        <v>8202.8314937704909</v>
      </c>
    </row>
    <row r="40" spans="2:5" x14ac:dyDescent="0.2">
      <c r="B40" t="s">
        <v>20</v>
      </c>
      <c r="C40" s="147">
        <f>C18+C19</f>
        <v>0.08</v>
      </c>
      <c r="D40" s="146">
        <f t="shared" si="0"/>
        <v>0.13114754098360654</v>
      </c>
      <c r="E40" s="198">
        <f t="shared" si="1"/>
        <v>8202.8314937704909</v>
      </c>
    </row>
    <row r="41" spans="2:5" x14ac:dyDescent="0.2">
      <c r="B41" t="s">
        <v>21</v>
      </c>
      <c r="C41" s="147">
        <f>C14</f>
        <v>0.04</v>
      </c>
      <c r="D41" s="146">
        <f t="shared" si="0"/>
        <v>6.5573770491803268E-2</v>
      </c>
      <c r="E41" s="198">
        <f t="shared" si="1"/>
        <v>4101.4157468852454</v>
      </c>
    </row>
    <row r="42" spans="2:5" x14ac:dyDescent="0.2">
      <c r="B42" t="s">
        <v>22</v>
      </c>
      <c r="C42" s="147">
        <f>C24+C25+C26+C27</f>
        <v>7.0000000000000007E-2</v>
      </c>
      <c r="D42" s="146">
        <f t="shared" si="0"/>
        <v>0.11475409836065573</v>
      </c>
      <c r="E42" s="198">
        <f t="shared" si="1"/>
        <v>7177.4775570491793</v>
      </c>
    </row>
    <row r="43" spans="2:5" x14ac:dyDescent="0.2">
      <c r="C43" s="147"/>
      <c r="D43" s="146">
        <f>SUM(D35:D42)</f>
        <v>0.99999999999999978</v>
      </c>
      <c r="E43" s="198"/>
    </row>
    <row r="44" spans="2:5" x14ac:dyDescent="0.2">
      <c r="D44" s="146"/>
      <c r="E44" s="198"/>
    </row>
    <row r="45" spans="2:5" x14ac:dyDescent="0.2">
      <c r="B45" t="s">
        <v>107</v>
      </c>
      <c r="C45" s="147"/>
      <c r="D45" s="146"/>
      <c r="E45" s="198">
        <f>C6</f>
        <v>6129</v>
      </c>
    </row>
    <row r="46" spans="2:5" x14ac:dyDescent="0.2">
      <c r="B46" t="s">
        <v>106</v>
      </c>
      <c r="C46" s="147"/>
      <c r="D46" s="146"/>
      <c r="E46" s="198">
        <f>C7</f>
        <v>2772</v>
      </c>
    </row>
    <row r="47" spans="2:5" x14ac:dyDescent="0.2">
      <c r="C47" s="147"/>
      <c r="D47" s="146"/>
      <c r="E47" s="198"/>
    </row>
    <row r="48" spans="2:5" x14ac:dyDescent="0.2">
      <c r="B48" t="s">
        <v>64</v>
      </c>
      <c r="C48" s="147"/>
      <c r="D48" s="146"/>
      <c r="E48" s="198">
        <f>C5</f>
        <v>8800</v>
      </c>
    </row>
    <row r="49" spans="2:6" x14ac:dyDescent="0.2">
      <c r="B49" t="s">
        <v>58</v>
      </c>
      <c r="C49" s="147"/>
      <c r="D49" s="146"/>
      <c r="E49" s="198">
        <f>C4</f>
        <v>2880</v>
      </c>
    </row>
    <row r="50" spans="2:6" x14ac:dyDescent="0.2">
      <c r="B50" t="s">
        <v>105</v>
      </c>
      <c r="C50" s="147"/>
      <c r="D50" s="146"/>
      <c r="E50" s="198">
        <f>C3</f>
        <v>966.46500000000003</v>
      </c>
    </row>
    <row r="52" spans="2:6" x14ac:dyDescent="0.2">
      <c r="E52" s="232">
        <f>SUM(E35:E50)</f>
        <v>84094.055139999982</v>
      </c>
      <c r="F52" t="b">
        <f>IF(E52=C2,TRUE,FALSE)</f>
        <v>1</v>
      </c>
    </row>
    <row r="53" spans="2:6" x14ac:dyDescent="0.2">
      <c r="B53" s="149" t="s">
        <v>145</v>
      </c>
    </row>
  </sheetData>
  <phoneticPr fontId="21" type="noConversion"/>
  <conditionalFormatting sqref="F52">
    <cfRule type="colorScale" priority="1">
      <colorScale>
        <cfvo type="min"/>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sheetPr>
  <dimension ref="B2:L43"/>
  <sheetViews>
    <sheetView workbookViewId="0">
      <selection activeCell="D14" sqref="D14"/>
    </sheetView>
  </sheetViews>
  <sheetFormatPr baseColWidth="10" defaultRowHeight="16" x14ac:dyDescent="0.2"/>
  <cols>
    <col min="1" max="1" width="5.1640625" style="2" bestFit="1" customWidth="1"/>
    <col min="2" max="2" width="22.6640625" style="2" bestFit="1" customWidth="1"/>
    <col min="3" max="3" width="14.5" style="2" customWidth="1"/>
    <col min="4" max="4" width="35" style="2" bestFit="1" customWidth="1"/>
    <col min="5" max="5" width="69" style="2" bestFit="1" customWidth="1"/>
    <col min="6" max="6" width="12.5" style="2" customWidth="1"/>
    <col min="7" max="7" width="14.5" style="2" customWidth="1"/>
    <col min="8" max="8" width="16" style="2" customWidth="1"/>
    <col min="9" max="16384" width="10.83203125" style="2"/>
  </cols>
  <sheetData>
    <row r="2" spans="2:12" x14ac:dyDescent="0.2">
      <c r="B2" s="2" t="s">
        <v>138</v>
      </c>
      <c r="C2" s="2" t="s">
        <v>234</v>
      </c>
    </row>
    <row r="3" spans="2:12" x14ac:dyDescent="0.2">
      <c r="B3" s="2" t="s">
        <v>139</v>
      </c>
      <c r="C3" s="2" t="s">
        <v>235</v>
      </c>
    </row>
    <row r="5" spans="2:12" ht="17" thickBot="1" x14ac:dyDescent="0.25"/>
    <row r="6" spans="2:12" ht="52" thickBot="1" x14ac:dyDescent="0.25">
      <c r="B6" s="172" t="s">
        <v>129</v>
      </c>
      <c r="C6" s="169" t="s">
        <v>130</v>
      </c>
      <c r="D6" s="156" t="s">
        <v>146</v>
      </c>
      <c r="E6" s="156" t="s">
        <v>131</v>
      </c>
      <c r="F6" s="156" t="s">
        <v>182</v>
      </c>
      <c r="G6" s="156" t="s">
        <v>132</v>
      </c>
      <c r="H6" s="173" t="s">
        <v>183</v>
      </c>
      <c r="I6" s="156" t="s">
        <v>184</v>
      </c>
      <c r="J6" s="173" t="s">
        <v>192</v>
      </c>
      <c r="K6" s="192" t="s">
        <v>191</v>
      </c>
    </row>
    <row r="7" spans="2:12" ht="17" thickBot="1" x14ac:dyDescent="0.25">
      <c r="B7" s="194" t="s">
        <v>60</v>
      </c>
      <c r="C7" s="168">
        <v>0.02</v>
      </c>
      <c r="D7" s="196">
        <f>'Final demand per energy carrier'!M53</f>
        <v>0.55000000000000004</v>
      </c>
      <c r="E7">
        <f>C7/D7</f>
        <v>3.6363636363636362E-2</v>
      </c>
      <c r="F7">
        <f>E7/SUM($E$7:$E$9)</f>
        <v>9.7328244274809142E-2</v>
      </c>
      <c r="G7" s="197">
        <f>Electricity!E49</f>
        <v>2880</v>
      </c>
      <c r="H7" s="198">
        <f>F7*$G$7</f>
        <v>280.3053435114503</v>
      </c>
      <c r="I7"/>
      <c r="J7">
        <f>H7*D7</f>
        <v>154.16793893129767</v>
      </c>
      <c r="K7" s="199">
        <f>J7/(SUM(J$7:J$10))</f>
        <v>3.7920885496613196E-2</v>
      </c>
      <c r="L7" s="180"/>
    </row>
    <row r="8" spans="2:12" ht="17" thickBot="1" x14ac:dyDescent="0.25">
      <c r="B8" s="170" t="s">
        <v>61</v>
      </c>
      <c r="C8" s="168">
        <v>0.16</v>
      </c>
      <c r="D8" s="196">
        <f>'Final demand per energy carrier'!M54</f>
        <v>0.6</v>
      </c>
      <c r="E8">
        <f>C8/D8</f>
        <v>0.26666666666666666</v>
      </c>
      <c r="F8">
        <f>E8/SUM($E$7:$E$9)</f>
        <v>0.71374045801526709</v>
      </c>
      <c r="G8"/>
      <c r="H8" s="198">
        <f>F8*$G$7</f>
        <v>2055.5725190839694</v>
      </c>
      <c r="I8"/>
      <c r="J8">
        <f>H8*D8</f>
        <v>1233.3435114503816</v>
      </c>
      <c r="K8" s="199">
        <f>J8/(SUM(J$7:J$10))</f>
        <v>0.30336708397290563</v>
      </c>
      <c r="L8" s="180"/>
    </row>
    <row r="9" spans="2:12" ht="17" thickBot="1" x14ac:dyDescent="0.25">
      <c r="B9" s="170" t="s">
        <v>62</v>
      </c>
      <c r="C9" s="168">
        <v>0.06</v>
      </c>
      <c r="D9" s="196">
        <f>'Final demand per energy carrier'!M55</f>
        <v>0.85</v>
      </c>
      <c r="E9">
        <f>C9/D9</f>
        <v>7.0588235294117646E-2</v>
      </c>
      <c r="F9">
        <f>E9/SUM($E$7:$E$9)</f>
        <v>0.18893129770992365</v>
      </c>
      <c r="G9"/>
      <c r="H9" s="198">
        <f>F9*$G$7</f>
        <v>544.12213740458014</v>
      </c>
      <c r="I9"/>
      <c r="J9">
        <f>H9*D9</f>
        <v>462.50381679389312</v>
      </c>
      <c r="K9" s="199">
        <f>J9/(SUM(J$7:J$10))</f>
        <v>0.1137626564898396</v>
      </c>
      <c r="L9" s="180"/>
    </row>
    <row r="10" spans="2:12" ht="17" thickBot="1" x14ac:dyDescent="0.25">
      <c r="B10" s="193" t="s">
        <v>59</v>
      </c>
      <c r="C10" s="195"/>
      <c r="D10" s="200">
        <f>'Final demand per energy carrier'!M52</f>
        <v>0.4</v>
      </c>
      <c r="E10" s="200">
        <f>C10/D10</f>
        <v>0</v>
      </c>
      <c r="F10" s="195"/>
      <c r="G10" s="195"/>
      <c r="H10" s="195"/>
      <c r="I10" s="200">
        <f>C33</f>
        <v>5538.75</v>
      </c>
      <c r="J10" s="195">
        <f>I10*D10</f>
        <v>2215.5</v>
      </c>
      <c r="K10" s="201">
        <f>J10/(SUM(J$7:J$10))</f>
        <v>0.54494937404064159</v>
      </c>
      <c r="L10" s="180"/>
    </row>
    <row r="12" spans="2:12" x14ac:dyDescent="0.2">
      <c r="B12" s="233"/>
      <c r="C12" s="233"/>
      <c r="D12" s="190"/>
      <c r="E12" s="181"/>
      <c r="G12" s="191"/>
    </row>
    <row r="13" spans="2:12" x14ac:dyDescent="0.2">
      <c r="B13" s="234"/>
      <c r="C13" s="234"/>
      <c r="D13" s="190"/>
      <c r="E13" s="181"/>
      <c r="F13" s="191"/>
      <c r="G13" s="154"/>
    </row>
    <row r="14" spans="2:12" x14ac:dyDescent="0.2">
      <c r="B14" s="233" t="s">
        <v>215</v>
      </c>
      <c r="C14" s="235" t="s">
        <v>216</v>
      </c>
      <c r="F14" s="154"/>
      <c r="G14" s="154"/>
    </row>
    <row r="15" spans="2:12" x14ac:dyDescent="0.2">
      <c r="B15" s="233" t="s">
        <v>217</v>
      </c>
      <c r="C15" s="235" t="s">
        <v>218</v>
      </c>
      <c r="D15" s="190"/>
      <c r="E15" s="181"/>
      <c r="G15" s="154"/>
    </row>
    <row r="16" spans="2:12" x14ac:dyDescent="0.2">
      <c r="B16" s="233" t="s">
        <v>219</v>
      </c>
      <c r="C16" s="233" t="s">
        <v>220</v>
      </c>
      <c r="D16" s="190"/>
      <c r="E16" s="181"/>
      <c r="F16" s="154"/>
      <c r="G16" s="154"/>
    </row>
    <row r="17" spans="2:3" x14ac:dyDescent="0.2">
      <c r="B17" s="234"/>
      <c r="C17" s="234"/>
    </row>
    <row r="18" spans="2:3" x14ac:dyDescent="0.2">
      <c r="B18" s="233" t="s">
        <v>221</v>
      </c>
      <c r="C18" s="233" t="s">
        <v>222</v>
      </c>
    </row>
    <row r="19" spans="2:3" x14ac:dyDescent="0.2">
      <c r="B19" s="233" t="s">
        <v>223</v>
      </c>
      <c r="C19" s="233" t="s">
        <v>224</v>
      </c>
    </row>
    <row r="20" spans="2:3" x14ac:dyDescent="0.2">
      <c r="B20" s="233" t="s">
        <v>225</v>
      </c>
      <c r="C20" s="233" t="s">
        <v>226</v>
      </c>
    </row>
    <row r="21" spans="2:3" x14ac:dyDescent="0.2">
      <c r="B21" s="234"/>
      <c r="C21" s="234"/>
    </row>
    <row r="22" spans="2:3" x14ac:dyDescent="0.2">
      <c r="B22" s="236" t="s">
        <v>227</v>
      </c>
      <c r="C22" s="237">
        <v>2019</v>
      </c>
    </row>
    <row r="23" spans="2:3" x14ac:dyDescent="0.2">
      <c r="B23" s="238" t="s">
        <v>228</v>
      </c>
      <c r="C23" s="239">
        <v>8418.75</v>
      </c>
    </row>
    <row r="24" spans="2:3" x14ac:dyDescent="0.2">
      <c r="B24" s="234"/>
      <c r="C24" s="234"/>
    </row>
    <row r="25" spans="2:3" x14ac:dyDescent="0.2">
      <c r="B25" s="233" t="s">
        <v>229</v>
      </c>
      <c r="C25" s="233"/>
    </row>
    <row r="26" spans="2:3" x14ac:dyDescent="0.2">
      <c r="B26" s="233" t="s">
        <v>230</v>
      </c>
      <c r="C26" s="233" t="s">
        <v>231</v>
      </c>
    </row>
    <row r="27" spans="2:3" x14ac:dyDescent="0.2">
      <c r="B27" s="234"/>
      <c r="C27" s="234"/>
    </row>
    <row r="28" spans="2:3" x14ac:dyDescent="0.2">
      <c r="B28" s="233" t="s">
        <v>221</v>
      </c>
      <c r="C28" s="233" t="s">
        <v>222</v>
      </c>
    </row>
    <row r="29" spans="2:3" x14ac:dyDescent="0.2">
      <c r="B29" s="233" t="s">
        <v>223</v>
      </c>
      <c r="C29" s="233" t="s">
        <v>232</v>
      </c>
    </row>
    <row r="30" spans="2:3" x14ac:dyDescent="0.2">
      <c r="B30" s="233" t="s">
        <v>225</v>
      </c>
      <c r="C30" s="233" t="s">
        <v>226</v>
      </c>
    </row>
    <row r="31" spans="2:3" x14ac:dyDescent="0.2">
      <c r="B31" s="234"/>
      <c r="C31" s="234"/>
    </row>
    <row r="32" spans="2:3" x14ac:dyDescent="0.2">
      <c r="B32" s="236" t="s">
        <v>227</v>
      </c>
      <c r="C32" s="237">
        <v>2019</v>
      </c>
    </row>
    <row r="33" spans="2:3" x14ac:dyDescent="0.2">
      <c r="B33" s="238" t="s">
        <v>228</v>
      </c>
      <c r="C33" s="239">
        <v>5538.75</v>
      </c>
    </row>
    <row r="34" spans="2:3" x14ac:dyDescent="0.2">
      <c r="B34" s="234"/>
      <c r="C34" s="234"/>
    </row>
    <row r="35" spans="2:3" x14ac:dyDescent="0.2">
      <c r="B35" s="233" t="s">
        <v>221</v>
      </c>
      <c r="C35" s="233" t="s">
        <v>222</v>
      </c>
    </row>
    <row r="36" spans="2:3" x14ac:dyDescent="0.2">
      <c r="B36" s="233" t="s">
        <v>223</v>
      </c>
      <c r="C36" s="233" t="s">
        <v>233</v>
      </c>
    </row>
    <row r="37" spans="2:3" x14ac:dyDescent="0.2">
      <c r="B37" s="233" t="s">
        <v>225</v>
      </c>
      <c r="C37" s="233" t="s">
        <v>226</v>
      </c>
    </row>
    <row r="38" spans="2:3" x14ac:dyDescent="0.2">
      <c r="B38" s="234"/>
      <c r="C38" s="234"/>
    </row>
    <row r="39" spans="2:3" x14ac:dyDescent="0.2">
      <c r="B39" s="236" t="s">
        <v>227</v>
      </c>
      <c r="C39" s="237">
        <v>2019</v>
      </c>
    </row>
    <row r="40" spans="2:3" x14ac:dyDescent="0.2">
      <c r="B40" s="238" t="s">
        <v>228</v>
      </c>
      <c r="C40" s="239">
        <v>2880</v>
      </c>
    </row>
    <row r="41" spans="2:3" x14ac:dyDescent="0.2">
      <c r="B41" s="234"/>
      <c r="C41" s="234"/>
    </row>
    <row r="42" spans="2:3" x14ac:dyDescent="0.2">
      <c r="B42" s="233" t="s">
        <v>229</v>
      </c>
      <c r="C42" s="233"/>
    </row>
    <row r="43" spans="2:3" x14ac:dyDescent="0.2">
      <c r="B43" s="233" t="s">
        <v>230</v>
      </c>
      <c r="C43" s="233" t="s">
        <v>231</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sheetPr>
  <dimension ref="C1:M41"/>
  <sheetViews>
    <sheetView topLeftCell="A35" zoomScale="114" workbookViewId="0">
      <selection activeCell="E6" sqref="E6"/>
    </sheetView>
  </sheetViews>
  <sheetFormatPr baseColWidth="10" defaultRowHeight="16" x14ac:dyDescent="0.2"/>
  <cols>
    <col min="1" max="1" width="3.1640625" style="2" customWidth="1"/>
    <col min="2" max="2" width="13.33203125" style="2" customWidth="1"/>
    <col min="3" max="3" width="23.33203125" style="2" bestFit="1" customWidth="1"/>
    <col min="4" max="4" width="19.5" style="2" customWidth="1"/>
    <col min="5" max="5" width="18.6640625" style="2" customWidth="1"/>
    <col min="6" max="6" width="12.5" style="2" customWidth="1"/>
    <col min="7" max="7" width="19.5" style="2" customWidth="1"/>
    <col min="8" max="8" width="22" style="2" bestFit="1" customWidth="1"/>
    <col min="9" max="9" width="17.1640625" style="2" customWidth="1"/>
    <col min="10" max="10" width="24.1640625" style="2" bestFit="1" customWidth="1"/>
    <col min="11" max="12" width="23" style="2" bestFit="1" customWidth="1"/>
    <col min="13" max="13" width="24.1640625" style="2" bestFit="1" customWidth="1"/>
    <col min="14" max="14" width="51.83203125" style="2" bestFit="1" customWidth="1"/>
    <col min="15" max="15" width="110.6640625" style="2" bestFit="1" customWidth="1"/>
    <col min="16" max="16384" width="10.83203125" style="2"/>
  </cols>
  <sheetData>
    <row r="1" spans="3:13" ht="17" thickBot="1" x14ac:dyDescent="0.25"/>
    <row r="2" spans="3:13" ht="16" customHeight="1" x14ac:dyDescent="0.2">
      <c r="C2" s="300" t="s">
        <v>168</v>
      </c>
      <c r="D2" s="301"/>
      <c r="E2" s="301"/>
      <c r="F2" s="301"/>
      <c r="G2" s="301"/>
      <c r="H2" s="302"/>
    </row>
    <row r="3" spans="3:13" ht="52" thickBot="1" x14ac:dyDescent="0.25">
      <c r="C3" s="162"/>
      <c r="D3" s="217"/>
      <c r="E3" s="160" t="s">
        <v>107</v>
      </c>
      <c r="F3" s="166" t="s">
        <v>161</v>
      </c>
      <c r="G3" s="160" t="s">
        <v>170</v>
      </c>
      <c r="H3" s="219" t="s">
        <v>161</v>
      </c>
    </row>
    <row r="4" spans="3:13" ht="17" thickBot="1" x14ac:dyDescent="0.25">
      <c r="C4" s="9" t="s">
        <v>166</v>
      </c>
      <c r="D4" s="153" t="s">
        <v>162</v>
      </c>
      <c r="E4" s="202">
        <v>0.63199000312402298</v>
      </c>
      <c r="F4" s="154">
        <f>SUM(E5,E6/E7)</f>
        <v>0.35574747377425936</v>
      </c>
      <c r="G4" s="165">
        <v>0.44444444444444497</v>
      </c>
      <c r="H4" s="155">
        <f>SUM(G5,G6/G7)</f>
        <v>0.59259259259259189</v>
      </c>
      <c r="I4" s="154"/>
      <c r="J4" s="154"/>
    </row>
    <row r="5" spans="3:13" ht="17" thickBot="1" x14ac:dyDescent="0.25">
      <c r="C5" s="9"/>
      <c r="D5" s="153" t="s">
        <v>163</v>
      </c>
      <c r="E5" s="202">
        <v>0.18056857232115001</v>
      </c>
      <c r="G5" s="165">
        <v>0.22222222222222199</v>
      </c>
      <c r="H5" s="10"/>
    </row>
    <row r="6" spans="3:13" ht="17" thickBot="1" x14ac:dyDescent="0.25">
      <c r="C6" s="9"/>
      <c r="D6" s="153" t="s">
        <v>164</v>
      </c>
      <c r="E6" s="202">
        <v>0.18744142455482701</v>
      </c>
      <c r="G6" s="165">
        <v>0.33333333333333298</v>
      </c>
      <c r="H6" s="10"/>
    </row>
    <row r="7" spans="3:13" ht="35" thickBot="1" x14ac:dyDescent="0.25">
      <c r="C7" s="9"/>
      <c r="D7" s="218" t="s">
        <v>185</v>
      </c>
      <c r="E7" s="206">
        <v>1.07</v>
      </c>
      <c r="G7" s="165">
        <v>0.9</v>
      </c>
      <c r="H7" s="10"/>
    </row>
    <row r="8" spans="3:13" ht="17" thickBot="1" x14ac:dyDescent="0.25">
      <c r="C8" s="9"/>
      <c r="D8" s="153"/>
      <c r="E8" s="154"/>
      <c r="G8" s="154"/>
      <c r="H8" s="10"/>
    </row>
    <row r="9" spans="3:13" ht="17" thickBot="1" x14ac:dyDescent="0.25">
      <c r="C9" s="9" t="s">
        <v>167</v>
      </c>
      <c r="D9" s="153" t="s">
        <v>165</v>
      </c>
      <c r="E9" s="165">
        <v>0.77777777777777801</v>
      </c>
      <c r="F9" s="154">
        <f>E10</f>
        <v>0.22222222222222199</v>
      </c>
      <c r="G9" s="165">
        <v>0.66666666666666696</v>
      </c>
      <c r="H9" s="155">
        <f>G10</f>
        <v>0.33333333333333298</v>
      </c>
      <c r="I9" s="154"/>
      <c r="J9" s="154"/>
    </row>
    <row r="10" spans="3:13" ht="17" thickBot="1" x14ac:dyDescent="0.25">
      <c r="C10" s="9"/>
      <c r="D10" s="153" t="s">
        <v>163</v>
      </c>
      <c r="E10" s="165">
        <v>0.22222222222222199</v>
      </c>
      <c r="G10" s="165">
        <v>0.33333333333333298</v>
      </c>
      <c r="H10" s="10"/>
    </row>
    <row r="11" spans="3:13" ht="17" thickBot="1" x14ac:dyDescent="0.25">
      <c r="C11" s="9"/>
      <c r="D11" s="153"/>
      <c r="E11" s="154"/>
      <c r="G11" s="154"/>
      <c r="H11" s="10"/>
    </row>
    <row r="12" spans="3:13" ht="17" thickBot="1" x14ac:dyDescent="0.25">
      <c r="C12" s="9" t="s">
        <v>160</v>
      </c>
      <c r="D12" s="2" t="s">
        <v>162</v>
      </c>
      <c r="E12" s="206">
        <v>0.79166666666666696</v>
      </c>
      <c r="F12" s="154">
        <f>E13</f>
        <v>0.20833333333333301</v>
      </c>
      <c r="G12" s="165">
        <v>0.66666700000000001</v>
      </c>
      <c r="H12" s="155">
        <f>G13</f>
        <v>0.33333000000000002</v>
      </c>
      <c r="I12" s="154"/>
      <c r="J12" s="154"/>
    </row>
    <row r="13" spans="3:13" ht="17" thickBot="1" x14ac:dyDescent="0.25">
      <c r="C13" s="50"/>
      <c r="D13" s="51" t="s">
        <v>163</v>
      </c>
      <c r="E13" s="206">
        <v>0.20833333333333301</v>
      </c>
      <c r="F13" s="51"/>
      <c r="G13" s="165">
        <v>0.33333000000000002</v>
      </c>
      <c r="H13" s="94"/>
    </row>
    <row r="14" spans="3:13" ht="17" thickBot="1" x14ac:dyDescent="0.25"/>
    <row r="15" spans="3:13" ht="51" x14ac:dyDescent="0.2">
      <c r="C15" s="89"/>
      <c r="D15" s="161" t="s">
        <v>158</v>
      </c>
      <c r="E15" s="161" t="s">
        <v>186</v>
      </c>
      <c r="F15" s="161" t="s">
        <v>187</v>
      </c>
      <c r="G15" s="161" t="s">
        <v>161</v>
      </c>
      <c r="H15" s="161" t="s">
        <v>175</v>
      </c>
      <c r="I15" s="174" t="s">
        <v>176</v>
      </c>
      <c r="J15" s="161" t="s">
        <v>171</v>
      </c>
      <c r="K15" s="161" t="s">
        <v>172</v>
      </c>
      <c r="L15" s="161" t="s">
        <v>173</v>
      </c>
      <c r="M15" s="159" t="s">
        <v>174</v>
      </c>
    </row>
    <row r="16" spans="3:13" ht="18" thickBot="1" x14ac:dyDescent="0.25">
      <c r="C16" s="162"/>
      <c r="D16" s="160" t="s">
        <v>159</v>
      </c>
      <c r="E16" s="166"/>
      <c r="F16" s="166"/>
      <c r="G16" s="160" t="s">
        <v>147</v>
      </c>
      <c r="H16" s="166" t="s">
        <v>147</v>
      </c>
      <c r="I16" s="175" t="s">
        <v>147</v>
      </c>
      <c r="J16" s="166"/>
      <c r="K16" s="166"/>
      <c r="L16" s="166"/>
      <c r="M16" s="167"/>
    </row>
    <row r="17" spans="3:13" ht="17" thickBot="1" x14ac:dyDescent="0.25">
      <c r="C17" s="9" t="s">
        <v>155</v>
      </c>
      <c r="D17" s="164">
        <v>351228</v>
      </c>
      <c r="G17" s="164">
        <v>1898</v>
      </c>
      <c r="H17" s="154">
        <f>G17*'Appliances split'!D22</f>
        <v>1603.699338165774</v>
      </c>
      <c r="I17" s="216">
        <f>G17*'Appliances split'!D21</f>
        <v>294.30066183422633</v>
      </c>
      <c r="M17" s="10"/>
    </row>
    <row r="18" spans="3:13" ht="17" thickBot="1" x14ac:dyDescent="0.25">
      <c r="C18" s="9" t="s">
        <v>156</v>
      </c>
      <c r="D18" s="227">
        <v>20000</v>
      </c>
      <c r="E18" s="154">
        <f>D18*F4/(D18*F4+D19*F9)</f>
        <v>8.8142296820590729E-2</v>
      </c>
      <c r="F18" s="154">
        <f>D18*H4/(D18*H4+D19*H9)</f>
        <v>9.6938794057167224E-2</v>
      </c>
      <c r="G18" s="157"/>
      <c r="H18" s="157">
        <f>H17*$E18</f>
        <v>141.35374307559255</v>
      </c>
      <c r="I18" s="177">
        <f>I17*$F18</f>
        <v>28.529151248436079</v>
      </c>
      <c r="J18" s="191">
        <f>D26*H18</f>
        <v>69.356929964085296</v>
      </c>
      <c r="K18" s="191">
        <f>H18*E26</f>
        <v>71.996813111507251</v>
      </c>
      <c r="L18" s="191">
        <f>I18*D28</f>
        <v>11.411660499374433</v>
      </c>
      <c r="M18" s="215">
        <f>I18*E28</f>
        <v>17.117490749061652</v>
      </c>
    </row>
    <row r="19" spans="3:13" x14ac:dyDescent="0.2">
      <c r="C19" s="9" t="s">
        <v>157</v>
      </c>
      <c r="D19" s="2">
        <f>D17-D18</f>
        <v>331228</v>
      </c>
      <c r="E19" s="154">
        <f>D19*F9/(D18*F4+D19*F9)</f>
        <v>0.91185770317940917</v>
      </c>
      <c r="F19" s="154">
        <f>D19*H9/(D18*H4+D19*H9)</f>
        <v>0.90306120594283279</v>
      </c>
      <c r="G19" s="157"/>
      <c r="H19" s="157">
        <f>E19*$H17</f>
        <v>1462.3455950901812</v>
      </c>
      <c r="I19" s="177">
        <f>F19*$I17</f>
        <v>265.77151058579028</v>
      </c>
      <c r="J19" s="191">
        <f>H19</f>
        <v>1462.3455950901812</v>
      </c>
      <c r="K19" s="191"/>
      <c r="L19" s="191">
        <f>I19</f>
        <v>265.77151058579028</v>
      </c>
      <c r="M19" s="155"/>
    </row>
    <row r="20" spans="3:13" ht="17" thickBot="1" x14ac:dyDescent="0.25">
      <c r="C20" s="9"/>
      <c r="H20" s="154"/>
      <c r="I20" s="176"/>
      <c r="M20" s="10"/>
    </row>
    <row r="21" spans="3:13" ht="17" thickBot="1" x14ac:dyDescent="0.25">
      <c r="C21" s="50" t="s">
        <v>160</v>
      </c>
      <c r="D21" s="164">
        <v>60885</v>
      </c>
      <c r="E21" s="51"/>
      <c r="F21" s="51"/>
      <c r="G21" s="164">
        <v>539</v>
      </c>
      <c r="H21" s="171">
        <f>G21*'Appliances split'!D22</f>
        <v>455.42357390482198</v>
      </c>
      <c r="I21" s="178">
        <f>G21*'Appliances split'!D21</f>
        <v>83.576426095178078</v>
      </c>
      <c r="J21" s="158">
        <f>H21/F12*E13</f>
        <v>455.42357390482198</v>
      </c>
      <c r="K21" s="158"/>
      <c r="L21" s="158">
        <f>I21/H12*G13</f>
        <v>83.576426095178078</v>
      </c>
      <c r="M21" s="94"/>
    </row>
    <row r="22" spans="3:13" ht="17" thickBot="1" x14ac:dyDescent="0.25">
      <c r="J22" s="189"/>
      <c r="K22" s="189"/>
      <c r="L22" s="189"/>
      <c r="M22" s="189"/>
    </row>
    <row r="23" spans="3:13" x14ac:dyDescent="0.2">
      <c r="C23" s="300" t="s">
        <v>196</v>
      </c>
      <c r="D23" s="301"/>
      <c r="E23" s="302"/>
    </row>
    <row r="24" spans="3:13" ht="17" x14ac:dyDescent="0.2">
      <c r="C24" s="162"/>
      <c r="D24" s="211" t="s">
        <v>189</v>
      </c>
      <c r="E24" s="212" t="s">
        <v>188</v>
      </c>
    </row>
    <row r="25" spans="3:13" x14ac:dyDescent="0.2">
      <c r="C25" s="41" t="s">
        <v>193</v>
      </c>
      <c r="E25" s="10"/>
    </row>
    <row r="26" spans="3:13" x14ac:dyDescent="0.2">
      <c r="C26" s="9" t="s">
        <v>195</v>
      </c>
      <c r="D26" s="189">
        <f>E5/SUM(E5:E6)</f>
        <v>0.49066213921901525</v>
      </c>
      <c r="E26" s="210">
        <f>E6/SUM(E5:E6)</f>
        <v>0.50933786078098475</v>
      </c>
    </row>
    <row r="27" spans="3:13" ht="17" x14ac:dyDescent="0.2">
      <c r="C27" s="41" t="s">
        <v>194</v>
      </c>
      <c r="D27" s="189"/>
      <c r="E27" s="210"/>
      <c r="I27" s="203"/>
      <c r="J27" s="204"/>
      <c r="K27" s="204"/>
    </row>
    <row r="28" spans="3:13" ht="17" thickBot="1" x14ac:dyDescent="0.25">
      <c r="C28" s="50" t="s">
        <v>195</v>
      </c>
      <c r="D28" s="213">
        <f>G5/SUM(G5:G6)</f>
        <v>0.4</v>
      </c>
      <c r="E28" s="214">
        <f>G6/SUM(G5:G6)</f>
        <v>0.60000000000000009</v>
      </c>
      <c r="H28" s="221"/>
    </row>
    <row r="29" spans="3:13" x14ac:dyDescent="0.2">
      <c r="H29" s="221"/>
    </row>
    <row r="30" spans="3:13" x14ac:dyDescent="0.2">
      <c r="H30" s="221"/>
    </row>
    <row r="31" spans="3:13" x14ac:dyDescent="0.2">
      <c r="H31" s="221"/>
    </row>
    <row r="32" spans="3:13" x14ac:dyDescent="0.2">
      <c r="H32" s="221"/>
    </row>
    <row r="33" spans="4:8" x14ac:dyDescent="0.2">
      <c r="D33" s="205"/>
      <c r="E33" s="205"/>
      <c r="H33" s="221"/>
    </row>
    <row r="34" spans="4:8" x14ac:dyDescent="0.2">
      <c r="D34" s="163" t="s">
        <v>154</v>
      </c>
      <c r="E34" s="205"/>
      <c r="H34" s="221"/>
    </row>
    <row r="35" spans="4:8" x14ac:dyDescent="0.2">
      <c r="H35" s="221"/>
    </row>
    <row r="36" spans="4:8" x14ac:dyDescent="0.2">
      <c r="H36" s="221"/>
    </row>
    <row r="37" spans="4:8" x14ac:dyDescent="0.2">
      <c r="H37" s="221"/>
    </row>
    <row r="38" spans="4:8" x14ac:dyDescent="0.2">
      <c r="H38" s="221"/>
    </row>
    <row r="39" spans="4:8" x14ac:dyDescent="0.2">
      <c r="H39" s="221"/>
    </row>
    <row r="40" spans="4:8" x14ac:dyDescent="0.2">
      <c r="H40" s="221"/>
    </row>
    <row r="41" spans="4:8" x14ac:dyDescent="0.2">
      <c r="D41" s="207"/>
      <c r="E41" s="220"/>
      <c r="F41" s="207"/>
      <c r="G41" s="208"/>
      <c r="H41" s="221"/>
    </row>
  </sheetData>
  <mergeCells count="2">
    <mergeCell ref="C23:E23"/>
    <mergeCell ref="C2:H2"/>
  </mergeCells>
  <hyperlinks>
    <hyperlink ref="D34" r:id="rId1" xr:uid="{00000000-0004-0000-0700-000000000000}"/>
  </hyperlinks>
  <pageMargins left="0.75" right="0.75" top="1" bottom="1" header="0.5" footer="0.5"/>
  <pageSetup paperSize="9" orientation="portrait" horizontalDpi="4294967292" verticalDpi="429496729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sheetPr>
  <dimension ref="B2:I36"/>
  <sheetViews>
    <sheetView topLeftCell="A12" zoomScaleNormal="100" workbookViewId="0">
      <selection activeCell="G26" sqref="G26"/>
    </sheetView>
  </sheetViews>
  <sheetFormatPr baseColWidth="10" defaultRowHeight="16" x14ac:dyDescent="0.2"/>
  <cols>
    <col min="1" max="1" width="3.5" customWidth="1"/>
    <col min="2" max="2" width="40.83203125" customWidth="1"/>
    <col min="3" max="3" width="13.33203125" bestFit="1" customWidth="1"/>
    <col min="4" max="4" width="19" customWidth="1"/>
    <col min="5" max="5" width="19.6640625" customWidth="1"/>
    <col min="7" max="7" width="16" customWidth="1"/>
    <col min="13" max="13" width="10.83203125" customWidth="1"/>
  </cols>
  <sheetData>
    <row r="2" spans="2:7" x14ac:dyDescent="0.2">
      <c r="B2" t="s">
        <v>138</v>
      </c>
      <c r="C2" t="s">
        <v>244</v>
      </c>
    </row>
    <row r="3" spans="2:7" x14ac:dyDescent="0.2">
      <c r="B3" t="s">
        <v>139</v>
      </c>
      <c r="C3" t="s">
        <v>243</v>
      </c>
    </row>
    <row r="5" spans="2:7" x14ac:dyDescent="0.2">
      <c r="B5" s="148" t="s">
        <v>360</v>
      </c>
    </row>
    <row r="6" spans="2:7" x14ac:dyDescent="0.2">
      <c r="B6" t="s">
        <v>242</v>
      </c>
    </row>
    <row r="7" spans="2:7" x14ac:dyDescent="0.2">
      <c r="B7" t="s">
        <v>246</v>
      </c>
      <c r="C7">
        <v>1794</v>
      </c>
      <c r="D7" t="s">
        <v>147</v>
      </c>
    </row>
    <row r="8" spans="2:7" x14ac:dyDescent="0.2">
      <c r="G8" s="231"/>
    </row>
    <row r="10" spans="2:7" x14ac:dyDescent="0.2">
      <c r="B10" t="s">
        <v>249</v>
      </c>
      <c r="C10" s="231">
        <f>C7/SUM(C11:C12)*C11</f>
        <v>975.48750000000007</v>
      </c>
      <c r="D10" t="s">
        <v>147</v>
      </c>
    </row>
    <row r="11" spans="2:7" x14ac:dyDescent="0.2">
      <c r="B11" t="s">
        <v>247</v>
      </c>
      <c r="C11">
        <v>87</v>
      </c>
      <c r="D11" t="s">
        <v>250</v>
      </c>
    </row>
    <row r="12" spans="2:7" x14ac:dyDescent="0.2">
      <c r="B12" t="s">
        <v>248</v>
      </c>
      <c r="C12">
        <v>73</v>
      </c>
      <c r="D12" t="s">
        <v>250</v>
      </c>
    </row>
    <row r="14" spans="2:7" ht="15" customHeight="1" x14ac:dyDescent="0.2">
      <c r="B14" t="s">
        <v>378</v>
      </c>
      <c r="C14">
        <v>189423</v>
      </c>
      <c r="D14" t="s">
        <v>363</v>
      </c>
      <c r="E14" t="s">
        <v>384</v>
      </c>
    </row>
    <row r="15" spans="2:7" ht="15" customHeight="1" x14ac:dyDescent="0.2">
      <c r="B15" t="s">
        <v>379</v>
      </c>
      <c r="C15">
        <v>62925</v>
      </c>
      <c r="D15" t="s">
        <v>363</v>
      </c>
      <c r="E15" t="s">
        <v>384</v>
      </c>
    </row>
    <row r="16" spans="2:7" ht="15" customHeight="1" x14ac:dyDescent="0.2">
      <c r="B16" t="s">
        <v>381</v>
      </c>
      <c r="C16">
        <v>7890000</v>
      </c>
      <c r="D16" t="s">
        <v>363</v>
      </c>
      <c r="E16" t="s">
        <v>384</v>
      </c>
    </row>
    <row r="17" spans="2:9" ht="15" customHeight="1" x14ac:dyDescent="0.2">
      <c r="B17" t="s">
        <v>382</v>
      </c>
      <c r="C17" s="251">
        <f>0.06</f>
        <v>0.06</v>
      </c>
      <c r="D17" t="s">
        <v>330</v>
      </c>
      <c r="E17" t="s">
        <v>383</v>
      </c>
    </row>
    <row r="18" spans="2:9" ht="15" customHeight="1" x14ac:dyDescent="0.2">
      <c r="B18" t="s">
        <v>380</v>
      </c>
      <c r="C18">
        <f>C16*C17</f>
        <v>473400</v>
      </c>
      <c r="D18" t="s">
        <v>363</v>
      </c>
    </row>
    <row r="20" spans="2:9" x14ac:dyDescent="0.2">
      <c r="C20" s="148" t="s">
        <v>371</v>
      </c>
      <c r="D20" s="148" t="s">
        <v>372</v>
      </c>
      <c r="E20" s="148" t="s">
        <v>373</v>
      </c>
      <c r="F20" s="148" t="s">
        <v>374</v>
      </c>
    </row>
    <row r="21" spans="2:9" x14ac:dyDescent="0.2">
      <c r="B21" t="s">
        <v>370</v>
      </c>
      <c r="C21">
        <f>C18</f>
        <v>473400</v>
      </c>
      <c r="D21">
        <f>C14</f>
        <v>189423</v>
      </c>
      <c r="E21">
        <f>C15</f>
        <v>62925</v>
      </c>
      <c r="F21" t="s">
        <v>363</v>
      </c>
    </row>
    <row r="22" spans="2:9" x14ac:dyDescent="0.2">
      <c r="B22" t="s">
        <v>385</v>
      </c>
      <c r="C22">
        <v>10</v>
      </c>
      <c r="D22">
        <v>10</v>
      </c>
      <c r="E22">
        <v>10</v>
      </c>
      <c r="F22" t="s">
        <v>364</v>
      </c>
      <c r="G22" s="251" t="s">
        <v>386</v>
      </c>
      <c r="H22" s="251"/>
      <c r="I22" s="251"/>
    </row>
    <row r="23" spans="2:9" x14ac:dyDescent="0.2">
      <c r="B23" t="s">
        <v>365</v>
      </c>
      <c r="C23">
        <v>560</v>
      </c>
      <c r="D23">
        <v>560</v>
      </c>
      <c r="E23">
        <v>560</v>
      </c>
      <c r="F23" t="s">
        <v>366</v>
      </c>
      <c r="G23" t="s">
        <v>368</v>
      </c>
    </row>
    <row r="24" spans="2:9" x14ac:dyDescent="0.2">
      <c r="B24" t="s">
        <v>367</v>
      </c>
      <c r="C24">
        <f>C23*C22*C21/1000</f>
        <v>2651040</v>
      </c>
      <c r="D24">
        <f t="shared" ref="D24:E24" si="0">D23*D22*D21/1000</f>
        <v>1060768.8</v>
      </c>
      <c r="E24">
        <f t="shared" si="0"/>
        <v>352380</v>
      </c>
      <c r="F24" t="s">
        <v>369</v>
      </c>
    </row>
    <row r="25" spans="2:9" x14ac:dyDescent="0.2">
      <c r="B25" t="s">
        <v>367</v>
      </c>
      <c r="C25" s="231">
        <f>C24*3.6/1000</f>
        <v>9543.7440000000006</v>
      </c>
      <c r="D25" s="231">
        <f t="shared" ref="D25:E25" si="1">D24*3.6/1000</f>
        <v>3818.7676800000004</v>
      </c>
      <c r="E25" s="231">
        <f t="shared" si="1"/>
        <v>1268.568</v>
      </c>
      <c r="F25" t="s">
        <v>147</v>
      </c>
    </row>
    <row r="26" spans="2:9" x14ac:dyDescent="0.2">
      <c r="B26" t="s">
        <v>375</v>
      </c>
      <c r="C26">
        <v>4</v>
      </c>
      <c r="D26">
        <v>4.5</v>
      </c>
      <c r="E26">
        <v>19</v>
      </c>
      <c r="F26" t="s">
        <v>102</v>
      </c>
      <c r="G26" t="s">
        <v>368</v>
      </c>
    </row>
    <row r="27" spans="2:9" x14ac:dyDescent="0.2">
      <c r="B27" t="s">
        <v>376</v>
      </c>
      <c r="C27" s="231">
        <f>C25/C26</f>
        <v>2385.9360000000001</v>
      </c>
      <c r="D27" s="231">
        <f>D25/D26</f>
        <v>848.61504000000014</v>
      </c>
      <c r="E27" s="231">
        <f>E25/E26</f>
        <v>66.76673684210526</v>
      </c>
      <c r="F27" t="s">
        <v>147</v>
      </c>
    </row>
    <row r="28" spans="2:9" x14ac:dyDescent="0.2">
      <c r="B28" t="s">
        <v>377</v>
      </c>
      <c r="C28" s="231">
        <f>C27/SUM($C$27:$E$27)*Electricity!$C$3</f>
        <v>698.4858144876149</v>
      </c>
      <c r="D28" s="231">
        <f>D27/SUM($C$27:$E$27)*Electricity!$C$3</f>
        <v>248.4331379386706</v>
      </c>
      <c r="E28" s="231">
        <f>E27/SUM($C$27:$E$27)*Electricity!$C$3</f>
        <v>19.546047573714525</v>
      </c>
      <c r="F28" t="s">
        <v>147</v>
      </c>
    </row>
    <row r="30" spans="2:9" x14ac:dyDescent="0.2">
      <c r="B30" s="148" t="s">
        <v>359</v>
      </c>
    </row>
    <row r="31" spans="2:9" x14ac:dyDescent="0.2">
      <c r="B31" t="s">
        <v>361</v>
      </c>
    </row>
    <row r="32" spans="2:9" x14ac:dyDescent="0.2">
      <c r="B32" t="s">
        <v>356</v>
      </c>
    </row>
    <row r="33" spans="2:2" x14ac:dyDescent="0.2">
      <c r="B33" t="s">
        <v>357</v>
      </c>
    </row>
    <row r="34" spans="2:2" x14ac:dyDescent="0.2">
      <c r="B34" t="s">
        <v>358</v>
      </c>
    </row>
    <row r="36" spans="2:2" x14ac:dyDescent="0.2">
      <c r="B36" t="s">
        <v>362</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Changelog</vt:lpstr>
      <vt:lpstr>Sources and assumptions</vt:lpstr>
      <vt:lpstr>Final demand per energy carrier</vt:lpstr>
      <vt:lpstr>Appliances split</vt:lpstr>
      <vt:lpstr>Electricity</vt:lpstr>
      <vt:lpstr>Cooking</vt:lpstr>
      <vt:lpstr>Heat pumps</vt:lpstr>
      <vt:lpstr>Heat pumps cooling</vt:lpstr>
      <vt:lpstr>Housing type &amp; insulation (old)</vt:lpstr>
      <vt:lpstr>Housing type &amp; insulation (new)</vt:lpstr>
      <vt:lpstr>Lighting </vt:lpstr>
    </vt:vector>
  </TitlesOfParts>
  <Company>Quintel Intelligence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Mathijs Bijkerk</cp:lastModifiedBy>
  <dcterms:created xsi:type="dcterms:W3CDTF">2015-12-01T15:18:13Z</dcterms:created>
  <dcterms:modified xsi:type="dcterms:W3CDTF">2024-02-20T16:16:35Z</dcterms:modified>
</cp:coreProperties>
</file>