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c23caa1ebe4922/Documents/CajonDeSastre/Finanzas/000_Escuela/ElCaminoDelInversor_Jdv/"/>
    </mc:Choice>
  </mc:AlternateContent>
  <xr:revisionPtr revIDLastSave="146" documentId="13_ncr:1_{50DD6375-E0BE-49FA-A940-D3E527DEB1DB}" xr6:coauthVersionLast="47" xr6:coauthVersionMax="47" xr10:uidLastSave="{85E88522-63E1-4993-BABA-8568A0974C87}"/>
  <bookViews>
    <workbookView xWindow="28680" yWindow="-120" windowWidth="29040" windowHeight="15720" activeTab="2" xr2:uid="{15A8B782-B4F1-9345-B27D-928D6B92D491}"/>
  </bookViews>
  <sheets>
    <sheet name="Leeme" sheetId="3" r:id="rId1"/>
    <sheet name="DCF" sheetId="1" r:id="rId2"/>
    <sheet name="DCF_quiqu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3" i="2" l="1"/>
  <c r="E33" i="2"/>
  <c r="C90" i="2"/>
  <c r="D83" i="2"/>
  <c r="D82" i="2"/>
  <c r="D81" i="2"/>
  <c r="F84" i="2"/>
  <c r="F83" i="2"/>
  <c r="F82" i="2"/>
  <c r="F81" i="2"/>
  <c r="B83" i="2"/>
  <c r="B82" i="2"/>
  <c r="B81" i="2"/>
  <c r="C73" i="2"/>
  <c r="C59" i="2"/>
  <c r="C45" i="2"/>
  <c r="C75" i="2"/>
  <c r="C61" i="2"/>
  <c r="C47" i="2"/>
  <c r="D21" i="2"/>
  <c r="D27" i="2"/>
  <c r="E27" i="2"/>
  <c r="F27" i="2"/>
  <c r="C27" i="2"/>
  <c r="D32" i="2"/>
  <c r="D33" i="2" s="1"/>
  <c r="D34" i="2" s="1"/>
  <c r="E32" i="2"/>
  <c r="E34" i="2" s="1"/>
  <c r="F32" i="2"/>
  <c r="G33" i="2"/>
  <c r="C32" i="2"/>
  <c r="C33" i="2" s="1"/>
  <c r="C34" i="2" s="1"/>
  <c r="D26" i="2"/>
  <c r="E26" i="2"/>
  <c r="F26" i="2"/>
  <c r="C26" i="2"/>
  <c r="D23" i="2"/>
  <c r="E23" i="2"/>
  <c r="F23" i="2"/>
  <c r="C23" i="2"/>
  <c r="E21" i="2"/>
  <c r="F21" i="2"/>
  <c r="G21" i="2"/>
  <c r="H21" i="2"/>
  <c r="C19" i="2"/>
  <c r="D19" i="2" s="1"/>
  <c r="E19" i="2" s="1"/>
  <c r="F19" i="2" s="1"/>
  <c r="G19" i="2" s="1"/>
  <c r="H19" i="2" s="1"/>
  <c r="I19" i="2" s="1"/>
  <c r="J19" i="2" s="1"/>
  <c r="K19" i="2" s="1"/>
  <c r="O10" i="2"/>
  <c r="P10" i="2"/>
  <c r="Q10" i="2"/>
  <c r="N10" i="2"/>
  <c r="O7" i="2"/>
  <c r="P7" i="2"/>
  <c r="Q7" i="2"/>
  <c r="N7" i="2"/>
  <c r="N4" i="2"/>
  <c r="O4" i="2" s="1"/>
  <c r="P4" i="2" s="1"/>
  <c r="Q4" i="2" s="1"/>
  <c r="G8" i="2"/>
  <c r="G9" i="2" s="1"/>
  <c r="J7" i="2"/>
  <c r="C7" i="2"/>
  <c r="C9" i="2" s="1"/>
  <c r="C10" i="2" s="1"/>
  <c r="C19" i="1"/>
  <c r="G30" i="1"/>
  <c r="K29" i="1"/>
  <c r="H29" i="1"/>
  <c r="G29" i="1"/>
  <c r="C31" i="1"/>
  <c r="C32" i="1"/>
  <c r="K28" i="1"/>
  <c r="G10" i="1"/>
  <c r="G11" i="1"/>
  <c r="F11" i="1"/>
  <c r="E11" i="1"/>
  <c r="D11" i="1"/>
  <c r="C11" i="1"/>
  <c r="G8" i="1"/>
  <c r="C9" i="1"/>
  <c r="J7" i="1"/>
  <c r="I7" i="1"/>
  <c r="I6" i="1" s="1"/>
  <c r="H7" i="1"/>
  <c r="G7" i="1"/>
  <c r="F7" i="1"/>
  <c r="E7" i="1"/>
  <c r="D7" i="1"/>
  <c r="C77" i="1"/>
  <c r="C42" i="1"/>
  <c r="C60" i="1"/>
  <c r="G67" i="1" s="1"/>
  <c r="M17" i="1"/>
  <c r="M19" i="1" s="1"/>
  <c r="M20" i="1" s="1"/>
  <c r="F9" i="1"/>
  <c r="C48" i="1"/>
  <c r="C34" i="1"/>
  <c r="E9" i="1"/>
  <c r="D9" i="1"/>
  <c r="E67" i="1"/>
  <c r="D56" i="1"/>
  <c r="E56" i="1"/>
  <c r="F56" i="1"/>
  <c r="C56" i="1"/>
  <c r="D42" i="1"/>
  <c r="E42" i="1"/>
  <c r="F42" i="1"/>
  <c r="F28" i="1"/>
  <c r="E28" i="1"/>
  <c r="D28" i="1"/>
  <c r="C28" i="1"/>
  <c r="C62" i="1"/>
  <c r="I18" i="1"/>
  <c r="F19" i="1"/>
  <c r="F34" i="2" l="1"/>
  <c r="F54" i="2"/>
  <c r="G54" i="2"/>
  <c r="C68" i="2"/>
  <c r="D54" i="2"/>
  <c r="H54" i="2"/>
  <c r="D68" i="2"/>
  <c r="H68" i="2"/>
  <c r="I68" i="2"/>
  <c r="J68" i="2"/>
  <c r="C54" i="2"/>
  <c r="E54" i="2"/>
  <c r="I54" i="2"/>
  <c r="J54" i="2"/>
  <c r="F68" i="2"/>
  <c r="E68" i="2"/>
  <c r="G68" i="2"/>
  <c r="H40" i="2"/>
  <c r="G40" i="2"/>
  <c r="C40" i="2"/>
  <c r="I40" i="2"/>
  <c r="F40" i="2"/>
  <c r="J40" i="2"/>
  <c r="E40" i="2"/>
  <c r="D40" i="2"/>
  <c r="G23" i="2"/>
  <c r="H23" i="2" s="1"/>
  <c r="I23" i="2" s="1"/>
  <c r="J23" i="2" s="1"/>
  <c r="K23" i="2" s="1"/>
  <c r="I21" i="2"/>
  <c r="I20" i="2" s="1"/>
  <c r="D28" i="2"/>
  <c r="F28" i="2"/>
  <c r="E28" i="2"/>
  <c r="C28" i="2"/>
  <c r="M7" i="2"/>
  <c r="M10" i="2"/>
  <c r="C13" i="2"/>
  <c r="C18" i="1"/>
  <c r="C59" i="1" s="1"/>
  <c r="G9" i="1"/>
  <c r="G28" i="1" s="1"/>
  <c r="H11" i="1"/>
  <c r="F55" i="2" l="1"/>
  <c r="F69" i="2"/>
  <c r="E69" i="2"/>
  <c r="E55" i="2"/>
  <c r="D69" i="2"/>
  <c r="D55" i="2"/>
  <c r="C55" i="2"/>
  <c r="C69" i="2"/>
  <c r="J21" i="2"/>
  <c r="K21" i="2" s="1"/>
  <c r="C58" i="2"/>
  <c r="C44" i="2"/>
  <c r="C81" i="2" s="1"/>
  <c r="C72" i="2"/>
  <c r="I70" i="2" s="1"/>
  <c r="C29" i="2"/>
  <c r="C41" i="2"/>
  <c r="E29" i="2"/>
  <c r="E41" i="2"/>
  <c r="F29" i="2"/>
  <c r="F41" i="2"/>
  <c r="G22" i="2"/>
  <c r="H22" i="2"/>
  <c r="D29" i="2"/>
  <c r="D41" i="2"/>
  <c r="I22" i="2"/>
  <c r="C45" i="1"/>
  <c r="J57" i="1" s="1"/>
  <c r="K57" i="1" s="1"/>
  <c r="C67" i="1"/>
  <c r="F67" i="1"/>
  <c r="H9" i="1"/>
  <c r="G56" i="1"/>
  <c r="I11" i="1"/>
  <c r="J20" i="2" l="1"/>
  <c r="K20" i="2" s="1"/>
  <c r="K22" i="2" s="1"/>
  <c r="G29" i="2"/>
  <c r="H29" i="2" s="1"/>
  <c r="I29" i="2" s="1"/>
  <c r="H70" i="2"/>
  <c r="J70" i="2"/>
  <c r="K70" i="2" s="1"/>
  <c r="H42" i="2"/>
  <c r="G42" i="2"/>
  <c r="J42" i="2"/>
  <c r="K42" i="2" s="1"/>
  <c r="I42" i="2"/>
  <c r="G70" i="2"/>
  <c r="C82" i="2"/>
  <c r="I56" i="2"/>
  <c r="J56" i="2"/>
  <c r="H56" i="2"/>
  <c r="G56" i="2"/>
  <c r="C83" i="2"/>
  <c r="J29" i="1"/>
  <c r="J43" i="1"/>
  <c r="K43" i="1" s="1"/>
  <c r="G57" i="1"/>
  <c r="D67" i="1"/>
  <c r="H43" i="1"/>
  <c r="I43" i="1"/>
  <c r="B67" i="1"/>
  <c r="H57" i="1"/>
  <c r="I57" i="1"/>
  <c r="G43" i="1"/>
  <c r="H8" i="1"/>
  <c r="H10" i="1" s="1"/>
  <c r="H28" i="1" s="1"/>
  <c r="I9" i="1"/>
  <c r="J9" i="1" s="1"/>
  <c r="I29" i="1"/>
  <c r="G42" i="1"/>
  <c r="J6" i="1"/>
  <c r="J11" i="1"/>
  <c r="J22" i="2" l="1"/>
  <c r="J29" i="2"/>
  <c r="K29" i="2" s="1"/>
  <c r="K28" i="2" s="1"/>
  <c r="I28" i="2"/>
  <c r="I41" i="2" s="1"/>
  <c r="I43" i="2" s="1"/>
  <c r="G28" i="2"/>
  <c r="G41" i="2" s="1"/>
  <c r="G43" i="2" s="1"/>
  <c r="H28" i="2"/>
  <c r="H41" i="2" s="1"/>
  <c r="H43" i="2" s="1"/>
  <c r="K56" i="2"/>
  <c r="I8" i="1"/>
  <c r="I10" i="1" s="1"/>
  <c r="J8" i="1"/>
  <c r="J10" i="1" s="1"/>
  <c r="H42" i="1"/>
  <c r="H56" i="1"/>
  <c r="H30" i="1"/>
  <c r="G44" i="1"/>
  <c r="G58" i="1"/>
  <c r="G55" i="2" l="1"/>
  <c r="G57" i="2" s="1"/>
  <c r="G69" i="2"/>
  <c r="G71" i="2" s="1"/>
  <c r="H55" i="2"/>
  <c r="H57" i="2" s="1"/>
  <c r="H69" i="2"/>
  <c r="H71" i="2" s="1"/>
  <c r="I55" i="2"/>
  <c r="I57" i="2" s="1"/>
  <c r="I69" i="2"/>
  <c r="I71" i="2" s="1"/>
  <c r="J28" i="2"/>
  <c r="J41" i="2" s="1"/>
  <c r="J28" i="1"/>
  <c r="K30" i="1" s="1"/>
  <c r="J42" i="1"/>
  <c r="I42" i="1"/>
  <c r="I28" i="1"/>
  <c r="I30" i="1" s="1"/>
  <c r="I56" i="1"/>
  <c r="J56" i="1"/>
  <c r="H58" i="1"/>
  <c r="H44" i="1"/>
  <c r="J43" i="2" l="1"/>
  <c r="K41" i="2"/>
  <c r="K43" i="2" s="1"/>
  <c r="J55" i="2"/>
  <c r="J57" i="2" s="1"/>
  <c r="J69" i="2"/>
  <c r="K69" i="2" s="1"/>
  <c r="K71" i="2" s="1"/>
  <c r="J30" i="1"/>
  <c r="J44" i="1"/>
  <c r="K42" i="1"/>
  <c r="K44" i="1" s="1"/>
  <c r="I58" i="1"/>
  <c r="I44" i="1"/>
  <c r="C33" i="1"/>
  <c r="C35" i="1" s="1"/>
  <c r="B70" i="1" s="1"/>
  <c r="C46" i="2" l="1"/>
  <c r="C48" i="2" s="1"/>
  <c r="E81" i="2" s="1"/>
  <c r="K55" i="2"/>
  <c r="K57" i="2" s="1"/>
  <c r="C60" i="2" s="1"/>
  <c r="C62" i="2" s="1"/>
  <c r="E82" i="2" s="1"/>
  <c r="J71" i="2"/>
  <c r="C74" i="2" s="1"/>
  <c r="C76" i="2" s="1"/>
  <c r="E83" i="2" s="1"/>
  <c r="C47" i="1"/>
  <c r="C49" i="1" s="1"/>
  <c r="D70" i="1" s="1"/>
  <c r="K56" i="1"/>
  <c r="K58" i="1" s="1"/>
  <c r="J58" i="1"/>
  <c r="E84" i="2" l="1"/>
  <c r="C91" i="2" s="1"/>
  <c r="C92" i="2" s="1"/>
  <c r="C61" i="1"/>
  <c r="C63" i="1" s="1"/>
  <c r="C78" i="1" s="1"/>
  <c r="C79" i="1" l="1"/>
  <c r="F70" i="1"/>
</calcChain>
</file>

<file path=xl/sharedStrings.xml><?xml version="1.0" encoding="utf-8"?>
<sst xmlns="http://schemas.openxmlformats.org/spreadsheetml/2006/main" count="187" uniqueCount="87">
  <si>
    <t>Growth %</t>
  </si>
  <si>
    <t>ESTIMATES</t>
  </si>
  <si>
    <t>Net income Margin</t>
  </si>
  <si>
    <t>Free Cashflow</t>
  </si>
  <si>
    <t>FCFE/Net income</t>
  </si>
  <si>
    <t>Terminal Value</t>
  </si>
  <si>
    <t>Discount Factor</t>
  </si>
  <si>
    <t>PV of future Cash Flow</t>
  </si>
  <si>
    <t>Perpetual Growth</t>
  </si>
  <si>
    <t>Todays Value</t>
  </si>
  <si>
    <t>Shares Out</t>
  </si>
  <si>
    <t>Required Return WACC</t>
  </si>
  <si>
    <t>2021 E</t>
  </si>
  <si>
    <t>2022 E</t>
  </si>
  <si>
    <t>2023 E</t>
  </si>
  <si>
    <t>2024 E</t>
  </si>
  <si>
    <t>ESCENARIO 1</t>
  </si>
  <si>
    <t>ESCENARIO 2</t>
  </si>
  <si>
    <t>WACC</t>
  </si>
  <si>
    <t>Terminal Growth</t>
  </si>
  <si>
    <t>ESCENARIO ALCISTA</t>
  </si>
  <si>
    <t>ESCENARIO MEDIO</t>
  </si>
  <si>
    <t>ESCENARIO BAJISTA</t>
  </si>
  <si>
    <t xml:space="preserve">PRICE TARGET </t>
  </si>
  <si>
    <t>PRICE TARGET</t>
  </si>
  <si>
    <t>Cost of Equity</t>
  </si>
  <si>
    <t>Risk Free Rate</t>
  </si>
  <si>
    <t>Beta Stock</t>
  </si>
  <si>
    <t>Cost of Debt</t>
  </si>
  <si>
    <t>Tax Rate</t>
  </si>
  <si>
    <t>Cost of loans</t>
  </si>
  <si>
    <t>Market Cap</t>
  </si>
  <si>
    <t>% Equity</t>
  </si>
  <si>
    <t>% Debt</t>
  </si>
  <si>
    <t>Stock Market return</t>
  </si>
  <si>
    <t>Share Price</t>
  </si>
  <si>
    <t>Total liabilities</t>
  </si>
  <si>
    <t>COST OF DEBT</t>
  </si>
  <si>
    <t>COST OF EQUITY</t>
  </si>
  <si>
    <t>MAIN INFORMATION</t>
  </si>
  <si>
    <t>CONCLUSIONES</t>
  </si>
  <si>
    <t>PRICE TARGET MEDIO</t>
  </si>
  <si>
    <t>MARGEN DE SEGURIDAD</t>
  </si>
  <si>
    <t>TERMINAL GROWTH</t>
  </si>
  <si>
    <t xml:space="preserve"> </t>
  </si>
  <si>
    <t>Excel creado por JFPartners®</t>
  </si>
  <si>
    <t>Calcular el valor intrínseco por DCF con escenarios</t>
  </si>
  <si>
    <t xml:space="preserve">PRECIO ACCIÓN </t>
  </si>
  <si>
    <t>jfpartners.net</t>
  </si>
  <si>
    <t>Revenues / Ventas</t>
  </si>
  <si>
    <t>Net income / Beneficio neto</t>
  </si>
  <si>
    <t>Risk Free Rate (Rf)</t>
  </si>
  <si>
    <r>
      <t>Beta Stock (</t>
    </r>
    <r>
      <rPr>
        <sz val="12"/>
        <color theme="1"/>
        <rFont val="Symbol"/>
        <family val="1"/>
        <charset val="2"/>
      </rPr>
      <t>b</t>
    </r>
    <r>
      <rPr>
        <sz val="12"/>
        <color theme="1"/>
        <rFont val="Calibri"/>
        <family val="2"/>
        <scheme val="minor"/>
      </rPr>
      <t>)</t>
    </r>
  </si>
  <si>
    <t>Stock Market return(Rm)</t>
  </si>
  <si>
    <t>ERP (Equity Risk Prime)</t>
  </si>
  <si>
    <t>Año Actual</t>
  </si>
  <si>
    <t>Años hacia atrás</t>
  </si>
  <si>
    <t>Deuda Total</t>
  </si>
  <si>
    <t>Gastos Intereses</t>
  </si>
  <si>
    <t>Cost Loan (%)</t>
  </si>
  <si>
    <t>Promedio</t>
  </si>
  <si>
    <t>EBIT</t>
  </si>
  <si>
    <t>Provision Impuestos</t>
  </si>
  <si>
    <t>Estimations</t>
  </si>
  <si>
    <t>Free Cashflow (FCFF)</t>
  </si>
  <si>
    <t>CFO</t>
  </si>
  <si>
    <t>Capex</t>
  </si>
  <si>
    <t>FCF generico</t>
  </si>
  <si>
    <t>Intereses</t>
  </si>
  <si>
    <t>FCFE</t>
  </si>
  <si>
    <t>Incremento Deuda Neto</t>
  </si>
  <si>
    <t>Emision Deuda</t>
  </si>
  <si>
    <t>Reembolso deuda</t>
  </si>
  <si>
    <t>FFCF/Net Income</t>
  </si>
  <si>
    <r>
      <t>Terminal Growth</t>
    </r>
    <r>
      <rPr>
        <b/>
        <i/>
        <sz val="14"/>
        <color theme="1"/>
        <rFont val="Calibri"/>
        <family val="2"/>
        <scheme val="minor"/>
      </rPr>
      <t>(g)</t>
    </r>
  </si>
  <si>
    <t>Proyecciones</t>
  </si>
  <si>
    <t>Rf: Es la rentabilidad libre de riesgo. En EUA la rentbilidad del Bono a 10años de EUA, en euroa sería el bono soberano de alemania a 10 años. O la  duración horizonte de la inversión.
Rm: Es la rentabildad esperada del mercado (forward looking).
ERP: Es la prima de mercado (Rm-Rf), en Europa a 2025 está entorno a 6.5-7.6%
Para el Cost of Debt lo podemos calculare con la tabla de ayuda. Si no, valores tímpicos son:
   EUA: loans 5%, TaxRate 15%
   Europa: loans 3.5-4.5% , Tax Rate 25%-27%
El Terminal Growth:
  - en Europa se puede considerar: 2% , pro dencima de 2.5% es estructuralmente agresivo
Para el DCF se usa el FCFF
 FCFF = CFO - CapEx  + Intereses x ( 1 -TaxRate); Los intereses se suman porque el CFO ya los tiene como gasto, y nos interesa el flujo de caja sin incidencia de la variacion.
Se usa el FCFF y no el FCFE porque que FCFE no es tan estable, como vemos en este ejemplo si la empresa se está desapalancando y devolviendo deuda, puede ser que el flujo sea negativo</t>
  </si>
  <si>
    <t>WACC Delta</t>
  </si>
  <si>
    <t>Growth Delta</t>
  </si>
  <si>
    <t>Empresa</t>
  </si>
  <si>
    <t>Indra</t>
  </si>
  <si>
    <t>ESCENARIO 1: ALCISTA</t>
  </si>
  <si>
    <t>ESCENARIO 2: NEUTRO</t>
  </si>
  <si>
    <t>ESCENARIO 3: BAJISTA</t>
  </si>
  <si>
    <t>Pesos</t>
  </si>
  <si>
    <t>Minimo</t>
  </si>
  <si>
    <t>Esta plantilla está basasa en la planitlla original (Pestaña DCF) proporcionada por los autores del Libro "El Camino del Inversor":
 - Javier del Valle y Fernando Ruiz
A los cuales agradezco, y cuyo libro recomiendo la lectura.
La Pestaña DCF_quique, es una variación de la propuesta en DCF, con algunas variaciones para poder ajustar otros parámteros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</si>
</sst>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#,##0\ &quot;€&quot;;\-#,##0\ &quot;€&quot;"/>
    <numFmt numFmtId="7" formatCode="#,##0.00\ &quot;€&quot;;\-#,##0.00\ &quot;€&quot;"/>
    <numFmt numFmtId="44" formatCode="_-* #,##0.00\ &quot;€&quot;_-;\-* #,##0.00\ &quot;€&quot;_-;_-* &quot;-&quot;??\ &quot;€&quot;_-;_-@_-"/>
    <numFmt numFmtId="164" formatCode="0.000"/>
    <numFmt numFmtId="165" formatCode="0.0%"/>
    <numFmt numFmtId="166" formatCode="_-[$$-409]* #,##0_ ;_-[$$-409]* \-#,##0\ ;_-[$$-409]* &quot;-&quot;??_ ;_-@_ "/>
    <numFmt numFmtId="167" formatCode="_-[$$-409]* #,##0.000_ ;_-[$$-409]* \-#,##0.000\ ;_-[$$-409]* &quot;-&quot;???_ ;_-@_ "/>
    <numFmt numFmtId="168" formatCode="_-[$$-409]* #,##0_ ;_-[$$-409]* \-#,##0\ ;_-[$$-409]* &quot;-&quot;???_ ;_-@_ "/>
    <numFmt numFmtId="169" formatCode="_-[$$-409]* #,##0.00_ ;_-[$$-409]* \-#,##0.00\ ;_-[$$-409]* &quot;-&quot;??_ ;_-@_ "/>
    <numFmt numFmtId="170" formatCode="_-* #,##0.00\ [$€-40A]_-;\-* #,##0.00\ [$€-40A]_-;_-* &quot;-&quot;??\ [$€-40A]_-;_-@_-"/>
    <numFmt numFmtId="171" formatCode="#,##0.00_ ;\-#,##0.00\ "/>
  </numFmts>
  <fonts count="1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 (Cuerpo)"/>
    </font>
    <font>
      <b/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u/>
      <sz val="12"/>
      <color theme="10"/>
      <name val="Calibri"/>
      <family val="2"/>
      <scheme val="minor"/>
    </font>
    <font>
      <sz val="12"/>
      <color theme="1"/>
      <name val="Symbol"/>
      <family val="1"/>
      <charset val="2"/>
    </font>
    <font>
      <b/>
      <i/>
      <sz val="14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51">
    <xf numFmtId="0" fontId="0" fillId="0" borderId="0" xfId="0"/>
    <xf numFmtId="9" fontId="0" fillId="0" borderId="0" xfId="1" applyFont="1"/>
    <xf numFmtId="0" fontId="2" fillId="0" borderId="1" xfId="0" applyFont="1" applyBorder="1" applyAlignment="1">
      <alignment horizontal="center"/>
    </xf>
    <xf numFmtId="166" fontId="3" fillId="0" borderId="0" xfId="0" applyNumberFormat="1" applyFont="1"/>
    <xf numFmtId="168" fontId="0" fillId="0" borderId="0" xfId="0" applyNumberFormat="1"/>
    <xf numFmtId="0" fontId="0" fillId="0" borderId="1" xfId="0" applyBorder="1"/>
    <xf numFmtId="0" fontId="2" fillId="0" borderId="1" xfId="0" applyFont="1" applyBorder="1"/>
    <xf numFmtId="10" fontId="0" fillId="0" borderId="1" xfId="1" applyNumberFormat="1" applyFont="1" applyBorder="1"/>
    <xf numFmtId="0" fontId="2" fillId="0" borderId="6" xfId="0" applyFont="1" applyBorder="1" applyAlignment="1">
      <alignment horizontal="center"/>
    </xf>
    <xf numFmtId="168" fontId="4" fillId="2" borderId="1" xfId="0" applyNumberFormat="1" applyFont="1" applyFill="1" applyBorder="1"/>
    <xf numFmtId="0" fontId="2" fillId="2" borderId="1" xfId="0" applyFont="1" applyFill="1" applyBorder="1"/>
    <xf numFmtId="10" fontId="0" fillId="0" borderId="0" xfId="1" applyNumberFormat="1" applyFont="1" applyBorder="1"/>
    <xf numFmtId="0" fontId="2" fillId="0" borderId="0" xfId="0" applyFont="1"/>
    <xf numFmtId="10" fontId="0" fillId="0" borderId="1" xfId="0" applyNumberFormat="1" applyBorder="1"/>
    <xf numFmtId="169" fontId="0" fillId="0" borderId="1" xfId="2" applyNumberFormat="1" applyFont="1" applyBorder="1"/>
    <xf numFmtId="169" fontId="0" fillId="0" borderId="9" xfId="0" applyNumberFormat="1" applyBorder="1"/>
    <xf numFmtId="0" fontId="0" fillId="0" borderId="6" xfId="0" applyBorder="1"/>
    <xf numFmtId="0" fontId="0" fillId="0" borderId="6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7" xfId="0" applyBorder="1"/>
    <xf numFmtId="9" fontId="0" fillId="4" borderId="3" xfId="1" applyFont="1" applyFill="1" applyBorder="1"/>
    <xf numFmtId="10" fontId="0" fillId="4" borderId="4" xfId="1" applyNumberFormat="1" applyFont="1" applyFill="1" applyBorder="1"/>
    <xf numFmtId="165" fontId="0" fillId="4" borderId="4" xfId="1" applyNumberFormat="1" applyFont="1" applyFill="1" applyBorder="1"/>
    <xf numFmtId="165" fontId="0" fillId="4" borderId="4" xfId="0" applyNumberFormat="1" applyFill="1" applyBorder="1"/>
    <xf numFmtId="165" fontId="0" fillId="4" borderId="10" xfId="0" applyNumberFormat="1" applyFill="1" applyBorder="1"/>
    <xf numFmtId="166" fontId="0" fillId="4" borderId="5" xfId="0" applyNumberFormat="1" applyFill="1" applyBorder="1"/>
    <xf numFmtId="166" fontId="0" fillId="4" borderId="9" xfId="0" applyNumberFormat="1" applyFill="1" applyBorder="1"/>
    <xf numFmtId="166" fontId="3" fillId="4" borderId="0" xfId="0" applyNumberFormat="1" applyFont="1" applyFill="1"/>
    <xf numFmtId="166" fontId="3" fillId="4" borderId="11" xfId="0" applyNumberFormat="1" applyFont="1" applyFill="1" applyBorder="1"/>
    <xf numFmtId="9" fontId="0" fillId="4" borderId="0" xfId="0" applyNumberFormat="1" applyFill="1"/>
    <xf numFmtId="9" fontId="0" fillId="4" borderId="11" xfId="0" applyNumberFormat="1" applyFill="1" applyBorder="1"/>
    <xf numFmtId="9" fontId="0" fillId="4" borderId="8" xfId="0" applyNumberFormat="1" applyFill="1" applyBorder="1"/>
    <xf numFmtId="9" fontId="0" fillId="4" borderId="12" xfId="0" applyNumberFormat="1" applyFill="1" applyBorder="1"/>
    <xf numFmtId="9" fontId="0" fillId="4" borderId="0" xfId="1" applyFont="1" applyFill="1"/>
    <xf numFmtId="9" fontId="0" fillId="4" borderId="8" xfId="1" applyFont="1" applyFill="1" applyBorder="1"/>
    <xf numFmtId="0" fontId="0" fillId="4" borderId="1" xfId="0" applyFill="1" applyBorder="1"/>
    <xf numFmtId="10" fontId="0" fillId="4" borderId="1" xfId="1" applyNumberFormat="1" applyFont="1" applyFill="1" applyBorder="1"/>
    <xf numFmtId="10" fontId="0" fillId="4" borderId="1" xfId="0" applyNumberFormat="1" applyFill="1" applyBorder="1"/>
    <xf numFmtId="0" fontId="5" fillId="4" borderId="1" xfId="0" applyFont="1" applyFill="1" applyBorder="1"/>
    <xf numFmtId="10" fontId="5" fillId="4" borderId="1" xfId="0" applyNumberFormat="1" applyFont="1" applyFill="1" applyBorder="1"/>
    <xf numFmtId="0" fontId="6" fillId="4" borderId="1" xfId="0" applyFont="1" applyFill="1" applyBorder="1"/>
    <xf numFmtId="9" fontId="1" fillId="4" borderId="1" xfId="1" applyFont="1" applyFill="1" applyBorder="1"/>
    <xf numFmtId="166" fontId="3" fillId="4" borderId="1" xfId="0" applyNumberFormat="1" applyFont="1" applyFill="1" applyBorder="1"/>
    <xf numFmtId="164" fontId="0" fillId="4" borderId="1" xfId="0" applyNumberFormat="1" applyFill="1" applyBorder="1"/>
    <xf numFmtId="167" fontId="0" fillId="4" borderId="1" xfId="0" applyNumberFormat="1" applyFill="1" applyBorder="1"/>
    <xf numFmtId="168" fontId="0" fillId="4" borderId="1" xfId="0" applyNumberFormat="1" applyFill="1" applyBorder="1"/>
    <xf numFmtId="165" fontId="0" fillId="4" borderId="1" xfId="1" applyNumberFormat="1" applyFont="1" applyFill="1" applyBorder="1" applyAlignment="1">
      <alignment horizontal="right"/>
    </xf>
    <xf numFmtId="9" fontId="0" fillId="4" borderId="1" xfId="1" applyFont="1" applyFill="1" applyBorder="1"/>
    <xf numFmtId="3" fontId="0" fillId="4" borderId="1" xfId="0" applyNumberFormat="1" applyFill="1" applyBorder="1"/>
    <xf numFmtId="165" fontId="0" fillId="4" borderId="1" xfId="0" applyNumberFormat="1" applyFill="1" applyBorder="1"/>
    <xf numFmtId="9" fontId="0" fillId="4" borderId="1" xfId="0" applyNumberFormat="1" applyFill="1" applyBorder="1"/>
    <xf numFmtId="168" fontId="4" fillId="4" borderId="1" xfId="0" applyNumberFormat="1" applyFont="1" applyFill="1" applyBorder="1"/>
    <xf numFmtId="10" fontId="4" fillId="4" borderId="1" xfId="1" applyNumberFormat="1" applyFont="1" applyFill="1" applyBorder="1"/>
    <xf numFmtId="0" fontId="2" fillId="6" borderId="1" xfId="0" applyFont="1" applyFill="1" applyBorder="1"/>
    <xf numFmtId="0" fontId="8" fillId="0" borderId="1" xfId="3" applyBorder="1"/>
    <xf numFmtId="169" fontId="0" fillId="4" borderId="9" xfId="0" applyNumberFormat="1" applyFill="1" applyBorder="1"/>
    <xf numFmtId="0" fontId="3" fillId="4" borderId="0" xfId="0" applyFont="1" applyFill="1"/>
    <xf numFmtId="10" fontId="0" fillId="0" borderId="0" xfId="0" applyNumberFormat="1"/>
    <xf numFmtId="0" fontId="0" fillId="2" borderId="1" xfId="0" applyFill="1" applyBorder="1"/>
    <xf numFmtId="0" fontId="0" fillId="4" borderId="1" xfId="1" applyNumberFormat="1" applyFont="1" applyFill="1" applyBorder="1" applyAlignment="1">
      <alignment horizontal="right"/>
    </xf>
    <xf numFmtId="169" fontId="3" fillId="0" borderId="2" xfId="0" applyNumberFormat="1" applyFont="1" applyBorder="1"/>
    <xf numFmtId="169" fontId="0" fillId="0" borderId="5" xfId="0" applyNumberFormat="1" applyBorder="1"/>
    <xf numFmtId="166" fontId="3" fillId="2" borderId="0" xfId="0" applyNumberFormat="1" applyFont="1" applyFill="1"/>
    <xf numFmtId="166" fontId="3" fillId="2" borderId="11" xfId="0" applyNumberFormat="1" applyFont="1" applyFill="1" applyBorder="1"/>
    <xf numFmtId="165" fontId="1" fillId="4" borderId="1" xfId="1" applyNumberFormat="1" applyFont="1" applyFill="1" applyBorder="1"/>
    <xf numFmtId="166" fontId="3" fillId="2" borderId="1" xfId="0" applyNumberFormat="1" applyFont="1" applyFill="1" applyBorder="1"/>
    <xf numFmtId="169" fontId="0" fillId="4" borderId="1" xfId="0" applyNumberFormat="1" applyFill="1" applyBorder="1"/>
    <xf numFmtId="9" fontId="0" fillId="4" borderId="1" xfId="1" applyFont="1" applyFill="1" applyBorder="1" applyAlignment="1">
      <alignment horizontal="right"/>
    </xf>
    <xf numFmtId="0" fontId="0" fillId="0" borderId="2" xfId="0" applyBorder="1"/>
    <xf numFmtId="0" fontId="0" fillId="0" borderId="0" xfId="0" applyAlignment="1">
      <alignment horizontal="center"/>
    </xf>
    <xf numFmtId="170" fontId="0" fillId="0" borderId="1" xfId="2" applyNumberFormat="1" applyFont="1" applyBorder="1"/>
    <xf numFmtId="170" fontId="0" fillId="0" borderId="9" xfId="0" applyNumberFormat="1" applyBorder="1"/>
    <xf numFmtId="170" fontId="0" fillId="4" borderId="9" xfId="0" applyNumberFormat="1" applyFill="1" applyBorder="1"/>
    <xf numFmtId="44" fontId="0" fillId="0" borderId="1" xfId="0" applyNumberFormat="1" applyBorder="1" applyAlignment="1">
      <alignment horizontal="center"/>
    </xf>
    <xf numFmtId="10" fontId="2" fillId="4" borderId="1" xfId="0" applyNumberFormat="1" applyFont="1" applyFill="1" applyBorder="1" applyAlignment="1">
      <alignment horizontal="center"/>
    </xf>
    <xf numFmtId="10" fontId="0" fillId="4" borderId="1" xfId="0" applyNumberFormat="1" applyFill="1" applyBorder="1" applyAlignment="1">
      <alignment horizontal="center"/>
    </xf>
    <xf numFmtId="0" fontId="2" fillId="4" borderId="1" xfId="0" applyFont="1" applyFill="1" applyBorder="1"/>
    <xf numFmtId="171" fontId="0" fillId="0" borderId="9" xfId="0" applyNumberFormat="1" applyBorder="1"/>
    <xf numFmtId="0" fontId="0" fillId="4" borderId="2" xfId="0" applyFill="1" applyBorder="1"/>
    <xf numFmtId="0" fontId="2" fillId="4" borderId="2" xfId="0" applyFont="1" applyFill="1" applyBorder="1"/>
    <xf numFmtId="0" fontId="0" fillId="7" borderId="1" xfId="0" applyFill="1" applyBorder="1" applyAlignment="1">
      <alignment horizontal="center"/>
    </xf>
    <xf numFmtId="44" fontId="0" fillId="7" borderId="1" xfId="0" applyNumberFormat="1" applyFill="1" applyBorder="1" applyAlignment="1">
      <alignment horizontal="center"/>
    </xf>
    <xf numFmtId="44" fontId="2" fillId="4" borderId="1" xfId="0" applyNumberFormat="1" applyFont="1" applyFill="1" applyBorder="1" applyAlignment="1">
      <alignment horizontal="center"/>
    </xf>
    <xf numFmtId="44" fontId="2" fillId="7" borderId="1" xfId="0" applyNumberFormat="1" applyFont="1" applyFill="1" applyBorder="1" applyAlignment="1">
      <alignment horizontal="center"/>
    </xf>
    <xf numFmtId="10" fontId="0" fillId="7" borderId="1" xfId="0" applyNumberForma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9" fontId="5" fillId="0" borderId="1" xfId="0" applyNumberFormat="1" applyFont="1" applyBorder="1"/>
    <xf numFmtId="0" fontId="2" fillId="9" borderId="2" xfId="0" applyFont="1" applyFill="1" applyBorder="1" applyAlignment="1">
      <alignment horizontal="center"/>
    </xf>
    <xf numFmtId="0" fontId="12" fillId="0" borderId="0" xfId="0" applyFont="1"/>
    <xf numFmtId="44" fontId="0" fillId="0" borderId="2" xfId="0" applyNumberFormat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10" fontId="0" fillId="4" borderId="6" xfId="0" applyNumberFormat="1" applyFill="1" applyBorder="1" applyAlignment="1">
      <alignment horizontal="center"/>
    </xf>
    <xf numFmtId="44" fontId="0" fillId="0" borderId="13" xfId="0" applyNumberFormat="1" applyBorder="1" applyAlignment="1">
      <alignment horizontal="center"/>
    </xf>
    <xf numFmtId="44" fontId="0" fillId="0" borderId="14" xfId="0" applyNumberFormat="1" applyBorder="1" applyAlignment="1">
      <alignment horizontal="center"/>
    </xf>
    <xf numFmtId="9" fontId="0" fillId="0" borderId="0" xfId="1" applyFont="1" applyFill="1"/>
    <xf numFmtId="3" fontId="0" fillId="0" borderId="1" xfId="0" applyNumberFormat="1" applyBorder="1"/>
    <xf numFmtId="9" fontId="0" fillId="0" borderId="0" xfId="1" applyFont="1" applyFill="1" applyAlignment="1">
      <alignment horizontal="right"/>
    </xf>
    <xf numFmtId="0" fontId="2" fillId="11" borderId="2" xfId="0" applyFont="1" applyFill="1" applyBorder="1"/>
    <xf numFmtId="44" fontId="2" fillId="11" borderId="1" xfId="0" applyNumberFormat="1" applyFont="1" applyFill="1" applyBorder="1" applyAlignment="1">
      <alignment horizontal="center"/>
    </xf>
    <xf numFmtId="10" fontId="0" fillId="12" borderId="1" xfId="0" applyNumberFormat="1" applyFill="1" applyBorder="1" applyAlignment="1">
      <alignment horizontal="center"/>
    </xf>
    <xf numFmtId="44" fontId="0" fillId="12" borderId="1" xfId="0" applyNumberFormat="1" applyFill="1" applyBorder="1" applyAlignment="1">
      <alignment horizontal="center"/>
    </xf>
    <xf numFmtId="44" fontId="0" fillId="12" borderId="9" xfId="0" applyNumberFormat="1" applyFill="1" applyBorder="1" applyAlignment="1">
      <alignment horizontal="center"/>
    </xf>
    <xf numFmtId="5" fontId="4" fillId="0" borderId="1" xfId="0" applyNumberFormat="1" applyFont="1" applyBorder="1"/>
    <xf numFmtId="2" fontId="0" fillId="0" borderId="0" xfId="0" applyNumberFormat="1" applyAlignment="1">
      <alignment horizontal="left"/>
    </xf>
    <xf numFmtId="0" fontId="13" fillId="13" borderId="1" xfId="0" applyFont="1" applyFill="1" applyBorder="1" applyAlignment="1">
      <alignment horizontal="center"/>
    </xf>
    <xf numFmtId="0" fontId="13" fillId="14" borderId="1" xfId="0" applyFont="1" applyFill="1" applyBorder="1" applyAlignment="1">
      <alignment horizontal="center"/>
    </xf>
    <xf numFmtId="0" fontId="13" fillId="15" borderId="1" xfId="0" applyFont="1" applyFill="1" applyBorder="1" applyAlignment="1">
      <alignment horizontal="center"/>
    </xf>
    <xf numFmtId="0" fontId="13" fillId="15" borderId="2" xfId="0" applyFont="1" applyFill="1" applyBorder="1" applyAlignment="1">
      <alignment horizontal="center"/>
    </xf>
    <xf numFmtId="0" fontId="13" fillId="13" borderId="2" xfId="0" applyFont="1" applyFill="1" applyBorder="1" applyAlignment="1">
      <alignment horizontal="center"/>
    </xf>
    <xf numFmtId="0" fontId="13" fillId="14" borderId="2" xfId="0" applyFont="1" applyFill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7" fontId="5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left"/>
    </xf>
    <xf numFmtId="7" fontId="5" fillId="0" borderId="7" xfId="0" applyNumberFormat="1" applyFont="1" applyBorder="1" applyAlignment="1">
      <alignment horizontal="center"/>
    </xf>
    <xf numFmtId="7" fontId="5" fillId="2" borderId="15" xfId="0" applyNumberFormat="1" applyFont="1" applyFill="1" applyBorder="1" applyAlignment="1">
      <alignment horizontal="center"/>
    </xf>
    <xf numFmtId="44" fontId="4" fillId="4" borderId="1" xfId="0" applyNumberFormat="1" applyFont="1" applyFill="1" applyBorder="1"/>
    <xf numFmtId="7" fontId="4" fillId="4" borderId="1" xfId="0" applyNumberFormat="1" applyFont="1" applyFill="1" applyBorder="1"/>
    <xf numFmtId="0" fontId="2" fillId="16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2" xfId="0" applyBorder="1" applyAlignment="1">
      <alignment horizontal="left"/>
    </xf>
    <xf numFmtId="0" fontId="0" fillId="0" borderId="9" xfId="0" applyBorder="1" applyAlignment="1">
      <alignment horizontal="left"/>
    </xf>
    <xf numFmtId="0" fontId="5" fillId="4" borderId="2" xfId="0" applyFont="1" applyFill="1" applyBorder="1" applyAlignment="1">
      <alignment horizontal="left"/>
    </xf>
    <xf numFmtId="0" fontId="5" fillId="4" borderId="9" xfId="0" applyFont="1" applyFill="1" applyBorder="1" applyAlignment="1">
      <alignment horizontal="left"/>
    </xf>
    <xf numFmtId="0" fontId="2" fillId="16" borderId="3" xfId="0" applyFont="1" applyFill="1" applyBorder="1" applyAlignment="1">
      <alignment horizontal="center" vertical="center"/>
    </xf>
    <xf numFmtId="0" fontId="2" fillId="16" borderId="10" xfId="0" applyFont="1" applyFill="1" applyBorder="1" applyAlignment="1">
      <alignment horizontal="center" vertical="center"/>
    </xf>
    <xf numFmtId="0" fontId="2" fillId="16" borderId="16" xfId="0" applyFont="1" applyFill="1" applyBorder="1" applyAlignment="1">
      <alignment horizontal="center" vertical="center"/>
    </xf>
    <xf numFmtId="0" fontId="2" fillId="16" borderId="12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8" fontId="7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68" fontId="7" fillId="4" borderId="1" xfId="0" applyNumberFormat="1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/>
    </xf>
    <xf numFmtId="0" fontId="9" fillId="6" borderId="1" xfId="3" applyFont="1" applyFill="1" applyBorder="1" applyAlignment="1">
      <alignment horizontal="center"/>
    </xf>
    <xf numFmtId="44" fontId="0" fillId="0" borderId="0" xfId="0" applyNumberFormat="1"/>
    <xf numFmtId="0" fontId="2" fillId="17" borderId="0" xfId="0" applyFont="1" applyFill="1" applyAlignment="1">
      <alignment horizontal="left" vertical="top" wrapText="1"/>
    </xf>
    <xf numFmtId="0" fontId="2" fillId="17" borderId="0" xfId="0" applyFont="1" applyFill="1" applyAlignment="1">
      <alignment horizontal="left" vertical="top"/>
    </xf>
  </cellXfs>
  <cellStyles count="4">
    <cellStyle name="Hipervínculo" xfId="3" builtinId="8"/>
    <cellStyle name="Moneda" xfId="2" builtinId="4"/>
    <cellStyle name="Normal" xfId="0" builtinId="0"/>
    <cellStyle name="Porcentaje" xfId="1" builtinId="5"/>
  </cellStyles>
  <dxfs count="2">
    <dxf>
      <font>
        <color rgb="FF00B050"/>
      </font>
      <fill>
        <patternFill>
          <bgColor theme="0" tint="-0.24994659260841701"/>
        </patternFill>
      </fill>
    </dxf>
    <dxf>
      <font>
        <color rgb="FFFF0000"/>
      </font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9771</xdr:colOff>
      <xdr:row>1</xdr:row>
      <xdr:rowOff>0</xdr:rowOff>
    </xdr:from>
    <xdr:to>
      <xdr:col>13</xdr:col>
      <xdr:colOff>6596</xdr:colOff>
      <xdr:row>11</xdr:row>
      <xdr:rowOff>160058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A8526F9-4E04-094B-A27C-D2101E53D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81386" y="205154"/>
          <a:ext cx="2921000" cy="2214771"/>
        </a:xfrm>
        <a:prstGeom prst="rect">
          <a:avLst/>
        </a:prstGeom>
      </xdr:spPr>
    </xdr:pic>
    <xdr:clientData/>
  </xdr:twoCellAnchor>
  <xdr:twoCellAnchor editAs="oneCell">
    <xdr:from>
      <xdr:col>11</xdr:col>
      <xdr:colOff>194172</xdr:colOff>
      <xdr:row>24</xdr:row>
      <xdr:rowOff>115454</xdr:rowOff>
    </xdr:from>
    <xdr:to>
      <xdr:col>12</xdr:col>
      <xdr:colOff>818677</xdr:colOff>
      <xdr:row>31</xdr:row>
      <xdr:rowOff>65046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4C5993-9048-174B-91F6-FEB483521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371197" y="4586694"/>
          <a:ext cx="2125415" cy="13423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jfpartners.net/" TargetMode="External"/><Relationship Id="rId2" Type="http://schemas.openxmlformats.org/officeDocument/2006/relationships/hyperlink" Target="https://finviz.com/" TargetMode="External"/><Relationship Id="rId1" Type="http://schemas.openxmlformats.org/officeDocument/2006/relationships/hyperlink" Target="https://ycharts.com/indicators/10_year_treasury_rate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inviz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AB53C-3BCD-424C-B978-78A2581E70B9}">
  <dimension ref="A1:L16"/>
  <sheetViews>
    <sheetView workbookViewId="0">
      <selection activeCell="E26" sqref="E26"/>
    </sheetView>
  </sheetViews>
  <sheetFormatPr baseColWidth="10" defaultRowHeight="15.5"/>
  <sheetData>
    <row r="1" spans="1:12">
      <c r="A1" s="149" t="s">
        <v>86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</row>
    <row r="2" spans="1:12">
      <c r="A2" s="150"/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</row>
    <row r="3" spans="1:12">
      <c r="A3" s="150"/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</row>
    <row r="4" spans="1:12">
      <c r="A4" s="150"/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</row>
    <row r="5" spans="1:12">
      <c r="A5" s="150"/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</row>
    <row r="6" spans="1:12">
      <c r="A6" s="150"/>
      <c r="B6" s="150"/>
      <c r="C6" s="150"/>
      <c r="D6" s="150"/>
      <c r="E6" s="150"/>
      <c r="F6" s="150"/>
      <c r="G6" s="150"/>
      <c r="H6" s="150"/>
      <c r="I6" s="150"/>
      <c r="J6" s="150"/>
      <c r="K6" s="150"/>
      <c r="L6" s="150"/>
    </row>
    <row r="7" spans="1:12">
      <c r="A7" s="150"/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</row>
    <row r="8" spans="1:12">
      <c r="A8" s="150"/>
      <c r="B8" s="150"/>
      <c r="C8" s="150"/>
      <c r="D8" s="150"/>
      <c r="E8" s="150"/>
      <c r="F8" s="150"/>
      <c r="G8" s="150"/>
      <c r="H8" s="150"/>
      <c r="I8" s="150"/>
      <c r="J8" s="150"/>
      <c r="K8" s="150"/>
      <c r="L8" s="150"/>
    </row>
    <row r="9" spans="1:12">
      <c r="A9" s="150"/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</row>
    <row r="10" spans="1:12">
      <c r="A10" s="150"/>
      <c r="B10" s="150"/>
      <c r="C10" s="150"/>
      <c r="D10" s="150"/>
      <c r="E10" s="150"/>
      <c r="F10" s="150"/>
      <c r="G10" s="150"/>
      <c r="H10" s="150"/>
      <c r="I10" s="150"/>
      <c r="J10" s="150"/>
      <c r="K10" s="150"/>
      <c r="L10" s="150"/>
    </row>
    <row r="11" spans="1:12">
      <c r="A11" s="150"/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50"/>
    </row>
    <row r="12" spans="1:12">
      <c r="A12" s="150"/>
      <c r="B12" s="150"/>
      <c r="C12" s="150"/>
      <c r="D12" s="150"/>
      <c r="E12" s="150"/>
      <c r="F12" s="150"/>
      <c r="G12" s="150"/>
      <c r="H12" s="150"/>
      <c r="I12" s="150"/>
      <c r="J12" s="150"/>
      <c r="K12" s="150"/>
      <c r="L12" s="150"/>
    </row>
    <row r="13" spans="1:12">
      <c r="A13" s="150"/>
      <c r="B13" s="150"/>
      <c r="C13" s="150"/>
      <c r="D13" s="150"/>
      <c r="E13" s="150"/>
      <c r="F13" s="150"/>
      <c r="G13" s="150"/>
      <c r="H13" s="150"/>
      <c r="I13" s="150"/>
      <c r="J13" s="150"/>
      <c r="K13" s="150"/>
      <c r="L13" s="150"/>
    </row>
    <row r="14" spans="1:12">
      <c r="A14" s="150"/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</row>
    <row r="15" spans="1:12">
      <c r="A15" s="150"/>
      <c r="B15" s="150"/>
      <c r="C15" s="150"/>
      <c r="D15" s="150"/>
      <c r="E15" s="150"/>
      <c r="F15" s="150"/>
      <c r="G15" s="150"/>
      <c r="H15" s="150"/>
      <c r="I15" s="150"/>
      <c r="J15" s="150"/>
      <c r="K15" s="150"/>
      <c r="L15" s="150"/>
    </row>
    <row r="16" spans="1:12">
      <c r="A16" s="150"/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</row>
  </sheetData>
  <mergeCells count="1">
    <mergeCell ref="A1:L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3CCEB-0A57-6444-8658-649A211C10F5}">
  <dimension ref="B2:M79"/>
  <sheetViews>
    <sheetView topLeftCell="A39" zoomScale="85" zoomScaleNormal="85" workbookViewId="0">
      <selection activeCell="D23" sqref="D23"/>
    </sheetView>
  </sheetViews>
  <sheetFormatPr baseColWidth="10" defaultRowHeight="15.5"/>
  <cols>
    <col min="2" max="2" width="25.5" bestFit="1" customWidth="1"/>
    <col min="3" max="3" width="19.5" bestFit="1" customWidth="1"/>
    <col min="4" max="4" width="16.6640625" bestFit="1" customWidth="1"/>
    <col min="5" max="5" width="18.5" bestFit="1" customWidth="1"/>
    <col min="6" max="6" width="18.4140625" customWidth="1"/>
    <col min="7" max="7" width="19.83203125" customWidth="1"/>
    <col min="8" max="8" width="16.83203125" customWidth="1"/>
    <col min="9" max="9" width="16.6640625" bestFit="1" customWidth="1"/>
    <col min="10" max="10" width="19.6640625" customWidth="1"/>
    <col min="11" max="11" width="19.5" bestFit="1" customWidth="1"/>
    <col min="12" max="12" width="19.6640625" customWidth="1"/>
    <col min="13" max="13" width="18.6640625" bestFit="1" customWidth="1"/>
  </cols>
  <sheetData>
    <row r="2" spans="2:13">
      <c r="B2" s="53" t="s">
        <v>45</v>
      </c>
      <c r="D2" s="146" t="s">
        <v>46</v>
      </c>
      <c r="E2" s="146"/>
      <c r="F2" s="146"/>
      <c r="H2" s="147" t="s">
        <v>48</v>
      </c>
      <c r="I2" s="147"/>
    </row>
    <row r="4" spans="2:13">
      <c r="G4" s="122" t="s">
        <v>1</v>
      </c>
      <c r="H4" s="123"/>
      <c r="I4" s="123"/>
      <c r="J4" s="123"/>
    </row>
    <row r="5" spans="2:13">
      <c r="C5" s="5">
        <v>2017</v>
      </c>
      <c r="D5" s="5">
        <v>2018</v>
      </c>
      <c r="E5" s="5">
        <v>2019</v>
      </c>
      <c r="F5" s="5">
        <v>2020</v>
      </c>
      <c r="G5" s="16">
        <v>2021</v>
      </c>
      <c r="H5" s="16">
        <v>2022</v>
      </c>
      <c r="I5" s="16">
        <v>2023</v>
      </c>
      <c r="J5" s="5">
        <v>2024</v>
      </c>
    </row>
    <row r="6" spans="2:13">
      <c r="B6" s="5" t="s">
        <v>49</v>
      </c>
      <c r="C6" s="60">
        <v>229234000</v>
      </c>
      <c r="D6" s="61">
        <v>265595000</v>
      </c>
      <c r="E6" s="61">
        <v>260174000</v>
      </c>
      <c r="F6" s="61">
        <v>274515000</v>
      </c>
      <c r="G6" s="61">
        <v>333550000</v>
      </c>
      <c r="H6" s="61">
        <v>348390000</v>
      </c>
      <c r="I6" s="25">
        <f>H6+(I7*H6)</f>
        <v>379945263.01970851</v>
      </c>
      <c r="J6" s="26">
        <f>I6+(J7*I6)</f>
        <v>414358629.38406813</v>
      </c>
    </row>
    <row r="7" spans="2:13">
      <c r="B7" s="5" t="s">
        <v>0</v>
      </c>
      <c r="C7" s="20"/>
      <c r="D7" s="21">
        <f>(D6/C6)-1</f>
        <v>0.15861957650261305</v>
      </c>
      <c r="E7" s="21">
        <f>(E6/D6)-1</f>
        <v>-2.04107758052674E-2</v>
      </c>
      <c r="F7" s="22">
        <f>(F6/E6)-1</f>
        <v>5.5120803769784787E-2</v>
      </c>
      <c r="G7" s="22">
        <f>(G6/F6)-1</f>
        <v>0.2150520008014134</v>
      </c>
      <c r="H7" s="22">
        <f>(H6/G6)-1</f>
        <v>4.4491080797481652E-2</v>
      </c>
      <c r="I7" s="23">
        <f>AVERAGE(D7:H7)</f>
        <v>9.0574537213205103E-2</v>
      </c>
      <c r="J7" s="24">
        <f>AVERAGE(D7:I7)</f>
        <v>9.0574537213205089E-2</v>
      </c>
    </row>
    <row r="8" spans="2:13">
      <c r="B8" s="5" t="s">
        <v>50</v>
      </c>
      <c r="C8" s="3">
        <v>48351000</v>
      </c>
      <c r="D8" s="3">
        <v>59531000</v>
      </c>
      <c r="E8" s="3">
        <v>55256000</v>
      </c>
      <c r="F8" s="3">
        <v>57411000</v>
      </c>
      <c r="G8" s="27">
        <f>G6*G9</f>
        <v>71428338.847813919</v>
      </c>
      <c r="H8" s="56">
        <f>H6*H9</f>
        <v>74606262.842721894</v>
      </c>
      <c r="I8" s="27">
        <f>I6*I9</f>
        <v>81363690.572908178</v>
      </c>
      <c r="J8" s="28">
        <f>J6*J9</f>
        <v>88733169.192507759</v>
      </c>
    </row>
    <row r="9" spans="2:13">
      <c r="B9" s="5" t="s">
        <v>2</v>
      </c>
      <c r="C9" s="33">
        <f>C8/C6</f>
        <v>0.21092420845075338</v>
      </c>
      <c r="D9" s="33">
        <f>D8/D6</f>
        <v>0.22414202074587247</v>
      </c>
      <c r="E9" s="33">
        <f>E8/E6</f>
        <v>0.21238094505984456</v>
      </c>
      <c r="F9" s="33">
        <f>F8/F6</f>
        <v>0.20913611278072236</v>
      </c>
      <c r="G9" s="29">
        <f>AVERAGE(C9:F9)</f>
        <v>0.21414582175929819</v>
      </c>
      <c r="H9" s="29">
        <f>G9</f>
        <v>0.21414582175929819</v>
      </c>
      <c r="I9" s="29">
        <f>H9</f>
        <v>0.21414582175929819</v>
      </c>
      <c r="J9" s="30">
        <f>I9</f>
        <v>0.21414582175929819</v>
      </c>
    </row>
    <row r="10" spans="2:13">
      <c r="B10" s="58" t="s">
        <v>3</v>
      </c>
      <c r="C10" s="62">
        <v>50803000</v>
      </c>
      <c r="D10" s="62">
        <v>64121000</v>
      </c>
      <c r="E10" s="62">
        <v>58896000</v>
      </c>
      <c r="F10" s="62">
        <v>73365000</v>
      </c>
      <c r="G10" s="62">
        <f>G8*G11</f>
        <v>79849407.494735658</v>
      </c>
      <c r="H10" s="62">
        <f>H8*H11</f>
        <v>83401993.935214967</v>
      </c>
      <c r="I10" s="62">
        <f>I8*I11</f>
        <v>90956090.938555613</v>
      </c>
      <c r="J10" s="63">
        <f>J8*J11</f>
        <v>99194396.782037497</v>
      </c>
    </row>
    <row r="11" spans="2:13">
      <c r="B11" s="5" t="s">
        <v>4</v>
      </c>
      <c r="C11" s="34">
        <f>C10/C8</f>
        <v>1.0507124981903166</v>
      </c>
      <c r="D11" s="34">
        <f>D10/D8</f>
        <v>1.0771026859955317</v>
      </c>
      <c r="E11" s="34">
        <f>E10/E8</f>
        <v>1.0658751990734039</v>
      </c>
      <c r="F11" s="34">
        <f>F10/F8</f>
        <v>1.2778909964989287</v>
      </c>
      <c r="G11" s="31">
        <f>AVERAGE(C11:F11)</f>
        <v>1.1178953449395452</v>
      </c>
      <c r="H11" s="31">
        <f>G11</f>
        <v>1.1178953449395452</v>
      </c>
      <c r="I11" s="31">
        <f t="shared" ref="I11:J11" si="0">H11</f>
        <v>1.1178953449395452</v>
      </c>
      <c r="J11" s="32">
        <f t="shared" si="0"/>
        <v>1.1178953449395452</v>
      </c>
    </row>
    <row r="14" spans="2:13">
      <c r="L14" s="122" t="s">
        <v>39</v>
      </c>
      <c r="M14" s="123"/>
    </row>
    <row r="15" spans="2:13">
      <c r="E15" s="122" t="s">
        <v>38</v>
      </c>
      <c r="F15" s="122"/>
      <c r="H15" s="122" t="s">
        <v>37</v>
      </c>
      <c r="I15" s="122"/>
      <c r="L15" s="5" t="s">
        <v>35</v>
      </c>
      <c r="M15" s="14">
        <v>131.24</v>
      </c>
    </row>
    <row r="16" spans="2:13">
      <c r="E16" s="54" t="s">
        <v>26</v>
      </c>
      <c r="F16" s="7">
        <v>1.6899999999999998E-2</v>
      </c>
      <c r="G16" s="11"/>
      <c r="H16" s="5" t="s">
        <v>30</v>
      </c>
      <c r="I16" s="13">
        <v>0.05</v>
      </c>
      <c r="L16" s="5" t="s">
        <v>10</v>
      </c>
      <c r="M16" s="15">
        <v>17352119</v>
      </c>
    </row>
    <row r="17" spans="2:13">
      <c r="E17" s="54" t="s">
        <v>27</v>
      </c>
      <c r="F17" s="5">
        <v>1.21</v>
      </c>
      <c r="H17" s="5" t="s">
        <v>29</v>
      </c>
      <c r="I17" s="13">
        <v>0.15</v>
      </c>
      <c r="L17" s="35" t="s">
        <v>31</v>
      </c>
      <c r="M17" s="55">
        <f>M16*M15</f>
        <v>2277292097.5599999</v>
      </c>
    </row>
    <row r="18" spans="2:13" ht="18.5">
      <c r="B18" s="38" t="s">
        <v>18</v>
      </c>
      <c r="C18" s="64">
        <f>(F19*M19)+(I18*M20)</f>
        <v>9.3509690062192466E-2</v>
      </c>
      <c r="E18" s="5" t="s">
        <v>34</v>
      </c>
      <c r="F18" s="7">
        <v>8.5000000000000006E-2</v>
      </c>
      <c r="H18" s="38" t="s">
        <v>28</v>
      </c>
      <c r="I18" s="39">
        <f>I16*(1-I17)</f>
        <v>4.2500000000000003E-2</v>
      </c>
      <c r="L18" s="5" t="s">
        <v>36</v>
      </c>
      <c r="M18" s="15">
        <v>258549000</v>
      </c>
    </row>
    <row r="19" spans="2:13" ht="18.5">
      <c r="B19" s="40" t="s">
        <v>19</v>
      </c>
      <c r="C19" s="41">
        <f>4%</f>
        <v>0.04</v>
      </c>
      <c r="E19" s="38" t="s">
        <v>25</v>
      </c>
      <c r="F19" s="39">
        <f>F16+F17*(F18-F16)</f>
        <v>9.9301E-2</v>
      </c>
      <c r="H19" s="12"/>
      <c r="L19" s="35" t="s">
        <v>32</v>
      </c>
      <c r="M19" s="36">
        <f>M17/(M18+M17)</f>
        <v>0.89804211302956749</v>
      </c>
    </row>
    <row r="20" spans="2:13">
      <c r="L20" s="35" t="s">
        <v>33</v>
      </c>
      <c r="M20" s="37">
        <f>1-M19</f>
        <v>0.10195788697043251</v>
      </c>
    </row>
    <row r="21" spans="2:13">
      <c r="M21" s="57"/>
    </row>
    <row r="22" spans="2:13">
      <c r="M22" s="57"/>
    </row>
    <row r="23" spans="2:13">
      <c r="H23" s="1"/>
    </row>
    <row r="24" spans="2:13">
      <c r="G24" s="1"/>
      <c r="H24" s="1"/>
      <c r="I24" s="1"/>
      <c r="J24" s="1"/>
    </row>
    <row r="25" spans="2:13">
      <c r="B25" s="136" t="s">
        <v>20</v>
      </c>
      <c r="C25" s="137"/>
    </row>
    <row r="26" spans="2:13">
      <c r="B26" s="137"/>
      <c r="C26" s="137"/>
      <c r="G26" s="122" t="s">
        <v>1</v>
      </c>
      <c r="H26" s="123"/>
      <c r="I26" s="123"/>
      <c r="J26" s="123"/>
    </row>
    <row r="27" spans="2:13">
      <c r="B27" s="8" t="s">
        <v>16</v>
      </c>
      <c r="C27" s="16">
        <v>2017</v>
      </c>
      <c r="D27" s="5">
        <v>2018</v>
      </c>
      <c r="E27" s="5">
        <v>2019</v>
      </c>
      <c r="F27" s="5">
        <v>2020</v>
      </c>
      <c r="G27" s="17" t="s">
        <v>12</v>
      </c>
      <c r="H27" s="17" t="s">
        <v>13</v>
      </c>
      <c r="I27" s="17" t="s">
        <v>14</v>
      </c>
      <c r="J27" s="17" t="s">
        <v>15</v>
      </c>
      <c r="K27" s="18" t="s">
        <v>5</v>
      </c>
    </row>
    <row r="28" spans="2:13">
      <c r="B28" s="5" t="s">
        <v>3</v>
      </c>
      <c r="C28" s="65">
        <f t="shared" ref="C28:J28" si="1">C10</f>
        <v>50803000</v>
      </c>
      <c r="D28" s="65">
        <f t="shared" si="1"/>
        <v>64121000</v>
      </c>
      <c r="E28" s="65">
        <f t="shared" si="1"/>
        <v>58896000</v>
      </c>
      <c r="F28" s="65">
        <f t="shared" si="1"/>
        <v>73365000</v>
      </c>
      <c r="G28" s="65">
        <f t="shared" si="1"/>
        <v>79849407.494735658</v>
      </c>
      <c r="H28" s="65">
        <f t="shared" si="1"/>
        <v>83401993.935214967</v>
      </c>
      <c r="I28" s="65">
        <f t="shared" si="1"/>
        <v>90956090.938555613</v>
      </c>
      <c r="J28" s="65">
        <f t="shared" si="1"/>
        <v>99194396.782037497</v>
      </c>
      <c r="K28" s="66">
        <f>(J28*(1+C32))/(C31-C32)</f>
        <v>4430263280.6136703</v>
      </c>
    </row>
    <row r="29" spans="2:13">
      <c r="B29" s="5" t="s">
        <v>6</v>
      </c>
      <c r="C29" s="35"/>
      <c r="D29" s="35"/>
      <c r="E29" s="35"/>
      <c r="F29" s="35"/>
      <c r="G29" s="43">
        <f>(1+ C$31)^1</f>
        <v>1.0735096900621925</v>
      </c>
      <c r="H29" s="43">
        <f>(1+C31)^2</f>
        <v>1.1524230546574248</v>
      </c>
      <c r="I29" s="43">
        <f>(1+C31)^3</f>
        <v>1.2371373162258172</v>
      </c>
      <c r="J29" s="43">
        <f>(1+C31)^4</f>
        <v>1.3280788969059498</v>
      </c>
      <c r="K29" s="43">
        <f>J29</f>
        <v>1.3280788969059498</v>
      </c>
    </row>
    <row r="30" spans="2:13">
      <c r="B30" s="5" t="s">
        <v>7</v>
      </c>
      <c r="C30" s="35"/>
      <c r="D30" s="35"/>
      <c r="E30" s="35"/>
      <c r="F30" s="35"/>
      <c r="G30" s="44">
        <f>G28/G29</f>
        <v>74381636.452773586</v>
      </c>
      <c r="H30" s="44">
        <f>H28/H29</f>
        <v>72370987.024385303</v>
      </c>
      <c r="I30" s="44">
        <f>I28/I29</f>
        <v>73521418.961024374</v>
      </c>
      <c r="J30" s="44">
        <f>J28/J29</f>
        <v>74690138.525002196</v>
      </c>
      <c r="K30" s="45">
        <f>K28/K29</f>
        <v>3335843443.4391942</v>
      </c>
    </row>
    <row r="31" spans="2:13">
      <c r="B31" s="5" t="s">
        <v>11</v>
      </c>
      <c r="C31" s="67">
        <f>C18-2%</f>
        <v>7.3509690062192462E-2</v>
      </c>
      <c r="D31" s="1"/>
      <c r="E31" s="1"/>
      <c r="F31" s="1"/>
      <c r="G31" s="1"/>
      <c r="H31" s="1"/>
      <c r="I31" s="1"/>
      <c r="J31" s="1"/>
      <c r="K31" s="1"/>
    </row>
    <row r="32" spans="2:13">
      <c r="B32" s="5" t="s">
        <v>8</v>
      </c>
      <c r="C32" s="47">
        <f>C19+1%</f>
        <v>0.05</v>
      </c>
      <c r="D32" s="1"/>
      <c r="E32" s="1"/>
      <c r="F32" s="1"/>
      <c r="G32" s="1"/>
      <c r="H32" s="1"/>
      <c r="I32" s="1"/>
      <c r="J32" s="1"/>
      <c r="K32" s="1"/>
    </row>
    <row r="33" spans="2:11">
      <c r="B33" s="5" t="s">
        <v>9</v>
      </c>
      <c r="C33" s="45">
        <f>SUM(G30:K30)</f>
        <v>3630807624.4023795</v>
      </c>
    </row>
    <row r="34" spans="2:11">
      <c r="B34" s="19" t="s">
        <v>10</v>
      </c>
      <c r="C34" s="48">
        <f>M16</f>
        <v>17352119</v>
      </c>
    </row>
    <row r="35" spans="2:11" ht="21">
      <c r="B35" s="10" t="s">
        <v>23</v>
      </c>
      <c r="C35" s="9">
        <f>C33/C34</f>
        <v>209.24289560268573</v>
      </c>
    </row>
    <row r="36" spans="2:11">
      <c r="E36" s="4"/>
    </row>
    <row r="39" spans="2:11">
      <c r="B39" s="138" t="s">
        <v>21</v>
      </c>
      <c r="C39" s="139"/>
    </row>
    <row r="40" spans="2:11">
      <c r="B40" s="139"/>
      <c r="C40" s="139"/>
      <c r="G40" s="122" t="s">
        <v>1</v>
      </c>
      <c r="H40" s="123"/>
      <c r="I40" s="123"/>
      <c r="J40" s="123"/>
    </row>
    <row r="41" spans="2:11">
      <c r="B41" s="2" t="s">
        <v>17</v>
      </c>
      <c r="C41" s="5">
        <v>2017</v>
      </c>
      <c r="D41" s="5">
        <v>2018</v>
      </c>
      <c r="E41" s="5">
        <v>2019</v>
      </c>
      <c r="F41" s="5">
        <v>2020</v>
      </c>
      <c r="G41" s="17" t="s">
        <v>12</v>
      </c>
      <c r="H41" s="17" t="s">
        <v>13</v>
      </c>
      <c r="I41" s="17" t="s">
        <v>14</v>
      </c>
      <c r="J41" s="17" t="s">
        <v>15</v>
      </c>
      <c r="K41" s="18" t="s">
        <v>5</v>
      </c>
    </row>
    <row r="42" spans="2:11">
      <c r="B42" s="5" t="s">
        <v>3</v>
      </c>
      <c r="C42" s="65">
        <f>C10</f>
        <v>50803000</v>
      </c>
      <c r="D42" s="65">
        <f>D10</f>
        <v>64121000</v>
      </c>
      <c r="E42" s="65">
        <f t="shared" ref="E42:H42" si="2">E10</f>
        <v>58896000</v>
      </c>
      <c r="F42" s="65">
        <f t="shared" si="2"/>
        <v>73365000</v>
      </c>
      <c r="G42" s="65">
        <f>G10</f>
        <v>79849407.494735658</v>
      </c>
      <c r="H42" s="65">
        <f t="shared" si="2"/>
        <v>83401993.935214967</v>
      </c>
      <c r="I42" s="65">
        <f>I10</f>
        <v>90956090.938555613</v>
      </c>
      <c r="J42" s="65">
        <f>J10</f>
        <v>99194396.782037497</v>
      </c>
      <c r="K42" s="42">
        <f>(J42*(1+C46))/(C45-C46)</f>
        <v>1608734487.3742487</v>
      </c>
    </row>
    <row r="43" spans="2:11">
      <c r="B43" s="5" t="s">
        <v>6</v>
      </c>
      <c r="C43" s="35"/>
      <c r="D43" s="35"/>
      <c r="E43" s="35"/>
      <c r="F43" s="35"/>
      <c r="G43" s="43">
        <f>(1+C$45)^1</f>
        <v>1.0935096900621926</v>
      </c>
      <c r="H43" s="43">
        <f>(1+C$45)^2</f>
        <v>1.1957634422599124</v>
      </c>
      <c r="I43" s="43">
        <f>(1+C$45)^3</f>
        <v>1.3075789111333374</v>
      </c>
      <c r="J43" s="43">
        <f>(1+C$45)^4</f>
        <v>1.4298502098452748</v>
      </c>
      <c r="K43" s="43">
        <f>J43</f>
        <v>1.4298502098452748</v>
      </c>
    </row>
    <row r="44" spans="2:11">
      <c r="B44" s="5" t="s">
        <v>7</v>
      </c>
      <c r="C44" s="35"/>
      <c r="D44" s="35"/>
      <c r="E44" s="35"/>
      <c r="F44" s="35"/>
      <c r="G44" s="44">
        <f>G42/G43</f>
        <v>73021216.199917063</v>
      </c>
      <c r="H44" s="44">
        <f>H42/H43</f>
        <v>69747904.131933331</v>
      </c>
      <c r="I44" s="44">
        <f>I42/I43</f>
        <v>69560689.732843652</v>
      </c>
      <c r="J44" s="44">
        <f>J42/J43</f>
        <v>69373977.846792355</v>
      </c>
      <c r="K44" s="44">
        <f>K42/K43</f>
        <v>1125107005.1235166</v>
      </c>
    </row>
    <row r="45" spans="2:11">
      <c r="B45" s="5" t="s">
        <v>11</v>
      </c>
      <c r="C45" s="46">
        <f>C18</f>
        <v>9.3509690062192466E-2</v>
      </c>
      <c r="D45" s="1"/>
      <c r="E45" s="1"/>
      <c r="F45" s="1"/>
      <c r="G45" s="1"/>
      <c r="H45" s="1"/>
      <c r="I45" s="1"/>
      <c r="J45" s="1"/>
      <c r="K45" s="1"/>
    </row>
    <row r="46" spans="2:11">
      <c r="B46" s="5" t="s">
        <v>8</v>
      </c>
      <c r="C46" s="47">
        <v>0.03</v>
      </c>
      <c r="D46" s="1"/>
      <c r="E46" s="1"/>
      <c r="F46" s="1"/>
      <c r="G46" s="1"/>
      <c r="H46" s="1"/>
      <c r="I46" s="1"/>
      <c r="J46" s="1"/>
      <c r="K46" s="1"/>
    </row>
    <row r="47" spans="2:11">
      <c r="B47" s="5" t="s">
        <v>9</v>
      </c>
      <c r="C47" s="45">
        <f>SUM(G44:K44)</f>
        <v>1406810793.0350029</v>
      </c>
    </row>
    <row r="48" spans="2:11">
      <c r="B48" s="19" t="s">
        <v>10</v>
      </c>
      <c r="C48" s="48">
        <f>M16</f>
        <v>17352119</v>
      </c>
    </row>
    <row r="49" spans="2:11" ht="21">
      <c r="B49" s="10" t="s">
        <v>24</v>
      </c>
      <c r="C49" s="9">
        <f>C47/C48</f>
        <v>81.074293752538409</v>
      </c>
    </row>
    <row r="53" spans="2:11">
      <c r="B53" s="140" t="s">
        <v>22</v>
      </c>
      <c r="C53" s="141"/>
    </row>
    <row r="54" spans="2:11">
      <c r="B54" s="141"/>
      <c r="C54" s="141"/>
      <c r="G54" s="122" t="s">
        <v>1</v>
      </c>
      <c r="H54" s="123"/>
      <c r="I54" s="123"/>
      <c r="J54" s="123"/>
    </row>
    <row r="55" spans="2:11">
      <c r="B55" s="2" t="s">
        <v>17</v>
      </c>
      <c r="C55" s="5">
        <v>2017</v>
      </c>
      <c r="D55" s="5">
        <v>2018</v>
      </c>
      <c r="E55" s="5">
        <v>2019</v>
      </c>
      <c r="F55" s="5">
        <v>2020</v>
      </c>
      <c r="G55" s="17" t="s">
        <v>12</v>
      </c>
      <c r="H55" s="17" t="s">
        <v>13</v>
      </c>
      <c r="I55" s="17" t="s">
        <v>14</v>
      </c>
      <c r="J55" s="17" t="s">
        <v>15</v>
      </c>
      <c r="K55" s="18" t="s">
        <v>5</v>
      </c>
    </row>
    <row r="56" spans="2:11">
      <c r="B56" s="5" t="s">
        <v>3</v>
      </c>
      <c r="C56" s="65">
        <f>C10</f>
        <v>50803000</v>
      </c>
      <c r="D56" s="65">
        <f t="shared" ref="D56:I56" si="3">D10</f>
        <v>64121000</v>
      </c>
      <c r="E56" s="65">
        <f t="shared" si="3"/>
        <v>58896000</v>
      </c>
      <c r="F56" s="65">
        <f t="shared" si="3"/>
        <v>73365000</v>
      </c>
      <c r="G56" s="65">
        <f>G10</f>
        <v>79849407.494735658</v>
      </c>
      <c r="H56" s="65">
        <f t="shared" si="3"/>
        <v>83401993.935214967</v>
      </c>
      <c r="I56" s="65">
        <f t="shared" si="3"/>
        <v>90956090.938555613</v>
      </c>
      <c r="J56" s="65">
        <f>J10</f>
        <v>99194396.782037497</v>
      </c>
      <c r="K56" s="42">
        <f>(J56*(1+C60))/(C59-C60)</f>
        <v>1092616483.0355668</v>
      </c>
    </row>
    <row r="57" spans="2:11">
      <c r="B57" s="5" t="s">
        <v>6</v>
      </c>
      <c r="C57" s="35"/>
      <c r="D57" s="35"/>
      <c r="E57" s="35"/>
      <c r="F57" s="35"/>
      <c r="G57" s="43">
        <f>(1+C$45)^1</f>
        <v>1.0935096900621926</v>
      </c>
      <c r="H57" s="43">
        <f>(1+C$45)^2</f>
        <v>1.1957634422599124</v>
      </c>
      <c r="I57" s="43">
        <f>(1+C$45)^3</f>
        <v>1.3075789111333374</v>
      </c>
      <c r="J57" s="43">
        <f>(1+C$45)^4</f>
        <v>1.4298502098452748</v>
      </c>
      <c r="K57" s="43">
        <f>J57</f>
        <v>1.4298502098452748</v>
      </c>
    </row>
    <row r="58" spans="2:11">
      <c r="B58" s="5" t="s">
        <v>7</v>
      </c>
      <c r="C58" s="35"/>
      <c r="D58" s="35"/>
      <c r="E58" s="35"/>
      <c r="F58" s="35"/>
      <c r="G58" s="44">
        <f>G56/G57</f>
        <v>73021216.199917063</v>
      </c>
      <c r="H58" s="44">
        <f>H56/H57</f>
        <v>69747904.131933331</v>
      </c>
      <c r="I58" s="44">
        <f>I56/I57</f>
        <v>69560689.732843652</v>
      </c>
      <c r="J58" s="44">
        <f>J56/J57</f>
        <v>69373977.846792355</v>
      </c>
      <c r="K58" s="44">
        <f>K56/K57</f>
        <v>764147513.8530767</v>
      </c>
    </row>
    <row r="59" spans="2:11">
      <c r="B59" s="5" t="s">
        <v>11</v>
      </c>
      <c r="C59" s="59">
        <f>C18+3%</f>
        <v>0.12350969006219246</v>
      </c>
      <c r="D59" s="1"/>
      <c r="E59" s="1"/>
      <c r="F59" s="1"/>
      <c r="G59" s="1"/>
      <c r="H59" s="1"/>
      <c r="I59" s="1"/>
      <c r="J59" s="1"/>
      <c r="K59" s="1"/>
    </row>
    <row r="60" spans="2:11">
      <c r="B60" s="5" t="s">
        <v>8</v>
      </c>
      <c r="C60" s="47">
        <f>C19-1%</f>
        <v>0.03</v>
      </c>
      <c r="D60" s="1"/>
      <c r="E60" s="1"/>
      <c r="F60" s="1"/>
      <c r="G60" s="1"/>
      <c r="H60" s="1"/>
      <c r="I60" s="1"/>
      <c r="J60" s="1"/>
      <c r="K60" s="1"/>
    </row>
    <row r="61" spans="2:11">
      <c r="B61" s="5" t="s">
        <v>9</v>
      </c>
      <c r="C61" s="45">
        <f>SUM(G58:K58)</f>
        <v>1045851301.7645631</v>
      </c>
    </row>
    <row r="62" spans="2:11">
      <c r="B62" s="19" t="s">
        <v>10</v>
      </c>
      <c r="C62" s="48">
        <f>M16</f>
        <v>17352119</v>
      </c>
    </row>
    <row r="63" spans="2:11" ht="21">
      <c r="B63" s="10" t="s">
        <v>24</v>
      </c>
      <c r="C63" s="9">
        <f>C61/C62</f>
        <v>60.272252729742291</v>
      </c>
    </row>
    <row r="66" spans="2:7">
      <c r="B66" s="2" t="s">
        <v>18</v>
      </c>
      <c r="C66" s="2" t="s">
        <v>43</v>
      </c>
      <c r="D66" s="2" t="s">
        <v>18</v>
      </c>
      <c r="E66" s="2" t="s">
        <v>43</v>
      </c>
      <c r="F66" s="2" t="s">
        <v>18</v>
      </c>
      <c r="G66" s="2" t="s">
        <v>43</v>
      </c>
    </row>
    <row r="67" spans="2:7">
      <c r="B67" s="49">
        <f>C31</f>
        <v>7.3509690062192462E-2</v>
      </c>
      <c r="C67" s="50">
        <f>C32</f>
        <v>0.05</v>
      </c>
      <c r="D67" s="49">
        <f>C45</f>
        <v>9.3509690062192466E-2</v>
      </c>
      <c r="E67" s="50">
        <f>C46</f>
        <v>0.03</v>
      </c>
      <c r="F67" s="49">
        <f>C59</f>
        <v>0.12350969006219246</v>
      </c>
      <c r="G67" s="50">
        <f>C60</f>
        <v>0.03</v>
      </c>
    </row>
    <row r="68" spans="2:7">
      <c r="B68" s="136" t="s">
        <v>20</v>
      </c>
      <c r="C68" s="137"/>
      <c r="D68" s="138" t="s">
        <v>21</v>
      </c>
      <c r="E68" s="139"/>
      <c r="F68" s="140" t="s">
        <v>22</v>
      </c>
      <c r="G68" s="141"/>
    </row>
    <row r="69" spans="2:7">
      <c r="B69" s="137"/>
      <c r="C69" s="137"/>
      <c r="D69" s="139"/>
      <c r="E69" s="139"/>
      <c r="F69" s="141"/>
      <c r="G69" s="141"/>
    </row>
    <row r="70" spans="2:7">
      <c r="B70" s="142">
        <f>C35</f>
        <v>209.24289560268573</v>
      </c>
      <c r="C70" s="143"/>
      <c r="D70" s="144">
        <f>C49</f>
        <v>81.074293752538409</v>
      </c>
      <c r="E70" s="145"/>
      <c r="F70" s="142">
        <f>C63</f>
        <v>60.272252729742291</v>
      </c>
      <c r="G70" s="143"/>
    </row>
    <row r="71" spans="2:7">
      <c r="B71" s="143"/>
      <c r="C71" s="143"/>
      <c r="D71" s="145"/>
      <c r="E71" s="145"/>
      <c r="F71" s="143"/>
      <c r="G71" s="143"/>
    </row>
    <row r="75" spans="2:7">
      <c r="B75" s="134" t="s">
        <v>40</v>
      </c>
      <c r="C75" s="135"/>
    </row>
    <row r="76" spans="2:7">
      <c r="B76" s="135"/>
      <c r="C76" s="135"/>
    </row>
    <row r="77" spans="2:7" ht="22" customHeight="1">
      <c r="B77" s="6" t="s">
        <v>47</v>
      </c>
      <c r="C77" s="51">
        <f>M15</f>
        <v>131.24</v>
      </c>
    </row>
    <row r="78" spans="2:7" ht="22" customHeight="1">
      <c r="B78" s="6" t="s">
        <v>41</v>
      </c>
      <c r="C78" s="51">
        <f>AVERAGE(C63,C49,C35)</f>
        <v>116.86314736165548</v>
      </c>
      <c r="E78" t="s">
        <v>44</v>
      </c>
    </row>
    <row r="79" spans="2:7" ht="24" customHeight="1">
      <c r="B79" s="6" t="s">
        <v>42</v>
      </c>
      <c r="C79" s="52">
        <f>(C78/M15)-1</f>
        <v>-0.10954627124614846</v>
      </c>
    </row>
  </sheetData>
  <mergeCells count="19">
    <mergeCell ref="D2:F2"/>
    <mergeCell ref="H2:I2"/>
    <mergeCell ref="G4:J4"/>
    <mergeCell ref="G26:J26"/>
    <mergeCell ref="G40:J40"/>
    <mergeCell ref="L14:M14"/>
    <mergeCell ref="B75:C76"/>
    <mergeCell ref="B68:C69"/>
    <mergeCell ref="D68:E69"/>
    <mergeCell ref="F68:G69"/>
    <mergeCell ref="B70:C71"/>
    <mergeCell ref="D70:E71"/>
    <mergeCell ref="F70:G71"/>
    <mergeCell ref="B25:C26"/>
    <mergeCell ref="B39:C40"/>
    <mergeCell ref="B53:C54"/>
    <mergeCell ref="G54:J54"/>
    <mergeCell ref="E15:F15"/>
    <mergeCell ref="H15:I15"/>
  </mergeCells>
  <hyperlinks>
    <hyperlink ref="E16" r:id="rId1" xr:uid="{CD451EFD-36C0-FC45-BE8D-F222425D9D31}"/>
    <hyperlink ref="E17" r:id="rId2" xr:uid="{EEEE4229-9043-A145-AB45-34A3999DC927}"/>
    <hyperlink ref="H2:I2" r:id="rId3" display="jfpartners.net" xr:uid="{714F87F4-69E7-CD4D-BAFD-FBDD52BC4FF3}"/>
  </hyperlink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27CB9-F04F-414F-ACEB-DABBF1B1F757}">
  <dimension ref="B1:AA92"/>
  <sheetViews>
    <sheetView tabSelected="1" topLeftCell="A4" workbookViewId="0">
      <selection activeCell="E14" sqref="E14"/>
    </sheetView>
  </sheetViews>
  <sheetFormatPr baseColWidth="10" defaultRowHeight="15.5"/>
  <cols>
    <col min="2" max="2" width="23.9140625" bestFit="1" customWidth="1"/>
    <col min="3" max="3" width="20.33203125" customWidth="1"/>
    <col min="4" max="4" width="17.83203125" customWidth="1"/>
    <col min="5" max="10" width="17.75" bestFit="1" customWidth="1"/>
    <col min="11" max="11" width="18.75" bestFit="1" customWidth="1"/>
    <col min="12" max="12" width="16.75" customWidth="1"/>
    <col min="13" max="13" width="14" style="69" customWidth="1"/>
    <col min="14" max="14" width="17.75" style="69" bestFit="1" customWidth="1"/>
    <col min="15" max="16" width="18.75" style="69" bestFit="1" customWidth="1"/>
    <col min="17" max="17" width="17.75" style="69" bestFit="1" customWidth="1"/>
  </cols>
  <sheetData>
    <row r="1" spans="2:27">
      <c r="B1" s="2" t="s">
        <v>55</v>
      </c>
      <c r="C1" s="2" t="s">
        <v>56</v>
      </c>
      <c r="E1" s="6" t="s">
        <v>79</v>
      </c>
    </row>
    <row r="2" spans="2:27">
      <c r="B2" s="18">
        <v>2026</v>
      </c>
      <c r="C2" s="18">
        <v>4</v>
      </c>
      <c r="E2" s="5" t="s">
        <v>80</v>
      </c>
    </row>
    <row r="4" spans="2:27" ht="15.5" customHeight="1">
      <c r="B4" s="122" t="s">
        <v>39</v>
      </c>
      <c r="C4" s="123"/>
      <c r="E4" s="122" t="s">
        <v>38</v>
      </c>
      <c r="F4" s="122"/>
      <c r="G4" s="122"/>
      <c r="I4" s="122" t="s">
        <v>37</v>
      </c>
      <c r="J4" s="122"/>
      <c r="L4" s="5"/>
      <c r="M4" s="87" t="s">
        <v>60</v>
      </c>
      <c r="N4" s="86">
        <f>B2-C2</f>
        <v>2022</v>
      </c>
      <c r="O4" s="86">
        <f>N4+1</f>
        <v>2023</v>
      </c>
      <c r="P4" s="86">
        <f t="shared" ref="P4:Q4" si="0">O4+1</f>
        <v>2024</v>
      </c>
      <c r="Q4" s="86">
        <f t="shared" si="0"/>
        <v>2025</v>
      </c>
      <c r="T4" s="124" t="s">
        <v>76</v>
      </c>
      <c r="U4" s="124"/>
      <c r="V4" s="124"/>
      <c r="W4" s="124"/>
      <c r="X4" s="124"/>
      <c r="Y4" s="124"/>
      <c r="Z4" s="124"/>
      <c r="AA4" s="124"/>
    </row>
    <row r="5" spans="2:27">
      <c r="B5" s="5" t="s">
        <v>35</v>
      </c>
      <c r="C5" s="70">
        <v>59.92</v>
      </c>
      <c r="E5" s="125" t="s">
        <v>51</v>
      </c>
      <c r="F5" s="126"/>
      <c r="G5" s="7">
        <v>2.9000000000000001E-2</v>
      </c>
      <c r="I5" s="5" t="s">
        <v>30</v>
      </c>
      <c r="J5" s="13">
        <v>3.9800000000000002E-2</v>
      </c>
      <c r="L5" s="5" t="s">
        <v>57</v>
      </c>
      <c r="M5" s="73"/>
      <c r="N5" s="73">
        <v>1239291000</v>
      </c>
      <c r="O5" s="73">
        <v>1036543000</v>
      </c>
      <c r="P5" s="73">
        <v>850874000</v>
      </c>
      <c r="Q5" s="73">
        <v>3358242000</v>
      </c>
      <c r="T5" s="124"/>
      <c r="U5" s="124"/>
      <c r="V5" s="124"/>
      <c r="W5" s="124"/>
      <c r="X5" s="124"/>
      <c r="Y5" s="124"/>
      <c r="Z5" s="124"/>
      <c r="AA5" s="124"/>
    </row>
    <row r="6" spans="2:27">
      <c r="B6" s="5" t="s">
        <v>10</v>
      </c>
      <c r="C6" s="77">
        <v>175017357</v>
      </c>
      <c r="E6" s="125" t="s">
        <v>52</v>
      </c>
      <c r="F6" s="126"/>
      <c r="G6" s="5">
        <v>1</v>
      </c>
      <c r="I6" s="5" t="s">
        <v>29</v>
      </c>
      <c r="J6" s="13">
        <v>0.25</v>
      </c>
      <c r="L6" s="5" t="s">
        <v>58</v>
      </c>
      <c r="M6" s="73"/>
      <c r="N6" s="73">
        <v>33242000</v>
      </c>
      <c r="O6" s="73">
        <v>52402000</v>
      </c>
      <c r="P6" s="73">
        <v>52074000</v>
      </c>
      <c r="Q6" s="73">
        <v>63445000</v>
      </c>
      <c r="T6" s="124"/>
      <c r="U6" s="124"/>
      <c r="V6" s="124"/>
      <c r="W6" s="124"/>
      <c r="X6" s="124"/>
      <c r="Y6" s="124"/>
      <c r="Z6" s="124"/>
      <c r="AA6" s="124"/>
    </row>
    <row r="7" spans="2:27" ht="18.5">
      <c r="B7" s="35" t="s">
        <v>31</v>
      </c>
      <c r="C7" s="72">
        <f>C6*C5</f>
        <v>10487040031.440001</v>
      </c>
      <c r="E7" s="125" t="s">
        <v>53</v>
      </c>
      <c r="F7" s="126"/>
      <c r="G7" s="7">
        <v>9.9000000000000005E-2</v>
      </c>
      <c r="I7" s="38" t="s">
        <v>28</v>
      </c>
      <c r="J7" s="39">
        <f>J5*(1-J6)</f>
        <v>2.9850000000000002E-2</v>
      </c>
      <c r="L7" s="76" t="s">
        <v>59</v>
      </c>
      <c r="M7" s="74">
        <f>AVERAGE(N7:Q7)</f>
        <v>3.936772782303375E-2</v>
      </c>
      <c r="N7" s="75">
        <f>N6/N5</f>
        <v>2.682340144485839E-2</v>
      </c>
      <c r="O7" s="75">
        <f t="shared" ref="O7:Q7" si="1">O6/O5</f>
        <v>5.0554583842638466E-2</v>
      </c>
      <c r="P7" s="75">
        <f t="shared" si="1"/>
        <v>6.1200600794007104E-2</v>
      </c>
      <c r="Q7" s="75">
        <f t="shared" si="1"/>
        <v>1.8892325210631038E-2</v>
      </c>
      <c r="T7" s="124"/>
      <c r="U7" s="124"/>
      <c r="V7" s="124"/>
      <c r="W7" s="124"/>
      <c r="X7" s="124"/>
      <c r="Y7" s="124"/>
      <c r="Z7" s="124"/>
      <c r="AA7" s="124"/>
    </row>
    <row r="8" spans="2:27">
      <c r="B8" s="5" t="s">
        <v>36</v>
      </c>
      <c r="C8" s="71">
        <v>7142023000</v>
      </c>
      <c r="E8" s="125" t="s">
        <v>54</v>
      </c>
      <c r="F8" s="126"/>
      <c r="G8" s="7">
        <f>G7-G5</f>
        <v>7.0000000000000007E-2</v>
      </c>
      <c r="L8" s="5" t="s">
        <v>61</v>
      </c>
      <c r="M8" s="73"/>
      <c r="N8" s="73">
        <v>289003000</v>
      </c>
      <c r="O8" s="73">
        <v>355994000</v>
      </c>
      <c r="P8" s="73">
        <v>438335000</v>
      </c>
      <c r="Q8" s="73">
        <v>649716000</v>
      </c>
      <c r="T8" s="124"/>
      <c r="U8" s="124"/>
      <c r="V8" s="124"/>
      <c r="W8" s="124"/>
      <c r="X8" s="124"/>
      <c r="Y8" s="124"/>
      <c r="Z8" s="124"/>
      <c r="AA8" s="124"/>
    </row>
    <row r="9" spans="2:27" ht="18.5">
      <c r="B9" s="35" t="s">
        <v>32</v>
      </c>
      <c r="C9" s="36">
        <f>C7/(C8+C7)</f>
        <v>0.59487222960954966</v>
      </c>
      <c r="E9" s="127" t="s">
        <v>25</v>
      </c>
      <c r="F9" s="128"/>
      <c r="G9" s="39">
        <f>G5+G6*G8</f>
        <v>9.9000000000000005E-2</v>
      </c>
      <c r="L9" s="5" t="s">
        <v>62</v>
      </c>
      <c r="M9" s="73"/>
      <c r="N9" s="73">
        <v>80172000</v>
      </c>
      <c r="O9" s="73">
        <v>94981000</v>
      </c>
      <c r="P9" s="73">
        <v>105981000</v>
      </c>
      <c r="Q9" s="73">
        <v>147293000</v>
      </c>
      <c r="T9" s="124"/>
      <c r="U9" s="124"/>
      <c r="V9" s="124"/>
      <c r="W9" s="124"/>
      <c r="X9" s="124"/>
      <c r="Y9" s="124"/>
      <c r="Z9" s="124"/>
      <c r="AA9" s="124"/>
    </row>
    <row r="10" spans="2:27">
      <c r="B10" s="35" t="s">
        <v>33</v>
      </c>
      <c r="C10" s="37">
        <f>1-C9</f>
        <v>0.40512777039045034</v>
      </c>
      <c r="L10" s="76" t="s">
        <v>29</v>
      </c>
      <c r="M10" s="74">
        <f>AVERAGE(N10:Q10)</f>
        <v>0.25317461018008236</v>
      </c>
      <c r="N10" s="75">
        <f>N9/N8</f>
        <v>0.27740888502887512</v>
      </c>
      <c r="O10" s="75">
        <f t="shared" ref="O10:Q10" si="2">O9/O8</f>
        <v>0.26680505851222214</v>
      </c>
      <c r="P10" s="75">
        <f t="shared" si="2"/>
        <v>0.24178082973068543</v>
      </c>
      <c r="Q10" s="75">
        <f t="shared" si="2"/>
        <v>0.22670366744854675</v>
      </c>
      <c r="T10" s="124"/>
      <c r="U10" s="124"/>
      <c r="V10" s="124"/>
      <c r="W10" s="124"/>
      <c r="X10" s="124"/>
      <c r="Y10" s="124"/>
      <c r="Z10" s="124"/>
      <c r="AA10" s="124"/>
    </row>
    <row r="11" spans="2:27">
      <c r="T11" s="124"/>
      <c r="U11" s="124"/>
      <c r="V11" s="124"/>
      <c r="W11" s="124"/>
      <c r="X11" s="124"/>
      <c r="Y11" s="124"/>
      <c r="Z11" s="124"/>
      <c r="AA11" s="124"/>
    </row>
    <row r="12" spans="2:27">
      <c r="T12" s="124"/>
      <c r="U12" s="124"/>
      <c r="V12" s="124"/>
      <c r="W12" s="124"/>
      <c r="X12" s="124"/>
      <c r="Y12" s="124"/>
      <c r="Z12" s="124"/>
      <c r="AA12" s="124"/>
    </row>
    <row r="13" spans="2:27" ht="18.5">
      <c r="B13" s="38" t="s">
        <v>18</v>
      </c>
      <c r="C13" s="39">
        <f>G9*C9+J7*C10</f>
        <v>7.0985414677500358E-2</v>
      </c>
      <c r="T13" s="124"/>
      <c r="U13" s="124"/>
      <c r="V13" s="124"/>
      <c r="W13" s="124"/>
      <c r="X13" s="124"/>
      <c r="Y13" s="124"/>
      <c r="Z13" s="124"/>
      <c r="AA13" s="124"/>
    </row>
    <row r="14" spans="2:27" ht="18.5">
      <c r="B14" s="38" t="s">
        <v>74</v>
      </c>
      <c r="C14" s="88">
        <v>0.03</v>
      </c>
      <c r="T14" s="124"/>
      <c r="U14" s="124"/>
      <c r="V14" s="124"/>
      <c r="W14" s="124"/>
      <c r="X14" s="124"/>
      <c r="Y14" s="124"/>
      <c r="Z14" s="124"/>
      <c r="AA14" s="124"/>
    </row>
    <row r="15" spans="2:27">
      <c r="T15" s="124"/>
      <c r="U15" s="124"/>
      <c r="V15" s="124"/>
      <c r="W15" s="124"/>
      <c r="X15" s="124"/>
      <c r="Y15" s="124"/>
      <c r="Z15" s="124"/>
      <c r="AA15" s="124"/>
    </row>
    <row r="16" spans="2:27">
      <c r="T16" s="124"/>
      <c r="U16" s="124"/>
      <c r="V16" s="124"/>
      <c r="W16" s="124"/>
      <c r="X16" s="124"/>
      <c r="Y16" s="124"/>
      <c r="Z16" s="124"/>
      <c r="AA16" s="124"/>
    </row>
    <row r="17" spans="2:27" ht="18.5">
      <c r="B17" s="90" t="s">
        <v>75</v>
      </c>
      <c r="G17" s="148"/>
      <c r="T17" s="124"/>
      <c r="U17" s="124"/>
      <c r="V17" s="124"/>
      <c r="W17" s="124"/>
      <c r="X17" s="124"/>
      <c r="Y17" s="124"/>
      <c r="Z17" s="124"/>
      <c r="AA17" s="124"/>
    </row>
    <row r="18" spans="2:27">
      <c r="G18" s="133" t="s">
        <v>63</v>
      </c>
      <c r="H18" s="133"/>
      <c r="I18" s="133"/>
      <c r="J18" s="133"/>
      <c r="K18" s="133"/>
      <c r="T18" s="124"/>
      <c r="U18" s="124"/>
      <c r="V18" s="124"/>
      <c r="W18" s="124"/>
      <c r="X18" s="124"/>
      <c r="Y18" s="124"/>
      <c r="Z18" s="124"/>
      <c r="AA18" s="124"/>
    </row>
    <row r="19" spans="2:27" ht="16" thickBot="1">
      <c r="C19" s="86">
        <f>B2-C2</f>
        <v>2022</v>
      </c>
      <c r="D19" s="86">
        <f>C19+1</f>
        <v>2023</v>
      </c>
      <c r="E19" s="86">
        <f t="shared" ref="E19:K19" si="3">D19+1</f>
        <v>2024</v>
      </c>
      <c r="F19" s="89">
        <f t="shared" si="3"/>
        <v>2025</v>
      </c>
      <c r="G19" s="92">
        <f t="shared" si="3"/>
        <v>2026</v>
      </c>
      <c r="H19" s="92">
        <f t="shared" si="3"/>
        <v>2027</v>
      </c>
      <c r="I19" s="85">
        <f t="shared" si="3"/>
        <v>2028</v>
      </c>
      <c r="J19" s="85">
        <f t="shared" si="3"/>
        <v>2029</v>
      </c>
      <c r="K19" s="85">
        <f t="shared" si="3"/>
        <v>2030</v>
      </c>
      <c r="T19" s="124"/>
      <c r="U19" s="124"/>
      <c r="V19" s="124"/>
      <c r="W19" s="124"/>
      <c r="X19" s="124"/>
      <c r="Y19" s="124"/>
      <c r="Z19" s="124"/>
      <c r="AA19" s="124"/>
    </row>
    <row r="20" spans="2:27" ht="16" thickBot="1">
      <c r="B20" s="68" t="s">
        <v>49</v>
      </c>
      <c r="C20" s="73">
        <v>3851390000</v>
      </c>
      <c r="D20" s="73">
        <v>4343072000</v>
      </c>
      <c r="E20" s="73">
        <v>4842857000</v>
      </c>
      <c r="F20" s="91">
        <v>5456652000</v>
      </c>
      <c r="G20" s="94">
        <v>6128697320</v>
      </c>
      <c r="H20" s="95">
        <v>6883512242</v>
      </c>
      <c r="I20" s="103">
        <f>H20*(1+I21)</f>
        <v>7731290731.2819376</v>
      </c>
      <c r="J20" s="102">
        <f t="shared" ref="J20:K20" si="4">I20*(1+J21)</f>
        <v>8683482250.0786362</v>
      </c>
      <c r="K20" s="102">
        <f t="shared" si="4"/>
        <v>9752946384.7918282</v>
      </c>
      <c r="T20" s="124"/>
      <c r="U20" s="124"/>
      <c r="V20" s="124"/>
      <c r="W20" s="124"/>
      <c r="X20" s="124"/>
      <c r="Y20" s="124"/>
      <c r="Z20" s="124"/>
      <c r="AA20" s="124"/>
    </row>
    <row r="21" spans="2:27">
      <c r="B21" s="68" t="s">
        <v>0</v>
      </c>
      <c r="C21" s="80"/>
      <c r="D21" s="75">
        <f>D20/C20-1</f>
        <v>0.1276635188853894</v>
      </c>
      <c r="E21" s="75">
        <f t="shared" ref="E21:H21" si="5">E20/D20-1</f>
        <v>0.11507637911598056</v>
      </c>
      <c r="F21" s="75">
        <f t="shared" si="5"/>
        <v>0.12674233412219271</v>
      </c>
      <c r="G21" s="93">
        <f t="shared" si="5"/>
        <v>0.12316074398733878</v>
      </c>
      <c r="H21" s="93">
        <f t="shared" si="5"/>
        <v>0.12316074405188604</v>
      </c>
      <c r="I21" s="101">
        <f>AVERAGE(D21:H21)</f>
        <v>0.1231607440325575</v>
      </c>
      <c r="J21" s="101">
        <f>I21</f>
        <v>0.1231607440325575</v>
      </c>
      <c r="K21" s="101">
        <f>J21</f>
        <v>0.1231607440325575</v>
      </c>
    </row>
    <row r="22" spans="2:27">
      <c r="B22" s="68" t="s">
        <v>50</v>
      </c>
      <c r="C22" s="73">
        <v>171895000</v>
      </c>
      <c r="D22" s="73">
        <v>205752000</v>
      </c>
      <c r="E22" s="73">
        <v>277541000</v>
      </c>
      <c r="F22" s="73">
        <v>435829000</v>
      </c>
      <c r="G22" s="102">
        <f>G20*G23</f>
        <v>351154728.30506563</v>
      </c>
      <c r="H22" s="102">
        <f t="shared" ref="H22:K22" si="6">H20*H23</f>
        <v>394403205.9204554</v>
      </c>
      <c r="I22" s="102">
        <f t="shared" si="6"/>
        <v>442978198.21044463</v>
      </c>
      <c r="J22" s="102">
        <f t="shared" si="6"/>
        <v>497535722.69224471</v>
      </c>
      <c r="K22" s="102">
        <f t="shared" si="6"/>
        <v>558812592.48179781</v>
      </c>
    </row>
    <row r="23" spans="2:27">
      <c r="B23" s="78" t="s">
        <v>2</v>
      </c>
      <c r="C23" s="75">
        <f>C22/C20</f>
        <v>4.463193807949857E-2</v>
      </c>
      <c r="D23" s="75">
        <f t="shared" ref="D23:F23" si="7">D22/D20</f>
        <v>4.7374761459169912E-2</v>
      </c>
      <c r="E23" s="75">
        <f t="shared" si="7"/>
        <v>5.7309352722989759E-2</v>
      </c>
      <c r="F23" s="75">
        <f t="shared" si="7"/>
        <v>7.9871137100185244E-2</v>
      </c>
      <c r="G23" s="101">
        <f>AVERAGE(C23:F23)</f>
        <v>5.7296797340460864E-2</v>
      </c>
      <c r="H23" s="101">
        <f>G23</f>
        <v>5.7296797340460864E-2</v>
      </c>
      <c r="I23" s="101">
        <f t="shared" ref="I23:K23" si="8">H23</f>
        <v>5.7296797340460864E-2</v>
      </c>
      <c r="J23" s="101">
        <f t="shared" si="8"/>
        <v>5.7296797340460864E-2</v>
      </c>
      <c r="K23" s="101">
        <f t="shared" si="8"/>
        <v>5.7296797340460864E-2</v>
      </c>
    </row>
    <row r="24" spans="2:27">
      <c r="B24" s="68" t="s">
        <v>65</v>
      </c>
      <c r="C24" s="73">
        <v>350261000</v>
      </c>
      <c r="D24" s="73">
        <v>379521000</v>
      </c>
      <c r="E24" s="73">
        <v>450895000</v>
      </c>
      <c r="F24" s="73">
        <v>516238000</v>
      </c>
      <c r="G24" s="81"/>
      <c r="H24" s="81"/>
      <c r="I24" s="81"/>
      <c r="J24" s="81"/>
      <c r="K24" s="81"/>
    </row>
    <row r="25" spans="2:27">
      <c r="B25" s="68" t="s">
        <v>66</v>
      </c>
      <c r="C25" s="73">
        <v>54119000</v>
      </c>
      <c r="D25" s="73">
        <v>62707000</v>
      </c>
      <c r="E25" s="73">
        <v>111000000</v>
      </c>
      <c r="F25" s="73">
        <v>137781000</v>
      </c>
      <c r="G25" s="81"/>
      <c r="H25" s="81"/>
      <c r="I25" s="81"/>
      <c r="J25" s="81"/>
      <c r="K25" s="81"/>
    </row>
    <row r="26" spans="2:27">
      <c r="B26" s="79" t="s">
        <v>67</v>
      </c>
      <c r="C26" s="82">
        <f>C24-C25</f>
        <v>296142000</v>
      </c>
      <c r="D26" s="82">
        <f t="shared" ref="D26:F26" si="9">D24-D25</f>
        <v>316814000</v>
      </c>
      <c r="E26" s="82">
        <f t="shared" si="9"/>
        <v>339895000</v>
      </c>
      <c r="F26" s="82">
        <f t="shared" si="9"/>
        <v>378457000</v>
      </c>
      <c r="G26" s="83"/>
      <c r="H26" s="83"/>
      <c r="I26" s="83"/>
      <c r="J26" s="83"/>
      <c r="K26" s="83"/>
    </row>
    <row r="27" spans="2:27">
      <c r="B27" s="68" t="s">
        <v>68</v>
      </c>
      <c r="C27" s="73">
        <f>N6</f>
        <v>33242000</v>
      </c>
      <c r="D27" s="73">
        <f>O6</f>
        <v>52402000</v>
      </c>
      <c r="E27" s="73">
        <f>P6</f>
        <v>52074000</v>
      </c>
      <c r="F27" s="73">
        <f>Q6</f>
        <v>63445000</v>
      </c>
      <c r="G27" s="81"/>
      <c r="H27" s="84"/>
      <c r="I27" s="84"/>
      <c r="J27" s="84"/>
      <c r="K27" s="84"/>
    </row>
    <row r="28" spans="2:27">
      <c r="B28" s="99" t="s">
        <v>64</v>
      </c>
      <c r="C28" s="100">
        <f>C24-C25+C27*(1-N10)</f>
        <v>320162373.84387016</v>
      </c>
      <c r="D28" s="100">
        <f>D24-D25+D27*(1-O10)</f>
        <v>355234881.32384253</v>
      </c>
      <c r="E28" s="100">
        <f>E24-E25+E27*(1-P10)</f>
        <v>379378505.0726043</v>
      </c>
      <c r="F28" s="100">
        <f>F24-F25+F27*(1-Q10)</f>
        <v>427518785.81872696</v>
      </c>
      <c r="G28" s="100">
        <f>G22*G29</f>
        <v>521194913.92238963</v>
      </c>
      <c r="H28" s="100">
        <f t="shared" ref="H28:K28" si="10">H22*H29</f>
        <v>585385667.31712985</v>
      </c>
      <c r="I28" s="100">
        <f t="shared" si="10"/>
        <v>657482201.6499027</v>
      </c>
      <c r="J28" s="100">
        <f t="shared" si="10"/>
        <v>738458198.79326868</v>
      </c>
      <c r="K28" s="100">
        <f t="shared" si="10"/>
        <v>829407259.99359</v>
      </c>
    </row>
    <row r="29" spans="2:27">
      <c r="B29" s="79" t="s">
        <v>73</v>
      </c>
      <c r="C29" s="75">
        <f>C28/C22</f>
        <v>1.8625461697191319</v>
      </c>
      <c r="D29" s="75">
        <f t="shared" ref="D29:F29" si="11">D28/D22</f>
        <v>1.7265197000458927</v>
      </c>
      <c r="E29" s="75">
        <f t="shared" si="11"/>
        <v>1.3669277875074468</v>
      </c>
      <c r="F29" s="75">
        <f t="shared" si="11"/>
        <v>0.98093239738229199</v>
      </c>
      <c r="G29" s="75">
        <f>AVERAGE(C29:F29)</f>
        <v>1.4842315136636908</v>
      </c>
      <c r="H29" s="75">
        <f>AVERAGE(C29:G29)</f>
        <v>1.4842315136636908</v>
      </c>
      <c r="I29" s="75">
        <f>H29</f>
        <v>1.4842315136636908</v>
      </c>
      <c r="J29" s="75">
        <f t="shared" ref="J29:K29" si="12">I29</f>
        <v>1.4842315136636908</v>
      </c>
      <c r="K29" s="75">
        <f t="shared" si="12"/>
        <v>1.4842315136636908</v>
      </c>
    </row>
    <row r="30" spans="2:27">
      <c r="B30" s="68" t="s">
        <v>71</v>
      </c>
      <c r="C30" s="73">
        <v>37269000</v>
      </c>
      <c r="D30" s="73">
        <v>0</v>
      </c>
      <c r="E30" s="73">
        <v>0</v>
      </c>
      <c r="F30" s="73">
        <v>1073555000</v>
      </c>
      <c r="G30" s="73"/>
      <c r="H30" s="73"/>
      <c r="I30" s="73"/>
      <c r="J30" s="73"/>
      <c r="K30" s="73"/>
    </row>
    <row r="31" spans="2:27">
      <c r="B31" s="68" t="s">
        <v>72</v>
      </c>
      <c r="C31" s="73">
        <v>537858000</v>
      </c>
      <c r="D31" s="73">
        <v>285052000</v>
      </c>
      <c r="E31" s="73">
        <v>185805000</v>
      </c>
      <c r="F31" s="73">
        <v>155812000</v>
      </c>
      <c r="G31" s="73"/>
      <c r="H31" s="73"/>
      <c r="I31" s="73"/>
      <c r="J31" s="73"/>
      <c r="K31" s="73"/>
    </row>
    <row r="32" spans="2:27">
      <c r="B32" s="68" t="s">
        <v>70</v>
      </c>
      <c r="C32" s="73">
        <f>C30-C31</f>
        <v>-500589000</v>
      </c>
      <c r="D32" s="73">
        <f t="shared" ref="D32:F32" si="13">D30-D31</f>
        <v>-285052000</v>
      </c>
      <c r="E32" s="73">
        <f t="shared" si="13"/>
        <v>-185805000</v>
      </c>
      <c r="F32" s="73">
        <f t="shared" si="13"/>
        <v>917743000</v>
      </c>
      <c r="G32" s="73"/>
      <c r="H32" s="73"/>
      <c r="I32" s="73"/>
      <c r="J32" s="73"/>
      <c r="K32" s="73"/>
    </row>
    <row r="33" spans="2:11">
      <c r="B33" s="79" t="s">
        <v>69</v>
      </c>
      <c r="C33" s="82">
        <f>C24-C25+C32</f>
        <v>-204447000</v>
      </c>
      <c r="D33" s="82">
        <f t="shared" ref="D33:G33" si="14">D24-D25+D32</f>
        <v>31762000</v>
      </c>
      <c r="E33" s="82">
        <f>E24-E25+E32</f>
        <v>154090000</v>
      </c>
      <c r="F33" s="82">
        <f>F24-F25+F32</f>
        <v>1296200000</v>
      </c>
      <c r="G33" s="82">
        <f t="shared" si="14"/>
        <v>0</v>
      </c>
      <c r="H33" s="82"/>
      <c r="I33" s="82"/>
      <c r="J33" s="82"/>
      <c r="K33" s="82"/>
    </row>
    <row r="34" spans="2:11">
      <c r="B34" s="68" t="s">
        <v>4</v>
      </c>
      <c r="C34" s="75">
        <f>C33/C22</f>
        <v>-1.1893714185985631</v>
      </c>
      <c r="D34" s="75">
        <f t="shared" ref="D34:F34" si="15">D33/D22</f>
        <v>0.1543703098876317</v>
      </c>
      <c r="E34" s="75">
        <f t="shared" si="15"/>
        <v>0.55519725013601595</v>
      </c>
      <c r="F34" s="75">
        <f t="shared" si="15"/>
        <v>2.9741022281674692</v>
      </c>
      <c r="G34" s="75"/>
      <c r="H34" s="75"/>
      <c r="I34" s="75"/>
      <c r="J34" s="75"/>
      <c r="K34" s="75"/>
    </row>
    <row r="39" spans="2:11">
      <c r="G39" s="133" t="s">
        <v>63</v>
      </c>
      <c r="H39" s="133"/>
      <c r="I39" s="133"/>
      <c r="J39" s="133"/>
      <c r="K39" s="133"/>
    </row>
    <row r="40" spans="2:11">
      <c r="B40" s="108" t="s">
        <v>81</v>
      </c>
      <c r="C40" s="86">
        <f>C$19</f>
        <v>2022</v>
      </c>
      <c r="D40" s="86">
        <f t="shared" ref="D40:J40" si="16">D$19</f>
        <v>2023</v>
      </c>
      <c r="E40" s="86">
        <f t="shared" si="16"/>
        <v>2024</v>
      </c>
      <c r="F40" s="89">
        <f t="shared" si="16"/>
        <v>2025</v>
      </c>
      <c r="G40" s="92">
        <f t="shared" si="16"/>
        <v>2026</v>
      </c>
      <c r="H40" s="92">
        <f t="shared" si="16"/>
        <v>2027</v>
      </c>
      <c r="I40" s="85">
        <f t="shared" si="16"/>
        <v>2028</v>
      </c>
      <c r="J40" s="85">
        <f t="shared" si="16"/>
        <v>2029</v>
      </c>
      <c r="K40" s="85" t="s">
        <v>5</v>
      </c>
    </row>
    <row r="41" spans="2:11">
      <c r="B41" s="99" t="s">
        <v>64</v>
      </c>
      <c r="C41" s="100">
        <f>C$28</f>
        <v>320162373.84387016</v>
      </c>
      <c r="D41" s="100">
        <f t="shared" ref="D41:J41" si="17">D$28</f>
        <v>355234881.32384253</v>
      </c>
      <c r="E41" s="100">
        <f t="shared" si="17"/>
        <v>379378505.0726043</v>
      </c>
      <c r="F41" s="100">
        <f t="shared" si="17"/>
        <v>427518785.81872696</v>
      </c>
      <c r="G41" s="100">
        <f t="shared" si="17"/>
        <v>521194913.92238963</v>
      </c>
      <c r="H41" s="100">
        <f t="shared" si="17"/>
        <v>585385667.31712985</v>
      </c>
      <c r="I41" s="100">
        <f t="shared" si="17"/>
        <v>657482201.6499027</v>
      </c>
      <c r="J41" s="100">
        <f t="shared" si="17"/>
        <v>738458198.79326868</v>
      </c>
      <c r="K41" s="100">
        <f>(J41*(1+C45))/(C44-C45)</f>
        <v>69910563168.631439</v>
      </c>
    </row>
    <row r="42" spans="2:11">
      <c r="B42" s="5" t="s">
        <v>6</v>
      </c>
      <c r="C42" s="35"/>
      <c r="D42" s="35"/>
      <c r="E42" s="35"/>
      <c r="F42" s="35"/>
      <c r="G42" s="43">
        <f>(1+$C44)^(G40-$F40)</f>
        <v>1.0509854146775004</v>
      </c>
      <c r="H42" s="43">
        <f t="shared" ref="H42:J42" si="18">(1+$C44)^(H40-$F40)</f>
        <v>1.1045703418648374</v>
      </c>
      <c r="I42" s="43">
        <f t="shared" si="18"/>
        <v>1.1608873187852844</v>
      </c>
      <c r="J42" s="43">
        <f t="shared" si="18"/>
        <v>1.2200756401274038</v>
      </c>
      <c r="K42" s="43">
        <f>J42</f>
        <v>1.2200756401274038</v>
      </c>
    </row>
    <row r="43" spans="2:11">
      <c r="B43" s="5" t="s">
        <v>7</v>
      </c>
      <c r="C43" s="35"/>
      <c r="D43" s="35"/>
      <c r="E43" s="35"/>
      <c r="F43" s="35"/>
      <c r="G43" s="82">
        <f>G41/G42</f>
        <v>495910701.17973107</v>
      </c>
      <c r="H43" s="82">
        <f>H41/H42</f>
        <v>529966852.38608509</v>
      </c>
      <c r="I43" s="82">
        <f>I41/I42</f>
        <v>566361774.31748605</v>
      </c>
      <c r="J43" s="82">
        <f>J41/J42</f>
        <v>605256079.62810957</v>
      </c>
      <c r="K43" s="82">
        <f>K41/K42</f>
        <v>57300187684.536659</v>
      </c>
    </row>
    <row r="44" spans="2:11">
      <c r="B44" s="5" t="s">
        <v>11</v>
      </c>
      <c r="C44" s="75">
        <f>C$13+E44</f>
        <v>5.0985414677500354E-2</v>
      </c>
      <c r="D44" s="98" t="s">
        <v>77</v>
      </c>
      <c r="E44" s="96">
        <v>-0.02</v>
      </c>
      <c r="F44" s="96"/>
      <c r="G44" s="96"/>
      <c r="H44" s="96"/>
      <c r="I44" s="96"/>
      <c r="J44" s="96"/>
      <c r="K44" s="96"/>
    </row>
    <row r="45" spans="2:11">
      <c r="B45" s="5" t="s">
        <v>8</v>
      </c>
      <c r="C45" s="75">
        <f>C$14+E45</f>
        <v>0.04</v>
      </c>
      <c r="D45" s="98" t="s">
        <v>78</v>
      </c>
      <c r="E45" s="96">
        <v>0.01</v>
      </c>
      <c r="F45" s="96"/>
      <c r="G45" s="96"/>
      <c r="H45" s="96"/>
      <c r="I45" s="96"/>
      <c r="J45" s="96"/>
      <c r="K45" s="96"/>
    </row>
    <row r="46" spans="2:11">
      <c r="B46" s="5" t="s">
        <v>9</v>
      </c>
      <c r="C46" s="82">
        <f>SUM(G43:K43)</f>
        <v>59497683092.048073</v>
      </c>
    </row>
    <row r="47" spans="2:11">
      <c r="B47" s="19" t="s">
        <v>10</v>
      </c>
      <c r="C47" s="48">
        <f>$C$6</f>
        <v>175017357</v>
      </c>
    </row>
    <row r="48" spans="2:11" ht="21">
      <c r="B48" s="10" t="s">
        <v>23</v>
      </c>
      <c r="C48" s="104">
        <f>C46/C47</f>
        <v>339.95304301188867</v>
      </c>
    </row>
    <row r="53" spans="2:11">
      <c r="G53" s="133" t="s">
        <v>63</v>
      </c>
      <c r="H53" s="133"/>
      <c r="I53" s="133"/>
      <c r="J53" s="133"/>
      <c r="K53" s="133"/>
    </row>
    <row r="54" spans="2:11">
      <c r="B54" s="106" t="s">
        <v>82</v>
      </c>
      <c r="C54" s="86">
        <f>C$19</f>
        <v>2022</v>
      </c>
      <c r="D54" s="86">
        <f t="shared" ref="D54:J54" si="19">D$19</f>
        <v>2023</v>
      </c>
      <c r="E54" s="86">
        <f t="shared" si="19"/>
        <v>2024</v>
      </c>
      <c r="F54" s="89">
        <f t="shared" si="19"/>
        <v>2025</v>
      </c>
      <c r="G54" s="92">
        <f t="shared" si="19"/>
        <v>2026</v>
      </c>
      <c r="H54" s="92">
        <f t="shared" si="19"/>
        <v>2027</v>
      </c>
      <c r="I54" s="85">
        <f t="shared" si="19"/>
        <v>2028</v>
      </c>
      <c r="J54" s="85">
        <f t="shared" si="19"/>
        <v>2029</v>
      </c>
      <c r="K54" s="85" t="s">
        <v>5</v>
      </c>
    </row>
    <row r="55" spans="2:11">
      <c r="B55" s="99" t="s">
        <v>64</v>
      </c>
      <c r="C55" s="100">
        <f>C$28</f>
        <v>320162373.84387016</v>
      </c>
      <c r="D55" s="100">
        <f t="shared" ref="D55:J55" si="20">D$28</f>
        <v>355234881.32384253</v>
      </c>
      <c r="E55" s="100">
        <f t="shared" si="20"/>
        <v>379378505.0726043</v>
      </c>
      <c r="F55" s="100">
        <f t="shared" si="20"/>
        <v>427518785.81872696</v>
      </c>
      <c r="G55" s="100">
        <f t="shared" si="20"/>
        <v>521194913.92238963</v>
      </c>
      <c r="H55" s="100">
        <f t="shared" si="20"/>
        <v>585385667.31712985</v>
      </c>
      <c r="I55" s="100">
        <f t="shared" si="20"/>
        <v>657482201.6499027</v>
      </c>
      <c r="J55" s="100">
        <f t="shared" si="20"/>
        <v>738458198.79326868</v>
      </c>
      <c r="K55" s="100">
        <f>(J55*(1+C59))/(C58-C59)</f>
        <v>18558112702.824928</v>
      </c>
    </row>
    <row r="56" spans="2:11">
      <c r="B56" s="5" t="s">
        <v>6</v>
      </c>
      <c r="C56" s="35"/>
      <c r="D56" s="35"/>
      <c r="E56" s="35"/>
      <c r="F56" s="35"/>
      <c r="G56" s="43">
        <f>(1+$C58)^(G54-$F54)</f>
        <v>1.0709854146775004</v>
      </c>
      <c r="H56" s="43">
        <f t="shared" ref="H56:J56" si="21">(1+$C58)^(H54-$F54)</f>
        <v>1.1470097584519374</v>
      </c>
      <c r="I56" s="43">
        <f t="shared" si="21"/>
        <v>1.2284307217947878</v>
      </c>
      <c r="J56" s="43">
        <f t="shared" si="21"/>
        <v>1.3156313859839719</v>
      </c>
      <c r="K56" s="43">
        <f>J56</f>
        <v>1.3156313859839719</v>
      </c>
    </row>
    <row r="57" spans="2:11">
      <c r="B57" s="5" t="s">
        <v>7</v>
      </c>
      <c r="C57" s="35"/>
      <c r="D57" s="35"/>
      <c r="E57" s="35"/>
      <c r="F57" s="35"/>
      <c r="G57" s="82">
        <f>G55/G56</f>
        <v>486649871.02493268</v>
      </c>
      <c r="H57" s="82">
        <f>H55/H56</f>
        <v>510358053.19319695</v>
      </c>
      <c r="I57" s="82">
        <f>I55/I56</f>
        <v>535221229.8055312</v>
      </c>
      <c r="J57" s="82">
        <f>J55/J56</f>
        <v>561295668.87838387</v>
      </c>
      <c r="K57" s="82">
        <f>K55/K56</f>
        <v>14105860426.053274</v>
      </c>
    </row>
    <row r="58" spans="2:11">
      <c r="B58" s="5" t="s">
        <v>11</v>
      </c>
      <c r="C58" s="75">
        <f>C$13+E58</f>
        <v>7.0985414677500358E-2</v>
      </c>
      <c r="D58" s="98" t="s">
        <v>77</v>
      </c>
      <c r="E58" s="96">
        <v>0</v>
      </c>
      <c r="F58" s="96"/>
      <c r="G58" s="96"/>
      <c r="H58" s="96"/>
      <c r="I58" s="96"/>
      <c r="J58" s="96"/>
      <c r="K58" s="96"/>
    </row>
    <row r="59" spans="2:11">
      <c r="B59" s="5" t="s">
        <v>8</v>
      </c>
      <c r="C59" s="75">
        <f>C$14+E59</f>
        <v>0.03</v>
      </c>
      <c r="D59" s="98" t="s">
        <v>78</v>
      </c>
      <c r="E59" s="96">
        <v>0</v>
      </c>
      <c r="F59" s="96"/>
      <c r="G59" s="96"/>
      <c r="H59" s="96"/>
      <c r="I59" s="96"/>
      <c r="J59" s="96"/>
      <c r="K59" s="96"/>
    </row>
    <row r="60" spans="2:11">
      <c r="B60" s="5" t="s">
        <v>9</v>
      </c>
      <c r="C60" s="82">
        <f>SUM(G57:K57)</f>
        <v>16199385248.955318</v>
      </c>
    </row>
    <row r="61" spans="2:11">
      <c r="B61" s="19" t="s">
        <v>10</v>
      </c>
      <c r="C61" s="48">
        <f>$C$6</f>
        <v>175017357</v>
      </c>
    </row>
    <row r="62" spans="2:11" ht="21">
      <c r="B62" s="10" t="s">
        <v>23</v>
      </c>
      <c r="C62" s="104">
        <f>C60/C61</f>
        <v>92.558735468478815</v>
      </c>
    </row>
    <row r="67" spans="2:11">
      <c r="G67" s="133" t="s">
        <v>63</v>
      </c>
      <c r="H67" s="133"/>
      <c r="I67" s="133"/>
      <c r="J67" s="133"/>
      <c r="K67" s="133"/>
    </row>
    <row r="68" spans="2:11">
      <c r="B68" s="107" t="s">
        <v>83</v>
      </c>
      <c r="C68" s="86">
        <f>C$19</f>
        <v>2022</v>
      </c>
      <c r="D68" s="86">
        <f t="shared" ref="D68:J68" si="22">D$19</f>
        <v>2023</v>
      </c>
      <c r="E68" s="86">
        <f t="shared" si="22"/>
        <v>2024</v>
      </c>
      <c r="F68" s="89">
        <f t="shared" si="22"/>
        <v>2025</v>
      </c>
      <c r="G68" s="92">
        <f t="shared" si="22"/>
        <v>2026</v>
      </c>
      <c r="H68" s="92">
        <f t="shared" si="22"/>
        <v>2027</v>
      </c>
      <c r="I68" s="85">
        <f t="shared" si="22"/>
        <v>2028</v>
      </c>
      <c r="J68" s="85">
        <f t="shared" si="22"/>
        <v>2029</v>
      </c>
      <c r="K68" s="85" t="s">
        <v>5</v>
      </c>
    </row>
    <row r="69" spans="2:11">
      <c r="B69" s="99" t="s">
        <v>64</v>
      </c>
      <c r="C69" s="100">
        <f>C$28</f>
        <v>320162373.84387016</v>
      </c>
      <c r="D69" s="100">
        <f t="shared" ref="D69:J69" si="23">D$28</f>
        <v>355234881.32384253</v>
      </c>
      <c r="E69" s="100">
        <f t="shared" si="23"/>
        <v>379378505.0726043</v>
      </c>
      <c r="F69" s="100">
        <f t="shared" si="23"/>
        <v>427518785.81872696</v>
      </c>
      <c r="G69" s="100">
        <f t="shared" si="23"/>
        <v>521194913.92238963</v>
      </c>
      <c r="H69" s="100">
        <f t="shared" si="23"/>
        <v>585385667.31712985</v>
      </c>
      <c r="I69" s="100">
        <f t="shared" si="23"/>
        <v>657482201.6499027</v>
      </c>
      <c r="J69" s="100">
        <f t="shared" si="23"/>
        <v>738458198.79326868</v>
      </c>
      <c r="K69" s="100">
        <f>(J69*(1+C73))/(C72-C73)</f>
        <v>10611015885.322117</v>
      </c>
    </row>
    <row r="70" spans="2:11">
      <c r="B70" s="5" t="s">
        <v>6</v>
      </c>
      <c r="C70" s="35"/>
      <c r="D70" s="35"/>
      <c r="E70" s="35"/>
      <c r="F70" s="35"/>
      <c r="G70" s="43">
        <f>(1+$C72)^(G68-$F68)</f>
        <v>1.0909854146775004</v>
      </c>
      <c r="H70" s="43">
        <f t="shared" ref="H70:J70" si="24">(1+$C72)^(H68-$F68)</f>
        <v>1.1902491750390376</v>
      </c>
      <c r="I70" s="43">
        <f t="shared" si="24"/>
        <v>1.2985444897995173</v>
      </c>
      <c r="J70" s="43">
        <f t="shared" si="24"/>
        <v>1.4166930986811095</v>
      </c>
      <c r="K70" s="43">
        <f>J70</f>
        <v>1.4166930986811095</v>
      </c>
    </row>
    <row r="71" spans="2:11">
      <c r="B71" s="5" t="s">
        <v>7</v>
      </c>
      <c r="C71" s="35"/>
      <c r="D71" s="35"/>
      <c r="E71" s="35"/>
      <c r="F71" s="35"/>
      <c r="G71" s="82">
        <f>G69/G70</f>
        <v>477728580.88708442</v>
      </c>
      <c r="H71" s="82">
        <f>H69/H70</f>
        <v>491817746.73183912</v>
      </c>
      <c r="I71" s="82">
        <f>I69/I70</f>
        <v>506322430.08586603</v>
      </c>
      <c r="J71" s="82">
        <f>J69/J70</f>
        <v>521254885.39525378</v>
      </c>
      <c r="K71" s="82">
        <f>K69/K70</f>
        <v>7489989112.8153248</v>
      </c>
    </row>
    <row r="72" spans="2:11">
      <c r="B72" s="5" t="s">
        <v>11</v>
      </c>
      <c r="C72" s="75">
        <f>C$13+E72</f>
        <v>9.0985414677500362E-2</v>
      </c>
      <c r="D72" s="98" t="s">
        <v>77</v>
      </c>
      <c r="E72" s="96">
        <v>0.02</v>
      </c>
      <c r="F72" s="96"/>
      <c r="G72" s="96"/>
      <c r="H72" s="96"/>
      <c r="I72" s="96"/>
      <c r="J72" s="96"/>
      <c r="K72" s="96"/>
    </row>
    <row r="73" spans="2:11">
      <c r="B73" s="5" t="s">
        <v>8</v>
      </c>
      <c r="C73" s="75">
        <f>C$14+E73</f>
        <v>1.9999999999999997E-2</v>
      </c>
      <c r="D73" s="98" t="s">
        <v>78</v>
      </c>
      <c r="E73" s="96">
        <v>-0.01</v>
      </c>
      <c r="F73" s="96"/>
      <c r="G73" s="96"/>
      <c r="H73" s="96"/>
      <c r="I73" s="96"/>
      <c r="J73" s="96"/>
      <c r="K73" s="96"/>
    </row>
    <row r="74" spans="2:11">
      <c r="B74" s="5" t="s">
        <v>9</v>
      </c>
      <c r="C74" s="82">
        <f>SUM(G71:K71)</f>
        <v>9487112755.9153671</v>
      </c>
    </row>
    <row r="75" spans="2:11">
      <c r="B75" s="19" t="s">
        <v>10</v>
      </c>
      <c r="C75" s="97">
        <f>$C$6</f>
        <v>175017357</v>
      </c>
    </row>
    <row r="76" spans="2:11" ht="21">
      <c r="B76" s="10" t="s">
        <v>23</v>
      </c>
      <c r="C76" s="104">
        <f>C74/C75</f>
        <v>54.206696515908234</v>
      </c>
    </row>
    <row r="80" spans="2:11">
      <c r="C80" s="120" t="s">
        <v>18</v>
      </c>
      <c r="D80" s="120" t="s">
        <v>19</v>
      </c>
      <c r="E80" s="121" t="s">
        <v>24</v>
      </c>
      <c r="F80" s="114" t="s">
        <v>84</v>
      </c>
    </row>
    <row r="81" spans="2:6" ht="18.5">
      <c r="B81" s="109" t="str">
        <f>B40</f>
        <v>ESCENARIO 1: ALCISTA</v>
      </c>
      <c r="C81" s="112">
        <f>C44</f>
        <v>5.0985414677500354E-2</v>
      </c>
      <c r="D81" s="112">
        <f>C45</f>
        <v>0.04</v>
      </c>
      <c r="E81" s="113">
        <f>$C48</f>
        <v>339.95304301188867</v>
      </c>
      <c r="F81" s="115">
        <f>1/3</f>
        <v>0.33333333333333331</v>
      </c>
    </row>
    <row r="82" spans="2:6" ht="18.5">
      <c r="B82" s="110" t="str">
        <f>B54</f>
        <v>ESCENARIO 2: NEUTRO</v>
      </c>
      <c r="C82" s="112">
        <f>C58</f>
        <v>7.0985414677500358E-2</v>
      </c>
      <c r="D82" s="112">
        <f>C59</f>
        <v>0.03</v>
      </c>
      <c r="E82" s="113">
        <f>$C62</f>
        <v>92.558735468478815</v>
      </c>
      <c r="F82" s="115">
        <f>1/3</f>
        <v>0.33333333333333331</v>
      </c>
    </row>
    <row r="83" spans="2:6" ht="19" thickBot="1">
      <c r="B83" s="111" t="str">
        <f>B68</f>
        <v>ESCENARIO 3: BAJISTA</v>
      </c>
      <c r="C83" s="112">
        <f>C72</f>
        <v>9.0985414677500362E-2</v>
      </c>
      <c r="D83" s="112">
        <f>C73</f>
        <v>1.9999999999999997E-2</v>
      </c>
      <c r="E83" s="116">
        <f>$C76</f>
        <v>54.206696515908234</v>
      </c>
      <c r="F83" s="115">
        <f>1/3</f>
        <v>0.33333333333333331</v>
      </c>
    </row>
    <row r="84" spans="2:6" ht="19" thickBot="1">
      <c r="C84" s="69"/>
      <c r="D84" s="69"/>
      <c r="E84" s="117">
        <f>SUMPRODUCT(E81:E83,F81:F83)</f>
        <v>162.23949166542525</v>
      </c>
      <c r="F84" s="105">
        <f>SUM(F81:F83)</f>
        <v>1</v>
      </c>
    </row>
    <row r="88" spans="2:6">
      <c r="B88" s="129" t="s">
        <v>40</v>
      </c>
      <c r="C88" s="130"/>
    </row>
    <row r="89" spans="2:6">
      <c r="B89" s="131"/>
      <c r="C89" s="132"/>
    </row>
    <row r="90" spans="2:6" ht="21">
      <c r="B90" s="6" t="s">
        <v>47</v>
      </c>
      <c r="C90" s="118">
        <f>C5</f>
        <v>59.92</v>
      </c>
    </row>
    <row r="91" spans="2:6" ht="21">
      <c r="B91" s="6" t="s">
        <v>41</v>
      </c>
      <c r="C91" s="119">
        <f>E84</f>
        <v>162.23949166542525</v>
      </c>
      <c r="D91" t="s">
        <v>85</v>
      </c>
    </row>
    <row r="92" spans="2:6" ht="21">
      <c r="B92" s="6" t="s">
        <v>42</v>
      </c>
      <c r="C92" s="52">
        <f>C91/C90-1</f>
        <v>1.7076016633081648</v>
      </c>
      <c r="D92" s="52">
        <v>0.3</v>
      </c>
    </row>
  </sheetData>
  <mergeCells count="14">
    <mergeCell ref="B88:C89"/>
    <mergeCell ref="G53:K53"/>
    <mergeCell ref="G67:K67"/>
    <mergeCell ref="G18:K18"/>
    <mergeCell ref="G39:K39"/>
    <mergeCell ref="B4:C4"/>
    <mergeCell ref="E4:G4"/>
    <mergeCell ref="I4:J4"/>
    <mergeCell ref="T4:AA20"/>
    <mergeCell ref="E5:F5"/>
    <mergeCell ref="E6:F6"/>
    <mergeCell ref="E7:F7"/>
    <mergeCell ref="E8:F8"/>
    <mergeCell ref="E9:F9"/>
  </mergeCells>
  <conditionalFormatting sqref="C92">
    <cfRule type="expression" dxfId="1" priority="1">
      <formula>$C$92&lt;=$D$92</formula>
    </cfRule>
    <cfRule type="expression" dxfId="0" priority="2">
      <formula>$C$92&gt;$D$92</formula>
    </cfRule>
  </conditionalFormatting>
  <hyperlinks>
    <hyperlink ref="E6" r:id="rId1" display="Beta Stock" xr:uid="{A4A648EA-7720-4187-BBD6-6BA3A8245AC2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Leeme</vt:lpstr>
      <vt:lpstr>DCF</vt:lpstr>
      <vt:lpstr>DCF_quique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Calculo DCF de acciones</dc:title>
  <dc:creator>Quique Acín</dc:creator>
  <dc:description>Pestaña DCF, del libro "El Camino del Inversor" de Javier del Valle_x000d_
Pestaña DCF_quique: Modificaciones de Quique Acin</dc:description>
  <cp:lastModifiedBy>Quique Acín</cp:lastModifiedBy>
  <dcterms:created xsi:type="dcterms:W3CDTF">2021-03-30T15:34:45Z</dcterms:created>
  <dcterms:modified xsi:type="dcterms:W3CDTF">2026-10-24T11:37:03Z</dcterms:modified>
</cp:coreProperties>
</file>