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E03D5224-0EF1-4651-B592-A586D29E2502}" xr6:coauthVersionLast="47" xr6:coauthVersionMax="47" xr10:uidLastSave="{00000000-0000-0000-0000-000000000000}"/>
  <bookViews>
    <workbookView xWindow="28680" yWindow="975" windowWidth="29040" windowHeight="15840" firstSheet="2" activeTab="7" xr2:uid="{00000000-000D-0000-FFFF-FFFF00000000}"/>
  </bookViews>
  <sheets>
    <sheet name="Armado Placa" sheetId="3" r:id="rId1"/>
    <sheet name="Armado Gabinete" sheetId="4" r:id="rId2"/>
    <sheet name="Montaje" sheetId="7" r:id="rId3"/>
    <sheet name="Inv.Sueldos" sheetId="18" r:id="rId4"/>
    <sheet name="Inv.Materiales" sheetId="19" r:id="rId5"/>
    <sheet name="Inv.Materiales p Stock" sheetId="21" r:id="rId6"/>
    <sheet name="Consideraciones Costos" sheetId="8" r:id="rId7"/>
    <sheet name="Costo de Producto" sheetId="22" r:id="rId8"/>
    <sheet name="Costo de Producto Con PM" sheetId="23" r:id="rId9"/>
    <sheet name="Ejemplo para 10 unidades" sheetId="24" r:id="rId10"/>
    <sheet name="Resumen" sheetId="11" r:id="rId11"/>
    <sheet name="Otros Ingresos" sheetId="17" r:id="rId12"/>
    <sheet name="Inversión Inicial" sheetId="12" r:id="rId13"/>
    <sheet name="COSTOS FIJOS" sheetId="13" r:id="rId14"/>
    <sheet name="COSTOS VARIABLES" sheetId="14" r:id="rId15"/>
    <sheet name="Impuestos" sheetId="15" r:id="rId16"/>
    <sheet name="Auxiliar" sheetId="16" r:id="rId17"/>
    <sheet name="Consumo" sheetId="6" r:id="rId18"/>
  </sheets>
  <externalReferences>
    <externalReference r:id="rId19"/>
  </externalReferences>
  <definedNames>
    <definedName name="PUNITARIO">Resumen!$C$6</definedName>
    <definedName name="TasaActiva">Resumen!$H$3</definedName>
    <definedName name="TasaAnual">Resumen!$F$10</definedName>
    <definedName name="TasaImpuestos">[1]Resumen!$H$5</definedName>
    <definedName name="TasaMensual">[1]Resumen!$F$11</definedName>
    <definedName name="TasaPAsiva" localSheetId="16">[1]Resumen!$H$2</definedName>
    <definedName name="TasaPAsiva" localSheetId="13">[1]Resumen!$H$2</definedName>
    <definedName name="TasaPAsiva" localSheetId="14">[1]Resumen!$H$2</definedName>
    <definedName name="TasaPAsiva" localSheetId="15">[1]Resumen!$H$2</definedName>
    <definedName name="TasaPAsiva" localSheetId="4">[1]Resumen!$H$2</definedName>
    <definedName name="TasaPAsiva" localSheetId="5">[1]Resumen!$H$2</definedName>
    <definedName name="TasaPAsiva" localSheetId="3">[1]Resumen!$H$2</definedName>
    <definedName name="TasaPAsiva" localSheetId="12">[1]Resumen!$H$2</definedName>
    <definedName name="TasaPAsiva" localSheetId="11">[1]Resumen!$H$2</definedName>
    <definedName name="TasaPAsiva">Resumen!$H$2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2" l="1"/>
  <c r="E9" i="22"/>
  <c r="B17" i="19"/>
  <c r="B16" i="19"/>
  <c r="E31" i="24"/>
  <c r="E31" i="23"/>
  <c r="E27" i="24"/>
  <c r="D26" i="24"/>
  <c r="E26" i="24" s="1"/>
  <c r="D25" i="24"/>
  <c r="E25" i="24" s="1"/>
  <c r="D17" i="24"/>
  <c r="E17" i="24" s="1"/>
  <c r="E16" i="24"/>
  <c r="E15" i="24"/>
  <c r="E14" i="24"/>
  <c r="E13" i="24"/>
  <c r="D13" i="24"/>
  <c r="E12" i="24"/>
  <c r="D12" i="24"/>
  <c r="E11" i="24"/>
  <c r="E10" i="24"/>
  <c r="D10" i="24"/>
  <c r="D9" i="24"/>
  <c r="E9" i="24" s="1"/>
  <c r="E8" i="24"/>
  <c r="D8" i="24"/>
  <c r="D7" i="24"/>
  <c r="E7" i="24" s="1"/>
  <c r="E6" i="24"/>
  <c r="D6" i="24"/>
  <c r="D5" i="24"/>
  <c r="E5" i="24" s="1"/>
  <c r="E17" i="22"/>
  <c r="D17" i="22"/>
  <c r="E13" i="22"/>
  <c r="D13" i="22"/>
  <c r="E27" i="23"/>
  <c r="D26" i="23"/>
  <c r="E26" i="23" s="1"/>
  <c r="D25" i="23"/>
  <c r="E25" i="23" s="1"/>
  <c r="D17" i="23"/>
  <c r="E17" i="23" s="1"/>
  <c r="E16" i="23"/>
  <c r="E15" i="23"/>
  <c r="E14" i="23"/>
  <c r="E13" i="23"/>
  <c r="D13" i="23"/>
  <c r="E12" i="23"/>
  <c r="D12" i="23"/>
  <c r="E11" i="23"/>
  <c r="E10" i="23"/>
  <c r="D10" i="23"/>
  <c r="D9" i="23"/>
  <c r="E9" i="23" s="1"/>
  <c r="E8" i="23"/>
  <c r="D8" i="23"/>
  <c r="D7" i="23"/>
  <c r="E7" i="23" s="1"/>
  <c r="E6" i="23"/>
  <c r="D6" i="23"/>
  <c r="D5" i="23"/>
  <c r="E5" i="23" s="1"/>
  <c r="D6" i="22"/>
  <c r="D7" i="22"/>
  <c r="E7" i="22" s="1"/>
  <c r="D8" i="22"/>
  <c r="D10" i="22"/>
  <c r="D12" i="22"/>
  <c r="E12" i="22"/>
  <c r="E11" i="22"/>
  <c r="E10" i="22"/>
  <c r="E8" i="22"/>
  <c r="E6" i="22"/>
  <c r="B7" i="21"/>
  <c r="B6" i="21"/>
  <c r="B5" i="21"/>
  <c r="K4" i="6"/>
  <c r="B14" i="19"/>
  <c r="B15" i="19"/>
  <c r="B6" i="19"/>
  <c r="E29" i="24" l="1"/>
  <c r="D29" i="24" s="1"/>
  <c r="E19" i="24"/>
  <c r="D19" i="24" s="1"/>
  <c r="E29" i="23"/>
  <c r="E19" i="23"/>
  <c r="D19" i="23" s="1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4" i="18"/>
  <c r="G23" i="18"/>
  <c r="F23" i="18"/>
  <c r="E23" i="18"/>
  <c r="D23" i="18"/>
  <c r="G22" i="18"/>
  <c r="E22" i="18"/>
  <c r="D22" i="18"/>
  <c r="E21" i="18"/>
  <c r="D21" i="18"/>
  <c r="E20" i="18"/>
  <c r="D20" i="18"/>
  <c r="G20" i="18" s="1"/>
  <c r="E19" i="18"/>
  <c r="D19" i="18"/>
  <c r="G19" i="18" s="1"/>
  <c r="E18" i="18"/>
  <c r="D18" i="18"/>
  <c r="B18" i="18"/>
  <c r="G18" i="18" s="1"/>
  <c r="F17" i="18"/>
  <c r="E17" i="18"/>
  <c r="D17" i="18"/>
  <c r="C17" i="18"/>
  <c r="B17" i="18"/>
  <c r="F16" i="18"/>
  <c r="E16" i="18"/>
  <c r="D16" i="18"/>
  <c r="C16" i="18"/>
  <c r="B16" i="18"/>
  <c r="E15" i="18"/>
  <c r="D15" i="18"/>
  <c r="G15" i="18" s="1"/>
  <c r="B15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E10" i="18"/>
  <c r="D10" i="18"/>
  <c r="E9" i="18"/>
  <c r="D9" i="18"/>
  <c r="C9" i="18"/>
  <c r="G9" i="18" s="1"/>
  <c r="E8" i="18"/>
  <c r="D8" i="18"/>
  <c r="C8" i="18"/>
  <c r="G8" i="18" s="1"/>
  <c r="E7" i="18"/>
  <c r="D7" i="18"/>
  <c r="C7" i="18"/>
  <c r="E6" i="18"/>
  <c r="D6" i="18"/>
  <c r="G6" i="18" s="1"/>
  <c r="E5" i="18"/>
  <c r="D5" i="18"/>
  <c r="C5" i="18"/>
  <c r="C25" i="18" s="1"/>
  <c r="D7" i="13"/>
  <c r="D15" i="13"/>
  <c r="D11" i="13"/>
  <c r="D23" i="13"/>
  <c r="D10" i="13"/>
  <c r="D13" i="13"/>
  <c r="D14" i="13"/>
  <c r="E14" i="13"/>
  <c r="E19" i="13"/>
  <c r="E7" i="13"/>
  <c r="E20" i="13"/>
  <c r="E18" i="13"/>
  <c r="E17" i="13"/>
  <c r="E12" i="13"/>
  <c r="B16" i="13"/>
  <c r="B18" i="13"/>
  <c r="C12" i="13"/>
  <c r="C17" i="13"/>
  <c r="C16" i="13"/>
  <c r="B15" i="13"/>
  <c r="C14" i="13"/>
  <c r="C13" i="13"/>
  <c r="C9" i="13"/>
  <c r="C8" i="13"/>
  <c r="F17" i="13"/>
  <c r="F25" i="13"/>
  <c r="F23" i="13"/>
  <c r="E23" i="13"/>
  <c r="D22" i="13"/>
  <c r="E22" i="13"/>
  <c r="D21" i="13"/>
  <c r="E21" i="13"/>
  <c r="D20" i="13"/>
  <c r="D19" i="13"/>
  <c r="D18" i="13"/>
  <c r="B17" i="13"/>
  <c r="D17" i="13"/>
  <c r="D16" i="13"/>
  <c r="F16" i="13"/>
  <c r="E16" i="13"/>
  <c r="E15" i="13"/>
  <c r="B14" i="13"/>
  <c r="B13" i="13"/>
  <c r="E13" i="13"/>
  <c r="D12" i="13"/>
  <c r="B12" i="13"/>
  <c r="E11" i="13"/>
  <c r="E10" i="13"/>
  <c r="E9" i="13"/>
  <c r="D9" i="13"/>
  <c r="E8" i="13"/>
  <c r="D8" i="13"/>
  <c r="C7" i="13"/>
  <c r="D5" i="13"/>
  <c r="D6" i="13"/>
  <c r="E6" i="13"/>
  <c r="E5" i="13"/>
  <c r="C5" i="13"/>
  <c r="H23" i="7"/>
  <c r="G23" i="7"/>
  <c r="G18" i="7"/>
  <c r="H18" i="7" s="1"/>
  <c r="G8" i="7"/>
  <c r="H8" i="7" s="1"/>
  <c r="G7" i="7"/>
  <c r="H7" i="7"/>
  <c r="G9" i="7"/>
  <c r="H9" i="7" s="1"/>
  <c r="G3" i="7"/>
  <c r="H3" i="7" s="1"/>
  <c r="E25" i="18" l="1"/>
  <c r="G17" i="18"/>
  <c r="G7" i="18"/>
  <c r="G11" i="18"/>
  <c r="G21" i="18"/>
  <c r="G5" i="18"/>
  <c r="G10" i="18"/>
  <c r="B25" i="18"/>
  <c r="G13" i="18"/>
  <c r="G14" i="18"/>
  <c r="G16" i="18"/>
  <c r="F25" i="18"/>
  <c r="D25" i="18"/>
  <c r="G12" i="18"/>
  <c r="D25" i="13"/>
  <c r="E25" i="13"/>
  <c r="B25" i="13"/>
  <c r="C25" i="13"/>
  <c r="D36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H58" i="11" s="1"/>
  <c r="D59" i="11"/>
  <c r="D60" i="11"/>
  <c r="D61" i="11"/>
  <c r="D62" i="11"/>
  <c r="D63" i="11"/>
  <c r="D64" i="11"/>
  <c r="D65" i="11"/>
  <c r="D66" i="11"/>
  <c r="D67" i="11"/>
  <c r="H67" i="11" s="1"/>
  <c r="D68" i="11"/>
  <c r="D69" i="11"/>
  <c r="D70" i="11"/>
  <c r="D71" i="11"/>
  <c r="D72" i="11"/>
  <c r="D73" i="11"/>
  <c r="D74" i="11"/>
  <c r="D75" i="11"/>
  <c r="D76" i="11"/>
  <c r="E19" i="11"/>
  <c r="E20" i="11"/>
  <c r="E21" i="11"/>
  <c r="E22" i="11"/>
  <c r="E28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18" i="11"/>
  <c r="E17" i="1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5" i="16"/>
  <c r="F6" i="15"/>
  <c r="E6" i="15"/>
  <c r="D6" i="15"/>
  <c r="C6" i="15"/>
  <c r="J20" i="1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19" i="11"/>
  <c r="J18" i="11"/>
  <c r="J17" i="11"/>
  <c r="H41" i="11"/>
  <c r="H45" i="11"/>
  <c r="H49" i="11"/>
  <c r="H61" i="11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17" i="11"/>
  <c r="C18" i="11"/>
  <c r="G13" i="11"/>
  <c r="A64" i="16"/>
  <c r="H64" i="16" s="1"/>
  <c r="A63" i="16"/>
  <c r="H63" i="16" s="1"/>
  <c r="A62" i="16"/>
  <c r="H62" i="16" s="1"/>
  <c r="A61" i="16"/>
  <c r="H61" i="16" s="1"/>
  <c r="A60" i="16"/>
  <c r="H60" i="16" s="1"/>
  <c r="A59" i="16"/>
  <c r="H59" i="16" s="1"/>
  <c r="A58" i="16"/>
  <c r="H58" i="16" s="1"/>
  <c r="A57" i="16"/>
  <c r="H57" i="16" s="1"/>
  <c r="A56" i="16"/>
  <c r="H56" i="16" s="1"/>
  <c r="A55" i="16"/>
  <c r="H55" i="16" s="1"/>
  <c r="A54" i="16"/>
  <c r="H54" i="16" s="1"/>
  <c r="A53" i="16"/>
  <c r="H53" i="16" s="1"/>
  <c r="A52" i="16"/>
  <c r="H52" i="16" s="1"/>
  <c r="A51" i="16"/>
  <c r="H51" i="16" s="1"/>
  <c r="A50" i="16"/>
  <c r="H50" i="16" s="1"/>
  <c r="A49" i="16"/>
  <c r="H49" i="16" s="1"/>
  <c r="A48" i="16"/>
  <c r="H48" i="16" s="1"/>
  <c r="A47" i="16"/>
  <c r="H47" i="16" s="1"/>
  <c r="A46" i="16"/>
  <c r="H46" i="16" s="1"/>
  <c r="A45" i="16"/>
  <c r="H45" i="16" s="1"/>
  <c r="A44" i="16"/>
  <c r="H44" i="16" s="1"/>
  <c r="A43" i="16"/>
  <c r="H43" i="16" s="1"/>
  <c r="A42" i="16"/>
  <c r="H42" i="16" s="1"/>
  <c r="A41" i="16"/>
  <c r="H41" i="16" s="1"/>
  <c r="A40" i="16"/>
  <c r="H40" i="16" s="1"/>
  <c r="A39" i="16"/>
  <c r="H39" i="16" s="1"/>
  <c r="A38" i="16"/>
  <c r="H38" i="16" s="1"/>
  <c r="A37" i="16"/>
  <c r="H37" i="16" s="1"/>
  <c r="A36" i="16"/>
  <c r="H36" i="16" s="1"/>
  <c r="A35" i="16"/>
  <c r="H35" i="16" s="1"/>
  <c r="A34" i="16"/>
  <c r="H34" i="16" s="1"/>
  <c r="A33" i="16"/>
  <c r="H33" i="16" s="1"/>
  <c r="A32" i="16"/>
  <c r="H32" i="16" s="1"/>
  <c r="A31" i="16"/>
  <c r="H31" i="16" s="1"/>
  <c r="A30" i="16"/>
  <c r="H30" i="16" s="1"/>
  <c r="A29" i="16"/>
  <c r="H29" i="16" s="1"/>
  <c r="A28" i="16"/>
  <c r="H28" i="16" s="1"/>
  <c r="A27" i="16"/>
  <c r="H27" i="16" s="1"/>
  <c r="A26" i="16"/>
  <c r="H26" i="16" s="1"/>
  <c r="A25" i="16"/>
  <c r="H25" i="16" s="1"/>
  <c r="A24" i="16"/>
  <c r="H24" i="16" s="1"/>
  <c r="A23" i="16"/>
  <c r="H23" i="16" s="1"/>
  <c r="A22" i="16"/>
  <c r="H22" i="16" s="1"/>
  <c r="A21" i="16"/>
  <c r="H21" i="16" s="1"/>
  <c r="A20" i="16"/>
  <c r="H20" i="16" s="1"/>
  <c r="A19" i="16"/>
  <c r="H19" i="16" s="1"/>
  <c r="A18" i="16"/>
  <c r="H18" i="16" s="1"/>
  <c r="A17" i="16"/>
  <c r="H17" i="16" s="1"/>
  <c r="A16" i="16"/>
  <c r="H16" i="16" s="1"/>
  <c r="A15" i="16"/>
  <c r="H15" i="16" s="1"/>
  <c r="A14" i="16"/>
  <c r="H14" i="16" s="1"/>
  <c r="A13" i="16"/>
  <c r="H13" i="16" s="1"/>
  <c r="A12" i="16"/>
  <c r="H12" i="16" s="1"/>
  <c r="A11" i="16"/>
  <c r="H11" i="16" s="1"/>
  <c r="A10" i="16"/>
  <c r="H10" i="16" s="1"/>
  <c r="C9" i="16"/>
  <c r="A9" i="16"/>
  <c r="H9" i="16" s="1"/>
  <c r="C8" i="16"/>
  <c r="A8" i="16"/>
  <c r="H8" i="16" s="1"/>
  <c r="C7" i="16"/>
  <c r="A7" i="16"/>
  <c r="H7" i="16" s="1"/>
  <c r="C6" i="16"/>
  <c r="A6" i="16"/>
  <c r="H6" i="16" s="1"/>
  <c r="C5" i="16"/>
  <c r="A5" i="16"/>
  <c r="H5" i="16" s="1"/>
  <c r="D4" i="16"/>
  <c r="C4" i="16"/>
  <c r="B4" i="16"/>
  <c r="A4" i="16"/>
  <c r="I2" i="16"/>
  <c r="B7" i="15"/>
  <c r="B6" i="15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F39" i="14"/>
  <c r="G39" i="14" s="1"/>
  <c r="E51" i="11" s="1"/>
  <c r="H51" i="11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F21" i="14"/>
  <c r="G21" i="14" s="1"/>
  <c r="E33" i="11" s="1"/>
  <c r="F20" i="14"/>
  <c r="G20" i="14" s="1"/>
  <c r="E32" i="11" s="1"/>
  <c r="F19" i="14"/>
  <c r="G19" i="14" s="1"/>
  <c r="E31" i="11" s="1"/>
  <c r="F18" i="14"/>
  <c r="G18" i="14" s="1"/>
  <c r="E30" i="11" s="1"/>
  <c r="F17" i="14"/>
  <c r="G17" i="14" s="1"/>
  <c r="E29" i="11" s="1"/>
  <c r="G16" i="14"/>
  <c r="F15" i="14"/>
  <c r="G15" i="14" s="1"/>
  <c r="E27" i="11" s="1"/>
  <c r="F14" i="14"/>
  <c r="G14" i="14" s="1"/>
  <c r="E26" i="11" s="1"/>
  <c r="F13" i="14"/>
  <c r="G13" i="14" s="1"/>
  <c r="E25" i="11" s="1"/>
  <c r="F12" i="14"/>
  <c r="G12" i="14" s="1"/>
  <c r="E24" i="11" s="1"/>
  <c r="F11" i="14"/>
  <c r="G11" i="14" s="1"/>
  <c r="E23" i="11" s="1"/>
  <c r="G10" i="14"/>
  <c r="G9" i="14"/>
  <c r="G8" i="14"/>
  <c r="G7" i="14"/>
  <c r="G6" i="14"/>
  <c r="G5" i="14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4" i="13"/>
  <c r="G23" i="13"/>
  <c r="D35" i="11" s="1"/>
  <c r="G22" i="13"/>
  <c r="D34" i="11" s="1"/>
  <c r="G21" i="13"/>
  <c r="D33" i="11" s="1"/>
  <c r="G20" i="13"/>
  <c r="D32" i="11" s="1"/>
  <c r="G19" i="13"/>
  <c r="D31" i="11" s="1"/>
  <c r="G18" i="13"/>
  <c r="D30" i="11" s="1"/>
  <c r="G17" i="13"/>
  <c r="D29" i="11" s="1"/>
  <c r="G16" i="13"/>
  <c r="D28" i="11" s="1"/>
  <c r="G15" i="13"/>
  <c r="D27" i="11" s="1"/>
  <c r="G14" i="13"/>
  <c r="D26" i="11" s="1"/>
  <c r="G13" i="13"/>
  <c r="D25" i="11" s="1"/>
  <c r="G12" i="13"/>
  <c r="D24" i="11" s="1"/>
  <c r="G11" i="13"/>
  <c r="D23" i="11" s="1"/>
  <c r="G10" i="13"/>
  <c r="D22" i="11" s="1"/>
  <c r="G9" i="13"/>
  <c r="D21" i="11" s="1"/>
  <c r="H21" i="11" s="1"/>
  <c r="G8" i="13"/>
  <c r="D20" i="11" s="1"/>
  <c r="G7" i="13"/>
  <c r="D19" i="11" s="1"/>
  <c r="H19" i="11" s="1"/>
  <c r="G6" i="13"/>
  <c r="D18" i="11" s="1"/>
  <c r="H18" i="11" s="1"/>
  <c r="G5" i="13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66" i="12" s="1"/>
  <c r="I76" i="11"/>
  <c r="F76" i="11"/>
  <c r="F75" i="11"/>
  <c r="G75" i="11" s="1"/>
  <c r="H75" i="11"/>
  <c r="F74" i="11"/>
  <c r="G74" i="11" s="1"/>
  <c r="F73" i="11"/>
  <c r="F72" i="11"/>
  <c r="H71" i="11"/>
  <c r="F71" i="11"/>
  <c r="G71" i="11" s="1"/>
  <c r="F70" i="11"/>
  <c r="G70" i="11" s="1"/>
  <c r="F69" i="11"/>
  <c r="F68" i="11"/>
  <c r="F67" i="11"/>
  <c r="G67" i="11" s="1"/>
  <c r="F66" i="11"/>
  <c r="G66" i="11" s="1"/>
  <c r="F65" i="11"/>
  <c r="I64" i="11"/>
  <c r="G64" i="11"/>
  <c r="F64" i="11"/>
  <c r="H64" i="11"/>
  <c r="F63" i="11"/>
  <c r="G63" i="11" s="1"/>
  <c r="G62" i="11"/>
  <c r="F62" i="11"/>
  <c r="G61" i="11"/>
  <c r="F61" i="11"/>
  <c r="G60" i="11"/>
  <c r="F60" i="11"/>
  <c r="H60" i="11"/>
  <c r="F59" i="11"/>
  <c r="G59" i="11" s="1"/>
  <c r="G58" i="11"/>
  <c r="F58" i="11"/>
  <c r="F57" i="11"/>
  <c r="G57" i="11" s="1"/>
  <c r="G56" i="11"/>
  <c r="F56" i="11"/>
  <c r="F55" i="11"/>
  <c r="G55" i="11" s="1"/>
  <c r="G54" i="11"/>
  <c r="F54" i="11"/>
  <c r="F53" i="11"/>
  <c r="I52" i="11"/>
  <c r="F52" i="11"/>
  <c r="G51" i="11"/>
  <c r="F51" i="11"/>
  <c r="G50" i="11"/>
  <c r="F50" i="11"/>
  <c r="G49" i="11"/>
  <c r="F49" i="11"/>
  <c r="G48" i="11"/>
  <c r="F48" i="11"/>
  <c r="H48" i="11"/>
  <c r="F46" i="11"/>
  <c r="B46" i="11"/>
  <c r="F47" i="11" s="1"/>
  <c r="G47" i="11" s="1"/>
  <c r="G45" i="11"/>
  <c r="F45" i="11"/>
  <c r="G44" i="11"/>
  <c r="F44" i="11"/>
  <c r="H44" i="11"/>
  <c r="F43" i="11"/>
  <c r="G42" i="11"/>
  <c r="F42" i="11"/>
  <c r="G41" i="11"/>
  <c r="F41" i="11"/>
  <c r="I40" i="11"/>
  <c r="G40" i="11"/>
  <c r="F40" i="11"/>
  <c r="G39" i="11"/>
  <c r="F39" i="11"/>
  <c r="H39" i="11"/>
  <c r="G38" i="11"/>
  <c r="F38" i="11"/>
  <c r="G37" i="11"/>
  <c r="F37" i="11"/>
  <c r="G36" i="11"/>
  <c r="F36" i="11"/>
  <c r="H36" i="11"/>
  <c r="I29" i="11"/>
  <c r="F25" i="11"/>
  <c r="G25" i="11" s="1"/>
  <c r="B25" i="11"/>
  <c r="F24" i="11"/>
  <c r="B24" i="11"/>
  <c r="G23" i="11"/>
  <c r="F23" i="11"/>
  <c r="G22" i="11"/>
  <c r="F22" i="11"/>
  <c r="G21" i="11"/>
  <c r="F21" i="11"/>
  <c r="G20" i="11"/>
  <c r="F20" i="11"/>
  <c r="G19" i="11"/>
  <c r="F19" i="11"/>
  <c r="N18" i="11"/>
  <c r="N19" i="11" s="1"/>
  <c r="N20" i="11" s="1"/>
  <c r="M20" i="11" s="1"/>
  <c r="O20" i="11" s="1"/>
  <c r="G18" i="11"/>
  <c r="F18" i="11"/>
  <c r="M17" i="11"/>
  <c r="G17" i="11"/>
  <c r="E16" i="11"/>
  <c r="D16" i="11"/>
  <c r="C16" i="11"/>
  <c r="F11" i="11"/>
  <c r="B2" i="11"/>
  <c r="G25" i="18" l="1"/>
  <c r="G25" i="13"/>
  <c r="D37" i="11" s="1"/>
  <c r="H37" i="11" s="1"/>
  <c r="H23" i="11"/>
  <c r="D17" i="11"/>
  <c r="I77" i="11"/>
  <c r="B9" i="15"/>
  <c r="B11" i="15" s="1"/>
  <c r="O17" i="11"/>
  <c r="Q17" i="11" s="1"/>
  <c r="H54" i="11"/>
  <c r="H42" i="11"/>
  <c r="H22" i="11"/>
  <c r="H50" i="11"/>
  <c r="H38" i="11"/>
  <c r="H74" i="11"/>
  <c r="G66" i="14"/>
  <c r="F26" i="11"/>
  <c r="B26" i="11"/>
  <c r="G69" i="11"/>
  <c r="E77" i="11"/>
  <c r="M19" i="11"/>
  <c r="O19" i="11" s="1"/>
  <c r="H25" i="11"/>
  <c r="M18" i="11"/>
  <c r="H20" i="11"/>
  <c r="P20" i="11" s="1"/>
  <c r="N21" i="11"/>
  <c r="C77" i="11"/>
  <c r="G24" i="11"/>
  <c r="H24" i="11" s="1"/>
  <c r="H40" i="11"/>
  <c r="G46" i="11"/>
  <c r="G52" i="11"/>
  <c r="H57" i="11"/>
  <c r="G43" i="11"/>
  <c r="H43" i="11" s="1"/>
  <c r="G53" i="11"/>
  <c r="H66" i="11"/>
  <c r="G72" i="11"/>
  <c r="H72" i="11" s="1"/>
  <c r="H46" i="11"/>
  <c r="H52" i="11"/>
  <c r="H53" i="11"/>
  <c r="H56" i="11"/>
  <c r="H70" i="11"/>
  <c r="G73" i="11"/>
  <c r="H73" i="11" s="1"/>
  <c r="H47" i="11"/>
  <c r="H62" i="11"/>
  <c r="G65" i="11"/>
  <c r="H65" i="11" s="1"/>
  <c r="G68" i="11"/>
  <c r="H68" i="11" s="1"/>
  <c r="H69" i="11"/>
  <c r="G76" i="11"/>
  <c r="H76" i="11" s="1"/>
  <c r="H55" i="11"/>
  <c r="H59" i="11"/>
  <c r="H63" i="11"/>
  <c r="D77" i="11" l="1"/>
  <c r="G66" i="13"/>
  <c r="H17" i="11"/>
  <c r="K17" i="11" s="1"/>
  <c r="P18" i="11"/>
  <c r="O18" i="11"/>
  <c r="Q18" i="11" s="1"/>
  <c r="Q19" i="11" s="1"/>
  <c r="E7" i="15"/>
  <c r="E9" i="15" s="1"/>
  <c r="E11" i="15" s="1"/>
  <c r="D7" i="15"/>
  <c r="D9" i="15" s="1"/>
  <c r="D11" i="15" s="1"/>
  <c r="F7" i="15"/>
  <c r="F9" i="15" s="1"/>
  <c r="F11" i="15" s="1"/>
  <c r="G26" i="11"/>
  <c r="H26" i="11" s="1"/>
  <c r="P19" i="11"/>
  <c r="M21" i="11"/>
  <c r="O21" i="11" s="1"/>
  <c r="N22" i="11"/>
  <c r="F27" i="11"/>
  <c r="B27" i="11"/>
  <c r="P17" i="11" l="1"/>
  <c r="R17" i="11" s="1"/>
  <c r="S17" i="11" s="1"/>
  <c r="E5" i="16" s="1"/>
  <c r="P21" i="11"/>
  <c r="F28" i="11"/>
  <c r="B28" i="11"/>
  <c r="N23" i="11"/>
  <c r="M22" i="11"/>
  <c r="O22" i="11" s="1"/>
  <c r="K18" i="11"/>
  <c r="L17" i="11"/>
  <c r="Q20" i="11"/>
  <c r="G27" i="11"/>
  <c r="R18" i="11" l="1"/>
  <c r="S18" i="11" s="1"/>
  <c r="E6" i="16" s="1"/>
  <c r="I5" i="16"/>
  <c r="D5" i="16"/>
  <c r="B7" i="17"/>
  <c r="C7" i="17" s="1"/>
  <c r="N24" i="11"/>
  <c r="M23" i="11"/>
  <c r="O23" i="11" s="1"/>
  <c r="K19" i="11"/>
  <c r="L18" i="11"/>
  <c r="R19" i="11"/>
  <c r="F29" i="11"/>
  <c r="B29" i="11"/>
  <c r="G28" i="11"/>
  <c r="H28" i="11" s="1"/>
  <c r="H27" i="11"/>
  <c r="Q21" i="11"/>
  <c r="P22" i="11"/>
  <c r="I6" i="16" l="1"/>
  <c r="D6" i="16"/>
  <c r="B8" i="17"/>
  <c r="C8" i="17" s="1"/>
  <c r="K20" i="11"/>
  <c r="L19" i="11"/>
  <c r="P23" i="11"/>
  <c r="G29" i="11"/>
  <c r="Q22" i="11"/>
  <c r="R20" i="11"/>
  <c r="S19" i="11"/>
  <c r="E7" i="16" s="1"/>
  <c r="F30" i="11"/>
  <c r="B30" i="11"/>
  <c r="M24" i="11"/>
  <c r="O24" i="11" s="1"/>
  <c r="N25" i="11"/>
  <c r="I7" i="16" l="1"/>
  <c r="D7" i="16"/>
  <c r="B9" i="17"/>
  <c r="C9" i="17" s="1"/>
  <c r="M25" i="11"/>
  <c r="O25" i="11" s="1"/>
  <c r="N26" i="11"/>
  <c r="H29" i="11"/>
  <c r="Q23" i="11"/>
  <c r="F31" i="11"/>
  <c r="B31" i="11"/>
  <c r="R21" i="11"/>
  <c r="S20" i="11"/>
  <c r="E8" i="16" s="1"/>
  <c r="K21" i="11"/>
  <c r="L20" i="11"/>
  <c r="P24" i="11"/>
  <c r="G30" i="11"/>
  <c r="H30" i="11" s="1"/>
  <c r="I8" i="16" l="1"/>
  <c r="D8" i="16"/>
  <c r="B10" i="17"/>
  <c r="C10" i="17" s="1"/>
  <c r="G31" i="11"/>
  <c r="H31" i="11" s="1"/>
  <c r="R22" i="11"/>
  <c r="S21" i="11"/>
  <c r="E9" i="16" s="1"/>
  <c r="M26" i="11"/>
  <c r="O26" i="11" s="1"/>
  <c r="N27" i="11"/>
  <c r="Q24" i="11"/>
  <c r="K22" i="11"/>
  <c r="C10" i="16" s="1"/>
  <c r="L21" i="11"/>
  <c r="F32" i="11"/>
  <c r="B32" i="11"/>
  <c r="P25" i="11"/>
  <c r="I9" i="16" l="1"/>
  <c r="D9" i="16"/>
  <c r="B11" i="17"/>
  <c r="C11" i="17" s="1"/>
  <c r="K23" i="11"/>
  <c r="C11" i="16" s="1"/>
  <c r="L22" i="11"/>
  <c r="F33" i="11"/>
  <c r="B33" i="11"/>
  <c r="Q25" i="11"/>
  <c r="N28" i="11"/>
  <c r="M27" i="11"/>
  <c r="O27" i="11" s="1"/>
  <c r="G32" i="11"/>
  <c r="H32" i="11" s="1"/>
  <c r="P26" i="11"/>
  <c r="R23" i="11"/>
  <c r="S22" i="11"/>
  <c r="E10" i="16" s="1"/>
  <c r="I10" i="16" l="1"/>
  <c r="D10" i="16"/>
  <c r="B12" i="17"/>
  <c r="C12" i="17" s="1"/>
  <c r="Q26" i="11"/>
  <c r="P27" i="11"/>
  <c r="F34" i="11"/>
  <c r="B34" i="11"/>
  <c r="N29" i="11"/>
  <c r="M28" i="11"/>
  <c r="O28" i="11" s="1"/>
  <c r="G33" i="11"/>
  <c r="H33" i="11" s="1"/>
  <c r="K24" i="11"/>
  <c r="C12" i="16" s="1"/>
  <c r="L23" i="11"/>
  <c r="R24" i="11"/>
  <c r="S23" i="11"/>
  <c r="E11" i="16" s="1"/>
  <c r="I11" i="16" l="1"/>
  <c r="D11" i="16"/>
  <c r="B13" i="17"/>
  <c r="P28" i="11"/>
  <c r="F35" i="11"/>
  <c r="B77" i="11"/>
  <c r="R25" i="11"/>
  <c r="S24" i="11"/>
  <c r="E12" i="16" s="1"/>
  <c r="K25" i="11"/>
  <c r="C13" i="16" s="1"/>
  <c r="L24" i="11"/>
  <c r="M29" i="11"/>
  <c r="O29" i="11" s="1"/>
  <c r="N30" i="11"/>
  <c r="G34" i="11"/>
  <c r="H34" i="11" s="1"/>
  <c r="Q27" i="11"/>
  <c r="I12" i="16" l="1"/>
  <c r="D12" i="16"/>
  <c r="B14" i="17"/>
  <c r="N31" i="11"/>
  <c r="M30" i="11"/>
  <c r="O30" i="11" s="1"/>
  <c r="K26" i="11"/>
  <c r="C14" i="16" s="1"/>
  <c r="L25" i="11"/>
  <c r="G35" i="11"/>
  <c r="F77" i="11"/>
  <c r="Q28" i="11"/>
  <c r="P29" i="11"/>
  <c r="R26" i="11"/>
  <c r="S25" i="11"/>
  <c r="E13" i="16" s="1"/>
  <c r="I13" i="16" l="1"/>
  <c r="D13" i="16"/>
  <c r="B15" i="17"/>
  <c r="C13" i="17"/>
  <c r="P30" i="11"/>
  <c r="Q29" i="11"/>
  <c r="R27" i="11"/>
  <c r="S26" i="11"/>
  <c r="E14" i="16" s="1"/>
  <c r="K27" i="11"/>
  <c r="C15" i="16" s="1"/>
  <c r="L26" i="11"/>
  <c r="H35" i="11"/>
  <c r="C7" i="15" s="1"/>
  <c r="C9" i="15" s="1"/>
  <c r="C11" i="15" s="1"/>
  <c r="G77" i="11"/>
  <c r="M31" i="11"/>
  <c r="O31" i="11" s="1"/>
  <c r="N32" i="11"/>
  <c r="I14" i="16" l="1"/>
  <c r="D14" i="16"/>
  <c r="B16" i="17"/>
  <c r="C14" i="17"/>
  <c r="M32" i="11"/>
  <c r="O32" i="11" s="1"/>
  <c r="N33" i="11"/>
  <c r="H77" i="11"/>
  <c r="Q30" i="11"/>
  <c r="P31" i="11"/>
  <c r="K28" i="11"/>
  <c r="C16" i="16" s="1"/>
  <c r="L27" i="11"/>
  <c r="R28" i="11"/>
  <c r="S27" i="11"/>
  <c r="E15" i="16" s="1"/>
  <c r="I15" i="16" l="1"/>
  <c r="D15" i="16"/>
  <c r="B17" i="17"/>
  <c r="C15" i="17"/>
  <c r="N34" i="11"/>
  <c r="M33" i="11"/>
  <c r="O33" i="11" s="1"/>
  <c r="K29" i="11"/>
  <c r="C17" i="16" s="1"/>
  <c r="L28" i="11"/>
  <c r="Q31" i="11"/>
  <c r="P32" i="11"/>
  <c r="R29" i="11"/>
  <c r="S28" i="11"/>
  <c r="E16" i="16" s="1"/>
  <c r="I16" i="16" l="1"/>
  <c r="D16" i="16"/>
  <c r="B18" i="17"/>
  <c r="C16" i="17"/>
  <c r="P33" i="11"/>
  <c r="R30" i="11"/>
  <c r="S29" i="11"/>
  <c r="E17" i="16" s="1"/>
  <c r="K30" i="11"/>
  <c r="C18" i="16" s="1"/>
  <c r="L29" i="11"/>
  <c r="Q32" i="11"/>
  <c r="N35" i="11"/>
  <c r="M34" i="11"/>
  <c r="O34" i="11" s="1"/>
  <c r="I17" i="16" l="1"/>
  <c r="D17" i="16"/>
  <c r="B19" i="17"/>
  <c r="C17" i="17"/>
  <c r="N36" i="11"/>
  <c r="M35" i="11"/>
  <c r="O35" i="11" s="1"/>
  <c r="P34" i="11"/>
  <c r="K31" i="11"/>
  <c r="C19" i="16" s="1"/>
  <c r="L30" i="11"/>
  <c r="R31" i="11"/>
  <c r="S30" i="11"/>
  <c r="E18" i="16" s="1"/>
  <c r="Q33" i="11"/>
  <c r="I18" i="16" l="1"/>
  <c r="D18" i="16"/>
  <c r="B20" i="17"/>
  <c r="C18" i="17"/>
  <c r="R32" i="11"/>
  <c r="S31" i="11"/>
  <c r="E19" i="16" s="1"/>
  <c r="P35" i="11"/>
  <c r="Q34" i="11"/>
  <c r="K32" i="11"/>
  <c r="C20" i="16" s="1"/>
  <c r="L31" i="11"/>
  <c r="M36" i="11"/>
  <c r="N37" i="11"/>
  <c r="I19" i="16" l="1"/>
  <c r="D19" i="16"/>
  <c r="B21" i="17"/>
  <c r="M37" i="11"/>
  <c r="N38" i="11"/>
  <c r="P36" i="11"/>
  <c r="Q35" i="11"/>
  <c r="K33" i="11"/>
  <c r="C21" i="16" s="1"/>
  <c r="L32" i="11"/>
  <c r="R33" i="11"/>
  <c r="S32" i="11"/>
  <c r="E20" i="16" s="1"/>
  <c r="I20" i="16" l="1"/>
  <c r="D20" i="16"/>
  <c r="B22" i="17"/>
  <c r="N39" i="11"/>
  <c r="M38" i="11"/>
  <c r="R34" i="11"/>
  <c r="S33" i="11"/>
  <c r="E21" i="16" s="1"/>
  <c r="K34" i="11"/>
  <c r="C22" i="16" s="1"/>
  <c r="L33" i="11"/>
  <c r="P37" i="11"/>
  <c r="I21" i="16" l="1"/>
  <c r="D21" i="16"/>
  <c r="B23" i="17"/>
  <c r="P38" i="11"/>
  <c r="N40" i="11"/>
  <c r="M39" i="11"/>
  <c r="K35" i="11"/>
  <c r="C23" i="16" s="1"/>
  <c r="L34" i="11"/>
  <c r="R35" i="11"/>
  <c r="S34" i="11"/>
  <c r="E22" i="16" s="1"/>
  <c r="I22" i="16" l="1"/>
  <c r="D22" i="16"/>
  <c r="B24" i="17"/>
  <c r="P39" i="11"/>
  <c r="R36" i="11"/>
  <c r="S35" i="11"/>
  <c r="E23" i="16" s="1"/>
  <c r="K36" i="11"/>
  <c r="C24" i="16" s="1"/>
  <c r="L35" i="11"/>
  <c r="N41" i="11"/>
  <c r="M40" i="11"/>
  <c r="I23" i="16" l="1"/>
  <c r="D23" i="16"/>
  <c r="B25" i="17"/>
  <c r="N42" i="11"/>
  <c r="M41" i="11"/>
  <c r="P40" i="11"/>
  <c r="R37" i="11"/>
  <c r="K37" i="11"/>
  <c r="C25" i="16" s="1"/>
  <c r="P41" i="11" l="1"/>
  <c r="R38" i="11"/>
  <c r="K38" i="11"/>
  <c r="C26" i="16" s="1"/>
  <c r="N43" i="11"/>
  <c r="M42" i="11"/>
  <c r="P42" i="11" l="1"/>
  <c r="R39" i="11"/>
  <c r="N44" i="11"/>
  <c r="M43" i="11"/>
  <c r="K39" i="11"/>
  <c r="C27" i="16" s="1"/>
  <c r="P43" i="11" l="1"/>
  <c r="N45" i="11"/>
  <c r="M44" i="11"/>
  <c r="K40" i="11"/>
  <c r="C28" i="16" s="1"/>
  <c r="R40" i="11"/>
  <c r="R41" i="11" l="1"/>
  <c r="P44" i="11"/>
  <c r="K41" i="11"/>
  <c r="C29" i="16" s="1"/>
  <c r="N46" i="11"/>
  <c r="M45" i="11"/>
  <c r="M46" i="11" l="1"/>
  <c r="N47" i="11"/>
  <c r="P45" i="11"/>
  <c r="R42" i="11"/>
  <c r="K42" i="11"/>
  <c r="C30" i="16" s="1"/>
  <c r="M47" i="11" l="1"/>
  <c r="N48" i="11"/>
  <c r="K43" i="11"/>
  <c r="C31" i="16" s="1"/>
  <c r="R43" i="11"/>
  <c r="P46" i="11"/>
  <c r="N49" i="11" l="1"/>
  <c r="M48" i="11"/>
  <c r="R44" i="11"/>
  <c r="K44" i="11"/>
  <c r="C32" i="16" s="1"/>
  <c r="P47" i="11"/>
  <c r="P48" i="11" l="1"/>
  <c r="R45" i="11"/>
  <c r="N50" i="11"/>
  <c r="M49" i="11"/>
  <c r="K45" i="11"/>
  <c r="C33" i="16" s="1"/>
  <c r="K46" i="11" l="1"/>
  <c r="C34" i="16" s="1"/>
  <c r="R46" i="11"/>
  <c r="P49" i="11"/>
  <c r="N51" i="11"/>
  <c r="M50" i="11"/>
  <c r="P50" i="11" l="1"/>
  <c r="N52" i="11"/>
  <c r="M51" i="11"/>
  <c r="K47" i="11"/>
  <c r="C35" i="16" s="1"/>
  <c r="R47" i="11"/>
  <c r="P51" i="11" l="1"/>
  <c r="M52" i="11"/>
  <c r="N53" i="11"/>
  <c r="R48" i="11"/>
  <c r="K48" i="11"/>
  <c r="C36" i="16" s="1"/>
  <c r="M53" i="11" l="1"/>
  <c r="N54" i="11"/>
  <c r="K49" i="11"/>
  <c r="C37" i="16" s="1"/>
  <c r="P52" i="11"/>
  <c r="R49" i="11"/>
  <c r="M54" i="11" l="1"/>
  <c r="N55" i="11"/>
  <c r="K50" i="11"/>
  <c r="C38" i="16" s="1"/>
  <c r="R50" i="11"/>
  <c r="P53" i="11"/>
  <c r="K51" i="11" l="1"/>
  <c r="C39" i="16" s="1"/>
  <c r="M55" i="11"/>
  <c r="N56" i="11"/>
  <c r="R51" i="11"/>
  <c r="P54" i="11"/>
  <c r="R52" i="11" l="1"/>
  <c r="M56" i="11"/>
  <c r="N57" i="11"/>
  <c r="K52" i="11"/>
  <c r="C40" i="16" s="1"/>
  <c r="P55" i="11"/>
  <c r="M57" i="11" l="1"/>
  <c r="N58" i="11"/>
  <c r="R53" i="11"/>
  <c r="K53" i="11"/>
  <c r="C41" i="16" s="1"/>
  <c r="P56" i="11"/>
  <c r="P57" i="11" l="1"/>
  <c r="M58" i="11"/>
  <c r="N59" i="11"/>
  <c r="K54" i="11"/>
  <c r="C42" i="16" s="1"/>
  <c r="R54" i="11"/>
  <c r="R55" i="11" l="1"/>
  <c r="M59" i="11"/>
  <c r="N60" i="11"/>
  <c r="K55" i="11"/>
  <c r="C43" i="16" s="1"/>
  <c r="P58" i="11"/>
  <c r="M60" i="11" l="1"/>
  <c r="N61" i="11"/>
  <c r="P59" i="11"/>
  <c r="K56" i="11"/>
  <c r="C44" i="16" s="1"/>
  <c r="R56" i="11"/>
  <c r="C19" i="17" l="1"/>
  <c r="M61" i="11"/>
  <c r="N62" i="11"/>
  <c r="R57" i="11"/>
  <c r="K57" i="11"/>
  <c r="C45" i="16" s="1"/>
  <c r="P60" i="11"/>
  <c r="C20" i="17" l="1"/>
  <c r="M62" i="11"/>
  <c r="N63" i="11"/>
  <c r="K58" i="11"/>
  <c r="C46" i="16" s="1"/>
  <c r="P61" i="11"/>
  <c r="R58" i="11"/>
  <c r="C21" i="17" l="1"/>
  <c r="K59" i="11"/>
  <c r="C47" i="16" s="1"/>
  <c r="M63" i="11"/>
  <c r="N64" i="11"/>
  <c r="R59" i="11"/>
  <c r="P62" i="11"/>
  <c r="C22" i="17" l="1"/>
  <c r="N65" i="11"/>
  <c r="M64" i="11"/>
  <c r="P63" i="11"/>
  <c r="R60" i="11"/>
  <c r="K60" i="11"/>
  <c r="C48" i="16" s="1"/>
  <c r="C23" i="17" l="1"/>
  <c r="K61" i="11"/>
  <c r="C49" i="16" s="1"/>
  <c r="P64" i="11"/>
  <c r="R61" i="11"/>
  <c r="N66" i="11"/>
  <c r="M65" i="11"/>
  <c r="C24" i="17" l="1"/>
  <c r="P65" i="11"/>
  <c r="M66" i="11"/>
  <c r="N67" i="11"/>
  <c r="R62" i="11"/>
  <c r="K62" i="11"/>
  <c r="C50" i="16" s="1"/>
  <c r="C25" i="17" l="1"/>
  <c r="D26" i="17" s="1"/>
  <c r="M67" i="11"/>
  <c r="N68" i="11"/>
  <c r="K63" i="11"/>
  <c r="C51" i="16" s="1"/>
  <c r="P66" i="11"/>
  <c r="R63" i="11"/>
  <c r="J36" i="11" l="1"/>
  <c r="B24" i="16" s="1"/>
  <c r="O36" i="11"/>
  <c r="Q36" i="11" s="1"/>
  <c r="R64" i="11"/>
  <c r="N69" i="11"/>
  <c r="M68" i="11"/>
  <c r="K64" i="11"/>
  <c r="C52" i="16" s="1"/>
  <c r="P67" i="11"/>
  <c r="S36" i="11" l="1"/>
  <c r="E24" i="16" s="1"/>
  <c r="L36" i="11"/>
  <c r="P68" i="11"/>
  <c r="N70" i="11"/>
  <c r="M69" i="11"/>
  <c r="R65" i="11"/>
  <c r="K65" i="11"/>
  <c r="C53" i="16" s="1"/>
  <c r="B26" i="17" l="1"/>
  <c r="C26" i="17" s="1"/>
  <c r="D27" i="17" s="1"/>
  <c r="I24" i="16"/>
  <c r="D24" i="16"/>
  <c r="P69" i="11"/>
  <c r="M70" i="11"/>
  <c r="N71" i="11"/>
  <c r="K66" i="11"/>
  <c r="C54" i="16" s="1"/>
  <c r="R66" i="11"/>
  <c r="J37" i="11" l="1"/>
  <c r="B25" i="16" s="1"/>
  <c r="O37" i="11"/>
  <c r="Q37" i="11" s="1"/>
  <c r="M71" i="11"/>
  <c r="N72" i="11"/>
  <c r="R67" i="11"/>
  <c r="P70" i="11"/>
  <c r="K67" i="11"/>
  <c r="C55" i="16" s="1"/>
  <c r="L37" i="11" l="1"/>
  <c r="S37" i="11"/>
  <c r="E25" i="16" s="1"/>
  <c r="N73" i="11"/>
  <c r="M72" i="11"/>
  <c r="K68" i="11"/>
  <c r="C56" i="16" s="1"/>
  <c r="R68" i="11"/>
  <c r="P71" i="11"/>
  <c r="B27" i="17" l="1"/>
  <c r="C27" i="17" s="1"/>
  <c r="D28" i="17" s="1"/>
  <c r="I25" i="16"/>
  <c r="D25" i="16"/>
  <c r="K69" i="11"/>
  <c r="C57" i="16" s="1"/>
  <c r="P72" i="11"/>
  <c r="R69" i="11"/>
  <c r="N74" i="11"/>
  <c r="M73" i="11"/>
  <c r="J38" i="11" l="1"/>
  <c r="B26" i="16" s="1"/>
  <c r="O38" i="11"/>
  <c r="Q38" i="11" s="1"/>
  <c r="P73" i="11"/>
  <c r="M74" i="11"/>
  <c r="N75" i="11"/>
  <c r="K70" i="11"/>
  <c r="C58" i="16" s="1"/>
  <c r="R70" i="11"/>
  <c r="L38" i="11" l="1"/>
  <c r="S38" i="11"/>
  <c r="E26" i="16" s="1"/>
  <c r="R71" i="11"/>
  <c r="K71" i="11"/>
  <c r="C59" i="16" s="1"/>
  <c r="M75" i="11"/>
  <c r="N76" i="11"/>
  <c r="M76" i="11" s="1"/>
  <c r="P74" i="11"/>
  <c r="B28" i="17" l="1"/>
  <c r="C28" i="17" s="1"/>
  <c r="D29" i="17" s="1"/>
  <c r="I26" i="16"/>
  <c r="D26" i="16"/>
  <c r="P76" i="11"/>
  <c r="P75" i="11"/>
  <c r="R72" i="11"/>
  <c r="K72" i="11"/>
  <c r="C60" i="16" s="1"/>
  <c r="J39" i="11" l="1"/>
  <c r="B27" i="16" s="1"/>
  <c r="O39" i="11"/>
  <c r="Q39" i="11" s="1"/>
  <c r="K73" i="11"/>
  <c r="C61" i="16" s="1"/>
  <c r="R73" i="11"/>
  <c r="L39" i="11" l="1"/>
  <c r="S39" i="11"/>
  <c r="E27" i="16" s="1"/>
  <c r="R74" i="11"/>
  <c r="K74" i="11"/>
  <c r="C62" i="16" s="1"/>
  <c r="B29" i="17" l="1"/>
  <c r="C29" i="17" s="1"/>
  <c r="D30" i="17" s="1"/>
  <c r="I27" i="16"/>
  <c r="D27" i="16"/>
  <c r="K75" i="11"/>
  <c r="C63" i="16" s="1"/>
  <c r="R75" i="11"/>
  <c r="J40" i="11" l="1"/>
  <c r="B28" i="16" s="1"/>
  <c r="O40" i="11"/>
  <c r="Q40" i="11" s="1"/>
  <c r="K76" i="11"/>
  <c r="C64" i="16" s="1"/>
  <c r="R76" i="11"/>
  <c r="L40" i="11" l="1"/>
  <c r="S40" i="11"/>
  <c r="E28" i="16" s="1"/>
  <c r="B30" i="17" l="1"/>
  <c r="C30" i="17" s="1"/>
  <c r="D31" i="17" s="1"/>
  <c r="I28" i="16"/>
  <c r="D28" i="16"/>
  <c r="J41" i="11" l="1"/>
  <c r="B29" i="16" s="1"/>
  <c r="O41" i="11"/>
  <c r="Q41" i="11" s="1"/>
  <c r="L41" i="11" l="1"/>
  <c r="S41" i="11"/>
  <c r="E29" i="16" s="1"/>
  <c r="B31" i="17" l="1"/>
  <c r="C31" i="17" s="1"/>
  <c r="D32" i="17" s="1"/>
  <c r="I29" i="16"/>
  <c r="D29" i="16"/>
  <c r="J42" i="11" l="1"/>
  <c r="B30" i="16" s="1"/>
  <c r="O42" i="11"/>
  <c r="Q42" i="11" s="1"/>
  <c r="L42" i="11" l="1"/>
  <c r="S42" i="11"/>
  <c r="E30" i="16" s="1"/>
  <c r="B32" i="17" l="1"/>
  <c r="C32" i="17" s="1"/>
  <c r="D33" i="17" s="1"/>
  <c r="I30" i="16"/>
  <c r="D30" i="16"/>
  <c r="J43" i="11" l="1"/>
  <c r="B31" i="16" s="1"/>
  <c r="O43" i="11"/>
  <c r="Q43" i="11" s="1"/>
  <c r="L43" i="11" l="1"/>
  <c r="S43" i="11"/>
  <c r="E31" i="16" s="1"/>
  <c r="B33" i="17" l="1"/>
  <c r="C33" i="17" s="1"/>
  <c r="D34" i="17" s="1"/>
  <c r="I31" i="16"/>
  <c r="D31" i="16"/>
  <c r="J44" i="11" l="1"/>
  <c r="B32" i="16" s="1"/>
  <c r="O44" i="11"/>
  <c r="Q44" i="11" s="1"/>
  <c r="L44" i="11" l="1"/>
  <c r="S44" i="11"/>
  <c r="E32" i="16" s="1"/>
  <c r="B34" i="17" l="1"/>
  <c r="C34" i="17" s="1"/>
  <c r="D35" i="17" s="1"/>
  <c r="I32" i="16"/>
  <c r="D32" i="16"/>
  <c r="J45" i="11" l="1"/>
  <c r="B33" i="16" s="1"/>
  <c r="O45" i="11"/>
  <c r="Q45" i="11" s="1"/>
  <c r="L45" i="11" l="1"/>
  <c r="S45" i="11"/>
  <c r="E33" i="16" s="1"/>
  <c r="B35" i="17" l="1"/>
  <c r="C35" i="17" s="1"/>
  <c r="D36" i="17" s="1"/>
  <c r="I33" i="16"/>
  <c r="D33" i="16"/>
  <c r="J46" i="11" l="1"/>
  <c r="B34" i="16" s="1"/>
  <c r="O46" i="11"/>
  <c r="Q46" i="11" s="1"/>
  <c r="L46" i="11" l="1"/>
  <c r="S46" i="11"/>
  <c r="E34" i="16" s="1"/>
  <c r="B36" i="17" l="1"/>
  <c r="C36" i="17" s="1"/>
  <c r="D37" i="17" s="1"/>
  <c r="I34" i="16"/>
  <c r="D34" i="16"/>
  <c r="J47" i="11" l="1"/>
  <c r="B35" i="16" s="1"/>
  <c r="O47" i="11"/>
  <c r="Q47" i="11" s="1"/>
  <c r="L47" i="11" l="1"/>
  <c r="S47" i="11"/>
  <c r="E35" i="16" s="1"/>
  <c r="B37" i="17" l="1"/>
  <c r="C37" i="17" s="1"/>
  <c r="D38" i="17" s="1"/>
  <c r="I35" i="16"/>
  <c r="D35" i="16"/>
  <c r="J48" i="11" l="1"/>
  <c r="B36" i="16" s="1"/>
  <c r="O48" i="11"/>
  <c r="Q48" i="11" s="1"/>
  <c r="L48" i="11" l="1"/>
  <c r="S48" i="11"/>
  <c r="E36" i="16" s="1"/>
  <c r="B38" i="17" l="1"/>
  <c r="C38" i="17" s="1"/>
  <c r="D39" i="17" s="1"/>
  <c r="I36" i="16"/>
  <c r="D36" i="16"/>
  <c r="J49" i="11" l="1"/>
  <c r="B37" i="16" s="1"/>
  <c r="O49" i="11"/>
  <c r="Q49" i="11" s="1"/>
  <c r="L49" i="11" l="1"/>
  <c r="S49" i="11"/>
  <c r="E37" i="16" s="1"/>
  <c r="B39" i="17" l="1"/>
  <c r="C39" i="17" s="1"/>
  <c r="D40" i="17" s="1"/>
  <c r="I37" i="16"/>
  <c r="D37" i="16"/>
  <c r="J50" i="11" l="1"/>
  <c r="B38" i="16" s="1"/>
  <c r="O50" i="11"/>
  <c r="Q50" i="11" s="1"/>
  <c r="L50" i="11" l="1"/>
  <c r="S50" i="11"/>
  <c r="E38" i="16" s="1"/>
  <c r="B40" i="17" l="1"/>
  <c r="C40" i="17" s="1"/>
  <c r="D41" i="17" s="1"/>
  <c r="I38" i="16"/>
  <c r="D38" i="16"/>
  <c r="J51" i="11" l="1"/>
  <c r="B39" i="16" s="1"/>
  <c r="O51" i="11"/>
  <c r="Q51" i="11" s="1"/>
  <c r="L51" i="11" l="1"/>
  <c r="S51" i="11"/>
  <c r="E39" i="16" s="1"/>
  <c r="B41" i="17" l="1"/>
  <c r="C41" i="17" s="1"/>
  <c r="D42" i="17" s="1"/>
  <c r="I39" i="16"/>
  <c r="D39" i="16"/>
  <c r="J52" i="11" l="1"/>
  <c r="B40" i="16" s="1"/>
  <c r="O52" i="11"/>
  <c r="Q52" i="11" s="1"/>
  <c r="L52" i="11" l="1"/>
  <c r="S52" i="11"/>
  <c r="E40" i="16" s="1"/>
  <c r="B42" i="17" l="1"/>
  <c r="C42" i="17" s="1"/>
  <c r="D43" i="17" s="1"/>
  <c r="I40" i="16"/>
  <c r="J2" i="16" s="1"/>
  <c r="D40" i="16"/>
  <c r="J53" i="11" l="1"/>
  <c r="B41" i="16" s="1"/>
  <c r="O53" i="11"/>
  <c r="Q53" i="11" s="1"/>
  <c r="L53" i="11" l="1"/>
  <c r="S53" i="11"/>
  <c r="E41" i="16" s="1"/>
  <c r="B43" i="17" l="1"/>
  <c r="C43" i="17" s="1"/>
  <c r="D44" i="17" s="1"/>
  <c r="I41" i="16"/>
  <c r="D41" i="16"/>
  <c r="J54" i="11" l="1"/>
  <c r="B42" i="16" s="1"/>
  <c r="O54" i="11"/>
  <c r="Q54" i="11" s="1"/>
  <c r="L54" i="11" l="1"/>
  <c r="S54" i="11"/>
  <c r="E42" i="16" s="1"/>
  <c r="B44" i="17" l="1"/>
  <c r="C44" i="17" s="1"/>
  <c r="D45" i="17" s="1"/>
  <c r="I42" i="16"/>
  <c r="D42" i="16"/>
  <c r="J55" i="11" l="1"/>
  <c r="B43" i="16" s="1"/>
  <c r="O55" i="11"/>
  <c r="Q55" i="11" s="1"/>
  <c r="L55" i="11" l="1"/>
  <c r="S55" i="11"/>
  <c r="E43" i="16" s="1"/>
  <c r="B45" i="17" l="1"/>
  <c r="C45" i="17" s="1"/>
  <c r="D46" i="17" s="1"/>
  <c r="I43" i="16"/>
  <c r="D43" i="16"/>
  <c r="J56" i="11" l="1"/>
  <c r="B44" i="16" s="1"/>
  <c r="O56" i="11"/>
  <c r="Q56" i="11" s="1"/>
  <c r="L56" i="11" l="1"/>
  <c r="S56" i="11"/>
  <c r="E44" i="16" s="1"/>
  <c r="B46" i="17" l="1"/>
  <c r="C46" i="17" s="1"/>
  <c r="D47" i="17" s="1"/>
  <c r="I44" i="16"/>
  <c r="D44" i="16"/>
  <c r="J57" i="11" l="1"/>
  <c r="B45" i="16" s="1"/>
  <c r="O57" i="11"/>
  <c r="Q57" i="11" s="1"/>
  <c r="L57" i="11" l="1"/>
  <c r="S57" i="11"/>
  <c r="E45" i="16" s="1"/>
  <c r="B47" i="17" l="1"/>
  <c r="C47" i="17" s="1"/>
  <c r="D48" i="17" s="1"/>
  <c r="I45" i="16"/>
  <c r="D45" i="16"/>
  <c r="J58" i="11" l="1"/>
  <c r="B46" i="16" s="1"/>
  <c r="O58" i="11"/>
  <c r="Q58" i="11" s="1"/>
  <c r="L58" i="11" l="1"/>
  <c r="S58" i="11"/>
  <c r="E46" i="16" s="1"/>
  <c r="B48" i="17" l="1"/>
  <c r="C48" i="17" s="1"/>
  <c r="D49" i="17" s="1"/>
  <c r="I46" i="16"/>
  <c r="D46" i="16"/>
  <c r="J59" i="11" l="1"/>
  <c r="B47" i="16" s="1"/>
  <c r="O59" i="11"/>
  <c r="Q59" i="11" s="1"/>
  <c r="L59" i="11" l="1"/>
  <c r="S59" i="11"/>
  <c r="E47" i="16" s="1"/>
  <c r="B49" i="17" l="1"/>
  <c r="C49" i="17" s="1"/>
  <c r="D50" i="17" s="1"/>
  <c r="I47" i="16"/>
  <c r="D47" i="16"/>
  <c r="J60" i="11" l="1"/>
  <c r="B48" i="16" s="1"/>
  <c r="O60" i="11"/>
  <c r="Q60" i="11" s="1"/>
  <c r="L60" i="11" l="1"/>
  <c r="S60" i="11"/>
  <c r="E48" i="16" s="1"/>
  <c r="B50" i="17" l="1"/>
  <c r="C50" i="17" s="1"/>
  <c r="D51" i="17" s="1"/>
  <c r="I48" i="16"/>
  <c r="D48" i="16"/>
  <c r="J61" i="11" l="1"/>
  <c r="B49" i="16" s="1"/>
  <c r="O61" i="11"/>
  <c r="Q61" i="11" s="1"/>
  <c r="L61" i="11" l="1"/>
  <c r="S61" i="11"/>
  <c r="E49" i="16" s="1"/>
  <c r="B51" i="17" l="1"/>
  <c r="C51" i="17" s="1"/>
  <c r="D52" i="17" s="1"/>
  <c r="I49" i="16"/>
  <c r="D49" i="16"/>
  <c r="J62" i="11" l="1"/>
  <c r="B50" i="16" s="1"/>
  <c r="O62" i="11"/>
  <c r="Q62" i="11" s="1"/>
  <c r="L62" i="11" l="1"/>
  <c r="S62" i="11"/>
  <c r="E50" i="16" s="1"/>
  <c r="B52" i="17" l="1"/>
  <c r="C52" i="17" s="1"/>
  <c r="D53" i="17" s="1"/>
  <c r="I50" i="16"/>
  <c r="D50" i="16"/>
  <c r="J63" i="11" l="1"/>
  <c r="B51" i="16" s="1"/>
  <c r="O63" i="11"/>
  <c r="Q63" i="11" s="1"/>
  <c r="L63" i="11" l="1"/>
  <c r="S63" i="11"/>
  <c r="E51" i="16" s="1"/>
  <c r="B53" i="17" l="1"/>
  <c r="C53" i="17" s="1"/>
  <c r="D54" i="17" s="1"/>
  <c r="I51" i="16"/>
  <c r="D51" i="16"/>
  <c r="J64" i="11" l="1"/>
  <c r="B52" i="16" s="1"/>
  <c r="O64" i="11"/>
  <c r="Q64" i="11" s="1"/>
  <c r="L64" i="11" l="1"/>
  <c r="S64" i="11"/>
  <c r="E52" i="16" s="1"/>
  <c r="B54" i="17" l="1"/>
  <c r="C54" i="17" s="1"/>
  <c r="D55" i="17" s="1"/>
  <c r="I52" i="16"/>
  <c r="D52" i="16"/>
  <c r="J65" i="11" l="1"/>
  <c r="B53" i="16" s="1"/>
  <c r="O65" i="11"/>
  <c r="Q65" i="11" s="1"/>
  <c r="L65" i="11" l="1"/>
  <c r="S65" i="11"/>
  <c r="E53" i="16" s="1"/>
  <c r="B55" i="17" l="1"/>
  <c r="C55" i="17" s="1"/>
  <c r="D56" i="17" s="1"/>
  <c r="I53" i="16"/>
  <c r="D53" i="16"/>
  <c r="J66" i="11" l="1"/>
  <c r="B54" i="16" s="1"/>
  <c r="O66" i="11"/>
  <c r="Q66" i="11" s="1"/>
  <c r="S66" i="11" l="1"/>
  <c r="E54" i="16" s="1"/>
  <c r="L66" i="11"/>
  <c r="B56" i="17" l="1"/>
  <c r="C56" i="17" s="1"/>
  <c r="D57" i="17" s="1"/>
  <c r="I54" i="16"/>
  <c r="D54" i="16"/>
  <c r="J67" i="11" l="1"/>
  <c r="B55" i="16" s="1"/>
  <c r="O67" i="11"/>
  <c r="Q67" i="11" s="1"/>
  <c r="S67" i="11" l="1"/>
  <c r="E55" i="16" s="1"/>
  <c r="L67" i="11"/>
  <c r="B57" i="17" l="1"/>
  <c r="C57" i="17" s="1"/>
  <c r="D58" i="17" s="1"/>
  <c r="I55" i="16"/>
  <c r="D55" i="16"/>
  <c r="G7" i="4"/>
  <c r="H7" i="4" s="1"/>
  <c r="G8" i="4"/>
  <c r="H8" i="4" s="1"/>
  <c r="G22" i="7"/>
  <c r="H22" i="7" s="1"/>
  <c r="G21" i="7"/>
  <c r="H21" i="7" s="1"/>
  <c r="G20" i="7"/>
  <c r="H20" i="7" s="1"/>
  <c r="G19" i="7"/>
  <c r="H19" i="7" s="1"/>
  <c r="G17" i="7"/>
  <c r="H17" i="7" s="1"/>
  <c r="F33" i="7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6" i="7"/>
  <c r="H6" i="7" s="1"/>
  <c r="G5" i="7"/>
  <c r="H5" i="7" s="1"/>
  <c r="G4" i="7"/>
  <c r="H4" i="7" s="1"/>
  <c r="G2" i="7"/>
  <c r="H2" i="7" s="1"/>
  <c r="H14" i="6"/>
  <c r="G14" i="6"/>
  <c r="F14" i="6"/>
  <c r="E14" i="6"/>
  <c r="L4" i="6"/>
  <c r="J68" i="11" l="1"/>
  <c r="B56" i="16" s="1"/>
  <c r="O68" i="11"/>
  <c r="Q68" i="11" s="1"/>
  <c r="H24" i="7"/>
  <c r="D22" i="6"/>
  <c r="M4" i="6"/>
  <c r="E4" i="6"/>
  <c r="C5" i="6"/>
  <c r="C4" i="6"/>
  <c r="D5" i="6"/>
  <c r="D4" i="6"/>
  <c r="D14" i="6"/>
  <c r="G4" i="6"/>
  <c r="H4" i="6"/>
  <c r="F23" i="4"/>
  <c r="S68" i="11" l="1"/>
  <c r="E56" i="16" s="1"/>
  <c r="L68" i="11"/>
  <c r="D16" i="6"/>
  <c r="D18" i="6" s="1"/>
  <c r="D20" i="6" s="1"/>
  <c r="J14" i="6"/>
  <c r="B58" i="17" l="1"/>
  <c r="C58" i="17" s="1"/>
  <c r="D59" i="17" s="1"/>
  <c r="I56" i="16"/>
  <c r="D56" i="16"/>
  <c r="J16" i="6"/>
  <c r="J18" i="6" s="1"/>
  <c r="L16" i="6"/>
  <c r="L18" i="6" s="1"/>
  <c r="G20" i="3"/>
  <c r="H20" i="3" s="1"/>
  <c r="J69" i="11" l="1"/>
  <c r="B57" i="16" s="1"/>
  <c r="O69" i="11"/>
  <c r="Q69" i="11" s="1"/>
  <c r="G24" i="3"/>
  <c r="H24" i="3" s="1"/>
  <c r="G25" i="3"/>
  <c r="H25" i="3" s="1"/>
  <c r="G13" i="3"/>
  <c r="H13" i="3" s="1"/>
  <c r="L69" i="11" l="1"/>
  <c r="S69" i="11"/>
  <c r="E57" i="16" s="1"/>
  <c r="G7" i="3"/>
  <c r="H7" i="3" s="1"/>
  <c r="B59" i="17" l="1"/>
  <c r="C59" i="17" s="1"/>
  <c r="D60" i="17" s="1"/>
  <c r="I57" i="16"/>
  <c r="D57" i="16"/>
  <c r="G9" i="3"/>
  <c r="H9" i="3" s="1"/>
  <c r="J70" i="11" l="1"/>
  <c r="B58" i="16" s="1"/>
  <c r="O70" i="11"/>
  <c r="Q70" i="11" s="1"/>
  <c r="G29" i="3"/>
  <c r="H29" i="3" s="1"/>
  <c r="S70" i="11" l="1"/>
  <c r="E58" i="16" s="1"/>
  <c r="L70" i="11"/>
  <c r="G15" i="3"/>
  <c r="B60" i="17" l="1"/>
  <c r="C60" i="17" s="1"/>
  <c r="D61" i="17" s="1"/>
  <c r="I58" i="16"/>
  <c r="D58" i="16"/>
  <c r="H15" i="3"/>
  <c r="G21" i="3"/>
  <c r="H21" i="3" s="1"/>
  <c r="J71" i="11" l="1"/>
  <c r="B59" i="16" s="1"/>
  <c r="O71" i="11"/>
  <c r="Q71" i="11" s="1"/>
  <c r="S71" i="11" l="1"/>
  <c r="E59" i="16" s="1"/>
  <c r="L71" i="11"/>
  <c r="G3" i="4"/>
  <c r="H3" i="4" s="1"/>
  <c r="G4" i="4"/>
  <c r="H4" i="4" s="1"/>
  <c r="G5" i="4"/>
  <c r="H5" i="4" s="1"/>
  <c r="G6" i="4"/>
  <c r="H6" i="4" s="1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B61" i="17" l="1"/>
  <c r="C61" i="17" s="1"/>
  <c r="D62" i="17" s="1"/>
  <c r="I59" i="16"/>
  <c r="D59" i="16"/>
  <c r="H14" i="4"/>
  <c r="G3" i="3"/>
  <c r="H3" i="3" s="1"/>
  <c r="G4" i="3"/>
  <c r="H4" i="3" s="1"/>
  <c r="G5" i="3"/>
  <c r="G6" i="3"/>
  <c r="H6" i="3" s="1"/>
  <c r="G8" i="3"/>
  <c r="H8" i="3" s="1"/>
  <c r="G10" i="3"/>
  <c r="H10" i="3" s="1"/>
  <c r="G11" i="3"/>
  <c r="H11" i="3" s="1"/>
  <c r="G12" i="3"/>
  <c r="G14" i="3"/>
  <c r="G16" i="3"/>
  <c r="H16" i="3" s="1"/>
  <c r="G17" i="3"/>
  <c r="H17" i="3" s="1"/>
  <c r="G18" i="3"/>
  <c r="G19" i="3"/>
  <c r="H19" i="3" s="1"/>
  <c r="G22" i="3"/>
  <c r="H22" i="3" s="1"/>
  <c r="G23" i="3"/>
  <c r="G26" i="3"/>
  <c r="G27" i="3"/>
  <c r="G28" i="3"/>
  <c r="H28" i="3" s="1"/>
  <c r="G30" i="3"/>
  <c r="H30" i="3" s="1"/>
  <c r="G31" i="3"/>
  <c r="H31" i="3" s="1"/>
  <c r="G32" i="3"/>
  <c r="G33" i="3"/>
  <c r="G2" i="3"/>
  <c r="H2" i="3" s="1"/>
  <c r="J72" i="11" l="1"/>
  <c r="B60" i="16" s="1"/>
  <c r="O72" i="11"/>
  <c r="Q72" i="11" s="1"/>
  <c r="H26" i="3"/>
  <c r="H33" i="3"/>
  <c r="H32" i="3"/>
  <c r="H27" i="3"/>
  <c r="H23" i="3"/>
  <c r="H18" i="3"/>
  <c r="H14" i="3"/>
  <c r="H12" i="3"/>
  <c r="H5" i="3"/>
  <c r="L72" i="11" l="1"/>
  <c r="S72" i="11"/>
  <c r="E60" i="16" s="1"/>
  <c r="H34" i="3"/>
  <c r="D5" i="22" l="1"/>
  <c r="E5" i="22" s="1"/>
  <c r="E19" i="22" s="1"/>
  <c r="D19" i="22" s="1"/>
  <c r="B4" i="21"/>
  <c r="B3" i="21"/>
  <c r="B5" i="19"/>
  <c r="B20" i="19" s="1"/>
  <c r="B62" i="17"/>
  <c r="C62" i="17" s="1"/>
  <c r="D63" i="17" s="1"/>
  <c r="I60" i="16"/>
  <c r="D60" i="16"/>
  <c r="B11" i="21" l="1"/>
  <c r="J73" i="11"/>
  <c r="B61" i="16" s="1"/>
  <c r="O73" i="11"/>
  <c r="Q73" i="11" s="1"/>
  <c r="L73" i="11" l="1"/>
  <c r="S73" i="11"/>
  <c r="E61" i="16" s="1"/>
  <c r="B63" i="17" l="1"/>
  <c r="C63" i="17" s="1"/>
  <c r="D64" i="17" s="1"/>
  <c r="I61" i="16"/>
  <c r="D61" i="16"/>
  <c r="J74" i="11" l="1"/>
  <c r="B62" i="16" s="1"/>
  <c r="O74" i="11"/>
  <c r="Q74" i="11" s="1"/>
  <c r="L74" i="11" l="1"/>
  <c r="S74" i="11"/>
  <c r="E62" i="16" s="1"/>
  <c r="B64" i="17" l="1"/>
  <c r="C64" i="17" s="1"/>
  <c r="D65" i="17" s="1"/>
  <c r="I62" i="16"/>
  <c r="D62" i="16"/>
  <c r="J75" i="11" l="1"/>
  <c r="B63" i="16" s="1"/>
  <c r="O75" i="11"/>
  <c r="Q75" i="11" s="1"/>
  <c r="L75" i="11" l="1"/>
  <c r="S75" i="11"/>
  <c r="E63" i="16" s="1"/>
  <c r="B65" i="17" l="1"/>
  <c r="C65" i="17" s="1"/>
  <c r="D66" i="17" s="1"/>
  <c r="I63" i="16"/>
  <c r="D63" i="16"/>
  <c r="J76" i="11" l="1"/>
  <c r="B64" i="16" s="1"/>
  <c r="O76" i="11"/>
  <c r="Q76" i="11" s="1"/>
  <c r="S76" i="11" s="1"/>
  <c r="E64" i="16" s="1"/>
  <c r="L76" i="11" l="1"/>
  <c r="C14" i="11" s="1"/>
  <c r="D14" i="11"/>
  <c r="E14" i="11"/>
  <c r="B66" i="17" l="1"/>
  <c r="C66" i="17" s="1"/>
  <c r="D64" i="16"/>
  <c r="I64" i="16"/>
</calcChain>
</file>

<file path=xl/sharedStrings.xml><?xml version="1.0" encoding="utf-8"?>
<sst xmlns="http://schemas.openxmlformats.org/spreadsheetml/2006/main" count="559" uniqueCount="353">
  <si>
    <t>Materiales</t>
  </si>
  <si>
    <t xml:space="preserve">Detalle  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</si>
  <si>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</si>
  <si>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</si>
  <si>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</si>
  <si>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</si>
  <si>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</si>
  <si>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</si>
  <si>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</si>
  <si>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</si>
  <si>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</si>
  <si>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Cicem SRL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</si>
  <si>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</si>
  <si>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</si>
  <si>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</si>
  <si>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</si>
  <si>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</si>
  <si>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</si>
  <si>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</si>
  <si>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</si>
  <si>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</si>
  <si>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</si>
  <si>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</si>
  <si>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</si>
  <si>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</si>
  <si>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</si>
  <si>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</si>
  <si>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</si>
  <si>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</si>
  <si>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</si>
  <si>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</si>
  <si>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</si>
  <si>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</si>
  <si>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</si>
  <si>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</si>
  <si>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</si>
  <si>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</si>
  <si>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</si>
  <si>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</si>
  <si>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</si>
  <si>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</si>
  <si>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</si>
  <si>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</si>
  <si>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</si>
  <si>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</si>
  <si>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</si>
  <si>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</si>
  <si>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</si>
  <si>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</si>
  <si>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</si>
  <si>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</si>
  <si>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</si>
  <si>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</si>
  <si>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</si>
  <si>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Tarea</t>
  </si>
  <si>
    <t>Horas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</si>
  <si>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</si>
  <si>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</si>
  <si>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</si>
  <si>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</si>
  <si>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</si>
  <si>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</si>
  <si>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</si>
  <si>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</si>
  <si>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</si>
  <si>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</si>
  <si>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</si>
  <si>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</si>
  <si>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</si>
  <si>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</si>
  <si>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Varios</t>
  </si>
  <si>
    <t>Cables, termocontraibles, terminales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</si>
  <si>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</si>
  <si>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</si>
  <si>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</si>
  <si>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</si>
  <si>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</si>
  <si>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</si>
  <si>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</si>
  <si>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</si>
  <si>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</si>
  <si>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</si>
  <si>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Cantidad</t>
  </si>
  <si>
    <t>Resistencia R6</t>
  </si>
  <si>
    <t>Este reemplaza a la resistencia de 240 del 317.</t>
  </si>
  <si>
    <t>Tira de Pines Hembra p/ USB x 10</t>
  </si>
  <si>
    <t>Tira de Pines Macho p/ JMP x 20</t>
  </si>
  <si>
    <t>Diodo Zener 20V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</si>
  <si>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</si>
  <si>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</si>
  <si>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</si>
  <si>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</si>
  <si>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</si>
  <si>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</si>
  <si>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</si>
  <si>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</si>
  <si>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</si>
  <si>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</si>
  <si>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</si>
  <si>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</si>
  <si>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SYC 1N5817</t>
  </si>
  <si>
    <t>Impreso doble Faz con TH y Serigrafia</t>
  </si>
  <si>
    <t>L-com 900 Mhz</t>
  </si>
  <si>
    <t>Pig tail 50cm RP SMA macho invertido a 90° a N Hembra pasachapa + Cable RG58</t>
  </si>
  <si>
    <t>Regulador 5V (LM2940-5)</t>
  </si>
  <si>
    <t>DGA Electronica</t>
  </si>
  <si>
    <t>Chapa Identificatoria</t>
  </si>
  <si>
    <t>Conforme a Ingeniería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</si>
  <si>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</si>
  <si>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</si>
  <si>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</si>
  <si>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</si>
  <si>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</si>
  <si>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</si>
  <si>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</si>
  <si>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</si>
  <si>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</si>
  <si>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</si>
  <si>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</si>
  <si>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</si>
  <si>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</si>
  <si>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</si>
  <si>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</si>
  <si>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</si>
  <si>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</si>
  <si>
    <t>Este reemplaza al de de 470nF ceramico.</t>
  </si>
  <si>
    <t>Este en realidad se reemplaza por el de 1uF.</t>
  </si>
  <si>
    <t>Led Amarillo</t>
  </si>
  <si>
    <t>Bateria 12v Acido 7Ah</t>
  </si>
  <si>
    <t>Antena 900 MHz 3 dbi Omni HG903UP-NF + Soporte</t>
  </si>
  <si>
    <t>Jumaled</t>
  </si>
  <si>
    <t>1/2"</t>
  </si>
  <si>
    <t>3/4"</t>
  </si>
  <si>
    <t>8x4</t>
  </si>
  <si>
    <t>2x0.5mm</t>
  </si>
  <si>
    <t>Tubo termocontraible</t>
  </si>
  <si>
    <t>Por kg</t>
  </si>
  <si>
    <t>30x30x1/4"</t>
  </si>
  <si>
    <t>En metros</t>
  </si>
  <si>
    <t>Varilla roscada galvanizada</t>
  </si>
  <si>
    <t>Pintura Epoxi Negro</t>
  </si>
  <si>
    <t>Por litro</t>
  </si>
  <si>
    <t>Diluyente Epoxi</t>
  </si>
  <si>
    <t>Soporte de Panel solar 1cm</t>
  </si>
  <si>
    <t>Cable para panel</t>
  </si>
  <si>
    <t>Indeca</t>
  </si>
  <si>
    <t>Concepto</t>
  </si>
  <si>
    <t>Flete de gabinetes + caños para montaje</t>
  </si>
  <si>
    <t>Costo (USD)</t>
  </si>
  <si>
    <t>Tiempo asignado a la tarea</t>
  </si>
  <si>
    <t>Precintos metálicos</t>
  </si>
  <si>
    <t>Transporte a yacimiento para instalación Camioneta</t>
  </si>
  <si>
    <t xml:space="preserve">Logísitca de Sector Venta </t>
  </si>
  <si>
    <t>MOD</t>
  </si>
  <si>
    <t>MOI</t>
  </si>
  <si>
    <t>Soporte de Oficina en PM</t>
  </si>
  <si>
    <t>a8:a6:68:e3:11:f0</t>
  </si>
  <si>
    <t>a8:96:75:6a:d6:7b</t>
  </si>
  <si>
    <t>TOTALES</t>
  </si>
  <si>
    <t>I-E AJUST</t>
  </si>
  <si>
    <t>EGR ACUM AJ</t>
  </si>
  <si>
    <t>ING ACUM AJ</t>
  </si>
  <si>
    <t>EGR AJUST</t>
  </si>
  <si>
    <t>ING AJUST</t>
  </si>
  <si>
    <t>PERÍODOS</t>
  </si>
  <si>
    <t>(1+i)^n</t>
  </si>
  <si>
    <t>ING-EGRESOS</t>
  </si>
  <si>
    <t>EGRESOS ACUMULADOS</t>
  </si>
  <si>
    <t>INGRESOS ACUMULADOS</t>
  </si>
  <si>
    <t>IMP. GAN.</t>
  </si>
  <si>
    <t>EGRESOS</t>
  </si>
  <si>
    <t>IIBB</t>
  </si>
  <si>
    <t>VENTAS</t>
  </si>
  <si>
    <t>UNIDADES A VENDER</t>
  </si>
  <si>
    <t>MES</t>
  </si>
  <si>
    <t>UTILIDAD TEÓRICA:</t>
  </si>
  <si>
    <t>TIR AJUST</t>
  </si>
  <si>
    <t>VAN AJUST</t>
  </si>
  <si>
    <t>Precio de Venta:</t>
  </si>
  <si>
    <t>PARÁMETROS GLOBALES</t>
  </si>
  <si>
    <t>Fecha:</t>
  </si>
  <si>
    <t>XXX</t>
  </si>
  <si>
    <t>PROYECTO:</t>
  </si>
  <si>
    <t>INVERSIÓN INICIAL</t>
  </si>
  <si>
    <t>GASTO1</t>
  </si>
  <si>
    <t>GASTO2</t>
  </si>
  <si>
    <t>GASTO3</t>
  </si>
  <si>
    <t>TOTAL GASTOS</t>
  </si>
  <si>
    <t>Creo que no hay que poner nada en inversión inicial ya que como criterio lo consideré como costo fijo + variables</t>
  </si>
  <si>
    <t>como criterio para poder decir cuánto invertir en todo</t>
  </si>
  <si>
    <t>TOTAL</t>
  </si>
  <si>
    <t>COSTOS FIJOS</t>
  </si>
  <si>
    <t>Encargado de Stock (1)</t>
  </si>
  <si>
    <t>Equipo de Venta (1)</t>
  </si>
  <si>
    <t>Equipo de Ingeniería/ Jefe de Proyecto (1)</t>
  </si>
  <si>
    <t>Equipo de Desarrollo (1)</t>
  </si>
  <si>
    <t>Técnico de Ensamblado (1)</t>
  </si>
  <si>
    <t>COSTOS TOTALES</t>
  </si>
  <si>
    <t>COSTOS VARIABLES</t>
  </si>
  <si>
    <t>Armado De Placa</t>
  </si>
  <si>
    <t>Armado De Gabinete</t>
  </si>
  <si>
    <t>COSTO UNITARIO TOTAL</t>
  </si>
  <si>
    <t>UNIDADES</t>
  </si>
  <si>
    <t>COSTO TOTAL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</si>
  <si>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</si>
  <si>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</si>
  <si>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</si>
  <si>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IMPUESTOS A LAS GANANCIAS</t>
  </si>
  <si>
    <t>Año 1</t>
  </si>
  <si>
    <t>Año 2</t>
  </si>
  <si>
    <t>Año 3</t>
  </si>
  <si>
    <t>Año 4</t>
  </si>
  <si>
    <t>Año 5</t>
  </si>
  <si>
    <t>INGRESOS</t>
  </si>
  <si>
    <t>I-E</t>
  </si>
  <si>
    <t>Impuestos</t>
  </si>
  <si>
    <t>GRAFICO</t>
  </si>
  <si>
    <t>Tasa</t>
  </si>
  <si>
    <t>I-E AJUSTADO</t>
  </si>
  <si>
    <t>FLUJO NORMAL</t>
  </si>
  <si>
    <t>OTROS INGRESOS</t>
  </si>
  <si>
    <t>Por ejemplo inversiones del excedente del flujo de fondos</t>
  </si>
  <si>
    <t>Flujo de fondos</t>
  </si>
  <si>
    <t>Saldo positivo</t>
  </si>
  <si>
    <t>Inversión</t>
  </si>
  <si>
    <t>Tasa mensual USD</t>
  </si>
  <si>
    <t>Embalaje (1 persona)</t>
  </si>
  <si>
    <t>Planchuela cuadrada de hierro para base</t>
  </si>
  <si>
    <t>En metros x 0.25</t>
  </si>
  <si>
    <t>1/2" NPT RECTO</t>
  </si>
  <si>
    <t>Prensacaño para caja de paso redonda</t>
  </si>
  <si>
    <t>3/4" NPT RECTO</t>
  </si>
  <si>
    <t>Prensacaño para caja rectangular</t>
  </si>
  <si>
    <t>Caja paso rectangular a rosca</t>
  </si>
  <si>
    <t>Caja paso redonda de paso o empalme</t>
  </si>
  <si>
    <t>Broca SDS de anclaje de expansión p/anclaje en hormigón</t>
  </si>
  <si>
    <t>Cable mallado para señales</t>
  </si>
  <si>
    <t>Prensable recto</t>
  </si>
  <si>
    <t>Bulon de acero</t>
  </si>
  <si>
    <t>1/2 x 3/4</t>
  </si>
  <si>
    <t>Caño flexible corrugado</t>
  </si>
  <si>
    <t>Tuerca luz 1/2" p/ caja redonda</t>
  </si>
  <si>
    <t>Tuerca luz 3/4" p/ caja redonda</t>
  </si>
  <si>
    <t>NPT nodular</t>
  </si>
  <si>
    <t>Arandela plana</t>
  </si>
  <si>
    <t>Kg</t>
  </si>
  <si>
    <t>Escuadra</t>
  </si>
  <si>
    <t>10x10x1/4"</t>
  </si>
  <si>
    <t>HIMAQ</t>
  </si>
  <si>
    <t>Casa Manito</t>
  </si>
  <si>
    <t>Electrodos 2.5mm Punta azul</t>
  </si>
  <si>
    <t>500x25</t>
  </si>
  <si>
    <t>Horas de soldado y armado de mastil</t>
  </si>
  <si>
    <t>1h/sitio</t>
  </si>
  <si>
    <t>6h/sitio</t>
  </si>
  <si>
    <t>2h/total</t>
  </si>
  <si>
    <t>Rex</t>
  </si>
  <si>
    <t>Dal Poggetto e Hijos</t>
  </si>
  <si>
    <t>10.27 + 9.42</t>
  </si>
  <si>
    <t>Lucho</t>
  </si>
  <si>
    <t>Damian</t>
  </si>
  <si>
    <t>Adrián</t>
  </si>
  <si>
    <t>Pablo</t>
  </si>
  <si>
    <t>Marcelo</t>
  </si>
  <si>
    <t>Julio</t>
  </si>
  <si>
    <t>Septiembre</t>
  </si>
  <si>
    <t>Noviembre</t>
  </si>
  <si>
    <t>Marzo</t>
  </si>
  <si>
    <t>Acá se pueden agregar horas si no da</t>
  </si>
  <si>
    <t>Junio</t>
  </si>
  <si>
    <t>Abril</t>
  </si>
  <si>
    <t>Mayo</t>
  </si>
  <si>
    <t>Diciembre</t>
  </si>
  <si>
    <t>Enero</t>
  </si>
  <si>
    <t>Febrero</t>
  </si>
  <si>
    <t>Octubre</t>
  </si>
  <si>
    <t>INVERSION DE CAPITAL EN ESTUDIO Y DESARROLLO</t>
  </si>
  <si>
    <t>MATERIALES DE INVERSIÓN PARA DESARROLLO Y PRUEBAS</t>
  </si>
  <si>
    <t>Prototipo</t>
  </si>
  <si>
    <t>Acá se compran materiales para 5 kits pero con PCB clásico</t>
  </si>
  <si>
    <t>Acá se compran materiales para 5 kits pero solo se arma 1</t>
  </si>
  <si>
    <t>Se sueldan y se prueban los componentes del prototipo</t>
  </si>
  <si>
    <t>Flete para 1 prototipo s/caño</t>
  </si>
  <si>
    <t>1.05 + 0.8% Seguro declarado</t>
  </si>
  <si>
    <t>MEYER</t>
  </si>
  <si>
    <t>Total p/stock</t>
  </si>
  <si>
    <t>Ensamblado y Montaje</t>
  </si>
  <si>
    <t>(Medio tanque por sitio) 0.85usd x litro de gasoil</t>
  </si>
  <si>
    <t>16h x mastil</t>
  </si>
  <si>
    <t>Construcción Placas</t>
  </si>
  <si>
    <t>Construcción Gabinetes</t>
  </si>
  <si>
    <t>Construcción Mástil</t>
  </si>
  <si>
    <t>Embalaje</t>
  </si>
  <si>
    <t>Costo unidad</t>
  </si>
  <si>
    <t>1h/kit (Sueldo 60 Neto)</t>
  </si>
  <si>
    <t>Materiales Mástil</t>
  </si>
  <si>
    <t>Materiales Gabinetes</t>
  </si>
  <si>
    <t>Materiales Placas</t>
  </si>
  <si>
    <t>-</t>
  </si>
  <si>
    <t>Pintura</t>
  </si>
  <si>
    <t>Costo Total</t>
  </si>
  <si>
    <t>Tiempo asignado a la tarea por unidad [Hora]</t>
  </si>
  <si>
    <t>Dia viajado (2 personas)</t>
  </si>
  <si>
    <t>Instalación y PM</t>
  </si>
  <si>
    <t>Construcción de Mastil</t>
  </si>
  <si>
    <t>Vuelo a sitio para puesta en marcha (2 personas)</t>
  </si>
  <si>
    <t>Soporte de oficina en PM</t>
  </si>
  <si>
    <t>Logística de Sector Ventas</t>
  </si>
  <si>
    <t>Total MOD</t>
  </si>
  <si>
    <t>Total MOI</t>
  </si>
  <si>
    <t>Gastos promedio de personal en Ciudad</t>
  </si>
  <si>
    <t>Leandro PM</t>
  </si>
  <si>
    <t>Plásticas 15mm</t>
  </si>
  <si>
    <t>1m</t>
  </si>
  <si>
    <t>Caño hierro negro 3"x 2mts y tapa superior caño espesor 2,1mm</t>
  </si>
  <si>
    <t>Gastos Generales</t>
  </si>
  <si>
    <t>Placas</t>
  </si>
  <si>
    <t>Para pruebas y repetibilidad</t>
  </si>
  <si>
    <t>Soldado de placa</t>
  </si>
  <si>
    <t>Construcción de Gabinete</t>
  </si>
  <si>
    <t>Prototipo p/ prueba en sitio</t>
  </si>
  <si>
    <t>Se construye solo 1 para prueba en sitio de clientes</t>
  </si>
  <si>
    <t>15 unidades</t>
  </si>
  <si>
    <t>Costo de 1 unidad</t>
  </si>
  <si>
    <t>Costos MOD, Materiales y Gastos Generales de Producción y PM</t>
  </si>
  <si>
    <t>Costos MOI para producción y PM</t>
  </si>
  <si>
    <t>PM = Puesta en Marcha</t>
  </si>
  <si>
    <t>Instalación  y PM (2 personas)</t>
  </si>
  <si>
    <t>Conceptos de Gastos/Costos</t>
  </si>
  <si>
    <t>MOD = Mano de Obra Directa</t>
  </si>
  <si>
    <t>MOI = Mano de Obra Indirecta</t>
  </si>
  <si>
    <t>Inversión para stock de ventas</t>
  </si>
  <si>
    <t>Placas para repetibilidad</t>
  </si>
  <si>
    <t>2 unidades</t>
  </si>
  <si>
    <t>Placas p/ stock de ventas</t>
  </si>
  <si>
    <t>Gabinete para repetibilidad</t>
  </si>
  <si>
    <t>Gabinete p/ stock de ventas</t>
  </si>
  <si>
    <t>2 Unidades</t>
  </si>
  <si>
    <t>Mástil p/ stock de ventas</t>
  </si>
  <si>
    <t>15 Unidades</t>
  </si>
  <si>
    <t>Gabinete</t>
  </si>
  <si>
    <t>Luego de la línea</t>
  </si>
  <si>
    <t>Antes de la línea</t>
  </si>
  <si>
    <t>Extra Dia Viajado (2 personas)</t>
  </si>
  <si>
    <t>Por kg aunque también es función del volumen. Precio minimo 15kg</t>
  </si>
  <si>
    <t>Costo de producto sin servicio</t>
  </si>
  <si>
    <t>Costos MOD, Materiales y Gastos Generales de Producción</t>
  </si>
  <si>
    <t>Costos MOI para venta de producto</t>
  </si>
  <si>
    <t xml:space="preserve">Logística de Sector Ventas </t>
  </si>
  <si>
    <t>Costo de unidad con servicio de PM.</t>
  </si>
  <si>
    <t>Solo se envía gabinete, panel, antena y bateria. Del resto, lo que falta, se encargaron ellos. Se consideró minimo 15kg</t>
  </si>
  <si>
    <t>Costo Unidad de Producto</t>
  </si>
  <si>
    <t>Materiales para Montaje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</si>
</sst>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&quot;$&quot;#,##0.00;[Red]\-&quot;$&quot;#,##0.00"/>
    <numFmt numFmtId="166" formatCode="0.000%"/>
    <numFmt numFmtId="167" formatCode="#,##0_ ;\-#,##0\ 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3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NumberFormat="1" applyFill="1" applyBorder="1"/>
    <xf numFmtId="0" fontId="2" fillId="5" borderId="0" xfId="0" applyFont="1" applyFill="1"/>
    <xf numFmtId="0" fontId="0" fillId="5" borderId="0" xfId="0" applyFill="1"/>
    <xf numFmtId="0" fontId="4" fillId="5" borderId="5" xfId="0" applyFont="1" applyFill="1" applyBorder="1"/>
    <xf numFmtId="0" fontId="4" fillId="4" borderId="4" xfId="0" applyFont="1" applyFill="1" applyBorder="1"/>
    <xf numFmtId="0" fontId="0" fillId="4" borderId="4" xfId="0" applyNumberFormat="1" applyFill="1" applyBorder="1"/>
    <xf numFmtId="0" fontId="0" fillId="4" borderId="5" xfId="0" applyNumberFormat="1" applyFill="1" applyBorder="1"/>
    <xf numFmtId="0" fontId="0" fillId="4" borderId="5" xfId="0" applyFill="1" applyBorder="1"/>
    <xf numFmtId="0" fontId="0" fillId="4" borderId="0" xfId="0" applyFill="1"/>
    <xf numFmtId="0" fontId="2" fillId="4" borderId="0" xfId="0" applyFont="1" applyFill="1"/>
    <xf numFmtId="0" fontId="0" fillId="4" borderId="4" xfId="0" applyFont="1" applyFill="1" applyBorder="1"/>
    <xf numFmtId="2" fontId="0" fillId="0" borderId="4" xfId="0" applyNumberFormat="1" applyBorder="1"/>
    <xf numFmtId="2" fontId="0" fillId="0" borderId="0" xfId="0" applyNumberFormat="1"/>
    <xf numFmtId="16" fontId="0" fillId="4" borderId="4" xfId="0" applyNumberFormat="1" applyFont="1" applyFill="1" applyBorder="1"/>
    <xf numFmtId="0" fontId="4" fillId="0" borderId="0" xfId="0" applyFont="1"/>
    <xf numFmtId="43" fontId="0" fillId="0" borderId="0" xfId="0" applyNumberFormat="1"/>
    <xf numFmtId="43" fontId="0" fillId="6" borderId="4" xfId="1" applyFont="1" applyFill="1" applyBorder="1"/>
    <xf numFmtId="43" fontId="5" fillId="6" borderId="4" xfId="1" applyFont="1" applyFill="1" applyBorder="1"/>
    <xf numFmtId="43" fontId="4" fillId="6" borderId="4" xfId="1" applyFont="1" applyFill="1" applyBorder="1"/>
    <xf numFmtId="43" fontId="7" fillId="6" borderId="4" xfId="1" applyFont="1" applyFill="1" applyBorder="1"/>
    <xf numFmtId="0" fontId="4" fillId="6" borderId="4" xfId="0" applyFont="1" applyFill="1" applyBorder="1"/>
    <xf numFmtId="43" fontId="3" fillId="2" borderId="4" xfId="1" applyFont="1" applyFill="1" applyBorder="1"/>
    <xf numFmtId="43" fontId="0" fillId="0" borderId="4" xfId="1" applyFont="1" applyBorder="1"/>
    <xf numFmtId="164" fontId="0" fillId="0" borderId="4" xfId="0" applyNumberFormat="1" applyBorder="1"/>
    <xf numFmtId="43" fontId="3" fillId="2" borderId="4" xfId="0" applyNumberFormat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2" borderId="0" xfId="0" applyNumberFormat="1" applyFill="1"/>
    <xf numFmtId="43" fontId="3" fillId="0" borderId="4" xfId="1" applyFont="1" applyBorder="1"/>
    <xf numFmtId="43" fontId="8" fillId="8" borderId="4" xfId="1" applyFont="1" applyFill="1" applyBorder="1"/>
    <xf numFmtId="0" fontId="0" fillId="9" borderId="4" xfId="0" applyFill="1" applyBorder="1"/>
    <xf numFmtId="0" fontId="0" fillId="10" borderId="4" xfId="0" applyFill="1" applyBorder="1"/>
    <xf numFmtId="43" fontId="2" fillId="0" borderId="4" xfId="1" applyFont="1" applyFill="1" applyBorder="1"/>
    <xf numFmtId="43" fontId="2" fillId="9" borderId="4" xfId="0" applyNumberFormat="1" applyFont="1" applyFill="1" applyBorder="1"/>
    <xf numFmtId="43" fontId="2" fillId="2" borderId="4" xfId="0" applyNumberFormat="1" applyFont="1" applyFill="1" applyBorder="1"/>
    <xf numFmtId="43" fontId="0" fillId="9" borderId="4" xfId="0" applyNumberFormat="1" applyFill="1" applyBorder="1"/>
    <xf numFmtId="43" fontId="0" fillId="2" borderId="4" xfId="0" applyNumberFormat="1" applyFill="1" applyBorder="1"/>
    <xf numFmtId="0" fontId="4" fillId="6" borderId="4" xfId="0" quotePrefix="1" applyFont="1" applyFill="1" applyBorder="1"/>
    <xf numFmtId="165" fontId="0" fillId="0" borderId="0" xfId="0" applyNumberFormat="1"/>
    <xf numFmtId="10" fontId="9" fillId="11" borderId="4" xfId="0" applyNumberFormat="1" applyFont="1" applyFill="1" applyBorder="1"/>
    <xf numFmtId="43" fontId="9" fillId="11" borderId="4" xfId="0" applyNumberFormat="1" applyFont="1" applyFill="1" applyBorder="1"/>
    <xf numFmtId="43" fontId="9" fillId="2" borderId="4" xfId="0" applyNumberFormat="1" applyFont="1" applyFill="1" applyBorder="1"/>
    <xf numFmtId="0" fontId="10" fillId="0" borderId="0" xfId="0" applyFont="1"/>
    <xf numFmtId="0" fontId="4" fillId="12" borderId="4" xfId="0" applyFont="1" applyFill="1" applyBorder="1"/>
    <xf numFmtId="166" fontId="5" fillId="2" borderId="7" xfId="2" applyNumberFormat="1" applyFont="1" applyFill="1" applyBorder="1"/>
    <xf numFmtId="0" fontId="5" fillId="2" borderId="8" xfId="0" applyFont="1" applyFill="1" applyBorder="1"/>
    <xf numFmtId="10" fontId="5" fillId="0" borderId="0" xfId="2" applyNumberFormat="1" applyFont="1" applyFill="1" applyBorder="1"/>
    <xf numFmtId="0" fontId="5" fillId="0" borderId="0" xfId="0" applyFont="1"/>
    <xf numFmtId="9" fontId="3" fillId="0" borderId="0" xfId="0" applyNumberFormat="1" applyFont="1"/>
    <xf numFmtId="0" fontId="11" fillId="0" borderId="0" xfId="0" applyFont="1"/>
    <xf numFmtId="0" fontId="3" fillId="0" borderId="0" xfId="0" applyFont="1"/>
    <xf numFmtId="0" fontId="3" fillId="10" borderId="6" xfId="0" applyFont="1" applyFill="1" applyBorder="1"/>
    <xf numFmtId="14" fontId="0" fillId="0" borderId="0" xfId="0" applyNumberFormat="1" applyAlignment="1">
      <alignment horizontal="left"/>
    </xf>
    <xf numFmtId="0" fontId="4" fillId="6" borderId="0" xfId="0" applyFont="1" applyFill="1"/>
    <xf numFmtId="0" fontId="4" fillId="0" borderId="0" xfId="0" applyFont="1" applyAlignment="1">
      <alignment horizontal="right"/>
    </xf>
    <xf numFmtId="43" fontId="0" fillId="0" borderId="0" xfId="1" applyFont="1"/>
    <xf numFmtId="43" fontId="4" fillId="0" borderId="0" xfId="1" applyFont="1"/>
    <xf numFmtId="0" fontId="0" fillId="0" borderId="0" xfId="1" applyNumberFormat="1" applyFont="1"/>
    <xf numFmtId="43" fontId="0" fillId="0" borderId="0" xfId="1" applyFont="1" applyFill="1"/>
    <xf numFmtId="0" fontId="0" fillId="10" borderId="0" xfId="0" applyFill="1"/>
    <xf numFmtId="0" fontId="4" fillId="10" borderId="0" xfId="0" applyFont="1" applyFill="1"/>
    <xf numFmtId="43" fontId="4" fillId="10" borderId="0" xfId="1" applyFont="1" applyFill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4" fillId="0" borderId="0" xfId="0" applyFont="1" applyFill="1" applyBorder="1"/>
    <xf numFmtId="43" fontId="0" fillId="0" borderId="0" xfId="0" applyNumberFormat="1" applyFill="1" applyBorder="1"/>
    <xf numFmtId="9" fontId="5" fillId="0" borderId="0" xfId="0" applyNumberFormat="1" applyFont="1" applyFill="1" applyBorder="1" applyAlignment="1">
      <alignment horizontal="left"/>
    </xf>
    <xf numFmtId="10" fontId="0" fillId="0" borderId="0" xfId="2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3" fillId="0" borderId="0" xfId="0" applyNumberFormat="1" applyFont="1" applyFill="1" applyBorder="1" applyAlignment="1">
      <alignment horizontal="left"/>
    </xf>
    <xf numFmtId="0" fontId="2" fillId="4" borderId="4" xfId="0" applyFont="1" applyFill="1" applyBorder="1"/>
    <xf numFmtId="16" fontId="0" fillId="4" borderId="4" xfId="0" applyNumberFormat="1" applyFill="1" applyBorder="1"/>
    <xf numFmtId="0" fontId="0" fillId="0" borderId="0" xfId="0" applyAlignment="1">
      <alignment horizontal="right"/>
    </xf>
    <xf numFmtId="43" fontId="0" fillId="4" borderId="0" xfId="1" applyFont="1" applyFill="1"/>
    <xf numFmtId="0" fontId="0" fillId="0" borderId="0" xfId="0" applyFont="1"/>
    <xf numFmtId="0" fontId="4" fillId="2" borderId="0" xfId="0" applyFont="1" applyFill="1"/>
    <xf numFmtId="0" fontId="12" fillId="0" borderId="0" xfId="0" applyFont="1"/>
    <xf numFmtId="0" fontId="0" fillId="0" borderId="9" xfId="0" applyBorder="1"/>
    <xf numFmtId="0" fontId="0" fillId="2" borderId="10" xfId="0" applyFill="1" applyBorder="1"/>
    <xf numFmtId="0" fontId="4" fillId="0" borderId="0" xfId="0" applyFont="1" applyFill="1"/>
    <xf numFmtId="0" fontId="0" fillId="0" borderId="0" xfId="0" applyFont="1" applyFill="1"/>
    <xf numFmtId="2" fontId="0" fillId="0" borderId="0" xfId="0" applyNumberFormat="1" applyFill="1"/>
    <xf numFmtId="0" fontId="5" fillId="0" borderId="0" xfId="0" applyFont="1" applyFill="1" applyBorder="1"/>
    <xf numFmtId="0" fontId="12" fillId="0" borderId="0" xfId="0" applyFont="1" applyFill="1"/>
    <xf numFmtId="0" fontId="12" fillId="0" borderId="0" xfId="0" applyFont="1" applyFill="1" applyBorder="1"/>
    <xf numFmtId="43" fontId="0" fillId="0" borderId="0" xfId="1" applyFont="1" applyFill="1" applyBorder="1"/>
    <xf numFmtId="0" fontId="0" fillId="0" borderId="0" xfId="0" applyFill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[1]Auxiliar!$D$4</c:f>
              <c:strCache>
                <c:ptCount val="1"/>
                <c:pt idx="0">
                  <c:v>ING-EGRESOS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[1]Auxiliar!$D$5:$D$64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-3274.1000000000004</c:v>
                </c:pt>
                <c:pt idx="6">
                  <c:v>-3274.1000000000004</c:v>
                </c:pt>
                <c:pt idx="7">
                  <c:v>-3274.1000000000004</c:v>
                </c:pt>
                <c:pt idx="8">
                  <c:v>-3274.1000000000004</c:v>
                </c:pt>
                <c:pt idx="9">
                  <c:v>-3274.1000000000004</c:v>
                </c:pt>
                <c:pt idx="10">
                  <c:v>-3274.1000000000004</c:v>
                </c:pt>
                <c:pt idx="11">
                  <c:v>-9822.3000000000011</c:v>
                </c:pt>
                <c:pt idx="12">
                  <c:v>-9822.3000000000011</c:v>
                </c:pt>
                <c:pt idx="13">
                  <c:v>-9822.3000000000011</c:v>
                </c:pt>
                <c:pt idx="14">
                  <c:v>-9822.3000000000011</c:v>
                </c:pt>
                <c:pt idx="15">
                  <c:v>-9822.3000000000011</c:v>
                </c:pt>
                <c:pt idx="16">
                  <c:v>-9822.3000000000011</c:v>
                </c:pt>
                <c:pt idx="17">
                  <c:v>-16370.500000000002</c:v>
                </c:pt>
                <c:pt idx="18">
                  <c:v>-16370.500000000002</c:v>
                </c:pt>
                <c:pt idx="19">
                  <c:v>24828.406999999996</c:v>
                </c:pt>
                <c:pt idx="20">
                  <c:v>52294.345000000001</c:v>
                </c:pt>
                <c:pt idx="21">
                  <c:v>66027.313999999998</c:v>
                </c:pt>
                <c:pt idx="22">
                  <c:v>79760.282999999996</c:v>
                </c:pt>
                <c:pt idx="23">
                  <c:v>44150.048949999997</c:v>
                </c:pt>
                <c:pt idx="24">
                  <c:v>44150.048949999997</c:v>
                </c:pt>
                <c:pt idx="25">
                  <c:v>99081.924950000015</c:v>
                </c:pt>
                <c:pt idx="26">
                  <c:v>112814.89395000003</c:v>
                </c:pt>
                <c:pt idx="27">
                  <c:v>126547.86295000004</c:v>
                </c:pt>
                <c:pt idx="28">
                  <c:v>140280.83195000005</c:v>
                </c:pt>
                <c:pt idx="29">
                  <c:v>130458.53195000005</c:v>
                </c:pt>
                <c:pt idx="30">
                  <c:v>130458.53195000005</c:v>
                </c:pt>
                <c:pt idx="31">
                  <c:v>157924.46995000006</c:v>
                </c:pt>
                <c:pt idx="32">
                  <c:v>171657.43895000004</c:v>
                </c:pt>
                <c:pt idx="33">
                  <c:v>185390.40795000008</c:v>
                </c:pt>
                <c:pt idx="34">
                  <c:v>185390.40795000008</c:v>
                </c:pt>
                <c:pt idx="35">
                  <c:v>131699.95230000006</c:v>
                </c:pt>
                <c:pt idx="36">
                  <c:v>131699.95230000006</c:v>
                </c:pt>
                <c:pt idx="37">
                  <c:v>145432.92130000005</c:v>
                </c:pt>
                <c:pt idx="38">
                  <c:v>159165.89030000006</c:v>
                </c:pt>
                <c:pt idx="39">
                  <c:v>172898.85930000007</c:v>
                </c:pt>
                <c:pt idx="40">
                  <c:v>186631.82830000008</c:v>
                </c:pt>
                <c:pt idx="41">
                  <c:v>180083.62830000007</c:v>
                </c:pt>
                <c:pt idx="42">
                  <c:v>180083.62830000007</c:v>
                </c:pt>
                <c:pt idx="43">
                  <c:v>202056.37870000009</c:v>
                </c:pt>
                <c:pt idx="44">
                  <c:v>207549.56630000009</c:v>
                </c:pt>
                <c:pt idx="45">
                  <c:v>215789.3477000001</c:v>
                </c:pt>
                <c:pt idx="46">
                  <c:v>221282.53530000011</c:v>
                </c:pt>
                <c:pt idx="47">
                  <c:v>187800.46625000011</c:v>
                </c:pt>
                <c:pt idx="48">
                  <c:v>187800.46625000011</c:v>
                </c:pt>
                <c:pt idx="49">
                  <c:v>187800.46625000011</c:v>
                </c:pt>
                <c:pt idx="50">
                  <c:v>201533.43525000013</c:v>
                </c:pt>
                <c:pt idx="51">
                  <c:v>215266.40425000014</c:v>
                </c:pt>
                <c:pt idx="52">
                  <c:v>215266.40425000014</c:v>
                </c:pt>
                <c:pt idx="53">
                  <c:v>215266.40425000014</c:v>
                </c:pt>
                <c:pt idx="54">
                  <c:v>215266.40425000014</c:v>
                </c:pt>
                <c:pt idx="55">
                  <c:v>242732.34225000016</c:v>
                </c:pt>
                <c:pt idx="56">
                  <c:v>250972.12365000017</c:v>
                </c:pt>
                <c:pt idx="57">
                  <c:v>256465.31125000017</c:v>
                </c:pt>
                <c:pt idx="58">
                  <c:v>256465.31125000017</c:v>
                </c:pt>
                <c:pt idx="59">
                  <c:v>232432.61550000019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FC8-A5CD-3E9E8D6A2041}"/>
            </c:ext>
          </c:extLst>
        </c:ser>
        <c:ser>
          <c:idx val="3"/>
          <c:order val="3"/>
          <c:tx>
            <c:strRef>
              <c:f>[1]Auxiliar!$E$4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[1]Auxiliar!$E$5:$E$64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-3250.3358563246838</c:v>
                </c:pt>
                <c:pt idx="6">
                  <c:v>-3250.3358563246838</c:v>
                </c:pt>
                <c:pt idx="7">
                  <c:v>-3250.3358563246838</c:v>
                </c:pt>
                <c:pt idx="8">
                  <c:v>-3250.3358563246838</c:v>
                </c:pt>
                <c:pt idx="9">
                  <c:v>-3250.3358563246838</c:v>
                </c:pt>
                <c:pt idx="10">
                  <c:v>-3250.3358563246838</c:v>
                </c:pt>
                <c:pt idx="11">
                  <c:v>-9694.4287650092774</c:v>
                </c:pt>
                <c:pt idx="12">
                  <c:v>-9694.4287650092774</c:v>
                </c:pt>
                <c:pt idx="13">
                  <c:v>-9694.4287650092774</c:v>
                </c:pt>
                <c:pt idx="14">
                  <c:v>-9694.4287650092774</c:v>
                </c:pt>
                <c:pt idx="15">
                  <c:v>-9694.4287650092774</c:v>
                </c:pt>
                <c:pt idx="16">
                  <c:v>-9694.4287650092774</c:v>
                </c:pt>
                <c:pt idx="17">
                  <c:v>-16082.435305157247</c:v>
                </c:pt>
                <c:pt idx="18">
                  <c:v>-16082.435305157247</c:v>
                </c:pt>
                <c:pt idx="19">
                  <c:v>23991.65113679595</c:v>
                </c:pt>
                <c:pt idx="20">
                  <c:v>50668.813462094462</c:v>
                </c:pt>
                <c:pt idx="21">
                  <c:v>63987.97528680331</c:v>
                </c:pt>
                <c:pt idx="22">
                  <c:v>77287.746045745604</c:v>
                </c:pt>
                <c:pt idx="23">
                  <c:v>42851.024135149361</c:v>
                </c:pt>
                <c:pt idx="24">
                  <c:v>42851.024135149361</c:v>
                </c:pt>
                <c:pt idx="25">
                  <c:v>95818.091268658871</c:v>
                </c:pt>
                <c:pt idx="26">
                  <c:v>109040.57966395593</c:v>
                </c:pt>
                <c:pt idx="27">
                  <c:v>122243.81773814079</c:v>
                </c:pt>
                <c:pt idx="28">
                  <c:v>135427.83351731964</c:v>
                </c:pt>
                <c:pt idx="29">
                  <c:v>126011.89251289172</c:v>
                </c:pt>
                <c:pt idx="30">
                  <c:v>126011.89251289172</c:v>
                </c:pt>
                <c:pt idx="31">
                  <c:v>152264.92579902898</c:v>
                </c:pt>
                <c:pt idx="32">
                  <c:v>165372.33184408391</c:v>
                </c:pt>
                <c:pt idx="33">
                  <c:v>178460.6551138116</c:v>
                </c:pt>
                <c:pt idx="34">
                  <c:v>178460.6551138116</c:v>
                </c:pt>
                <c:pt idx="35">
                  <c:v>127439.39474517088</c:v>
                </c:pt>
                <c:pt idx="36">
                  <c:v>127439.39474517088</c:v>
                </c:pt>
                <c:pt idx="37">
                  <c:v>140451.6643312095</c:v>
                </c:pt>
                <c:pt idx="38">
                  <c:v>153444.98964893483</c:v>
                </c:pt>
                <c:pt idx="39">
                  <c:v>166419.39827887775</c:v>
                </c:pt>
                <c:pt idx="40">
                  <c:v>179374.91776141513</c:v>
                </c:pt>
                <c:pt idx="41">
                  <c:v>173206.41750208638</c:v>
                </c:pt>
                <c:pt idx="42">
                  <c:v>173206.41750208638</c:v>
                </c:pt>
                <c:pt idx="43">
                  <c:v>193844.84451315826</c:v>
                </c:pt>
                <c:pt idx="44">
                  <c:v>198996.93951141881</c:v>
                </c:pt>
                <c:pt idx="45">
                  <c:v>206713.83078133801</c:v>
                </c:pt>
                <c:pt idx="46">
                  <c:v>211850.93506324117</c:v>
                </c:pt>
                <c:pt idx="47">
                  <c:v>180584.85048582024</c:v>
                </c:pt>
                <c:pt idx="48">
                  <c:v>180584.85048582024</c:v>
                </c:pt>
                <c:pt idx="49">
                  <c:v>180584.85048582024</c:v>
                </c:pt>
                <c:pt idx="50">
                  <c:v>193352.9844228703</c:v>
                </c:pt>
                <c:pt idx="51">
                  <c:v>206102.52952316412</c:v>
                </c:pt>
                <c:pt idx="52">
                  <c:v>206102.52952316412</c:v>
                </c:pt>
                <c:pt idx="53">
                  <c:v>206102.52952316412</c:v>
                </c:pt>
                <c:pt idx="54">
                  <c:v>206102.52952316412</c:v>
                </c:pt>
                <c:pt idx="55">
                  <c:v>231453.44950358613</c:v>
                </c:pt>
                <c:pt idx="56">
                  <c:v>239047.65314879801</c:v>
                </c:pt>
                <c:pt idx="57">
                  <c:v>244103.08475965066</c:v>
                </c:pt>
                <c:pt idx="58">
                  <c:v>244103.08475965066</c:v>
                </c:pt>
                <c:pt idx="59">
                  <c:v>222049.92535480723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FC8-A5CD-3E9E8D6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[1]Auxiliar!$B$4</c15:sqref>
                        </c15:formulaRef>
                      </c:ext>
                    </c:extLst>
                    <c:strCache>
                      <c:ptCount val="1"/>
                      <c:pt idx="0">
                        <c:v>INGRESOS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[1]Auxiliar!$B$5:$B$64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42473.1</c:v>
                      </c:pt>
                      <c:pt idx="20">
                        <c:v>70788.5</c:v>
                      </c:pt>
                      <c:pt idx="21">
                        <c:v>84946.2</c:v>
                      </c:pt>
                      <c:pt idx="22">
                        <c:v>99103.9</c:v>
                      </c:pt>
                      <c:pt idx="23">
                        <c:v>99103.9</c:v>
                      </c:pt>
                      <c:pt idx="24">
                        <c:v>99103.9</c:v>
                      </c:pt>
                      <c:pt idx="25">
                        <c:v>155734.70000000001</c:v>
                      </c:pt>
                      <c:pt idx="26">
                        <c:v>169892.40000000002</c:v>
                      </c:pt>
                      <c:pt idx="27">
                        <c:v>184050.10000000003</c:v>
                      </c:pt>
                      <c:pt idx="28">
                        <c:v>198207.80000000005</c:v>
                      </c:pt>
                      <c:pt idx="29">
                        <c:v>198207.80000000005</c:v>
                      </c:pt>
                      <c:pt idx="30">
                        <c:v>198207.80000000005</c:v>
                      </c:pt>
                      <c:pt idx="31">
                        <c:v>226523.20000000004</c:v>
                      </c:pt>
                      <c:pt idx="32">
                        <c:v>240680.90000000005</c:v>
                      </c:pt>
                      <c:pt idx="33">
                        <c:v>254838.60000000006</c:v>
                      </c:pt>
                      <c:pt idx="34">
                        <c:v>254838.60000000006</c:v>
                      </c:pt>
                      <c:pt idx="35">
                        <c:v>254838.60000000006</c:v>
                      </c:pt>
                      <c:pt idx="36">
                        <c:v>254838.60000000006</c:v>
                      </c:pt>
                      <c:pt idx="37">
                        <c:v>268996.30000000005</c:v>
                      </c:pt>
                      <c:pt idx="38">
                        <c:v>283154.00000000006</c:v>
                      </c:pt>
                      <c:pt idx="39">
                        <c:v>297311.70000000007</c:v>
                      </c:pt>
                      <c:pt idx="40">
                        <c:v>311469.40000000008</c:v>
                      </c:pt>
                      <c:pt idx="41">
                        <c:v>311469.40000000008</c:v>
                      </c:pt>
                      <c:pt idx="42">
                        <c:v>311469.40000000008</c:v>
                      </c:pt>
                      <c:pt idx="43">
                        <c:v>334121.72000000009</c:v>
                      </c:pt>
                      <c:pt idx="44">
                        <c:v>339784.8000000001</c:v>
                      </c:pt>
                      <c:pt idx="45">
                        <c:v>348279.4200000001</c:v>
                      </c:pt>
                      <c:pt idx="46">
                        <c:v>353942.50000000012</c:v>
                      </c:pt>
                      <c:pt idx="47">
                        <c:v>353942.50000000012</c:v>
                      </c:pt>
                      <c:pt idx="48">
                        <c:v>353942.50000000012</c:v>
                      </c:pt>
                      <c:pt idx="49">
                        <c:v>353942.50000000012</c:v>
                      </c:pt>
                      <c:pt idx="50">
                        <c:v>368100.20000000013</c:v>
                      </c:pt>
                      <c:pt idx="51">
                        <c:v>382257.90000000014</c:v>
                      </c:pt>
                      <c:pt idx="52">
                        <c:v>382257.90000000014</c:v>
                      </c:pt>
                      <c:pt idx="53">
                        <c:v>382257.90000000014</c:v>
                      </c:pt>
                      <c:pt idx="54">
                        <c:v>382257.90000000014</c:v>
                      </c:pt>
                      <c:pt idx="55">
                        <c:v>410573.30000000016</c:v>
                      </c:pt>
                      <c:pt idx="56">
                        <c:v>419067.92000000016</c:v>
                      </c:pt>
                      <c:pt idx="57">
                        <c:v>424731.00000000017</c:v>
                      </c:pt>
                      <c:pt idx="58">
                        <c:v>424731.00000000017</c:v>
                      </c:pt>
                      <c:pt idx="59">
                        <c:v>424731.00000000017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56-4FC8-A5CD-3E9E8D6A2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[1]Auxiliar!$C$4</c15:sqref>
                        </c15:formulaRef>
                      </c:ext>
                    </c:extLst>
                    <c:strCache>
                      <c:ptCount val="1"/>
                      <c:pt idx="0">
                        <c:v>EGRESOS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[1]Auxiliar!$C$5:$C$64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-3274.1000000000004</c:v>
                      </c:pt>
                      <c:pt idx="6">
                        <c:v>-3274.1000000000004</c:v>
                      </c:pt>
                      <c:pt idx="7">
                        <c:v>-3274.1000000000004</c:v>
                      </c:pt>
                      <c:pt idx="8">
                        <c:v>-3274.1000000000004</c:v>
                      </c:pt>
                      <c:pt idx="9">
                        <c:v>-3274.1000000000004</c:v>
                      </c:pt>
                      <c:pt idx="10">
                        <c:v>-3274.1000000000004</c:v>
                      </c:pt>
                      <c:pt idx="11">
                        <c:v>-9822.3000000000011</c:v>
                      </c:pt>
                      <c:pt idx="12">
                        <c:v>-9822.3000000000011</c:v>
                      </c:pt>
                      <c:pt idx="13">
                        <c:v>-9822.3000000000011</c:v>
                      </c:pt>
                      <c:pt idx="14">
                        <c:v>-9822.3000000000011</c:v>
                      </c:pt>
                      <c:pt idx="15">
                        <c:v>-9822.3000000000011</c:v>
                      </c:pt>
                      <c:pt idx="16">
                        <c:v>-9822.3000000000011</c:v>
                      </c:pt>
                      <c:pt idx="17">
                        <c:v>-16370.500000000002</c:v>
                      </c:pt>
                      <c:pt idx="18">
                        <c:v>-16370.500000000002</c:v>
                      </c:pt>
                      <c:pt idx="19">
                        <c:v>-17644.693000000003</c:v>
                      </c:pt>
                      <c:pt idx="20">
                        <c:v>-18494.155000000002</c:v>
                      </c:pt>
                      <c:pt idx="21">
                        <c:v>-18918.886000000002</c:v>
                      </c:pt>
                      <c:pt idx="22">
                        <c:v>-19343.617000000002</c:v>
                      </c:pt>
                      <c:pt idx="23">
                        <c:v>-54953.851049999997</c:v>
                      </c:pt>
                      <c:pt idx="24">
                        <c:v>-54953.851049999997</c:v>
                      </c:pt>
                      <c:pt idx="25">
                        <c:v>-56652.775049999997</c:v>
                      </c:pt>
                      <c:pt idx="26">
                        <c:v>-57077.506049999996</c:v>
                      </c:pt>
                      <c:pt idx="27">
                        <c:v>-57502.237049999996</c:v>
                      </c:pt>
                      <c:pt idx="28">
                        <c:v>-57926.968049999996</c:v>
                      </c:pt>
                      <c:pt idx="29">
                        <c:v>-67749.268049999999</c:v>
                      </c:pt>
                      <c:pt idx="30">
                        <c:v>-67749.268049999999</c:v>
                      </c:pt>
                      <c:pt idx="31">
                        <c:v>-68598.730049999998</c:v>
                      </c:pt>
                      <c:pt idx="32">
                        <c:v>-69023.461049999998</c:v>
                      </c:pt>
                      <c:pt idx="33">
                        <c:v>-69448.192049999998</c:v>
                      </c:pt>
                      <c:pt idx="34">
                        <c:v>-69448.192049999998</c:v>
                      </c:pt>
                      <c:pt idx="35">
                        <c:v>-123138.6477</c:v>
                      </c:pt>
                      <c:pt idx="36">
                        <c:v>-123138.6477</c:v>
                      </c:pt>
                      <c:pt idx="37">
                        <c:v>-123563.3787</c:v>
                      </c:pt>
                      <c:pt idx="38">
                        <c:v>-123988.1097</c:v>
                      </c:pt>
                      <c:pt idx="39">
                        <c:v>-124412.8407</c:v>
                      </c:pt>
                      <c:pt idx="40">
                        <c:v>-124837.5717</c:v>
                      </c:pt>
                      <c:pt idx="41">
                        <c:v>-131385.77170000001</c:v>
                      </c:pt>
                      <c:pt idx="42">
                        <c:v>-131385.77170000001</c:v>
                      </c:pt>
                      <c:pt idx="43">
                        <c:v>-132065.3413</c:v>
                      </c:pt>
                      <c:pt idx="44">
                        <c:v>-132235.23370000001</c:v>
                      </c:pt>
                      <c:pt idx="45">
                        <c:v>-132490.0723</c:v>
                      </c:pt>
                      <c:pt idx="46">
                        <c:v>-132659.96470000001</c:v>
                      </c:pt>
                      <c:pt idx="47">
                        <c:v>-166142.03375</c:v>
                      </c:pt>
                      <c:pt idx="48">
                        <c:v>-166142.03375</c:v>
                      </c:pt>
                      <c:pt idx="49">
                        <c:v>-166142.03375</c:v>
                      </c:pt>
                      <c:pt idx="50">
                        <c:v>-166566.76475</c:v>
                      </c:pt>
                      <c:pt idx="51">
                        <c:v>-166991.49575</c:v>
                      </c:pt>
                      <c:pt idx="52">
                        <c:v>-166991.49575</c:v>
                      </c:pt>
                      <c:pt idx="53">
                        <c:v>-166991.49575</c:v>
                      </c:pt>
                      <c:pt idx="54">
                        <c:v>-166991.49575</c:v>
                      </c:pt>
                      <c:pt idx="55">
                        <c:v>-167840.95775</c:v>
                      </c:pt>
                      <c:pt idx="56">
                        <c:v>-168095.79634999999</c:v>
                      </c:pt>
                      <c:pt idx="57">
                        <c:v>-168265.68875</c:v>
                      </c:pt>
                      <c:pt idx="58">
                        <c:v>-168265.68875</c:v>
                      </c:pt>
                      <c:pt idx="59">
                        <c:v>-192298.38449999999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56-4FC8-A5CD-3E9E8D6A2041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F916A8D-5E03-445E-90E9-6CFA0060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de%20costeo%20de%20proyecto%20-%20LoR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Otros Ingresos"/>
      <sheetName val="Inversión Inicial"/>
      <sheetName val="COSTOS FIJOS"/>
      <sheetName val="COSTOS VARIABLES"/>
      <sheetName val="Impuestos"/>
      <sheetName val="Auxiliar"/>
    </sheetNames>
    <sheetDataSet>
      <sheetData sheetId="0">
        <row r="2">
          <cell r="H2"/>
        </row>
        <row r="5">
          <cell r="H5"/>
        </row>
        <row r="11">
          <cell r="F11">
            <v>1.4580000000000001E-3</v>
          </cell>
        </row>
        <row r="16">
          <cell r="A16" t="str">
            <v>MES</v>
          </cell>
          <cell r="J16" t="str">
            <v>INGRESOS ACUMULADOS</v>
          </cell>
          <cell r="K16" t="str">
            <v>EGRESOS ACUMULADOS</v>
          </cell>
          <cell r="L16" t="str">
            <v>ING-EGRESOS</v>
          </cell>
        </row>
        <row r="17">
          <cell r="A17">
            <v>1</v>
          </cell>
          <cell r="F17">
            <v>0</v>
          </cell>
          <cell r="H17">
            <v>0</v>
          </cell>
          <cell r="K17">
            <v>0</v>
          </cell>
        </row>
        <row r="18">
          <cell r="A18">
            <v>2</v>
          </cell>
          <cell r="F18">
            <v>0</v>
          </cell>
          <cell r="H18">
            <v>0</v>
          </cell>
          <cell r="K18">
            <v>0</v>
          </cell>
        </row>
        <row r="19">
          <cell r="A19">
            <v>3</v>
          </cell>
          <cell r="F19">
            <v>0</v>
          </cell>
          <cell r="H19">
            <v>0</v>
          </cell>
          <cell r="K19">
            <v>0</v>
          </cell>
        </row>
        <row r="20">
          <cell r="A20">
            <v>4</v>
          </cell>
          <cell r="F20">
            <v>0</v>
          </cell>
          <cell r="H20">
            <v>0</v>
          </cell>
          <cell r="K20">
            <v>0</v>
          </cell>
        </row>
        <row r="21">
          <cell r="A21">
            <v>5</v>
          </cell>
          <cell r="F21">
            <v>0</v>
          </cell>
          <cell r="H21">
            <v>0</v>
          </cell>
          <cell r="K21">
            <v>0</v>
          </cell>
        </row>
        <row r="22">
          <cell r="A22">
            <v>6</v>
          </cell>
          <cell r="F22">
            <v>0</v>
          </cell>
          <cell r="H22">
            <v>3274.1000000000004</v>
          </cell>
        </row>
        <row r="23">
          <cell r="A23">
            <v>7</v>
          </cell>
          <cell r="F23">
            <v>0</v>
          </cell>
          <cell r="H23">
            <v>0</v>
          </cell>
        </row>
        <row r="24">
          <cell r="A24">
            <v>8</v>
          </cell>
          <cell r="B24">
            <v>0</v>
          </cell>
          <cell r="F24">
            <v>0</v>
          </cell>
          <cell r="H24">
            <v>0</v>
          </cell>
        </row>
        <row r="25">
          <cell r="A25">
            <v>9</v>
          </cell>
          <cell r="B25">
            <v>0</v>
          </cell>
          <cell r="F25">
            <v>0</v>
          </cell>
          <cell r="H25">
            <v>0</v>
          </cell>
        </row>
        <row r="26">
          <cell r="A26">
            <v>10</v>
          </cell>
          <cell r="B26">
            <v>0</v>
          </cell>
          <cell r="F26">
            <v>0</v>
          </cell>
          <cell r="H26">
            <v>0</v>
          </cell>
        </row>
        <row r="27">
          <cell r="A27">
            <v>11</v>
          </cell>
          <cell r="B27">
            <v>0</v>
          </cell>
          <cell r="F27">
            <v>0</v>
          </cell>
          <cell r="H27">
            <v>0</v>
          </cell>
        </row>
        <row r="28">
          <cell r="A28">
            <v>12</v>
          </cell>
          <cell r="B28">
            <v>0</v>
          </cell>
          <cell r="F28">
            <v>0</v>
          </cell>
          <cell r="H28">
            <v>6548.2000000000007</v>
          </cell>
        </row>
        <row r="29">
          <cell r="A29">
            <v>13</v>
          </cell>
        </row>
        <row r="30">
          <cell r="A30">
            <v>14</v>
          </cell>
          <cell r="B30">
            <v>0</v>
          </cell>
        </row>
        <row r="31">
          <cell r="A31">
            <v>15</v>
          </cell>
          <cell r="B31">
            <v>0</v>
          </cell>
        </row>
        <row r="32">
          <cell r="A32">
            <v>16</v>
          </cell>
          <cell r="B32">
            <v>0</v>
          </cell>
        </row>
        <row r="33">
          <cell r="A33">
            <v>17</v>
          </cell>
          <cell r="B33">
            <v>0</v>
          </cell>
        </row>
        <row r="34">
          <cell r="A34">
            <v>18</v>
          </cell>
          <cell r="B34">
            <v>0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  <cell r="B52">
            <v>0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39</v>
          </cell>
        </row>
        <row r="56">
          <cell r="A56">
            <v>40</v>
          </cell>
        </row>
        <row r="57">
          <cell r="A57">
            <v>41</v>
          </cell>
        </row>
        <row r="58">
          <cell r="A58">
            <v>42</v>
          </cell>
        </row>
        <row r="59">
          <cell r="A59">
            <v>43</v>
          </cell>
        </row>
        <row r="60">
          <cell r="A60">
            <v>44</v>
          </cell>
        </row>
        <row r="61">
          <cell r="A61">
            <v>45</v>
          </cell>
        </row>
        <row r="62">
          <cell r="A62">
            <v>46</v>
          </cell>
        </row>
        <row r="63">
          <cell r="A63">
            <v>47</v>
          </cell>
        </row>
        <row r="64">
          <cell r="A64">
            <v>48</v>
          </cell>
        </row>
        <row r="65">
          <cell r="A65">
            <v>49</v>
          </cell>
        </row>
        <row r="66">
          <cell r="A66">
            <v>50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53</v>
          </cell>
        </row>
        <row r="70">
          <cell r="A70">
            <v>54</v>
          </cell>
        </row>
        <row r="71">
          <cell r="A71">
            <v>55</v>
          </cell>
        </row>
        <row r="72">
          <cell r="A72">
            <v>56</v>
          </cell>
        </row>
        <row r="73">
          <cell r="A73">
            <v>57</v>
          </cell>
        </row>
        <row r="74">
          <cell r="A74">
            <v>58</v>
          </cell>
        </row>
        <row r="75">
          <cell r="A75">
            <v>59</v>
          </cell>
        </row>
        <row r="76">
          <cell r="A76">
            <v>60</v>
          </cell>
        </row>
      </sheetData>
      <sheetData sheetId="1"/>
      <sheetData sheetId="2"/>
      <sheetData sheetId="3">
        <row r="1">
          <cell r="A1" t="str">
            <v>INVERSIÓN INICIAL</v>
          </cell>
        </row>
      </sheetData>
      <sheetData sheetId="4">
        <row r="1">
          <cell r="A1" t="str">
            <v>COSTOS FIJOS</v>
          </cell>
        </row>
      </sheetData>
      <sheetData sheetId="5">
        <row r="1">
          <cell r="A1" t="str">
            <v>COSTOS VARIABLES</v>
          </cell>
        </row>
      </sheetData>
      <sheetData sheetId="6">
        <row r="11">
          <cell r="B11">
            <v>0</v>
          </cell>
          <cell r="C11">
            <v>29062.034049999995</v>
          </cell>
          <cell r="D11">
            <v>47142.255649999999</v>
          </cell>
          <cell r="E11">
            <v>30207.969049999996</v>
          </cell>
          <cell r="F11">
            <v>24032.695749999999</v>
          </cell>
        </row>
      </sheetData>
      <sheetData sheetId="7">
        <row r="4">
          <cell r="B4" t="str">
            <v>INGRESOS ACUMULADOS</v>
          </cell>
          <cell r="C4" t="str">
            <v>EGRESOS ACUMULADOS</v>
          </cell>
          <cell r="D4" t="str">
            <v>ING-EGRESOS</v>
          </cell>
          <cell r="E4" t="str">
            <v>I-E AJUSTADO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</v>
          </cell>
          <cell r="C10">
            <v>-3274.1000000000004</v>
          </cell>
          <cell r="D10">
            <v>-3274.1000000000004</v>
          </cell>
          <cell r="E10">
            <v>-3250.3358563246838</v>
          </cell>
        </row>
        <row r="11">
          <cell r="B11">
            <v>0</v>
          </cell>
          <cell r="C11">
            <v>-3274.1000000000004</v>
          </cell>
          <cell r="D11">
            <v>-3274.1000000000004</v>
          </cell>
          <cell r="E11">
            <v>-3250.3358563246838</v>
          </cell>
        </row>
        <row r="12">
          <cell r="B12">
            <v>0</v>
          </cell>
          <cell r="C12">
            <v>-3274.1000000000004</v>
          </cell>
          <cell r="D12">
            <v>-3274.1000000000004</v>
          </cell>
          <cell r="E12">
            <v>-3250.3358563246838</v>
          </cell>
        </row>
        <row r="13">
          <cell r="B13">
            <v>0</v>
          </cell>
          <cell r="C13">
            <v>-3274.1000000000004</v>
          </cell>
          <cell r="D13">
            <v>-3274.1000000000004</v>
          </cell>
          <cell r="E13">
            <v>-3250.3358563246838</v>
          </cell>
        </row>
        <row r="14">
          <cell r="B14">
            <v>0</v>
          </cell>
          <cell r="C14">
            <v>-3274.1000000000004</v>
          </cell>
          <cell r="D14">
            <v>-3274.1000000000004</v>
          </cell>
          <cell r="E14">
            <v>-3250.3358563246838</v>
          </cell>
        </row>
        <row r="15">
          <cell r="B15">
            <v>0</v>
          </cell>
          <cell r="C15">
            <v>-3274.1000000000004</v>
          </cell>
          <cell r="D15">
            <v>-3274.1000000000004</v>
          </cell>
          <cell r="E15">
            <v>-3250.3358563246838</v>
          </cell>
        </row>
        <row r="16">
          <cell r="B16">
            <v>0</v>
          </cell>
          <cell r="C16">
            <v>-9822.3000000000011</v>
          </cell>
          <cell r="D16">
            <v>-9822.3000000000011</v>
          </cell>
          <cell r="E16">
            <v>-9694.4287650092774</v>
          </cell>
        </row>
        <row r="17">
          <cell r="B17">
            <v>0</v>
          </cell>
          <cell r="C17">
            <v>-9822.3000000000011</v>
          </cell>
          <cell r="D17">
            <v>-9822.3000000000011</v>
          </cell>
          <cell r="E17">
            <v>-9694.4287650092774</v>
          </cell>
        </row>
        <row r="18">
          <cell r="B18">
            <v>0</v>
          </cell>
          <cell r="C18">
            <v>-9822.3000000000011</v>
          </cell>
          <cell r="D18">
            <v>-9822.3000000000011</v>
          </cell>
          <cell r="E18">
            <v>-9694.4287650092774</v>
          </cell>
        </row>
        <row r="19">
          <cell r="B19">
            <v>0</v>
          </cell>
          <cell r="C19">
            <v>-9822.3000000000011</v>
          </cell>
          <cell r="D19">
            <v>-9822.3000000000011</v>
          </cell>
          <cell r="E19">
            <v>-9694.4287650092774</v>
          </cell>
        </row>
        <row r="20">
          <cell r="B20">
            <v>0</v>
          </cell>
          <cell r="C20">
            <v>-9822.3000000000011</v>
          </cell>
          <cell r="D20">
            <v>-9822.3000000000011</v>
          </cell>
          <cell r="E20">
            <v>-9694.4287650092774</v>
          </cell>
        </row>
        <row r="21">
          <cell r="B21">
            <v>0</v>
          </cell>
          <cell r="C21">
            <v>-9822.3000000000011</v>
          </cell>
          <cell r="D21">
            <v>-9822.3000000000011</v>
          </cell>
          <cell r="E21">
            <v>-9694.4287650092774</v>
          </cell>
        </row>
        <row r="22">
          <cell r="B22">
            <v>0</v>
          </cell>
          <cell r="C22">
            <v>-16370.500000000002</v>
          </cell>
          <cell r="D22">
            <v>-16370.500000000002</v>
          </cell>
          <cell r="E22">
            <v>-16082.435305157247</v>
          </cell>
        </row>
        <row r="23">
          <cell r="B23">
            <v>0</v>
          </cell>
          <cell r="C23">
            <v>-16370.500000000002</v>
          </cell>
          <cell r="D23">
            <v>-16370.500000000002</v>
          </cell>
          <cell r="E23">
            <v>-16082.435305157247</v>
          </cell>
        </row>
        <row r="24">
          <cell r="B24">
            <v>42473.1</v>
          </cell>
          <cell r="C24">
            <v>-17644.693000000003</v>
          </cell>
          <cell r="D24">
            <v>24828.406999999996</v>
          </cell>
          <cell r="E24">
            <v>23991.65113679595</v>
          </cell>
        </row>
        <row r="25">
          <cell r="B25">
            <v>70788.5</v>
          </cell>
          <cell r="C25">
            <v>-18494.155000000002</v>
          </cell>
          <cell r="D25">
            <v>52294.345000000001</v>
          </cell>
          <cell r="E25">
            <v>50668.813462094462</v>
          </cell>
        </row>
        <row r="26">
          <cell r="B26">
            <v>84946.2</v>
          </cell>
          <cell r="C26">
            <v>-18918.886000000002</v>
          </cell>
          <cell r="D26">
            <v>66027.313999999998</v>
          </cell>
          <cell r="E26">
            <v>63987.97528680331</v>
          </cell>
        </row>
        <row r="27">
          <cell r="B27">
            <v>99103.9</v>
          </cell>
          <cell r="C27">
            <v>-19343.617000000002</v>
          </cell>
          <cell r="D27">
            <v>79760.282999999996</v>
          </cell>
          <cell r="E27">
            <v>77287.746045745604</v>
          </cell>
        </row>
        <row r="28">
          <cell r="B28">
            <v>99103.9</v>
          </cell>
          <cell r="C28">
            <v>-54953.851049999997</v>
          </cell>
          <cell r="D28">
            <v>44150.048949999997</v>
          </cell>
          <cell r="E28">
            <v>42851.024135149361</v>
          </cell>
        </row>
        <row r="29">
          <cell r="B29">
            <v>99103.9</v>
          </cell>
          <cell r="C29">
            <v>-54953.851049999997</v>
          </cell>
          <cell r="D29">
            <v>44150.048949999997</v>
          </cell>
          <cell r="E29">
            <v>42851.024135149361</v>
          </cell>
        </row>
        <row r="30">
          <cell r="B30">
            <v>155734.70000000001</v>
          </cell>
          <cell r="C30">
            <v>-56652.775049999997</v>
          </cell>
          <cell r="D30">
            <v>99081.924950000015</v>
          </cell>
          <cell r="E30">
            <v>95818.091268658871</v>
          </cell>
        </row>
        <row r="31">
          <cell r="B31">
            <v>169892.40000000002</v>
          </cell>
          <cell r="C31">
            <v>-57077.506049999996</v>
          </cell>
          <cell r="D31">
            <v>112814.89395000003</v>
          </cell>
          <cell r="E31">
            <v>109040.57966395593</v>
          </cell>
        </row>
        <row r="32">
          <cell r="B32">
            <v>184050.10000000003</v>
          </cell>
          <cell r="C32">
            <v>-57502.237049999996</v>
          </cell>
          <cell r="D32">
            <v>126547.86295000004</v>
          </cell>
          <cell r="E32">
            <v>122243.81773814079</v>
          </cell>
        </row>
        <row r="33">
          <cell r="B33">
            <v>198207.80000000005</v>
          </cell>
          <cell r="C33">
            <v>-57926.968049999996</v>
          </cell>
          <cell r="D33">
            <v>140280.83195000005</v>
          </cell>
          <cell r="E33">
            <v>135427.83351731964</v>
          </cell>
        </row>
        <row r="34">
          <cell r="B34">
            <v>198207.80000000005</v>
          </cell>
          <cell r="C34">
            <v>-67749.268049999999</v>
          </cell>
          <cell r="D34">
            <v>130458.53195000005</v>
          </cell>
          <cell r="E34">
            <v>126011.89251289172</v>
          </cell>
        </row>
        <row r="35">
          <cell r="B35">
            <v>198207.80000000005</v>
          </cell>
          <cell r="C35">
            <v>-67749.268049999999</v>
          </cell>
          <cell r="D35">
            <v>130458.53195000005</v>
          </cell>
          <cell r="E35">
            <v>126011.89251289172</v>
          </cell>
        </row>
        <row r="36">
          <cell r="B36">
            <v>226523.20000000004</v>
          </cell>
          <cell r="C36">
            <v>-68598.730049999998</v>
          </cell>
          <cell r="D36">
            <v>157924.46995000006</v>
          </cell>
          <cell r="E36">
            <v>152264.92579902898</v>
          </cell>
        </row>
        <row r="37">
          <cell r="B37">
            <v>240680.90000000005</v>
          </cell>
          <cell r="C37">
            <v>-69023.461049999998</v>
          </cell>
          <cell r="D37">
            <v>171657.43895000004</v>
          </cell>
          <cell r="E37">
            <v>165372.33184408391</v>
          </cell>
        </row>
        <row r="38">
          <cell r="B38">
            <v>254838.60000000006</v>
          </cell>
          <cell r="C38">
            <v>-69448.192049999998</v>
          </cell>
          <cell r="D38">
            <v>185390.40795000008</v>
          </cell>
          <cell r="E38">
            <v>178460.6551138116</v>
          </cell>
        </row>
        <row r="39">
          <cell r="B39">
            <v>254838.60000000006</v>
          </cell>
          <cell r="C39">
            <v>-69448.192049999998</v>
          </cell>
          <cell r="D39">
            <v>185390.40795000008</v>
          </cell>
          <cell r="E39">
            <v>178460.6551138116</v>
          </cell>
        </row>
        <row r="40">
          <cell r="B40">
            <v>254838.60000000006</v>
          </cell>
          <cell r="C40">
            <v>-123138.6477</v>
          </cell>
          <cell r="D40">
            <v>131699.95230000006</v>
          </cell>
          <cell r="E40">
            <v>127439.39474517088</v>
          </cell>
        </row>
        <row r="41">
          <cell r="B41">
            <v>254838.60000000006</v>
          </cell>
          <cell r="C41">
            <v>-123138.6477</v>
          </cell>
          <cell r="D41">
            <v>131699.95230000006</v>
          </cell>
          <cell r="E41">
            <v>127439.39474517088</v>
          </cell>
        </row>
        <row r="42">
          <cell r="B42">
            <v>268996.30000000005</v>
          </cell>
          <cell r="C42">
            <v>-123563.3787</v>
          </cell>
          <cell r="D42">
            <v>145432.92130000005</v>
          </cell>
          <cell r="E42">
            <v>140451.6643312095</v>
          </cell>
        </row>
        <row r="43">
          <cell r="B43">
            <v>283154.00000000006</v>
          </cell>
          <cell r="C43">
            <v>-123988.1097</v>
          </cell>
          <cell r="D43">
            <v>159165.89030000006</v>
          </cell>
          <cell r="E43">
            <v>153444.98964893483</v>
          </cell>
        </row>
        <row r="44">
          <cell r="B44">
            <v>297311.70000000007</v>
          </cell>
          <cell r="C44">
            <v>-124412.8407</v>
          </cell>
          <cell r="D44">
            <v>172898.85930000007</v>
          </cell>
          <cell r="E44">
            <v>166419.39827887775</v>
          </cell>
        </row>
        <row r="45">
          <cell r="B45">
            <v>311469.40000000008</v>
          </cell>
          <cell r="C45">
            <v>-124837.5717</v>
          </cell>
          <cell r="D45">
            <v>186631.82830000008</v>
          </cell>
          <cell r="E45">
            <v>179374.91776141513</v>
          </cell>
        </row>
        <row r="46">
          <cell r="B46">
            <v>311469.40000000008</v>
          </cell>
          <cell r="C46">
            <v>-131385.77170000001</v>
          </cell>
          <cell r="D46">
            <v>180083.62830000007</v>
          </cell>
          <cell r="E46">
            <v>173206.41750208638</v>
          </cell>
        </row>
        <row r="47">
          <cell r="B47">
            <v>311469.40000000008</v>
          </cell>
          <cell r="C47">
            <v>-131385.77170000001</v>
          </cell>
          <cell r="D47">
            <v>180083.62830000007</v>
          </cell>
          <cell r="E47">
            <v>173206.41750208638</v>
          </cell>
        </row>
        <row r="48">
          <cell r="B48">
            <v>334121.72000000009</v>
          </cell>
          <cell r="C48">
            <v>-132065.3413</v>
          </cell>
          <cell r="D48">
            <v>202056.37870000009</v>
          </cell>
          <cell r="E48">
            <v>193844.84451315826</v>
          </cell>
        </row>
        <row r="49">
          <cell r="B49">
            <v>339784.8000000001</v>
          </cell>
          <cell r="C49">
            <v>-132235.23370000001</v>
          </cell>
          <cell r="D49">
            <v>207549.56630000009</v>
          </cell>
          <cell r="E49">
            <v>198996.93951141881</v>
          </cell>
        </row>
        <row r="50">
          <cell r="B50">
            <v>348279.4200000001</v>
          </cell>
          <cell r="C50">
            <v>-132490.0723</v>
          </cell>
          <cell r="D50">
            <v>215789.3477000001</v>
          </cell>
          <cell r="E50">
            <v>206713.83078133801</v>
          </cell>
        </row>
        <row r="51">
          <cell r="B51">
            <v>353942.50000000012</v>
          </cell>
          <cell r="C51">
            <v>-132659.96470000001</v>
          </cell>
          <cell r="D51">
            <v>221282.53530000011</v>
          </cell>
          <cell r="E51">
            <v>211850.93506324117</v>
          </cell>
        </row>
        <row r="52">
          <cell r="B52">
            <v>353942.50000000012</v>
          </cell>
          <cell r="C52">
            <v>-166142.03375</v>
          </cell>
          <cell r="D52">
            <v>187800.46625000011</v>
          </cell>
          <cell r="E52">
            <v>180584.85048582024</v>
          </cell>
        </row>
        <row r="53">
          <cell r="B53">
            <v>353942.50000000012</v>
          </cell>
          <cell r="C53">
            <v>-166142.03375</v>
          </cell>
          <cell r="D53">
            <v>187800.46625000011</v>
          </cell>
          <cell r="E53">
            <v>180584.85048582024</v>
          </cell>
        </row>
        <row r="54">
          <cell r="B54">
            <v>353942.50000000012</v>
          </cell>
          <cell r="C54">
            <v>-166142.03375</v>
          </cell>
          <cell r="D54">
            <v>187800.46625000011</v>
          </cell>
          <cell r="E54">
            <v>180584.85048582024</v>
          </cell>
        </row>
        <row r="55">
          <cell r="B55">
            <v>368100.20000000013</v>
          </cell>
          <cell r="C55">
            <v>-166566.76475</v>
          </cell>
          <cell r="D55">
            <v>201533.43525000013</v>
          </cell>
          <cell r="E55">
            <v>193352.9844228703</v>
          </cell>
        </row>
        <row r="56">
          <cell r="B56">
            <v>382257.90000000014</v>
          </cell>
          <cell r="C56">
            <v>-166991.49575</v>
          </cell>
          <cell r="D56">
            <v>215266.40425000014</v>
          </cell>
          <cell r="E56">
            <v>206102.52952316412</v>
          </cell>
        </row>
        <row r="57">
          <cell r="B57">
            <v>382257.90000000014</v>
          </cell>
          <cell r="C57">
            <v>-166991.49575</v>
          </cell>
          <cell r="D57">
            <v>215266.40425000014</v>
          </cell>
          <cell r="E57">
            <v>206102.52952316412</v>
          </cell>
        </row>
        <row r="58">
          <cell r="B58">
            <v>382257.90000000014</v>
          </cell>
          <cell r="C58">
            <v>-166991.49575</v>
          </cell>
          <cell r="D58">
            <v>215266.40425000014</v>
          </cell>
          <cell r="E58">
            <v>206102.52952316412</v>
          </cell>
        </row>
        <row r="59">
          <cell r="B59">
            <v>382257.90000000014</v>
          </cell>
          <cell r="C59">
            <v>-166991.49575</v>
          </cell>
          <cell r="D59">
            <v>215266.40425000014</v>
          </cell>
          <cell r="E59">
            <v>206102.52952316412</v>
          </cell>
        </row>
        <row r="60">
          <cell r="B60">
            <v>410573.30000000016</v>
          </cell>
          <cell r="C60">
            <v>-167840.95775</v>
          </cell>
          <cell r="D60">
            <v>242732.34225000016</v>
          </cell>
          <cell r="E60">
            <v>231453.44950358613</v>
          </cell>
        </row>
        <row r="61">
          <cell r="B61">
            <v>419067.92000000016</v>
          </cell>
          <cell r="C61">
            <v>-168095.79634999999</v>
          </cell>
          <cell r="D61">
            <v>250972.12365000017</v>
          </cell>
          <cell r="E61">
            <v>239047.65314879801</v>
          </cell>
        </row>
        <row r="62">
          <cell r="B62">
            <v>424731.00000000017</v>
          </cell>
          <cell r="C62">
            <v>-168265.68875</v>
          </cell>
          <cell r="D62">
            <v>256465.31125000017</v>
          </cell>
          <cell r="E62">
            <v>244103.08475965066</v>
          </cell>
        </row>
        <row r="63">
          <cell r="B63">
            <v>424731.00000000017</v>
          </cell>
          <cell r="C63">
            <v>-168265.68875</v>
          </cell>
          <cell r="D63">
            <v>256465.31125000017</v>
          </cell>
          <cell r="E63">
            <v>244103.08475965066</v>
          </cell>
        </row>
        <row r="64">
          <cell r="B64">
            <v>424731.00000000017</v>
          </cell>
          <cell r="C64">
            <v>-192298.38449999999</v>
          </cell>
          <cell r="D64">
            <v>232432.61550000019</v>
          </cell>
          <cell r="E64">
            <v>222049.92535480723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J50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13.109375" bestFit="1" customWidth="1"/>
    <col min="4" max="4" width="16.109375" bestFit="1" customWidth="1"/>
    <col min="5" max="5" width="19.109375" bestFit="1" customWidth="1"/>
    <col min="6" max="6" width="6" bestFit="1" customWidth="1"/>
    <col min="7" max="7" width="17.88671875" bestFit="1" customWidth="1"/>
    <col min="8" max="8" width="15.33203125" bestFit="1" customWidth="1"/>
    <col min="9" max="9" width="6.886718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82</v>
      </c>
      <c r="D1" s="2" t="s">
        <v>2</v>
      </c>
      <c r="E1" s="2" t="s">
        <v>3</v>
      </c>
      <c r="F1" s="13" t="s">
        <v>4</v>
      </c>
      <c r="G1" s="2" t="s">
        <v>5</v>
      </c>
      <c r="H1" s="2" t="s">
        <v>6</v>
      </c>
      <c r="I1" t="s">
        <v>7</v>
      </c>
    </row>
    <row r="2" spans="1:10" s="20" customFormat="1" x14ac:dyDescent="0.3">
      <c r="A2" s="17" t="s">
        <v>8</v>
      </c>
      <c r="B2" s="17" t="s">
        <v>9</v>
      </c>
      <c r="C2" s="17">
        <v>1</v>
      </c>
      <c r="D2" s="21" t="s">
        <v>10</v>
      </c>
      <c r="E2" s="18">
        <v>32</v>
      </c>
      <c r="F2" s="18">
        <v>0.21</v>
      </c>
      <c r="G2" s="18">
        <f>E2+(E2*F2)</f>
        <v>38.72</v>
      </c>
      <c r="H2" s="17">
        <f>C2*G2</f>
        <v>38.72</v>
      </c>
      <c r="I2" s="19"/>
    </row>
    <row r="3" spans="1:10" s="26" customFormat="1" x14ac:dyDescent="0.3">
      <c r="A3" s="16" t="s">
        <v>12</v>
      </c>
      <c r="B3" s="16" t="s">
        <v>92</v>
      </c>
      <c r="C3" s="16">
        <v>8</v>
      </c>
      <c r="D3" s="22" t="s">
        <v>89</v>
      </c>
      <c r="E3" s="23">
        <v>2.5000000000000001E-2</v>
      </c>
      <c r="F3" s="23">
        <v>0.21</v>
      </c>
      <c r="G3" s="24">
        <f t="shared" ref="G3:G33" si="0">E3+(E3*F3)</f>
        <v>3.0250000000000003E-2</v>
      </c>
      <c r="H3" s="25">
        <f t="shared" ref="H3:H19" si="1">C3*G3</f>
        <v>0.24200000000000002</v>
      </c>
    </row>
    <row r="4" spans="1:10" s="26" customFormat="1" x14ac:dyDescent="0.3">
      <c r="A4" s="16" t="s">
        <v>13</v>
      </c>
      <c r="B4" s="16" t="s">
        <v>93</v>
      </c>
      <c r="C4" s="16">
        <v>8</v>
      </c>
      <c r="D4" s="22" t="s">
        <v>89</v>
      </c>
      <c r="E4" s="23">
        <v>2.5000000000000001E-2</v>
      </c>
      <c r="F4" s="23">
        <v>0.21</v>
      </c>
      <c r="G4" s="24">
        <f t="shared" si="0"/>
        <v>3.0250000000000003E-2</v>
      </c>
      <c r="H4" s="25">
        <f t="shared" si="1"/>
        <v>0.24200000000000002</v>
      </c>
    </row>
    <row r="5" spans="1:10" s="26" customFormat="1" x14ac:dyDescent="0.3">
      <c r="A5" s="16" t="s">
        <v>14</v>
      </c>
      <c r="B5" s="16" t="s">
        <v>94</v>
      </c>
      <c r="C5" s="16">
        <v>4</v>
      </c>
      <c r="D5" s="22" t="s">
        <v>89</v>
      </c>
      <c r="E5" s="23">
        <v>2.5000000000000001E-2</v>
      </c>
      <c r="F5" s="23">
        <v>0.21</v>
      </c>
      <c r="G5" s="24">
        <f t="shared" si="0"/>
        <v>3.0250000000000003E-2</v>
      </c>
      <c r="H5" s="25">
        <f t="shared" si="1"/>
        <v>0.12100000000000001</v>
      </c>
      <c r="J5" s="26" t="s">
        <v>84</v>
      </c>
    </row>
    <row r="6" spans="1:10" s="26" customFormat="1" x14ac:dyDescent="0.3">
      <c r="A6" s="16" t="s">
        <v>15</v>
      </c>
      <c r="B6" s="16" t="s">
        <v>95</v>
      </c>
      <c r="C6" s="16">
        <v>2</v>
      </c>
      <c r="D6" s="22" t="s">
        <v>89</v>
      </c>
      <c r="E6" s="23">
        <v>2.5000000000000001E-2</v>
      </c>
      <c r="F6" s="23">
        <v>0.21</v>
      </c>
      <c r="G6" s="24">
        <f t="shared" si="0"/>
        <v>3.0250000000000003E-2</v>
      </c>
      <c r="H6" s="25">
        <f t="shared" si="1"/>
        <v>6.0500000000000005E-2</v>
      </c>
    </row>
    <row r="7" spans="1:10" s="26" customFormat="1" x14ac:dyDescent="0.3">
      <c r="A7" s="16" t="s">
        <v>83</v>
      </c>
      <c r="B7" s="16" t="s">
        <v>96</v>
      </c>
      <c r="C7" s="16">
        <v>3</v>
      </c>
      <c r="D7" s="22" t="s">
        <v>89</v>
      </c>
      <c r="E7" s="23">
        <v>2.5000000000000001E-2</v>
      </c>
      <c r="F7" s="23">
        <v>0.21</v>
      </c>
      <c r="G7" s="24">
        <f t="shared" si="0"/>
        <v>3.0250000000000003E-2</v>
      </c>
      <c r="H7" s="25">
        <f t="shared" si="1"/>
        <v>9.0750000000000011E-2</v>
      </c>
    </row>
    <row r="8" spans="1:10" s="26" customFormat="1" x14ac:dyDescent="0.3">
      <c r="A8" s="16" t="s">
        <v>16</v>
      </c>
      <c r="B8" s="16" t="s">
        <v>17</v>
      </c>
      <c r="C8" s="16">
        <v>1</v>
      </c>
      <c r="D8" s="22" t="s">
        <v>89</v>
      </c>
      <c r="E8" s="23">
        <v>0.5</v>
      </c>
      <c r="F8" s="23">
        <v>0.21</v>
      </c>
      <c r="G8" s="24">
        <f t="shared" si="0"/>
        <v>0.60499999999999998</v>
      </c>
      <c r="H8" s="25">
        <f t="shared" si="1"/>
        <v>0.60499999999999998</v>
      </c>
    </row>
    <row r="9" spans="1:10" s="26" customFormat="1" x14ac:dyDescent="0.3">
      <c r="A9" s="16" t="s">
        <v>97</v>
      </c>
      <c r="B9" s="16" t="s">
        <v>18</v>
      </c>
      <c r="C9" s="16">
        <v>1</v>
      </c>
      <c r="D9" s="22" t="s">
        <v>26</v>
      </c>
      <c r="E9" s="23">
        <v>0.03</v>
      </c>
      <c r="F9" s="23">
        <v>0.21</v>
      </c>
      <c r="G9" s="24">
        <f t="shared" ref="G9" si="2">E9+(E9*F9)</f>
        <v>3.6299999999999999E-2</v>
      </c>
      <c r="H9" s="25">
        <f t="shared" ref="H9" si="3">C9*G9</f>
        <v>3.6299999999999999E-2</v>
      </c>
    </row>
    <row r="10" spans="1:10" s="26" customFormat="1" x14ac:dyDescent="0.3">
      <c r="A10" s="16" t="s">
        <v>19</v>
      </c>
      <c r="B10" s="16" t="s">
        <v>20</v>
      </c>
      <c r="C10" s="16">
        <v>1</v>
      </c>
      <c r="D10" s="22" t="s">
        <v>26</v>
      </c>
      <c r="E10" s="23">
        <v>0.03</v>
      </c>
      <c r="F10" s="23">
        <v>0.21</v>
      </c>
      <c r="G10" s="24">
        <f t="shared" si="0"/>
        <v>3.6299999999999999E-2</v>
      </c>
      <c r="H10" s="25">
        <f t="shared" si="1"/>
        <v>3.6299999999999999E-2</v>
      </c>
      <c r="J10" s="26" t="s">
        <v>125</v>
      </c>
    </row>
    <row r="11" spans="1:10" s="26" customFormat="1" x14ac:dyDescent="0.3">
      <c r="A11" s="16" t="s">
        <v>98</v>
      </c>
      <c r="B11" s="16" t="s">
        <v>21</v>
      </c>
      <c r="C11" s="16">
        <v>1</v>
      </c>
      <c r="D11" s="22" t="s">
        <v>26</v>
      </c>
      <c r="E11" s="23">
        <v>0.05</v>
      </c>
      <c r="F11" s="23">
        <v>0.21</v>
      </c>
      <c r="G11" s="24">
        <f t="shared" si="0"/>
        <v>6.0500000000000005E-2</v>
      </c>
      <c r="H11" s="25">
        <f t="shared" si="1"/>
        <v>6.0500000000000005E-2</v>
      </c>
    </row>
    <row r="12" spans="1:10" s="26" customFormat="1" x14ac:dyDescent="0.3">
      <c r="A12" s="16" t="s">
        <v>99</v>
      </c>
      <c r="B12" s="16" t="s">
        <v>22</v>
      </c>
      <c r="C12" s="16">
        <v>1</v>
      </c>
      <c r="D12" s="22" t="s">
        <v>26</v>
      </c>
      <c r="E12" s="23">
        <v>0.04</v>
      </c>
      <c r="F12" s="23">
        <v>0.21</v>
      </c>
      <c r="G12" s="24">
        <f t="shared" si="0"/>
        <v>4.8399999999999999E-2</v>
      </c>
      <c r="H12" s="25">
        <f t="shared" si="1"/>
        <v>4.8399999999999999E-2</v>
      </c>
      <c r="J12" s="26" t="s">
        <v>126</v>
      </c>
    </row>
    <row r="13" spans="1:10" s="26" customFormat="1" x14ac:dyDescent="0.3">
      <c r="A13" s="16" t="s">
        <v>85</v>
      </c>
      <c r="B13" s="16" t="s">
        <v>23</v>
      </c>
      <c r="C13" s="16">
        <v>1</v>
      </c>
      <c r="D13" s="22" t="s">
        <v>11</v>
      </c>
      <c r="E13" s="23">
        <v>0.13</v>
      </c>
      <c r="F13" s="23">
        <v>0.21</v>
      </c>
      <c r="G13" s="24">
        <f t="shared" ref="G13" si="4">E13+(E13*F13)</f>
        <v>0.1573</v>
      </c>
      <c r="H13" s="25">
        <f t="shared" ref="H13" si="5">C13*G13</f>
        <v>0.1573</v>
      </c>
      <c r="I13" s="27"/>
    </row>
    <row r="14" spans="1:10" s="26" customFormat="1" x14ac:dyDescent="0.3">
      <c r="A14" s="16" t="s">
        <v>86</v>
      </c>
      <c r="B14" s="16" t="s">
        <v>23</v>
      </c>
      <c r="C14" s="16">
        <v>1</v>
      </c>
      <c r="D14" s="22" t="s">
        <v>11</v>
      </c>
      <c r="E14" s="23">
        <v>0.13</v>
      </c>
      <c r="F14" s="23">
        <v>0.21</v>
      </c>
      <c r="G14" s="24">
        <f t="shared" si="0"/>
        <v>0.1573</v>
      </c>
      <c r="H14" s="25">
        <f t="shared" si="1"/>
        <v>0.1573</v>
      </c>
      <c r="I14" s="27"/>
    </row>
    <row r="15" spans="1:10" s="26" customFormat="1" x14ac:dyDescent="0.3">
      <c r="A15" s="16" t="s">
        <v>24</v>
      </c>
      <c r="B15" s="16" t="s">
        <v>25</v>
      </c>
      <c r="C15" s="16">
        <v>1</v>
      </c>
      <c r="D15" s="22" t="s">
        <v>26</v>
      </c>
      <c r="E15" s="23">
        <v>0.47399999999999998</v>
      </c>
      <c r="F15" s="23">
        <v>0.21</v>
      </c>
      <c r="G15" s="24">
        <f t="shared" si="0"/>
        <v>0.57353999999999994</v>
      </c>
      <c r="H15" s="25">
        <f t="shared" si="1"/>
        <v>0.57353999999999994</v>
      </c>
    </row>
    <row r="16" spans="1:10" s="26" customFormat="1" x14ac:dyDescent="0.3">
      <c r="A16" s="16" t="s">
        <v>27</v>
      </c>
      <c r="B16" s="16" t="s">
        <v>25</v>
      </c>
      <c r="C16" s="16">
        <v>2</v>
      </c>
      <c r="D16" s="22" t="s">
        <v>26</v>
      </c>
      <c r="E16" s="23">
        <v>0.47399999999999998</v>
      </c>
      <c r="F16" s="23">
        <v>0.105</v>
      </c>
      <c r="G16" s="24">
        <f t="shared" si="0"/>
        <v>0.52376999999999996</v>
      </c>
      <c r="H16" s="25">
        <f t="shared" si="1"/>
        <v>1.0475399999999999</v>
      </c>
    </row>
    <row r="17" spans="1:9" s="26" customFormat="1" x14ac:dyDescent="0.3">
      <c r="A17" s="16" t="s">
        <v>28</v>
      </c>
      <c r="B17" s="16" t="s">
        <v>29</v>
      </c>
      <c r="C17" s="16">
        <v>4</v>
      </c>
      <c r="D17" s="22" t="s">
        <v>11</v>
      </c>
      <c r="E17" s="23">
        <v>0.84</v>
      </c>
      <c r="F17" s="23">
        <v>0.105</v>
      </c>
      <c r="G17" s="24">
        <f t="shared" si="0"/>
        <v>0.92819999999999991</v>
      </c>
      <c r="H17" s="25">
        <f t="shared" si="1"/>
        <v>3.7127999999999997</v>
      </c>
    </row>
    <row r="18" spans="1:9" s="26" customFormat="1" x14ac:dyDescent="0.3">
      <c r="A18" s="16" t="s">
        <v>30</v>
      </c>
      <c r="B18" s="16" t="s">
        <v>31</v>
      </c>
      <c r="C18" s="16">
        <v>2</v>
      </c>
      <c r="D18" s="22" t="s">
        <v>89</v>
      </c>
      <c r="E18" s="23">
        <v>2.5000000000000001E-2</v>
      </c>
      <c r="F18" s="23">
        <v>0.105</v>
      </c>
      <c r="G18" s="24">
        <f t="shared" si="0"/>
        <v>2.7625E-2</v>
      </c>
      <c r="H18" s="25">
        <f t="shared" si="1"/>
        <v>5.525E-2</v>
      </c>
    </row>
    <row r="19" spans="1:9" s="26" customFormat="1" ht="13.8" customHeight="1" x14ac:dyDescent="0.3">
      <c r="A19" s="16" t="s">
        <v>32</v>
      </c>
      <c r="B19" s="28" t="s">
        <v>100</v>
      </c>
      <c r="C19" s="16">
        <v>8</v>
      </c>
      <c r="D19" s="22" t="s">
        <v>89</v>
      </c>
      <c r="E19" s="23">
        <v>0.09</v>
      </c>
      <c r="F19" s="23">
        <v>0.105</v>
      </c>
      <c r="G19" s="24">
        <f t="shared" si="0"/>
        <v>9.9449999999999997E-2</v>
      </c>
      <c r="H19" s="25">
        <f t="shared" si="1"/>
        <v>0.79559999999999997</v>
      </c>
    </row>
    <row r="20" spans="1:9" s="26" customFormat="1" x14ac:dyDescent="0.3">
      <c r="A20" s="16" t="s">
        <v>87</v>
      </c>
      <c r="B20" s="16" t="s">
        <v>90</v>
      </c>
      <c r="C20" s="16">
        <v>1</v>
      </c>
      <c r="D20" s="22" t="s">
        <v>26</v>
      </c>
      <c r="E20" s="16">
        <v>0.121</v>
      </c>
      <c r="F20" s="16">
        <v>0.105</v>
      </c>
      <c r="G20" s="25">
        <f t="shared" ref="G20" si="6">E20+(E20*F20)</f>
        <v>0.13370499999999999</v>
      </c>
      <c r="H20" s="25">
        <f t="shared" ref="H20:H33" si="7">C20*G20</f>
        <v>0.13370499999999999</v>
      </c>
      <c r="I20" s="25"/>
    </row>
    <row r="21" spans="1:9" s="26" customFormat="1" x14ac:dyDescent="0.3">
      <c r="A21" s="16" t="s">
        <v>33</v>
      </c>
      <c r="B21" s="16" t="s">
        <v>34</v>
      </c>
      <c r="C21" s="16">
        <v>2</v>
      </c>
      <c r="D21" s="22" t="s">
        <v>26</v>
      </c>
      <c r="E21" s="23">
        <v>7.1999999999999995E-2</v>
      </c>
      <c r="F21" s="23">
        <v>0.21</v>
      </c>
      <c r="G21" s="24">
        <f t="shared" si="0"/>
        <v>8.7119999999999989E-2</v>
      </c>
      <c r="H21" s="25">
        <f t="shared" si="7"/>
        <v>0.17423999999999998</v>
      </c>
    </row>
    <row r="22" spans="1:9" s="26" customFormat="1" x14ac:dyDescent="0.3">
      <c r="A22" s="16" t="s">
        <v>35</v>
      </c>
      <c r="B22" s="16" t="s">
        <v>36</v>
      </c>
      <c r="C22" s="16">
        <v>2</v>
      </c>
      <c r="D22" s="22" t="s">
        <v>89</v>
      </c>
      <c r="E22" s="23">
        <v>0.08</v>
      </c>
      <c r="F22" s="23">
        <v>0.105</v>
      </c>
      <c r="G22" s="24">
        <f t="shared" si="0"/>
        <v>8.8400000000000006E-2</v>
      </c>
      <c r="H22" s="25">
        <f t="shared" si="7"/>
        <v>0.17680000000000001</v>
      </c>
    </row>
    <row r="23" spans="1:9" s="26" customFormat="1" ht="13.8" customHeight="1" x14ac:dyDescent="0.3">
      <c r="A23" s="16" t="s">
        <v>37</v>
      </c>
      <c r="B23" s="16" t="s">
        <v>38</v>
      </c>
      <c r="C23" s="16">
        <v>3</v>
      </c>
      <c r="D23" s="22" t="s">
        <v>89</v>
      </c>
      <c r="E23" s="23">
        <v>0.05</v>
      </c>
      <c r="F23" s="23">
        <v>0.105</v>
      </c>
      <c r="G23" s="24">
        <f t="shared" si="0"/>
        <v>5.525E-2</v>
      </c>
      <c r="H23" s="25">
        <f t="shared" si="7"/>
        <v>0.16575000000000001</v>
      </c>
    </row>
    <row r="24" spans="1:9" s="26" customFormat="1" x14ac:dyDescent="0.3">
      <c r="A24" s="16" t="s">
        <v>127</v>
      </c>
      <c r="B24" s="16" t="s">
        <v>40</v>
      </c>
      <c r="C24" s="16">
        <v>1</v>
      </c>
      <c r="D24" s="22" t="s">
        <v>26</v>
      </c>
      <c r="E24" s="23">
        <v>8.9399999999999993E-2</v>
      </c>
      <c r="F24" s="23">
        <v>0.105</v>
      </c>
      <c r="G24" s="24">
        <f t="shared" ref="G24" si="8">E24+(E24*F24)</f>
        <v>9.8786999999999986E-2</v>
      </c>
      <c r="H24" s="25">
        <f t="shared" si="7"/>
        <v>9.8786999999999986E-2</v>
      </c>
    </row>
    <row r="25" spans="1:9" s="26" customFormat="1" x14ac:dyDescent="0.3">
      <c r="A25" s="16" t="s">
        <v>91</v>
      </c>
      <c r="B25" s="16" t="s">
        <v>40</v>
      </c>
      <c r="C25" s="16">
        <v>1</v>
      </c>
      <c r="D25" s="22" t="s">
        <v>26</v>
      </c>
      <c r="E25" s="23">
        <v>7.2599999999999998E-2</v>
      </c>
      <c r="F25" s="23">
        <v>0.105</v>
      </c>
      <c r="G25" s="24">
        <f t="shared" ref="G25" si="9">E25+(E25*F25)</f>
        <v>8.0223000000000003E-2</v>
      </c>
      <c r="H25" s="25">
        <f t="shared" si="7"/>
        <v>8.0223000000000003E-2</v>
      </c>
    </row>
    <row r="26" spans="1:9" s="26" customFormat="1" x14ac:dyDescent="0.3">
      <c r="A26" s="16" t="s">
        <v>39</v>
      </c>
      <c r="B26" s="16" t="s">
        <v>40</v>
      </c>
      <c r="C26" s="16">
        <v>1</v>
      </c>
      <c r="D26" s="22" t="s">
        <v>26</v>
      </c>
      <c r="E26" s="23">
        <v>5.5199999999999999E-2</v>
      </c>
      <c r="F26" s="23">
        <v>0.105</v>
      </c>
      <c r="G26" s="24">
        <f t="shared" si="0"/>
        <v>6.0996000000000002E-2</v>
      </c>
      <c r="H26" s="25">
        <f t="shared" si="7"/>
        <v>6.0996000000000002E-2</v>
      </c>
    </row>
    <row r="27" spans="1:9" s="26" customFormat="1" x14ac:dyDescent="0.3">
      <c r="A27" s="16" t="s">
        <v>41</v>
      </c>
      <c r="B27" s="16" t="s">
        <v>42</v>
      </c>
      <c r="C27" s="16">
        <v>1</v>
      </c>
      <c r="D27" s="22" t="s">
        <v>89</v>
      </c>
      <c r="E27" s="23">
        <v>0.4</v>
      </c>
      <c r="F27" s="23">
        <v>0.105</v>
      </c>
      <c r="G27" s="24">
        <f t="shared" si="0"/>
        <v>0.442</v>
      </c>
      <c r="H27" s="25">
        <f t="shared" si="7"/>
        <v>0.442</v>
      </c>
    </row>
    <row r="28" spans="1:9" s="26" customFormat="1" x14ac:dyDescent="0.3">
      <c r="A28" s="16" t="s">
        <v>43</v>
      </c>
      <c r="B28" s="16" t="s">
        <v>44</v>
      </c>
      <c r="C28" s="16">
        <v>1</v>
      </c>
      <c r="D28" s="22" t="s">
        <v>89</v>
      </c>
      <c r="E28" s="23">
        <v>1.6</v>
      </c>
      <c r="F28" s="23">
        <v>0.105</v>
      </c>
      <c r="G28" s="24">
        <f t="shared" si="0"/>
        <v>1.768</v>
      </c>
      <c r="H28" s="25">
        <f t="shared" si="7"/>
        <v>1.768</v>
      </c>
    </row>
    <row r="29" spans="1:9" s="26" customFormat="1" x14ac:dyDescent="0.3">
      <c r="A29" s="16" t="s">
        <v>88</v>
      </c>
      <c r="B29" s="16" t="s">
        <v>45</v>
      </c>
      <c r="C29" s="16">
        <v>1</v>
      </c>
      <c r="D29" s="22" t="s">
        <v>89</v>
      </c>
      <c r="E29" s="23">
        <v>1.1000000000000001</v>
      </c>
      <c r="F29" s="23">
        <v>0.21</v>
      </c>
      <c r="G29" s="24">
        <f t="shared" si="0"/>
        <v>1.3310000000000002</v>
      </c>
      <c r="H29" s="25">
        <f t="shared" si="7"/>
        <v>1.3310000000000002</v>
      </c>
    </row>
    <row r="30" spans="1:9" s="26" customFormat="1" x14ac:dyDescent="0.3">
      <c r="A30" s="16" t="s">
        <v>46</v>
      </c>
      <c r="B30" s="16" t="s">
        <v>47</v>
      </c>
      <c r="C30" s="16">
        <v>8</v>
      </c>
      <c r="D30" s="22" t="s">
        <v>89</v>
      </c>
      <c r="E30" s="23">
        <v>0.56999999999999995</v>
      </c>
      <c r="F30" s="23">
        <v>0.105</v>
      </c>
      <c r="G30" s="24">
        <f t="shared" si="0"/>
        <v>0.62984999999999991</v>
      </c>
      <c r="H30" s="25">
        <f t="shared" si="7"/>
        <v>5.0387999999999993</v>
      </c>
    </row>
    <row r="31" spans="1:9" s="26" customFormat="1" ht="12.6" customHeight="1" x14ac:dyDescent="0.3">
      <c r="A31" s="16" t="s">
        <v>48</v>
      </c>
      <c r="B31" s="16" t="s">
        <v>49</v>
      </c>
      <c r="C31" s="16">
        <v>3</v>
      </c>
      <c r="D31" s="22" t="s">
        <v>89</v>
      </c>
      <c r="E31" s="23">
        <v>0.35</v>
      </c>
      <c r="F31" s="23">
        <v>0.105</v>
      </c>
      <c r="G31" s="24">
        <f t="shared" si="0"/>
        <v>0.38674999999999998</v>
      </c>
      <c r="H31" s="25">
        <f t="shared" si="7"/>
        <v>1.16025</v>
      </c>
    </row>
    <row r="32" spans="1:9" s="26" customFormat="1" x14ac:dyDescent="0.3">
      <c r="A32" s="16" t="s">
        <v>50</v>
      </c>
      <c r="B32" s="16" t="s">
        <v>51</v>
      </c>
      <c r="C32" s="16">
        <v>1</v>
      </c>
      <c r="D32" s="22" t="s">
        <v>26</v>
      </c>
      <c r="E32" s="23">
        <v>0.46</v>
      </c>
      <c r="F32" s="23">
        <v>0.21</v>
      </c>
      <c r="G32" s="24">
        <f t="shared" si="0"/>
        <v>0.55659999999999998</v>
      </c>
      <c r="H32" s="25">
        <f t="shared" si="7"/>
        <v>0.55659999999999998</v>
      </c>
    </row>
    <row r="33" spans="1:8" s="26" customFormat="1" x14ac:dyDescent="0.3">
      <c r="A33" s="16" t="s">
        <v>52</v>
      </c>
      <c r="B33" s="16" t="s">
        <v>101</v>
      </c>
      <c r="C33" s="16">
        <v>1</v>
      </c>
      <c r="D33" s="22" t="s">
        <v>284</v>
      </c>
      <c r="E33" s="23">
        <v>26.33</v>
      </c>
      <c r="F33" s="23">
        <v>0.105</v>
      </c>
      <c r="G33" s="24">
        <f t="shared" si="0"/>
        <v>29.094649999999998</v>
      </c>
      <c r="H33" s="25">
        <f t="shared" si="7"/>
        <v>29.094649999999998</v>
      </c>
    </row>
    <row r="34" spans="1:8" ht="15.75" customHeight="1" x14ac:dyDescent="0.3">
      <c r="A34" s="12" t="s">
        <v>53</v>
      </c>
      <c r="B34" s="12"/>
      <c r="C34" s="12"/>
      <c r="D34" s="12"/>
      <c r="E34" s="12"/>
      <c r="F34" s="12"/>
      <c r="G34" s="12"/>
      <c r="H34" s="12">
        <f>SUM(H2:H33)</f>
        <v>87.043880999999985</v>
      </c>
    </row>
    <row r="35" spans="1:8" ht="15.75" customHeight="1" x14ac:dyDescent="0.3">
      <c r="A35" s="6"/>
      <c r="B35" s="6"/>
      <c r="C35" s="6"/>
      <c r="D35" s="6"/>
      <c r="E35" s="6"/>
      <c r="F35" s="6"/>
      <c r="G35" s="6"/>
      <c r="H35" s="6"/>
    </row>
    <row r="36" spans="1:8" ht="15.75" customHeight="1" x14ac:dyDescent="0.3">
      <c r="A36" s="6"/>
      <c r="B36" s="6"/>
      <c r="C36" s="6"/>
      <c r="D36" s="6"/>
      <c r="E36" s="6"/>
      <c r="F36" s="6"/>
      <c r="G36" s="6"/>
      <c r="H36" s="6"/>
    </row>
    <row r="37" spans="1:8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9"/>
    </row>
    <row r="39" spans="1:8" x14ac:dyDescent="0.3">
      <c r="A39" s="9"/>
      <c r="B39" s="9"/>
    </row>
    <row r="40" spans="1:8" x14ac:dyDescent="0.3">
      <c r="A40" s="9"/>
      <c r="B40" s="9"/>
    </row>
    <row r="41" spans="1:8" x14ac:dyDescent="0.3">
      <c r="A41" s="9"/>
      <c r="B41" s="9"/>
    </row>
    <row r="43" spans="1:8" x14ac:dyDescent="0.3">
      <c r="A43" s="6"/>
      <c r="B43" s="6"/>
    </row>
    <row r="44" spans="1:8" x14ac:dyDescent="0.3">
      <c r="A44" s="6"/>
      <c r="B44" s="6"/>
      <c r="C44" s="11"/>
      <c r="D44" s="11"/>
      <c r="E44" s="11"/>
      <c r="F44" s="11"/>
      <c r="G44" s="11"/>
      <c r="H44" s="11"/>
    </row>
    <row r="45" spans="1:8" x14ac:dyDescent="0.3">
      <c r="A45" s="6"/>
      <c r="B45" s="6"/>
      <c r="C45" s="6"/>
      <c r="D45" s="6"/>
      <c r="E45" s="6"/>
      <c r="F45" s="6"/>
      <c r="G45" s="6"/>
      <c r="H45" s="6"/>
    </row>
    <row r="46" spans="1:8" x14ac:dyDescent="0.3">
      <c r="A46" s="6"/>
      <c r="B46" s="6"/>
      <c r="C46" s="6"/>
      <c r="D46" s="6"/>
      <c r="E46" s="6"/>
      <c r="F46" s="6"/>
      <c r="G46" s="6"/>
      <c r="H46" s="6"/>
    </row>
    <row r="47" spans="1:8" x14ac:dyDescent="0.3">
      <c r="A47" s="6"/>
      <c r="B47" s="6"/>
      <c r="C47" s="6"/>
      <c r="D47" s="6"/>
      <c r="E47" s="6"/>
      <c r="F47" s="6"/>
      <c r="G47" s="6"/>
      <c r="H47" s="6"/>
    </row>
    <row r="48" spans="1:8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3">
      <c r="A49" s="11"/>
      <c r="B49" s="11"/>
      <c r="C49" s="6"/>
      <c r="D49" s="6"/>
      <c r="E49" s="6"/>
      <c r="F49" s="6"/>
      <c r="G49" s="6"/>
      <c r="H49" s="6"/>
    </row>
    <row r="50" spans="1:8" x14ac:dyDescent="0.3">
      <c r="A50" s="6"/>
      <c r="B5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9472-BE84-4D62-83CE-9C6B0888D866}">
  <sheetPr>
    <tabColor rgb="FFFF0000"/>
  </sheetPr>
  <dimension ref="A1:E31"/>
  <sheetViews>
    <sheetView zoomScale="110" zoomScaleNormal="110" workbookViewId="0">
      <selection activeCell="E13" sqref="E13"/>
    </sheetView>
  </sheetViews>
  <sheetFormatPr baseColWidth="10" defaultRowHeight="14.4" x14ac:dyDescent="0.3"/>
  <cols>
    <col min="1" max="1" width="57.2187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2" t="s">
        <v>349</v>
      </c>
      <c r="B1" t="s">
        <v>326</v>
      </c>
    </row>
    <row r="3" spans="1:5" x14ac:dyDescent="0.3">
      <c r="A3" s="32" t="s">
        <v>324</v>
      </c>
      <c r="B3" s="32" t="s">
        <v>82</v>
      </c>
      <c r="C3" s="32" t="s">
        <v>301</v>
      </c>
      <c r="D3" s="32" t="s">
        <v>293</v>
      </c>
      <c r="E3" s="32" t="s">
        <v>300</v>
      </c>
    </row>
    <row r="5" spans="1:5" x14ac:dyDescent="0.3">
      <c r="A5" t="s">
        <v>297</v>
      </c>
      <c r="B5">
        <v>10</v>
      </c>
      <c r="D5">
        <f>'Armado Placa'!H34</f>
        <v>87.043880999999985</v>
      </c>
      <c r="E5">
        <f t="shared" ref="E5:E12" si="0">B5*D5</f>
        <v>870.43880999999988</v>
      </c>
    </row>
    <row r="6" spans="1:5" x14ac:dyDescent="0.3">
      <c r="A6" t="s">
        <v>289</v>
      </c>
      <c r="B6">
        <v>10</v>
      </c>
      <c r="C6">
        <v>10</v>
      </c>
      <c r="D6">
        <f>7.28*C6</f>
        <v>72.8</v>
      </c>
      <c r="E6">
        <f t="shared" si="0"/>
        <v>728</v>
      </c>
    </row>
    <row r="7" spans="1:5" x14ac:dyDescent="0.3">
      <c r="A7" t="s">
        <v>296</v>
      </c>
      <c r="B7">
        <v>10</v>
      </c>
      <c r="D7">
        <f>'Armado Gabinete'!H14</f>
        <v>191.42441999999997</v>
      </c>
      <c r="E7">
        <f t="shared" si="0"/>
        <v>1914.2441999999996</v>
      </c>
    </row>
    <row r="8" spans="1:5" x14ac:dyDescent="0.3">
      <c r="A8" t="s">
        <v>290</v>
      </c>
      <c r="B8">
        <v>10</v>
      </c>
      <c r="C8">
        <v>6</v>
      </c>
      <c r="D8">
        <f>9.42*C8</f>
        <v>56.519999999999996</v>
      </c>
      <c r="E8">
        <f t="shared" si="0"/>
        <v>565.19999999999993</v>
      </c>
    </row>
    <row r="9" spans="1:5" x14ac:dyDescent="0.3">
      <c r="A9" t="s">
        <v>295</v>
      </c>
      <c r="B9">
        <v>10</v>
      </c>
      <c r="D9">
        <f>Montaje!H24</f>
        <v>370.2690750000001</v>
      </c>
      <c r="E9">
        <f t="shared" si="0"/>
        <v>3702.6907500000011</v>
      </c>
    </row>
    <row r="10" spans="1:5" x14ac:dyDescent="0.3">
      <c r="A10" t="s">
        <v>291</v>
      </c>
      <c r="B10">
        <v>10</v>
      </c>
      <c r="C10">
        <v>8</v>
      </c>
      <c r="D10">
        <f>9.42*C10</f>
        <v>75.36</v>
      </c>
      <c r="E10">
        <f t="shared" si="0"/>
        <v>753.6</v>
      </c>
    </row>
    <row r="11" spans="1:5" x14ac:dyDescent="0.3">
      <c r="A11" t="s">
        <v>292</v>
      </c>
      <c r="B11">
        <v>10</v>
      </c>
      <c r="C11">
        <v>1</v>
      </c>
      <c r="D11">
        <v>5.14</v>
      </c>
      <c r="E11">
        <f t="shared" si="0"/>
        <v>51.4</v>
      </c>
    </row>
    <row r="12" spans="1:5" x14ac:dyDescent="0.3">
      <c r="A12" t="s">
        <v>299</v>
      </c>
      <c r="B12">
        <v>10</v>
      </c>
      <c r="C12">
        <v>2</v>
      </c>
      <c r="D12">
        <f>5.14*C12</f>
        <v>10.28</v>
      </c>
      <c r="E12">
        <f t="shared" si="0"/>
        <v>102.8</v>
      </c>
    </row>
    <row r="13" spans="1:5" x14ac:dyDescent="0.3">
      <c r="A13" t="s">
        <v>147</v>
      </c>
      <c r="B13">
        <v>10</v>
      </c>
      <c r="C13" t="s">
        <v>298</v>
      </c>
      <c r="D13">
        <f>1.05*15+('Armado Placa'!H33+'Armado Gabinete'!H14+Montaje!H24)</f>
        <v>606.5381450000001</v>
      </c>
      <c r="E13">
        <f>1.05*15+('Armado Placa'!H33*B13+'Armado Gabinete'!H14*B13+Montaje!H24*B13)</f>
        <v>5923.6314500000008</v>
      </c>
    </row>
    <row r="14" spans="1:5" x14ac:dyDescent="0.3">
      <c r="A14" t="s">
        <v>343</v>
      </c>
      <c r="B14">
        <v>24</v>
      </c>
      <c r="C14" t="s">
        <v>298</v>
      </c>
      <c r="D14" s="91" t="s">
        <v>298</v>
      </c>
      <c r="E14">
        <f>15.23*B14</f>
        <v>365.52</v>
      </c>
    </row>
    <row r="15" spans="1:5" x14ac:dyDescent="0.3">
      <c r="A15" t="s">
        <v>151</v>
      </c>
      <c r="B15">
        <v>10</v>
      </c>
      <c r="C15" t="s">
        <v>298</v>
      </c>
      <c r="E15">
        <f>21.25*B15</f>
        <v>212.5</v>
      </c>
    </row>
    <row r="16" spans="1:5" x14ac:dyDescent="0.3">
      <c r="A16" t="s">
        <v>305</v>
      </c>
      <c r="B16">
        <v>2</v>
      </c>
      <c r="C16" t="s">
        <v>298</v>
      </c>
      <c r="D16">
        <v>257.14</v>
      </c>
      <c r="E16">
        <f>B16*D16</f>
        <v>514.28</v>
      </c>
    </row>
    <row r="17" spans="1:5" x14ac:dyDescent="0.3">
      <c r="A17" t="s">
        <v>303</v>
      </c>
      <c r="B17">
        <v>10</v>
      </c>
      <c r="C17">
        <v>6</v>
      </c>
      <c r="D17">
        <f>(10.27 + 9.42)*C17</f>
        <v>118.13999999999999</v>
      </c>
      <c r="E17">
        <f>B17*D17</f>
        <v>1181.3999999999999</v>
      </c>
    </row>
    <row r="19" spans="1:5" x14ac:dyDescent="0.3">
      <c r="C19" s="94" t="s">
        <v>308</v>
      </c>
      <c r="D19" s="94">
        <f>E19/B10</f>
        <v>1688.5705210000003</v>
      </c>
      <c r="E19" s="94">
        <f>SUM(E5:E17)</f>
        <v>16885.705210000004</v>
      </c>
    </row>
    <row r="23" spans="1:5" x14ac:dyDescent="0.3">
      <c r="A23" s="32" t="s">
        <v>325</v>
      </c>
      <c r="B23" s="32" t="s">
        <v>82</v>
      </c>
      <c r="C23" s="32" t="s">
        <v>301</v>
      </c>
      <c r="D23" s="32" t="s">
        <v>293</v>
      </c>
      <c r="E23" s="32" t="s">
        <v>300</v>
      </c>
    </row>
    <row r="25" spans="1:5" x14ac:dyDescent="0.3">
      <c r="A25" t="s">
        <v>306</v>
      </c>
      <c r="B25">
        <v>10</v>
      </c>
      <c r="C25">
        <v>1</v>
      </c>
      <c r="D25">
        <f>7.28*C25</f>
        <v>7.28</v>
      </c>
      <c r="E25">
        <f>B25*D25</f>
        <v>72.8</v>
      </c>
    </row>
    <row r="26" spans="1:5" x14ac:dyDescent="0.3">
      <c r="A26" t="s">
        <v>307</v>
      </c>
      <c r="B26" s="91" t="s">
        <v>298</v>
      </c>
      <c r="C26">
        <v>2</v>
      </c>
      <c r="D26">
        <f>7.7*C26</f>
        <v>15.4</v>
      </c>
      <c r="E26">
        <f>D26</f>
        <v>15.4</v>
      </c>
    </row>
    <row r="27" spans="1:5" x14ac:dyDescent="0.3">
      <c r="A27" t="s">
        <v>310</v>
      </c>
      <c r="B27">
        <v>12</v>
      </c>
      <c r="D27">
        <v>38.090000000000003</v>
      </c>
      <c r="E27">
        <f>B27*D27</f>
        <v>457.08000000000004</v>
      </c>
    </row>
    <row r="29" spans="1:5" x14ac:dyDescent="0.3">
      <c r="C29" s="94" t="s">
        <v>309</v>
      </c>
      <c r="D29" s="94">
        <f>E29/10</f>
        <v>54.528000000000006</v>
      </c>
      <c r="E29" s="94">
        <f>SUM(E25:E28)</f>
        <v>545.28000000000009</v>
      </c>
    </row>
    <row r="31" spans="1:5" x14ac:dyDescent="0.3">
      <c r="C31" s="94" t="s">
        <v>323</v>
      </c>
      <c r="D31" s="94"/>
      <c r="E31" s="94">
        <f>E19+E29</f>
        <v>17430.985210000003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651B-3C9C-497F-BE2B-544742E33E96}">
  <sheetPr>
    <tabColor rgb="FF92D050"/>
  </sheetPr>
  <dimension ref="A1:T142"/>
  <sheetViews>
    <sheetView zoomScale="75" zoomScaleNormal="75" workbookViewId="0">
      <selection activeCell="E26" sqref="E26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x14ac:dyDescent="0.3">
      <c r="A1" s="60" t="s">
        <v>182</v>
      </c>
      <c r="B1" t="s">
        <v>181</v>
      </c>
    </row>
    <row r="2" spans="1:20" x14ac:dyDescent="0.3">
      <c r="A2" s="60" t="s">
        <v>180</v>
      </c>
      <c r="B2" s="70">
        <f ca="1">TODAY()</f>
        <v>44540</v>
      </c>
      <c r="E2" s="83"/>
      <c r="F2" s="84"/>
      <c r="G2" s="83"/>
      <c r="H2" s="85"/>
      <c r="I2" s="11"/>
    </row>
    <row r="3" spans="1:20" x14ac:dyDescent="0.3">
      <c r="A3" s="60"/>
      <c r="B3" s="70"/>
      <c r="E3" s="83"/>
      <c r="F3" s="84"/>
      <c r="G3" s="83"/>
      <c r="H3" s="85"/>
      <c r="I3" s="86"/>
    </row>
    <row r="4" spans="1:20" x14ac:dyDescent="0.3">
      <c r="A4" s="65" t="s">
        <v>179</v>
      </c>
      <c r="E4" s="83"/>
      <c r="F4" s="11"/>
      <c r="G4" s="83"/>
      <c r="H4" s="87"/>
      <c r="I4" s="11"/>
    </row>
    <row r="5" spans="1:20" ht="15" thickBot="1" x14ac:dyDescent="0.35">
      <c r="E5" s="83"/>
      <c r="F5" s="84"/>
      <c r="G5" s="83"/>
      <c r="H5" s="88"/>
      <c r="I5" s="11"/>
    </row>
    <row r="6" spans="1:20" ht="15" thickBot="1" x14ac:dyDescent="0.35">
      <c r="A6" s="67" t="s">
        <v>178</v>
      </c>
      <c r="C6" s="69">
        <v>2831.54</v>
      </c>
      <c r="E6" s="11"/>
      <c r="F6" s="11"/>
      <c r="G6" s="11"/>
      <c r="H6" s="11"/>
      <c r="I6" s="11"/>
    </row>
    <row r="7" spans="1:20" x14ac:dyDescent="0.3">
      <c r="A7" s="67"/>
      <c r="C7" s="68"/>
      <c r="E7" s="83"/>
      <c r="F7" s="84"/>
      <c r="G7" s="86"/>
      <c r="H7" s="11"/>
      <c r="I7" s="11"/>
    </row>
    <row r="8" spans="1:20" x14ac:dyDescent="0.3">
      <c r="A8" s="67"/>
      <c r="C8" s="66"/>
      <c r="E8" s="83"/>
      <c r="F8" s="84"/>
      <c r="G8" s="86"/>
      <c r="H8" s="11"/>
      <c r="I8" s="11"/>
    </row>
    <row r="9" spans="1:20" x14ac:dyDescent="0.3">
      <c r="E9" s="32"/>
    </row>
    <row r="10" spans="1:20" ht="15" thickBot="1" x14ac:dyDescent="0.35">
      <c r="E10" s="65"/>
      <c r="F10" s="64"/>
    </row>
    <row r="11" spans="1:20" ht="15" thickBot="1" x14ac:dyDescent="0.35">
      <c r="E11" s="63" t="s">
        <v>225</v>
      </c>
      <c r="F11" s="62">
        <f>0.001458</f>
        <v>1.4580000000000001E-3</v>
      </c>
    </row>
    <row r="13" spans="1:20" x14ac:dyDescent="0.3">
      <c r="D13" s="61" t="s">
        <v>177</v>
      </c>
      <c r="E13" s="61" t="s">
        <v>176</v>
      </c>
      <c r="G13">
        <f>TasaImpuestos</f>
        <v>0</v>
      </c>
    </row>
    <row r="14" spans="1:20" x14ac:dyDescent="0.3">
      <c r="A14" s="60" t="s">
        <v>175</v>
      </c>
      <c r="C14" s="59">
        <f>+L76</f>
        <v>170890.36384600017</v>
      </c>
      <c r="D14" s="58">
        <f>S76</f>
        <v>161749.80880347567</v>
      </c>
      <c r="E14" s="57">
        <f>IRR(S17:S76)</f>
        <v>7.5198999680116119E-2</v>
      </c>
    </row>
    <row r="15" spans="1:20" x14ac:dyDescent="0.3">
      <c r="T15" s="56"/>
    </row>
    <row r="16" spans="1:20" s="32" customFormat="1" x14ac:dyDescent="0.3">
      <c r="A16" s="38" t="s">
        <v>174</v>
      </c>
      <c r="B16" s="38" t="s">
        <v>173</v>
      </c>
      <c r="C16" s="38" t="str">
        <f>'[1]Inversión Inicial'!A1</f>
        <v>INVERSIÓN INICIAL</v>
      </c>
      <c r="D16" s="38" t="str">
        <f>'[1]COSTOS FIJOS'!A1</f>
        <v>COSTOS FIJOS</v>
      </c>
      <c r="E16" s="38" t="str">
        <f>'[1]COSTOS VARIABLES'!A1</f>
        <v>COSTOS VARIABLES</v>
      </c>
      <c r="F16" s="38" t="s">
        <v>172</v>
      </c>
      <c r="G16" s="38" t="s">
        <v>171</v>
      </c>
      <c r="H16" s="38" t="s">
        <v>170</v>
      </c>
      <c r="I16" s="38" t="s">
        <v>169</v>
      </c>
      <c r="J16" s="38" t="s">
        <v>168</v>
      </c>
      <c r="K16" s="38" t="s">
        <v>167</v>
      </c>
      <c r="L16" s="38" t="s">
        <v>166</v>
      </c>
      <c r="M16" s="55" t="s">
        <v>165</v>
      </c>
      <c r="N16" s="38" t="s">
        <v>164</v>
      </c>
      <c r="O16" s="38" t="s">
        <v>163</v>
      </c>
      <c r="P16" s="38" t="s">
        <v>162</v>
      </c>
      <c r="Q16" s="38" t="s">
        <v>161</v>
      </c>
      <c r="R16" s="38" t="s">
        <v>160</v>
      </c>
      <c r="S16" s="38" t="s">
        <v>159</v>
      </c>
    </row>
    <row r="17" spans="1:20" x14ac:dyDescent="0.3">
      <c r="A17" s="49">
        <v>1</v>
      </c>
      <c r="B17" s="48"/>
      <c r="C17" s="40">
        <f>'Inversión Inicial'!E5</f>
        <v>0</v>
      </c>
      <c r="D17" s="40">
        <f>'COSTOS FIJOS'!G5</f>
        <v>1269.6288</v>
      </c>
      <c r="E17" s="40">
        <f>'COSTOS VARIABLES'!G5</f>
        <v>0</v>
      </c>
      <c r="F17" s="47">
        <v>0</v>
      </c>
      <c r="G17" s="40">
        <f t="shared" ref="G17:G48" si="0">+F17*0.03</f>
        <v>0</v>
      </c>
      <c r="H17" s="46">
        <f t="shared" ref="H17:H48" si="1">+C17+D17+E17+G17</f>
        <v>1269.6288</v>
      </c>
      <c r="J17" s="44">
        <f>+F17+'Otros Ingresos'!D7</f>
        <v>0</v>
      </c>
      <c r="K17" s="43">
        <f>+H17</f>
        <v>1269.6288</v>
      </c>
      <c r="L17" s="53">
        <f t="shared" ref="L17:L48" si="2">+J17-K17</f>
        <v>-1269.6288</v>
      </c>
      <c r="M17" s="41">
        <f t="shared" ref="M17:M48" si="3">(1+TasaMensual)^N17</f>
        <v>1</v>
      </c>
      <c r="N17" s="3">
        <v>0</v>
      </c>
      <c r="O17" s="40">
        <f>+(F17+'Otros Ingresos'!D7)/M17</f>
        <v>0</v>
      </c>
      <c r="P17" s="40">
        <f t="shared" ref="P17:P28" si="4">+H17/M17</f>
        <v>1269.6288</v>
      </c>
      <c r="Q17" s="40">
        <f>+O17</f>
        <v>0</v>
      </c>
      <c r="R17" s="40">
        <f>+P17</f>
        <v>1269.6288</v>
      </c>
      <c r="S17" s="40">
        <f t="shared" ref="S17:S48" si="5">+Q17-R17</f>
        <v>-1269.6288</v>
      </c>
      <c r="T17" s="33"/>
    </row>
    <row r="18" spans="1:20" x14ac:dyDescent="0.3">
      <c r="A18" s="49">
        <v>2</v>
      </c>
      <c r="B18" s="48"/>
      <c r="C18" s="40">
        <f>'Inversión Inicial'!E6</f>
        <v>0</v>
      </c>
      <c r="D18" s="40">
        <f>'COSTOS FIJOS'!G6</f>
        <v>2207.79</v>
      </c>
      <c r="E18" s="40">
        <f>'COSTOS VARIABLES'!G6</f>
        <v>0</v>
      </c>
      <c r="F18" s="47">
        <f t="shared" ref="F18:F49" si="6">+B17*$C$6</f>
        <v>0</v>
      </c>
      <c r="G18" s="40">
        <f t="shared" si="0"/>
        <v>0</v>
      </c>
      <c r="H18" s="46">
        <f t="shared" si="1"/>
        <v>2207.79</v>
      </c>
      <c r="J18" s="44">
        <f>+J17+F18+'Otros Ingresos'!D8</f>
        <v>0</v>
      </c>
      <c r="K18" s="43">
        <f t="shared" ref="K18:K28" si="7">+K17+H18</f>
        <v>3477.4187999999999</v>
      </c>
      <c r="L18" s="53">
        <f t="shared" si="2"/>
        <v>-3477.4187999999999</v>
      </c>
      <c r="M18" s="41">
        <f t="shared" si="3"/>
        <v>1.001458</v>
      </c>
      <c r="N18" s="3">
        <f t="shared" ref="N18:N49" si="8">+N17+1</f>
        <v>1</v>
      </c>
      <c r="O18" s="40">
        <f>+(F18+'Otros Ingresos'!D8)/M18</f>
        <v>0</v>
      </c>
      <c r="P18" s="40">
        <f t="shared" si="4"/>
        <v>2204.5757285877194</v>
      </c>
      <c r="Q18" s="40">
        <f t="shared" ref="Q18:Q49" si="9">+Q17+O18</f>
        <v>0</v>
      </c>
      <c r="R18" s="40">
        <f t="shared" ref="R18:R49" si="10">+R17+P18</f>
        <v>3474.2045285877193</v>
      </c>
      <c r="S18" s="40">
        <f t="shared" si="5"/>
        <v>-3474.2045285877193</v>
      </c>
      <c r="T18" s="33"/>
    </row>
    <row r="19" spans="1:20" x14ac:dyDescent="0.3">
      <c r="A19" s="49">
        <v>3</v>
      </c>
      <c r="B19" s="48"/>
      <c r="C19" s="40">
        <f>'Inversión Inicial'!E7</f>
        <v>0</v>
      </c>
      <c r="D19" s="40">
        <f>'COSTOS FIJOS'!G7</f>
        <v>2479.5590269999998</v>
      </c>
      <c r="E19" s="40">
        <f>'COSTOS VARIABLES'!G7</f>
        <v>0</v>
      </c>
      <c r="F19" s="47">
        <f t="shared" si="6"/>
        <v>0</v>
      </c>
      <c r="G19" s="40">
        <f t="shared" si="0"/>
        <v>0</v>
      </c>
      <c r="H19" s="46">
        <f t="shared" si="1"/>
        <v>2479.5590269999998</v>
      </c>
      <c r="J19" s="44">
        <f>+J18+F19+'Otros Ingresos'!D9</f>
        <v>0</v>
      </c>
      <c r="K19" s="43">
        <f t="shared" si="7"/>
        <v>5956.9778269999997</v>
      </c>
      <c r="L19" s="53">
        <f t="shared" si="2"/>
        <v>-5956.9778269999997</v>
      </c>
      <c r="M19" s="41">
        <f t="shared" si="3"/>
        <v>1.0029181257639999</v>
      </c>
      <c r="N19" s="3">
        <f t="shared" si="8"/>
        <v>2</v>
      </c>
      <c r="O19" s="40">
        <f>+(F19+'Otros Ingresos'!D9)/M19</f>
        <v>0</v>
      </c>
      <c r="P19" s="40">
        <f t="shared" si="4"/>
        <v>2472.3444150649175</v>
      </c>
      <c r="Q19" s="40">
        <f t="shared" si="9"/>
        <v>0</v>
      </c>
      <c r="R19" s="40">
        <f t="shared" si="10"/>
        <v>5946.5489436526368</v>
      </c>
      <c r="S19" s="40">
        <f t="shared" si="5"/>
        <v>-5946.5489436526368</v>
      </c>
      <c r="T19" s="33"/>
    </row>
    <row r="20" spans="1:20" x14ac:dyDescent="0.3">
      <c r="A20" s="49">
        <v>4</v>
      </c>
      <c r="B20" s="48"/>
      <c r="C20" s="40">
        <f>'Inversión Inicial'!E8</f>
        <v>0</v>
      </c>
      <c r="D20" s="40">
        <f>'COSTOS FIJOS'!G8</f>
        <v>1701.46</v>
      </c>
      <c r="E20" s="40">
        <f>'COSTOS VARIABLES'!G8</f>
        <v>0</v>
      </c>
      <c r="F20" s="47">
        <f t="shared" si="6"/>
        <v>0</v>
      </c>
      <c r="G20" s="40">
        <f t="shared" si="0"/>
        <v>0</v>
      </c>
      <c r="H20" s="46">
        <f t="shared" si="1"/>
        <v>1701.46</v>
      </c>
      <c r="J20" s="44">
        <f>+J19+F20+'Otros Ingresos'!D10</f>
        <v>0</v>
      </c>
      <c r="K20" s="43">
        <f t="shared" si="7"/>
        <v>7658.4378269999997</v>
      </c>
      <c r="L20" s="53">
        <f t="shared" si="2"/>
        <v>-7658.4378269999997</v>
      </c>
      <c r="M20" s="41">
        <f t="shared" si="3"/>
        <v>1.0043803803913638</v>
      </c>
      <c r="N20" s="3">
        <f t="shared" si="8"/>
        <v>3</v>
      </c>
      <c r="O20" s="40">
        <f>+(F20+'Otros Ingresos'!D10)/M20</f>
        <v>0</v>
      </c>
      <c r="P20" s="40">
        <f t="shared" si="4"/>
        <v>1694.0394627551509</v>
      </c>
      <c r="Q20" s="40">
        <f t="shared" si="9"/>
        <v>0</v>
      </c>
      <c r="R20" s="40">
        <f t="shared" si="10"/>
        <v>7640.5884064077873</v>
      </c>
      <c r="S20" s="40">
        <f t="shared" si="5"/>
        <v>-7640.5884064077873</v>
      </c>
    </row>
    <row r="21" spans="1:20" x14ac:dyDescent="0.3">
      <c r="A21" s="49">
        <v>5</v>
      </c>
      <c r="B21" s="48"/>
      <c r="C21" s="40">
        <f>'Inversión Inicial'!E9</f>
        <v>0</v>
      </c>
      <c r="D21" s="40">
        <f>'COSTOS FIJOS'!G9</f>
        <v>2095.33</v>
      </c>
      <c r="E21" s="40">
        <f>'COSTOS VARIABLES'!G9</f>
        <v>0</v>
      </c>
      <c r="F21" s="47">
        <f t="shared" si="6"/>
        <v>0</v>
      </c>
      <c r="G21" s="40">
        <f t="shared" si="0"/>
        <v>0</v>
      </c>
      <c r="H21" s="46">
        <f t="shared" si="1"/>
        <v>2095.33</v>
      </c>
      <c r="J21" s="44">
        <f>+J20+F21+'Otros Ingresos'!D11</f>
        <v>0</v>
      </c>
      <c r="K21" s="43">
        <f t="shared" si="7"/>
        <v>9753.7678269999997</v>
      </c>
      <c r="L21" s="53">
        <f t="shared" si="2"/>
        <v>-9753.7678269999997</v>
      </c>
      <c r="M21" s="41">
        <f t="shared" si="3"/>
        <v>1.0058447669859742</v>
      </c>
      <c r="N21" s="3">
        <f t="shared" si="8"/>
        <v>4</v>
      </c>
      <c r="O21" s="40">
        <f>+(F21+'Otros Ingresos'!D11)/M21</f>
        <v>0</v>
      </c>
      <c r="P21" s="40">
        <f t="shared" si="4"/>
        <v>2083.1544476576451</v>
      </c>
      <c r="Q21" s="40">
        <f t="shared" si="9"/>
        <v>0</v>
      </c>
      <c r="R21" s="40">
        <f t="shared" si="10"/>
        <v>9723.7428540654328</v>
      </c>
      <c r="S21" s="40">
        <f t="shared" si="5"/>
        <v>-9723.7428540654328</v>
      </c>
    </row>
    <row r="22" spans="1:20" x14ac:dyDescent="0.3">
      <c r="A22" s="49">
        <v>6</v>
      </c>
      <c r="B22" s="48">
        <v>0</v>
      </c>
      <c r="C22" s="40">
        <f>'Inversión Inicial'!E10</f>
        <v>0</v>
      </c>
      <c r="D22" s="40">
        <f>'COSTOS FIJOS'!G10</f>
        <v>1022.3199999999999</v>
      </c>
      <c r="E22" s="40">
        <f>'COSTOS VARIABLES'!G10</f>
        <v>3274.1000000000004</v>
      </c>
      <c r="F22" s="47">
        <f t="shared" si="6"/>
        <v>0</v>
      </c>
      <c r="G22" s="40">
        <f t="shared" si="0"/>
        <v>0</v>
      </c>
      <c r="H22" s="46">
        <f t="shared" si="1"/>
        <v>4296.42</v>
      </c>
      <c r="J22" s="44">
        <f>+J21+F22+'Otros Ingresos'!D12</f>
        <v>0</v>
      </c>
      <c r="K22" s="43">
        <f t="shared" si="7"/>
        <v>14050.187827</v>
      </c>
      <c r="L22" s="54">
        <f t="shared" si="2"/>
        <v>-14050.187827</v>
      </c>
      <c r="M22" s="41">
        <f t="shared" si="3"/>
        <v>1.0073112886562399</v>
      </c>
      <c r="N22" s="3">
        <f t="shared" si="8"/>
        <v>5</v>
      </c>
      <c r="O22" s="40">
        <f>+(F22+'Otros Ingresos'!D12)/M22</f>
        <v>0</v>
      </c>
      <c r="P22" s="40">
        <f t="shared" si="4"/>
        <v>4265.2356311140456</v>
      </c>
      <c r="Q22" s="40">
        <f t="shared" si="9"/>
        <v>0</v>
      </c>
      <c r="R22" s="40">
        <f t="shared" si="10"/>
        <v>13988.978485179479</v>
      </c>
      <c r="S22" s="40">
        <f t="shared" si="5"/>
        <v>-13988.978485179479</v>
      </c>
    </row>
    <row r="23" spans="1:20" x14ac:dyDescent="0.3">
      <c r="A23" s="49">
        <v>7</v>
      </c>
      <c r="B23" s="48">
        <v>0</v>
      </c>
      <c r="C23" s="40">
        <f>'Inversión Inicial'!E11</f>
        <v>0</v>
      </c>
      <c r="D23" s="40">
        <f>'COSTOS FIJOS'!G11</f>
        <v>1245.01</v>
      </c>
      <c r="E23" s="40">
        <f>'COSTOS VARIABLES'!G11</f>
        <v>0</v>
      </c>
      <c r="F23" s="47">
        <f t="shared" si="6"/>
        <v>0</v>
      </c>
      <c r="G23" s="40">
        <f t="shared" si="0"/>
        <v>0</v>
      </c>
      <c r="H23" s="46">
        <f t="shared" si="1"/>
        <v>1245.01</v>
      </c>
      <c r="J23" s="44">
        <f>+J22+F23+'Otros Ingresos'!D13</f>
        <v>0</v>
      </c>
      <c r="K23" s="43">
        <f t="shared" si="7"/>
        <v>15295.197827</v>
      </c>
      <c r="L23" s="53">
        <f t="shared" si="2"/>
        <v>-15295.197827</v>
      </c>
      <c r="M23" s="41">
        <f t="shared" si="3"/>
        <v>1.0087799485151006</v>
      </c>
      <c r="N23" s="3">
        <f t="shared" si="8"/>
        <v>6</v>
      </c>
      <c r="O23" s="40">
        <f>+(F23+'Otros Ingresos'!D13)/M23</f>
        <v>0</v>
      </c>
      <c r="P23" s="40">
        <f t="shared" si="4"/>
        <v>1234.1740156836229</v>
      </c>
      <c r="Q23" s="40">
        <f t="shared" si="9"/>
        <v>0</v>
      </c>
      <c r="R23" s="40">
        <f t="shared" si="10"/>
        <v>15223.152500863102</v>
      </c>
      <c r="S23" s="40">
        <f t="shared" si="5"/>
        <v>-15223.152500863102</v>
      </c>
    </row>
    <row r="24" spans="1:20" x14ac:dyDescent="0.3">
      <c r="A24" s="49">
        <v>8</v>
      </c>
      <c r="B24" s="48">
        <f t="shared" ref="B24:B34" si="11">IF(B23&lt;$C$7,INT(B23*$C$8)+B23,$C$7)</f>
        <v>0</v>
      </c>
      <c r="C24" s="40">
        <f>'Inversión Inicial'!E12</f>
        <v>0</v>
      </c>
      <c r="D24" s="40">
        <f>'COSTOS FIJOS'!G12</f>
        <v>1930.4099999999999</v>
      </c>
      <c r="E24" s="40">
        <f>'COSTOS VARIABLES'!G12</f>
        <v>0</v>
      </c>
      <c r="F24" s="47">
        <f t="shared" si="6"/>
        <v>0</v>
      </c>
      <c r="G24" s="40">
        <f t="shared" si="0"/>
        <v>0</v>
      </c>
      <c r="H24" s="46">
        <f t="shared" si="1"/>
        <v>1930.4099999999999</v>
      </c>
      <c r="J24" s="44">
        <f>+J23+F24+'Otros Ingresos'!D14</f>
        <v>0</v>
      </c>
      <c r="K24" s="43">
        <f t="shared" si="7"/>
        <v>17225.607827</v>
      </c>
      <c r="L24" s="53">
        <f t="shared" si="2"/>
        <v>-17225.607827</v>
      </c>
      <c r="M24" s="41">
        <f t="shared" si="3"/>
        <v>1.0102507496800355</v>
      </c>
      <c r="N24" s="3">
        <f t="shared" si="8"/>
        <v>7</v>
      </c>
      <c r="O24" s="40">
        <f>+(F24+'Otros Ingresos'!D14)/M24</f>
        <v>0</v>
      </c>
      <c r="P24" s="40">
        <f t="shared" si="4"/>
        <v>1910.8226354807412</v>
      </c>
      <c r="Q24" s="40">
        <f t="shared" si="9"/>
        <v>0</v>
      </c>
      <c r="R24" s="40">
        <f t="shared" si="10"/>
        <v>17133.975136343841</v>
      </c>
      <c r="S24" s="40">
        <f t="shared" si="5"/>
        <v>-17133.975136343841</v>
      </c>
    </row>
    <row r="25" spans="1:20" x14ac:dyDescent="0.3">
      <c r="A25" s="49">
        <v>9</v>
      </c>
      <c r="B25" s="48">
        <f t="shared" si="11"/>
        <v>0</v>
      </c>
      <c r="C25" s="40">
        <f>'Inversión Inicial'!E13</f>
        <v>0</v>
      </c>
      <c r="D25" s="40">
        <f>'COSTOS FIJOS'!G13</f>
        <v>2390.7699999999995</v>
      </c>
      <c r="E25" s="40">
        <f>'COSTOS VARIABLES'!G13</f>
        <v>0</v>
      </c>
      <c r="F25" s="47">
        <f t="shared" si="6"/>
        <v>0</v>
      </c>
      <c r="G25" s="40">
        <f t="shared" si="0"/>
        <v>0</v>
      </c>
      <c r="H25" s="46">
        <f t="shared" si="1"/>
        <v>2390.7699999999995</v>
      </c>
      <c r="J25" s="44">
        <f>+J24+F25+'Otros Ingresos'!D15</f>
        <v>0</v>
      </c>
      <c r="K25" s="43">
        <f t="shared" si="7"/>
        <v>19616.377827</v>
      </c>
      <c r="L25" s="53">
        <f t="shared" si="2"/>
        <v>-19616.377827</v>
      </c>
      <c r="M25" s="41">
        <f t="shared" si="3"/>
        <v>1.0117236952730688</v>
      </c>
      <c r="N25" s="3">
        <f t="shared" si="8"/>
        <v>8</v>
      </c>
      <c r="O25" s="40">
        <f>+(F25+'Otros Ingresos'!D15)/M25</f>
        <v>0</v>
      </c>
      <c r="P25" s="40">
        <f t="shared" si="4"/>
        <v>2363.066132749535</v>
      </c>
      <c r="Q25" s="40">
        <f t="shared" si="9"/>
        <v>0</v>
      </c>
      <c r="R25" s="40">
        <f t="shared" si="10"/>
        <v>19497.041269093377</v>
      </c>
      <c r="S25" s="40">
        <f t="shared" si="5"/>
        <v>-19497.041269093377</v>
      </c>
    </row>
    <row r="26" spans="1:20" x14ac:dyDescent="0.3">
      <c r="A26" s="49">
        <v>10</v>
      </c>
      <c r="B26" s="48">
        <f t="shared" si="11"/>
        <v>0</v>
      </c>
      <c r="C26" s="40">
        <f>'Inversión Inicial'!E14</f>
        <v>0</v>
      </c>
      <c r="D26" s="40">
        <f>'COSTOS FIJOS'!G14</f>
        <v>2489.34</v>
      </c>
      <c r="E26" s="40">
        <f>'COSTOS VARIABLES'!G14</f>
        <v>0</v>
      </c>
      <c r="F26" s="47">
        <f t="shared" si="6"/>
        <v>0</v>
      </c>
      <c r="G26" s="40">
        <f t="shared" si="0"/>
        <v>0</v>
      </c>
      <c r="H26" s="46">
        <f t="shared" si="1"/>
        <v>2489.34</v>
      </c>
      <c r="J26" s="44">
        <f>+J25+F26+'Otros Ingresos'!D16</f>
        <v>0</v>
      </c>
      <c r="K26" s="43">
        <f t="shared" si="7"/>
        <v>22105.717827</v>
      </c>
      <c r="L26" s="53">
        <f t="shared" si="2"/>
        <v>-22105.717827</v>
      </c>
      <c r="M26" s="41">
        <f t="shared" si="3"/>
        <v>1.0131987884207769</v>
      </c>
      <c r="N26" s="3">
        <f t="shared" si="8"/>
        <v>9</v>
      </c>
      <c r="O26" s="40">
        <f>+(F26+'Otros Ingresos'!D16)/M26</f>
        <v>0</v>
      </c>
      <c r="P26" s="40">
        <f t="shared" si="4"/>
        <v>2456.911741752092</v>
      </c>
      <c r="Q26" s="40">
        <f t="shared" si="9"/>
        <v>0</v>
      </c>
      <c r="R26" s="40">
        <f t="shared" si="10"/>
        <v>21953.953010845471</v>
      </c>
      <c r="S26" s="40">
        <f t="shared" si="5"/>
        <v>-21953.953010845471</v>
      </c>
    </row>
    <row r="27" spans="1:20" x14ac:dyDescent="0.3">
      <c r="A27" s="49">
        <v>11</v>
      </c>
      <c r="B27" s="48">
        <f t="shared" si="11"/>
        <v>0</v>
      </c>
      <c r="C27" s="40">
        <f>'Inversión Inicial'!E15</f>
        <v>0</v>
      </c>
      <c r="D27" s="40">
        <f>'COSTOS FIJOS'!G15</f>
        <v>1605.22</v>
      </c>
      <c r="E27" s="40">
        <f>'COSTOS VARIABLES'!G15</f>
        <v>0</v>
      </c>
      <c r="F27" s="47">
        <f t="shared" si="6"/>
        <v>0</v>
      </c>
      <c r="G27" s="40">
        <f t="shared" si="0"/>
        <v>0</v>
      </c>
      <c r="H27" s="46">
        <f t="shared" si="1"/>
        <v>1605.22</v>
      </c>
      <c r="J27" s="44">
        <f>+J26+F27+'Otros Ingresos'!D17</f>
        <v>0</v>
      </c>
      <c r="K27" s="43">
        <f t="shared" si="7"/>
        <v>23710.937827000002</v>
      </c>
      <c r="L27" s="53">
        <f t="shared" si="2"/>
        <v>-23710.937827000002</v>
      </c>
      <c r="M27" s="41">
        <f t="shared" si="3"/>
        <v>1.0146760322542943</v>
      </c>
      <c r="N27" s="3">
        <f t="shared" si="8"/>
        <v>10</v>
      </c>
      <c r="O27" s="40">
        <f>+(F27+'Otros Ingresos'!D17)/M27</f>
        <v>0</v>
      </c>
      <c r="P27" s="40">
        <f t="shared" si="4"/>
        <v>1582.0024805687988</v>
      </c>
      <c r="Q27" s="40">
        <f t="shared" si="9"/>
        <v>0</v>
      </c>
      <c r="R27" s="40">
        <f t="shared" si="10"/>
        <v>23535.955491414268</v>
      </c>
      <c r="S27" s="40">
        <f t="shared" si="5"/>
        <v>-23535.955491414268</v>
      </c>
    </row>
    <row r="28" spans="1:20" x14ac:dyDescent="0.3">
      <c r="A28" s="49">
        <v>12</v>
      </c>
      <c r="B28" s="48">
        <f t="shared" si="11"/>
        <v>0</v>
      </c>
      <c r="C28" s="40">
        <f>'Inversión Inicial'!E16</f>
        <v>0</v>
      </c>
      <c r="D28" s="40">
        <f>'COSTOS FIJOS'!G16</f>
        <v>1659.1100000000001</v>
      </c>
      <c r="E28" s="40">
        <f>'COSTOS VARIABLES'!G16</f>
        <v>6548.2000000000007</v>
      </c>
      <c r="F28" s="47">
        <f t="shared" si="6"/>
        <v>0</v>
      </c>
      <c r="G28" s="40">
        <f t="shared" si="0"/>
        <v>0</v>
      </c>
      <c r="H28" s="46">
        <f t="shared" si="1"/>
        <v>8207.3100000000013</v>
      </c>
      <c r="J28" s="44">
        <f>+J27+F28+'Otros Ingresos'!D18</f>
        <v>0</v>
      </c>
      <c r="K28" s="43">
        <f t="shared" si="7"/>
        <v>31918.247827000003</v>
      </c>
      <c r="L28" s="54">
        <f t="shared" si="2"/>
        <v>-31918.247827000003</v>
      </c>
      <c r="M28" s="41">
        <f t="shared" si="3"/>
        <v>1.0161554299093212</v>
      </c>
      <c r="N28" s="3">
        <f t="shared" si="8"/>
        <v>11</v>
      </c>
      <c r="O28" s="40">
        <f>+(F28+'Otros Ingresos'!D18)/M28</f>
        <v>0</v>
      </c>
      <c r="P28" s="40">
        <f t="shared" si="4"/>
        <v>8076.8254131480635</v>
      </c>
      <c r="Q28" s="40">
        <f t="shared" si="9"/>
        <v>0</v>
      </c>
      <c r="R28" s="40">
        <f t="shared" si="10"/>
        <v>31612.780904562333</v>
      </c>
      <c r="S28" s="40">
        <f t="shared" si="5"/>
        <v>-31612.780904562333</v>
      </c>
    </row>
    <row r="29" spans="1:20" x14ac:dyDescent="0.3">
      <c r="A29" s="49">
        <v>13</v>
      </c>
      <c r="B29" s="48">
        <f t="shared" si="11"/>
        <v>0</v>
      </c>
      <c r="C29" s="40">
        <f>'Inversión Inicial'!E17</f>
        <v>0</v>
      </c>
      <c r="D29" s="40">
        <f>'COSTOS FIJOS'!G17</f>
        <v>2026.2999999999997</v>
      </c>
      <c r="E29" s="40">
        <f>'COSTOS VARIABLES'!G17</f>
        <v>0</v>
      </c>
      <c r="F29" s="47">
        <f t="shared" si="6"/>
        <v>0</v>
      </c>
      <c r="G29" s="40">
        <f t="shared" si="0"/>
        <v>0</v>
      </c>
      <c r="H29" s="46">
        <f t="shared" si="1"/>
        <v>2026.2999999999997</v>
      </c>
      <c r="I29" s="45">
        <f>[1]Impuestos!B11</f>
        <v>0</v>
      </c>
      <c r="J29" s="44">
        <f>+J28+F29+'Otros Ingresos'!D19</f>
        <v>0</v>
      </c>
      <c r="K29" s="43">
        <f>+K28+H29+I29</f>
        <v>33944.547827000002</v>
      </c>
      <c r="L29" s="53">
        <f t="shared" si="2"/>
        <v>-33944.547827000002</v>
      </c>
      <c r="M29" s="41">
        <f t="shared" si="3"/>
        <v>1.0176369845261288</v>
      </c>
      <c r="N29" s="3">
        <f t="shared" si="8"/>
        <v>12</v>
      </c>
      <c r="O29" s="40">
        <f>+(F29+'Otros Ingresos'!D19)/M29</f>
        <v>0</v>
      </c>
      <c r="P29" s="40">
        <f>+(H29+I29)/M29</f>
        <v>1991.1815616091856</v>
      </c>
      <c r="Q29" s="40">
        <f t="shared" si="9"/>
        <v>0</v>
      </c>
      <c r="R29" s="40">
        <f t="shared" si="10"/>
        <v>33603.962466171521</v>
      </c>
      <c r="S29" s="40">
        <f t="shared" si="5"/>
        <v>-33603.962466171521</v>
      </c>
    </row>
    <row r="30" spans="1:20" x14ac:dyDescent="0.3">
      <c r="A30" s="49">
        <v>14</v>
      </c>
      <c r="B30" s="48">
        <f t="shared" si="11"/>
        <v>0</v>
      </c>
      <c r="C30" s="40">
        <f>'Inversión Inicial'!E18</f>
        <v>0</v>
      </c>
      <c r="D30" s="40">
        <f>'COSTOS FIJOS'!G18</f>
        <v>1272.3780000000002</v>
      </c>
      <c r="E30" s="40">
        <f>'COSTOS VARIABLES'!G18</f>
        <v>0</v>
      </c>
      <c r="F30" s="47">
        <f t="shared" si="6"/>
        <v>0</v>
      </c>
      <c r="G30" s="40">
        <f t="shared" si="0"/>
        <v>0</v>
      </c>
      <c r="H30" s="46">
        <f t="shared" si="1"/>
        <v>1272.3780000000002</v>
      </c>
      <c r="J30" s="44">
        <f>+J29+F30+'Otros Ingresos'!D20</f>
        <v>0</v>
      </c>
      <c r="K30" s="43">
        <f t="shared" ref="K30:K39" si="12">+K29+H30</f>
        <v>35216.925826999999</v>
      </c>
      <c r="L30" s="53">
        <f t="shared" si="2"/>
        <v>-35216.925826999999</v>
      </c>
      <c r="M30" s="41">
        <f t="shared" si="3"/>
        <v>1.0191206992495678</v>
      </c>
      <c r="N30" s="3">
        <f t="shared" si="8"/>
        <v>13</v>
      </c>
      <c r="O30" s="40">
        <f>+(F30+'Otros Ingresos'!D20)/M30</f>
        <v>0</v>
      </c>
      <c r="P30" s="40">
        <f t="shared" ref="P30:P38" si="13">+H30/M30</f>
        <v>1248.5056980364729</v>
      </c>
      <c r="Q30" s="40">
        <f t="shared" si="9"/>
        <v>0</v>
      </c>
      <c r="R30" s="40">
        <f t="shared" si="10"/>
        <v>34852.468164207996</v>
      </c>
      <c r="S30" s="40">
        <f t="shared" si="5"/>
        <v>-34852.468164207996</v>
      </c>
    </row>
    <row r="31" spans="1:20" x14ac:dyDescent="0.3">
      <c r="A31" s="49">
        <v>15</v>
      </c>
      <c r="B31" s="48">
        <f t="shared" si="11"/>
        <v>0</v>
      </c>
      <c r="C31" s="40">
        <f>'Inversión Inicial'!E19</f>
        <v>0</v>
      </c>
      <c r="D31" s="40">
        <f>'COSTOS FIJOS'!G19</f>
        <v>1344.98</v>
      </c>
      <c r="E31" s="40">
        <f>'COSTOS VARIABLES'!G19</f>
        <v>0</v>
      </c>
      <c r="F31" s="47">
        <f t="shared" si="6"/>
        <v>0</v>
      </c>
      <c r="G31" s="40">
        <f t="shared" si="0"/>
        <v>0</v>
      </c>
      <c r="H31" s="46">
        <f t="shared" si="1"/>
        <v>1344.98</v>
      </c>
      <c r="J31" s="44">
        <f>+J30+F31+'Otros Ingresos'!D21</f>
        <v>0</v>
      </c>
      <c r="K31" s="43">
        <f t="shared" si="12"/>
        <v>36561.905827000002</v>
      </c>
      <c r="L31" s="53">
        <f t="shared" si="2"/>
        <v>-36561.905827000002</v>
      </c>
      <c r="M31" s="41">
        <f t="shared" si="3"/>
        <v>1.0206065772290736</v>
      </c>
      <c r="N31" s="3">
        <f t="shared" si="8"/>
        <v>14</v>
      </c>
      <c r="O31" s="40">
        <f>+(F31+'Otros Ingresos'!D21)/M31</f>
        <v>0</v>
      </c>
      <c r="P31" s="40">
        <f t="shared" si="13"/>
        <v>1317.8241547801836</v>
      </c>
      <c r="Q31" s="40">
        <f t="shared" si="9"/>
        <v>0</v>
      </c>
      <c r="R31" s="40">
        <f t="shared" si="10"/>
        <v>36170.292318988177</v>
      </c>
      <c r="S31" s="40">
        <f t="shared" si="5"/>
        <v>-36170.292318988177</v>
      </c>
    </row>
    <row r="32" spans="1:20" x14ac:dyDescent="0.3">
      <c r="A32" s="49">
        <v>16</v>
      </c>
      <c r="B32" s="48">
        <f t="shared" si="11"/>
        <v>0</v>
      </c>
      <c r="C32" s="40">
        <f>'Inversión Inicial'!E20</f>
        <v>0</v>
      </c>
      <c r="D32" s="40">
        <f>'COSTOS FIJOS'!G20</f>
        <v>1446.8999999999999</v>
      </c>
      <c r="E32" s="40">
        <f>'COSTOS VARIABLES'!G20</f>
        <v>0</v>
      </c>
      <c r="F32" s="47">
        <f t="shared" si="6"/>
        <v>0</v>
      </c>
      <c r="G32" s="40">
        <f t="shared" si="0"/>
        <v>0</v>
      </c>
      <c r="H32" s="46">
        <f t="shared" si="1"/>
        <v>1446.8999999999999</v>
      </c>
      <c r="J32" s="44">
        <f>+J31+F32+'Otros Ingresos'!D22</f>
        <v>0</v>
      </c>
      <c r="K32" s="43">
        <f t="shared" si="12"/>
        <v>38008.805827000004</v>
      </c>
      <c r="L32" s="53">
        <f t="shared" si="2"/>
        <v>-38008.805827000004</v>
      </c>
      <c r="M32" s="41">
        <f t="shared" si="3"/>
        <v>1.0220946216186735</v>
      </c>
      <c r="N32" s="3">
        <f t="shared" si="8"/>
        <v>15</v>
      </c>
      <c r="O32" s="40">
        <f>+(F32+'Otros Ingresos'!D22)/M32</f>
        <v>0</v>
      </c>
      <c r="P32" s="40">
        <f t="shared" si="13"/>
        <v>1415.6223596094944</v>
      </c>
      <c r="Q32" s="40">
        <f t="shared" si="9"/>
        <v>0</v>
      </c>
      <c r="R32" s="40">
        <f t="shared" si="10"/>
        <v>37585.91467859767</v>
      </c>
      <c r="S32" s="40">
        <f t="shared" si="5"/>
        <v>-37585.91467859767</v>
      </c>
    </row>
    <row r="33" spans="1:19" x14ac:dyDescent="0.3">
      <c r="A33" s="49">
        <v>17</v>
      </c>
      <c r="B33" s="48">
        <f t="shared" si="11"/>
        <v>0</v>
      </c>
      <c r="C33" s="40">
        <f>'Inversión Inicial'!E21</f>
        <v>0</v>
      </c>
      <c r="D33" s="40">
        <f>'COSTOS FIJOS'!G21</f>
        <v>839.8</v>
      </c>
      <c r="E33" s="40">
        <f>'COSTOS VARIABLES'!G21</f>
        <v>0</v>
      </c>
      <c r="F33" s="47">
        <f t="shared" si="6"/>
        <v>0</v>
      </c>
      <c r="G33" s="40">
        <f t="shared" si="0"/>
        <v>0</v>
      </c>
      <c r="H33" s="46">
        <f t="shared" si="1"/>
        <v>839.8</v>
      </c>
      <c r="J33" s="44">
        <f>+J32+F33+'Otros Ingresos'!D23</f>
        <v>0</v>
      </c>
      <c r="K33" s="43">
        <f t="shared" si="12"/>
        <v>38848.605827000007</v>
      </c>
      <c r="L33" s="53">
        <f t="shared" si="2"/>
        <v>-38848.605827000007</v>
      </c>
      <c r="M33" s="41">
        <f t="shared" si="3"/>
        <v>1.0235848355769934</v>
      </c>
      <c r="N33" s="3">
        <f t="shared" si="8"/>
        <v>16</v>
      </c>
      <c r="O33" s="40">
        <f>+(F33+'Otros Ingresos'!D23)/M33</f>
        <v>0</v>
      </c>
      <c r="P33" s="40">
        <f t="shared" si="13"/>
        <v>820.4498257602711</v>
      </c>
      <c r="Q33" s="40">
        <f t="shared" si="9"/>
        <v>0</v>
      </c>
      <c r="R33" s="40">
        <f t="shared" si="10"/>
        <v>38406.364504357938</v>
      </c>
      <c r="S33" s="40">
        <f t="shared" si="5"/>
        <v>-38406.364504357938</v>
      </c>
    </row>
    <row r="34" spans="1:19" x14ac:dyDescent="0.3">
      <c r="A34" s="49">
        <v>18</v>
      </c>
      <c r="B34" s="48">
        <f t="shared" si="11"/>
        <v>0</v>
      </c>
      <c r="C34" s="40">
        <f>'Inversión Inicial'!E22</f>
        <v>0</v>
      </c>
      <c r="D34" s="40">
        <f>'COSTOS FIJOS'!G22</f>
        <v>769.59999999999991</v>
      </c>
      <c r="E34" s="40">
        <f>'COSTOS VARIABLES'!G22</f>
        <v>6548.2000000000007</v>
      </c>
      <c r="F34" s="47">
        <f t="shared" si="6"/>
        <v>0</v>
      </c>
      <c r="G34" s="40">
        <f t="shared" si="0"/>
        <v>0</v>
      </c>
      <c r="H34" s="46">
        <f t="shared" si="1"/>
        <v>7317.8000000000011</v>
      </c>
      <c r="J34" s="44">
        <f>+J33+F34+'Otros Ingresos'!D24</f>
        <v>0</v>
      </c>
      <c r="K34" s="43">
        <f t="shared" si="12"/>
        <v>46166.40582700001</v>
      </c>
      <c r="L34" s="54">
        <f t="shared" si="2"/>
        <v>-46166.40582700001</v>
      </c>
      <c r="M34" s="41">
        <f t="shared" si="3"/>
        <v>1.0250772222672646</v>
      </c>
      <c r="N34" s="3">
        <f t="shared" si="8"/>
        <v>17</v>
      </c>
      <c r="O34" s="40">
        <f>+(F34+'Otros Ingresos'!D24)/M34</f>
        <v>0</v>
      </c>
      <c r="P34" s="40">
        <f t="shared" si="13"/>
        <v>7138.7792461279159</v>
      </c>
      <c r="Q34" s="40">
        <f t="shared" si="9"/>
        <v>0</v>
      </c>
      <c r="R34" s="40">
        <f t="shared" si="10"/>
        <v>45545.143750485855</v>
      </c>
      <c r="S34" s="40">
        <f t="shared" si="5"/>
        <v>-45545.143750485855</v>
      </c>
    </row>
    <row r="35" spans="1:19" x14ac:dyDescent="0.3">
      <c r="A35" s="49">
        <v>19</v>
      </c>
      <c r="B35" s="48">
        <v>15</v>
      </c>
      <c r="C35" s="40">
        <f>'Inversión Inicial'!E23</f>
        <v>0</v>
      </c>
      <c r="D35" s="40">
        <f>'COSTOS FIJOS'!G23</f>
        <v>975.22</v>
      </c>
      <c r="E35" s="40">
        <f>'COSTOS VARIABLES'!G23</f>
        <v>0</v>
      </c>
      <c r="F35" s="47">
        <f t="shared" si="6"/>
        <v>0</v>
      </c>
      <c r="G35" s="40">
        <f t="shared" si="0"/>
        <v>0</v>
      </c>
      <c r="H35" s="46">
        <f t="shared" si="1"/>
        <v>975.22</v>
      </c>
      <c r="J35" s="44">
        <f>+J34+F35+'Otros Ingresos'!D25</f>
        <v>0</v>
      </c>
      <c r="K35" s="43">
        <f t="shared" si="12"/>
        <v>47141.625827000011</v>
      </c>
      <c r="L35" s="53">
        <f t="shared" si="2"/>
        <v>-47141.625827000011</v>
      </c>
      <c r="M35" s="41">
        <f t="shared" si="3"/>
        <v>1.0265717848573301</v>
      </c>
      <c r="N35" s="3">
        <f t="shared" si="8"/>
        <v>18</v>
      </c>
      <c r="O35" s="40">
        <f>+(F35+'Otros Ingresos'!D25)/M35</f>
        <v>0</v>
      </c>
      <c r="P35" s="40">
        <f t="shared" si="13"/>
        <v>949.9774047808387</v>
      </c>
      <c r="Q35" s="40">
        <f t="shared" si="9"/>
        <v>0</v>
      </c>
      <c r="R35" s="40">
        <f t="shared" si="10"/>
        <v>46495.121155266694</v>
      </c>
      <c r="S35" s="40">
        <f t="shared" si="5"/>
        <v>-46495.121155266694</v>
      </c>
    </row>
    <row r="36" spans="1:19" x14ac:dyDescent="0.3">
      <c r="A36" s="49">
        <v>20</v>
      </c>
      <c r="B36" s="48">
        <v>10</v>
      </c>
      <c r="C36" s="40">
        <f>'Inversión Inicial'!E24</f>
        <v>0</v>
      </c>
      <c r="D36" s="40">
        <f>'COSTOS FIJOS'!G24</f>
        <v>0</v>
      </c>
      <c r="E36" s="40">
        <f>'COSTOS VARIABLES'!G24</f>
        <v>0</v>
      </c>
      <c r="F36" s="47">
        <f t="shared" si="6"/>
        <v>42473.1</v>
      </c>
      <c r="G36" s="40">
        <f t="shared" si="0"/>
        <v>1274.193</v>
      </c>
      <c r="H36" s="46">
        <f t="shared" si="1"/>
        <v>1274.193</v>
      </c>
      <c r="J36" s="44">
        <f>+J35+F36+'Otros Ingresos'!D26</f>
        <v>42473.1</v>
      </c>
      <c r="K36" s="43">
        <f t="shared" si="12"/>
        <v>48415.81882700001</v>
      </c>
      <c r="L36" s="53">
        <f t="shared" si="2"/>
        <v>-5942.7188270000115</v>
      </c>
      <c r="M36" s="41">
        <f t="shared" si="3"/>
        <v>1.0280685265196523</v>
      </c>
      <c r="N36" s="3">
        <f t="shared" si="8"/>
        <v>19</v>
      </c>
      <c r="O36" s="40">
        <f>+(F36+'Otros Ingresos'!D26)/M36</f>
        <v>41313.491177271339</v>
      </c>
      <c r="P36" s="40">
        <f t="shared" si="13"/>
        <v>1239.4047353181402</v>
      </c>
      <c r="Q36" s="40">
        <f t="shared" si="9"/>
        <v>41313.491177271339</v>
      </c>
      <c r="R36" s="40">
        <f t="shared" si="10"/>
        <v>47734.525890584831</v>
      </c>
      <c r="S36" s="40">
        <f t="shared" si="5"/>
        <v>-6421.0347133134928</v>
      </c>
    </row>
    <row r="37" spans="1:19" x14ac:dyDescent="0.3">
      <c r="A37" s="49">
        <v>21</v>
      </c>
      <c r="B37" s="48">
        <v>5</v>
      </c>
      <c r="C37" s="40">
        <f>'Inversión Inicial'!E25</f>
        <v>0</v>
      </c>
      <c r="D37" s="40">
        <f>'COSTOS FIJOS'!G25</f>
        <v>30771.125826999996</v>
      </c>
      <c r="E37" s="40">
        <f>'COSTOS VARIABLES'!G25</f>
        <v>0</v>
      </c>
      <c r="F37" s="47">
        <f t="shared" si="6"/>
        <v>28315.4</v>
      </c>
      <c r="G37" s="40">
        <f t="shared" si="0"/>
        <v>849.46199999999999</v>
      </c>
      <c r="H37" s="46">
        <f t="shared" si="1"/>
        <v>31620.587826999996</v>
      </c>
      <c r="J37" s="44">
        <f>+J36+F37+'Otros Ingresos'!D27</f>
        <v>70788.5</v>
      </c>
      <c r="K37" s="43">
        <f t="shared" si="12"/>
        <v>80036.406654000006</v>
      </c>
      <c r="L37" s="53">
        <f t="shared" si="2"/>
        <v>-9247.9066540000058</v>
      </c>
      <c r="M37" s="41">
        <f t="shared" si="3"/>
        <v>1.0295674504313177</v>
      </c>
      <c r="N37" s="3">
        <f t="shared" si="8"/>
        <v>20</v>
      </c>
      <c r="O37" s="40">
        <f>+(F37+'Otros Ingresos'!D27)/M37</f>
        <v>27502.229201338683</v>
      </c>
      <c r="P37" s="40">
        <f t="shared" si="13"/>
        <v>30712.497577262326</v>
      </c>
      <c r="Q37" s="40">
        <f t="shared" si="9"/>
        <v>68815.720378610014</v>
      </c>
      <c r="R37" s="40">
        <f t="shared" si="10"/>
        <v>78447.023467847161</v>
      </c>
      <c r="S37" s="40">
        <f t="shared" si="5"/>
        <v>-9631.3030892371462</v>
      </c>
    </row>
    <row r="38" spans="1:19" x14ac:dyDescent="0.3">
      <c r="A38" s="49">
        <v>22</v>
      </c>
      <c r="B38" s="48">
        <v>5</v>
      </c>
      <c r="C38" s="40">
        <f>'Inversión Inicial'!E26</f>
        <v>0</v>
      </c>
      <c r="D38" s="40">
        <f>'COSTOS FIJOS'!G26</f>
        <v>0</v>
      </c>
      <c r="E38" s="40">
        <f>'COSTOS VARIABLES'!G26</f>
        <v>0</v>
      </c>
      <c r="F38" s="47">
        <f t="shared" si="6"/>
        <v>14157.7</v>
      </c>
      <c r="G38" s="40">
        <f t="shared" si="0"/>
        <v>424.73099999999999</v>
      </c>
      <c r="H38" s="46">
        <f t="shared" si="1"/>
        <v>424.73099999999999</v>
      </c>
      <c r="J38" s="44">
        <f>+J37+F38+'Otros Ingresos'!D28</f>
        <v>84946.2</v>
      </c>
      <c r="K38" s="43">
        <f t="shared" si="12"/>
        <v>80461.137654000006</v>
      </c>
      <c r="L38" s="53">
        <f t="shared" si="2"/>
        <v>4485.0623459999915</v>
      </c>
      <c r="M38" s="41">
        <f t="shared" si="3"/>
        <v>1.0310685597740465</v>
      </c>
      <c r="N38" s="3">
        <f t="shared" si="8"/>
        <v>21</v>
      </c>
      <c r="O38" s="40">
        <f>+(F38+'Otros Ingresos'!D28)/M38</f>
        <v>13731.094664648284</v>
      </c>
      <c r="P38" s="40">
        <f t="shared" si="13"/>
        <v>411.93283993944851</v>
      </c>
      <c r="Q38" s="40">
        <f t="shared" si="9"/>
        <v>82546.815043258306</v>
      </c>
      <c r="R38" s="40">
        <f t="shared" si="10"/>
        <v>78858.956307786604</v>
      </c>
      <c r="S38" s="40">
        <f t="shared" si="5"/>
        <v>3687.8587354717019</v>
      </c>
    </row>
    <row r="39" spans="1:19" x14ac:dyDescent="0.3">
      <c r="A39" s="49">
        <v>23</v>
      </c>
      <c r="B39" s="48">
        <v>0</v>
      </c>
      <c r="C39" s="40">
        <f>'Inversión Inicial'!E27</f>
        <v>0</v>
      </c>
      <c r="D39" s="40">
        <f>'COSTOS FIJOS'!G27</f>
        <v>0</v>
      </c>
      <c r="E39" s="40">
        <f>'COSTOS VARIABLES'!G27</f>
        <v>0</v>
      </c>
      <c r="F39" s="47">
        <f t="shared" si="6"/>
        <v>14157.7</v>
      </c>
      <c r="G39" s="40">
        <f t="shared" si="0"/>
        <v>424.73099999999999</v>
      </c>
      <c r="H39" s="46">
        <f t="shared" si="1"/>
        <v>424.73099999999999</v>
      </c>
      <c r="J39" s="44">
        <f>+J38+F39+'Otros Ingresos'!D29</f>
        <v>99103.9</v>
      </c>
      <c r="K39" s="43">
        <f t="shared" si="12"/>
        <v>80885.868654000005</v>
      </c>
      <c r="L39" s="53">
        <f t="shared" si="2"/>
        <v>18218.031345999989</v>
      </c>
      <c r="M39" s="41">
        <f t="shared" si="3"/>
        <v>1.0325718577341971</v>
      </c>
      <c r="N39" s="3">
        <f t="shared" si="8"/>
        <v>22</v>
      </c>
      <c r="O39" s="40">
        <f>+(F39+'Otros Ingresos'!D29)/M39</f>
        <v>13711.103875198245</v>
      </c>
      <c r="P39" s="40">
        <f>+(H39)/M39</f>
        <v>411.33311625594729</v>
      </c>
      <c r="Q39" s="40">
        <f t="shared" si="9"/>
        <v>96257.918918456548</v>
      </c>
      <c r="R39" s="40">
        <f t="shared" si="10"/>
        <v>79270.289424042552</v>
      </c>
      <c r="S39" s="40">
        <f t="shared" si="5"/>
        <v>16987.629494413995</v>
      </c>
    </row>
    <row r="40" spans="1:19" x14ac:dyDescent="0.3">
      <c r="A40" s="49">
        <v>24</v>
      </c>
      <c r="B40" s="48">
        <v>0</v>
      </c>
      <c r="C40" s="40">
        <f>'Inversión Inicial'!E28</f>
        <v>0</v>
      </c>
      <c r="D40" s="40">
        <f>'COSTOS FIJOS'!G28</f>
        <v>0</v>
      </c>
      <c r="E40" s="40">
        <f>'COSTOS VARIABLES'!G28</f>
        <v>6548.2000000000007</v>
      </c>
      <c r="F40" s="47">
        <f t="shared" si="6"/>
        <v>0</v>
      </c>
      <c r="G40" s="40">
        <f t="shared" si="0"/>
        <v>0</v>
      </c>
      <c r="H40" s="46">
        <f t="shared" si="1"/>
        <v>6548.2000000000007</v>
      </c>
      <c r="I40" s="45">
        <f>[1]Impuestos!C11</f>
        <v>29062.034049999995</v>
      </c>
      <c r="J40" s="44">
        <f>+J39+F40+'Otros Ingresos'!D30</f>
        <v>99103.9</v>
      </c>
      <c r="K40" s="43">
        <f>+K39+H40+I40</f>
        <v>116496.10270399999</v>
      </c>
      <c r="L40" s="54">
        <f t="shared" si="2"/>
        <v>-17392.202703999996</v>
      </c>
      <c r="M40" s="41">
        <f t="shared" si="3"/>
        <v>1.0340773475027734</v>
      </c>
      <c r="N40" s="3">
        <f t="shared" si="8"/>
        <v>23</v>
      </c>
      <c r="O40" s="40">
        <f>+(F40+'Otros Ingresos'!D30)/M40</f>
        <v>0</v>
      </c>
      <c r="P40" s="40">
        <f>+(H40+I40)/M40</f>
        <v>34436.721910596243</v>
      </c>
      <c r="Q40" s="40">
        <f t="shared" si="9"/>
        <v>96257.918918456548</v>
      </c>
      <c r="R40" s="40">
        <f t="shared" si="10"/>
        <v>113707.0113346388</v>
      </c>
      <c r="S40" s="40">
        <f t="shared" si="5"/>
        <v>-17449.092416182248</v>
      </c>
    </row>
    <row r="41" spans="1:19" x14ac:dyDescent="0.3">
      <c r="A41" s="49">
        <v>25</v>
      </c>
      <c r="B41" s="48">
        <v>20</v>
      </c>
      <c r="C41" s="40">
        <f>'Inversión Inicial'!E29</f>
        <v>0</v>
      </c>
      <c r="D41" s="40">
        <f>'COSTOS FIJOS'!G29</f>
        <v>0</v>
      </c>
      <c r="E41" s="40">
        <f>'COSTOS VARIABLES'!G29</f>
        <v>0</v>
      </c>
      <c r="F41" s="47">
        <f t="shared" si="6"/>
        <v>0</v>
      </c>
      <c r="G41" s="40">
        <f t="shared" si="0"/>
        <v>0</v>
      </c>
      <c r="H41" s="46">
        <f t="shared" si="1"/>
        <v>0</v>
      </c>
      <c r="J41" s="44">
        <f>+J40+F41+'Otros Ingresos'!D31</f>
        <v>99103.9</v>
      </c>
      <c r="K41" s="43">
        <f t="shared" ref="K41:K51" si="14">+K40+H41</f>
        <v>116496.10270399999</v>
      </c>
      <c r="L41" s="53">
        <f t="shared" si="2"/>
        <v>-17392.202703999996</v>
      </c>
      <c r="M41" s="41">
        <f t="shared" si="3"/>
        <v>1.0355850322754323</v>
      </c>
      <c r="N41" s="3">
        <f t="shared" si="8"/>
        <v>24</v>
      </c>
      <c r="O41" s="40">
        <f>+(F41+'Otros Ingresos'!D31)/M41</f>
        <v>0</v>
      </c>
      <c r="P41" s="40">
        <f t="shared" ref="P41:P51" si="15">+H41/M41</f>
        <v>0</v>
      </c>
      <c r="Q41" s="40">
        <f t="shared" si="9"/>
        <v>96257.918918456548</v>
      </c>
      <c r="R41" s="40">
        <f t="shared" si="10"/>
        <v>113707.0113346388</v>
      </c>
      <c r="S41" s="40">
        <f t="shared" si="5"/>
        <v>-17449.092416182248</v>
      </c>
    </row>
    <row r="42" spans="1:19" x14ac:dyDescent="0.3">
      <c r="A42" s="49">
        <v>26</v>
      </c>
      <c r="B42" s="48">
        <v>5</v>
      </c>
      <c r="C42" s="40">
        <f>'Inversión Inicial'!E30</f>
        <v>0</v>
      </c>
      <c r="D42" s="40">
        <f>'COSTOS FIJOS'!G30</f>
        <v>0</v>
      </c>
      <c r="E42" s="40">
        <f>'COSTOS VARIABLES'!G30</f>
        <v>0</v>
      </c>
      <c r="F42" s="47">
        <f t="shared" si="6"/>
        <v>56630.8</v>
      </c>
      <c r="G42" s="40">
        <f t="shared" si="0"/>
        <v>1698.924</v>
      </c>
      <c r="H42" s="46">
        <f t="shared" si="1"/>
        <v>1698.924</v>
      </c>
      <c r="J42" s="44">
        <f>+J41+F42+'Otros Ingresos'!D32</f>
        <v>155734.70000000001</v>
      </c>
      <c r="K42" s="43">
        <f t="shared" si="14"/>
        <v>118195.02670399999</v>
      </c>
      <c r="L42" s="53">
        <f t="shared" si="2"/>
        <v>37539.673296000023</v>
      </c>
      <c r="M42" s="41">
        <f t="shared" si="3"/>
        <v>1.03709491525249</v>
      </c>
      <c r="N42" s="3">
        <f t="shared" si="8"/>
        <v>25</v>
      </c>
      <c r="O42" s="40">
        <f>+(F42+'Otros Ingresos'!D32)/M42</f>
        <v>54605.223848978887</v>
      </c>
      <c r="P42" s="40">
        <f t="shared" si="15"/>
        <v>1638.1567154693664</v>
      </c>
      <c r="Q42" s="40">
        <f t="shared" si="9"/>
        <v>150863.14276743543</v>
      </c>
      <c r="R42" s="40">
        <f t="shared" si="10"/>
        <v>115345.16805010816</v>
      </c>
      <c r="S42" s="40">
        <f t="shared" si="5"/>
        <v>35517.974717327277</v>
      </c>
    </row>
    <row r="43" spans="1:19" x14ac:dyDescent="0.3">
      <c r="A43" s="49">
        <v>27</v>
      </c>
      <c r="B43" s="48">
        <v>5</v>
      </c>
      <c r="C43" s="40">
        <f>'Inversión Inicial'!E31</f>
        <v>0</v>
      </c>
      <c r="D43" s="40">
        <f>'COSTOS FIJOS'!G31</f>
        <v>0</v>
      </c>
      <c r="E43" s="40">
        <f>'COSTOS VARIABLES'!G31</f>
        <v>0</v>
      </c>
      <c r="F43" s="47">
        <f t="shared" si="6"/>
        <v>14157.7</v>
      </c>
      <c r="G43" s="40">
        <f t="shared" si="0"/>
        <v>424.73099999999999</v>
      </c>
      <c r="H43" s="46">
        <f t="shared" si="1"/>
        <v>424.73099999999999</v>
      </c>
      <c r="J43" s="44">
        <f>+J42+F43+'Otros Ingresos'!D33</f>
        <v>169892.40000000002</v>
      </c>
      <c r="K43" s="43">
        <f t="shared" si="14"/>
        <v>118619.75770399999</v>
      </c>
      <c r="L43" s="53">
        <f t="shared" si="2"/>
        <v>51272.642296000035</v>
      </c>
      <c r="M43" s="41">
        <f t="shared" si="3"/>
        <v>1.0386069996389278</v>
      </c>
      <c r="N43" s="3">
        <f t="shared" si="8"/>
        <v>26</v>
      </c>
      <c r="O43" s="40">
        <f>+(F43+'Otros Ingresos'!D33)/M43</f>
        <v>13631.431335357775</v>
      </c>
      <c r="P43" s="40">
        <f t="shared" si="15"/>
        <v>408.94294006073318</v>
      </c>
      <c r="Q43" s="40">
        <f t="shared" si="9"/>
        <v>164494.57410279321</v>
      </c>
      <c r="R43" s="40">
        <f t="shared" si="10"/>
        <v>115754.11099016889</v>
      </c>
      <c r="S43" s="40">
        <f t="shared" si="5"/>
        <v>48740.463112624318</v>
      </c>
    </row>
    <row r="44" spans="1:19" x14ac:dyDescent="0.3">
      <c r="A44" s="49">
        <v>28</v>
      </c>
      <c r="B44" s="48">
        <v>5</v>
      </c>
      <c r="C44" s="40">
        <f>'Inversión Inicial'!E32</f>
        <v>0</v>
      </c>
      <c r="D44" s="40">
        <f>'COSTOS FIJOS'!G32</f>
        <v>0</v>
      </c>
      <c r="E44" s="40">
        <f>'COSTOS VARIABLES'!G32</f>
        <v>0</v>
      </c>
      <c r="F44" s="47">
        <f t="shared" si="6"/>
        <v>14157.7</v>
      </c>
      <c r="G44" s="40">
        <f t="shared" si="0"/>
        <v>424.73099999999999</v>
      </c>
      <c r="H44" s="46">
        <f t="shared" si="1"/>
        <v>424.73099999999999</v>
      </c>
      <c r="J44" s="44">
        <f>+J43+F44+'Otros Ingresos'!D34</f>
        <v>184050.10000000003</v>
      </c>
      <c r="K44" s="43">
        <f t="shared" si="14"/>
        <v>119044.48870399999</v>
      </c>
      <c r="L44" s="53">
        <f t="shared" si="2"/>
        <v>65005.611296000046</v>
      </c>
      <c r="M44" s="41">
        <f t="shared" si="3"/>
        <v>1.0401212886444016</v>
      </c>
      <c r="N44" s="3">
        <f t="shared" si="8"/>
        <v>27</v>
      </c>
      <c r="O44" s="40">
        <f>+(F44+'Otros Ingresos'!D34)/M44</f>
        <v>13611.585643489563</v>
      </c>
      <c r="P44" s="40">
        <f t="shared" si="15"/>
        <v>408.34756930468689</v>
      </c>
      <c r="Q44" s="40">
        <f t="shared" si="9"/>
        <v>178106.15974628276</v>
      </c>
      <c r="R44" s="40">
        <f t="shared" si="10"/>
        <v>116162.45855947358</v>
      </c>
      <c r="S44" s="40">
        <f t="shared" si="5"/>
        <v>61943.701186809179</v>
      </c>
    </row>
    <row r="45" spans="1:19" x14ac:dyDescent="0.3">
      <c r="A45" s="49">
        <v>29</v>
      </c>
      <c r="B45" s="48">
        <v>0</v>
      </c>
      <c r="C45" s="40">
        <f>'Inversión Inicial'!E33</f>
        <v>0</v>
      </c>
      <c r="D45" s="40">
        <f>'COSTOS FIJOS'!G33</f>
        <v>0</v>
      </c>
      <c r="E45" s="40">
        <f>'COSTOS VARIABLES'!G33</f>
        <v>0</v>
      </c>
      <c r="F45" s="47">
        <f t="shared" si="6"/>
        <v>14157.7</v>
      </c>
      <c r="G45" s="40">
        <f t="shared" si="0"/>
        <v>424.73099999999999</v>
      </c>
      <c r="H45" s="46">
        <f t="shared" si="1"/>
        <v>424.73099999999999</v>
      </c>
      <c r="J45" s="44">
        <f>+J44+F45+'Otros Ingresos'!D35</f>
        <v>198207.80000000005</v>
      </c>
      <c r="K45" s="43">
        <f t="shared" si="14"/>
        <v>119469.21970399999</v>
      </c>
      <c r="L45" s="53">
        <f t="shared" si="2"/>
        <v>78738.580296000058</v>
      </c>
      <c r="M45" s="41">
        <f t="shared" si="3"/>
        <v>1.041637785483245</v>
      </c>
      <c r="N45" s="3">
        <f t="shared" si="8"/>
        <v>28</v>
      </c>
      <c r="O45" s="40">
        <f>+(F45+'Otros Ingresos'!D35)/M45</f>
        <v>13591.768844514263</v>
      </c>
      <c r="P45" s="40">
        <f t="shared" si="15"/>
        <v>407.75306533542783</v>
      </c>
      <c r="Q45" s="40">
        <f t="shared" si="9"/>
        <v>191697.92859079703</v>
      </c>
      <c r="R45" s="40">
        <f t="shared" si="10"/>
        <v>116570.21162480902</v>
      </c>
      <c r="S45" s="40">
        <f t="shared" si="5"/>
        <v>75127.716965988016</v>
      </c>
    </row>
    <row r="46" spans="1:19" x14ac:dyDescent="0.3">
      <c r="A46" s="49">
        <v>30</v>
      </c>
      <c r="B46" s="48">
        <f>IF(B45&lt;$C$7,INT(B45*$C$8)+B45,$C$7)</f>
        <v>0</v>
      </c>
      <c r="C46" s="40">
        <f>'Inversión Inicial'!E34</f>
        <v>0</v>
      </c>
      <c r="D46" s="40">
        <f>'COSTOS FIJOS'!G34</f>
        <v>0</v>
      </c>
      <c r="E46" s="40">
        <f>'COSTOS VARIABLES'!G34</f>
        <v>9822.3000000000011</v>
      </c>
      <c r="F46" s="47">
        <f t="shared" si="6"/>
        <v>0</v>
      </c>
      <c r="G46" s="40">
        <f t="shared" si="0"/>
        <v>0</v>
      </c>
      <c r="H46" s="46">
        <f t="shared" si="1"/>
        <v>9822.3000000000011</v>
      </c>
      <c r="J46" s="44">
        <f>+J45+F46+'Otros Ingresos'!D36</f>
        <v>198207.80000000005</v>
      </c>
      <c r="K46" s="43">
        <f t="shared" si="14"/>
        <v>129291.51970399999</v>
      </c>
      <c r="L46" s="54">
        <f t="shared" si="2"/>
        <v>68916.280296000055</v>
      </c>
      <c r="M46" s="41">
        <f t="shared" si="3"/>
        <v>1.0431564933744795</v>
      </c>
      <c r="N46" s="3">
        <f t="shared" si="8"/>
        <v>29</v>
      </c>
      <c r="O46" s="40">
        <f>+(F46+'Otros Ingresos'!D36)/M46</f>
        <v>0</v>
      </c>
      <c r="P46" s="40">
        <f t="shared" si="15"/>
        <v>9415.9410044279175</v>
      </c>
      <c r="Q46" s="40">
        <f t="shared" si="9"/>
        <v>191697.92859079703</v>
      </c>
      <c r="R46" s="40">
        <f t="shared" si="10"/>
        <v>125986.15262923694</v>
      </c>
      <c r="S46" s="40">
        <f t="shared" si="5"/>
        <v>65711.775961560095</v>
      </c>
    </row>
    <row r="47" spans="1:19" x14ac:dyDescent="0.3">
      <c r="A47" s="49">
        <v>31</v>
      </c>
      <c r="B47" s="48">
        <v>10</v>
      </c>
      <c r="C47" s="40">
        <f>'Inversión Inicial'!E35</f>
        <v>0</v>
      </c>
      <c r="D47" s="40">
        <f>'COSTOS FIJOS'!G35</f>
        <v>0</v>
      </c>
      <c r="E47" s="40">
        <f>'COSTOS VARIABLES'!G35</f>
        <v>0</v>
      </c>
      <c r="F47" s="47">
        <f t="shared" si="6"/>
        <v>0</v>
      </c>
      <c r="G47" s="40">
        <f t="shared" si="0"/>
        <v>0</v>
      </c>
      <c r="H47" s="46">
        <f t="shared" si="1"/>
        <v>0</v>
      </c>
      <c r="J47" s="44">
        <f>+J46+F47+'Otros Ingresos'!D37</f>
        <v>198207.80000000005</v>
      </c>
      <c r="K47" s="43">
        <f t="shared" si="14"/>
        <v>129291.51970399999</v>
      </c>
      <c r="L47" s="53">
        <f t="shared" si="2"/>
        <v>68916.280296000055</v>
      </c>
      <c r="M47" s="41">
        <f t="shared" si="3"/>
        <v>1.0446774155418193</v>
      </c>
      <c r="N47" s="3">
        <f t="shared" si="8"/>
        <v>30</v>
      </c>
      <c r="O47" s="40">
        <f>+(F47+'Otros Ingresos'!D37)/M47</f>
        <v>0</v>
      </c>
      <c r="P47" s="40">
        <f t="shared" si="15"/>
        <v>0</v>
      </c>
      <c r="Q47" s="40">
        <f t="shared" si="9"/>
        <v>191697.92859079703</v>
      </c>
      <c r="R47" s="40">
        <f t="shared" si="10"/>
        <v>125986.15262923694</v>
      </c>
      <c r="S47" s="40">
        <f t="shared" si="5"/>
        <v>65711.775961560095</v>
      </c>
    </row>
    <row r="48" spans="1:19" x14ac:dyDescent="0.3">
      <c r="A48" s="49">
        <v>32</v>
      </c>
      <c r="B48" s="48">
        <v>5</v>
      </c>
      <c r="C48" s="40">
        <f>'Inversión Inicial'!E36</f>
        <v>0</v>
      </c>
      <c r="D48" s="40">
        <f>'COSTOS FIJOS'!G36</f>
        <v>0</v>
      </c>
      <c r="E48" s="40">
        <f>'COSTOS VARIABLES'!G36</f>
        <v>0</v>
      </c>
      <c r="F48" s="47">
        <f t="shared" si="6"/>
        <v>28315.4</v>
      </c>
      <c r="G48" s="40">
        <f t="shared" si="0"/>
        <v>849.46199999999999</v>
      </c>
      <c r="H48" s="46">
        <f t="shared" si="1"/>
        <v>849.46199999999999</v>
      </c>
      <c r="J48" s="44">
        <f>+J47+F48+'Otros Ingresos'!D38</f>
        <v>226523.20000000004</v>
      </c>
      <c r="K48" s="43">
        <f t="shared" si="14"/>
        <v>130140.98170399999</v>
      </c>
      <c r="L48" s="53">
        <f t="shared" si="2"/>
        <v>96382.21829600005</v>
      </c>
      <c r="M48" s="41">
        <f t="shared" si="3"/>
        <v>1.0462005552136793</v>
      </c>
      <c r="N48" s="3">
        <f t="shared" si="8"/>
        <v>31</v>
      </c>
      <c r="O48" s="40">
        <f>+(F48+'Otros Ingresos'!D38)/M48</f>
        <v>27064.982769213668</v>
      </c>
      <c r="P48" s="40">
        <f t="shared" si="15"/>
        <v>811.94948307640993</v>
      </c>
      <c r="Q48" s="40">
        <f t="shared" si="9"/>
        <v>218762.91136001071</v>
      </c>
      <c r="R48" s="40">
        <f t="shared" si="10"/>
        <v>126798.10211231335</v>
      </c>
      <c r="S48" s="40">
        <f t="shared" si="5"/>
        <v>91964.809247697354</v>
      </c>
    </row>
    <row r="49" spans="1:19" x14ac:dyDescent="0.3">
      <c r="A49" s="49">
        <v>33</v>
      </c>
      <c r="B49" s="48">
        <v>5</v>
      </c>
      <c r="C49" s="40">
        <f>'Inversión Inicial'!E37</f>
        <v>0</v>
      </c>
      <c r="D49" s="40">
        <f>'COSTOS FIJOS'!G37</f>
        <v>0</v>
      </c>
      <c r="E49" s="40">
        <f>'COSTOS VARIABLES'!G37</f>
        <v>0</v>
      </c>
      <c r="F49" s="47">
        <f t="shared" si="6"/>
        <v>14157.7</v>
      </c>
      <c r="G49" s="40">
        <f t="shared" ref="G49:G76" si="16">+F49*0.03</f>
        <v>424.73099999999999</v>
      </c>
      <c r="H49" s="46">
        <f t="shared" ref="H49:H76" si="17">+C49+D49+E49+G49</f>
        <v>424.73099999999999</v>
      </c>
      <c r="J49" s="44">
        <f>+J48+F49+'Otros Ingresos'!D39</f>
        <v>240680.90000000005</v>
      </c>
      <c r="K49" s="43">
        <f t="shared" si="14"/>
        <v>130565.71270399999</v>
      </c>
      <c r="L49" s="53">
        <f t="shared" ref="L49:L76" si="18">+J49-K49</f>
        <v>110115.18729600006</v>
      </c>
      <c r="M49" s="41">
        <f t="shared" ref="M49:M76" si="19">(1+TasaMensual)^N49</f>
        <v>1.0477259156231806</v>
      </c>
      <c r="N49" s="3">
        <f t="shared" si="8"/>
        <v>32</v>
      </c>
      <c r="O49" s="40">
        <f>+(F49+'Otros Ingresos'!D39)/M49</f>
        <v>13512.789737170042</v>
      </c>
      <c r="P49" s="40">
        <f t="shared" si="15"/>
        <v>405.38369211510121</v>
      </c>
      <c r="Q49" s="40">
        <f t="shared" si="9"/>
        <v>232275.70109718075</v>
      </c>
      <c r="R49" s="40">
        <f t="shared" si="10"/>
        <v>127203.48580442845</v>
      </c>
      <c r="S49" s="40">
        <f t="shared" ref="S49:S76" si="20">+Q49-R49</f>
        <v>105072.2152927523</v>
      </c>
    </row>
    <row r="50" spans="1:19" x14ac:dyDescent="0.3">
      <c r="A50" s="49">
        <v>34</v>
      </c>
      <c r="B50" s="48">
        <v>0</v>
      </c>
      <c r="C50" s="40">
        <f>'Inversión Inicial'!E38</f>
        <v>0</v>
      </c>
      <c r="D50" s="40">
        <f>'COSTOS FIJOS'!G38</f>
        <v>0</v>
      </c>
      <c r="E50" s="40">
        <f>'COSTOS VARIABLES'!G38</f>
        <v>0</v>
      </c>
      <c r="F50" s="47">
        <f t="shared" ref="F50:F76" si="21">+B49*$C$6</f>
        <v>14157.7</v>
      </c>
      <c r="G50" s="40">
        <f t="shared" si="16"/>
        <v>424.73099999999999</v>
      </c>
      <c r="H50" s="46">
        <f t="shared" si="17"/>
        <v>424.73099999999999</v>
      </c>
      <c r="J50" s="44">
        <f>+J49+F50+'Otros Ingresos'!D40</f>
        <v>254838.60000000006</v>
      </c>
      <c r="K50" s="43">
        <f t="shared" si="14"/>
        <v>130990.44370399999</v>
      </c>
      <c r="L50" s="53">
        <f t="shared" si="18"/>
        <v>123848.15629600007</v>
      </c>
      <c r="M50" s="41">
        <f t="shared" si="19"/>
        <v>1.0492535000081591</v>
      </c>
      <c r="N50" s="3">
        <f t="shared" ref="N50:N76" si="22">+N49+1</f>
        <v>33</v>
      </c>
      <c r="O50" s="40">
        <f>+(F50+'Otros Ingresos'!D40)/M50</f>
        <v>13493.116772915133</v>
      </c>
      <c r="P50" s="40">
        <f t="shared" si="15"/>
        <v>404.79350318745401</v>
      </c>
      <c r="Q50" s="40">
        <f t="shared" ref="Q50:Q76" si="23">+Q49+O50</f>
        <v>245768.81787009587</v>
      </c>
      <c r="R50" s="40">
        <f t="shared" ref="R50:R76" si="24">+R49+P50</f>
        <v>127608.2793076159</v>
      </c>
      <c r="S50" s="40">
        <f t="shared" si="20"/>
        <v>118160.53856247997</v>
      </c>
    </row>
    <row r="51" spans="1:19" x14ac:dyDescent="0.3">
      <c r="A51" s="49">
        <v>35</v>
      </c>
      <c r="B51" s="48">
        <v>0</v>
      </c>
      <c r="C51" s="40">
        <f>'Inversión Inicial'!E39</f>
        <v>0</v>
      </c>
      <c r="D51" s="40">
        <f>'COSTOS FIJOS'!G39</f>
        <v>0</v>
      </c>
      <c r="E51" s="40">
        <f>'COSTOS VARIABLES'!G39</f>
        <v>0</v>
      </c>
      <c r="F51" s="47">
        <f t="shared" si="21"/>
        <v>0</v>
      </c>
      <c r="G51" s="40">
        <f t="shared" si="16"/>
        <v>0</v>
      </c>
      <c r="H51" s="46">
        <f t="shared" si="17"/>
        <v>0</v>
      </c>
      <c r="J51" s="44">
        <f>+J50+F51+'Otros Ingresos'!D41</f>
        <v>254838.60000000006</v>
      </c>
      <c r="K51" s="43">
        <f t="shared" si="14"/>
        <v>130990.44370399999</v>
      </c>
      <c r="L51" s="53">
        <f t="shared" si="18"/>
        <v>123848.15629600007</v>
      </c>
      <c r="M51" s="41">
        <f t="shared" si="19"/>
        <v>1.0507833116111709</v>
      </c>
      <c r="N51" s="3">
        <f t="shared" si="22"/>
        <v>34</v>
      </c>
      <c r="O51" s="40">
        <f>+(F51+'Otros Ingresos'!D41)/M51</f>
        <v>0</v>
      </c>
      <c r="P51" s="40">
        <f t="shared" si="15"/>
        <v>0</v>
      </c>
      <c r="Q51" s="40">
        <f t="shared" si="23"/>
        <v>245768.81787009587</v>
      </c>
      <c r="R51" s="40">
        <f t="shared" si="24"/>
        <v>127608.2793076159</v>
      </c>
      <c r="S51" s="40">
        <f t="shared" si="20"/>
        <v>118160.53856247997</v>
      </c>
    </row>
    <row r="52" spans="1:19" x14ac:dyDescent="0.3">
      <c r="A52" s="49">
        <v>36</v>
      </c>
      <c r="B52" s="48">
        <v>0</v>
      </c>
      <c r="C52" s="40">
        <f>'Inversión Inicial'!E40</f>
        <v>0</v>
      </c>
      <c r="D52" s="40">
        <f>'COSTOS FIJOS'!G40</f>
        <v>0</v>
      </c>
      <c r="E52" s="40">
        <f>'COSTOS VARIABLES'!G40</f>
        <v>6548.2000000000007</v>
      </c>
      <c r="F52" s="47">
        <f t="shared" si="21"/>
        <v>0</v>
      </c>
      <c r="G52" s="40">
        <f t="shared" si="16"/>
        <v>0</v>
      </c>
      <c r="H52" s="46">
        <f t="shared" si="17"/>
        <v>6548.2000000000007</v>
      </c>
      <c r="I52" s="45">
        <f>[1]Impuestos!D11</f>
        <v>47142.255649999999</v>
      </c>
      <c r="J52" s="44">
        <f>+J51+F52+'Otros Ingresos'!D42</f>
        <v>254838.60000000006</v>
      </c>
      <c r="K52" s="43">
        <f>+K51+H52+I52</f>
        <v>184680.89935399999</v>
      </c>
      <c r="L52" s="52">
        <f t="shared" si="18"/>
        <v>70157.70064600007</v>
      </c>
      <c r="M52" s="41">
        <f t="shared" si="19"/>
        <v>1.0523153536795</v>
      </c>
      <c r="N52" s="3">
        <f t="shared" si="22"/>
        <v>35</v>
      </c>
      <c r="O52" s="40">
        <f>+(F52+'Otros Ingresos'!D42)/M52</f>
        <v>0</v>
      </c>
      <c r="P52" s="40">
        <f>+(H52+I52)/M52</f>
        <v>51021.260368640709</v>
      </c>
      <c r="Q52" s="40">
        <f t="shared" si="23"/>
        <v>245768.81787009587</v>
      </c>
      <c r="R52" s="40">
        <f t="shared" si="24"/>
        <v>178629.53967625659</v>
      </c>
      <c r="S52" s="50">
        <f t="shared" si="20"/>
        <v>67139.278193839273</v>
      </c>
    </row>
    <row r="53" spans="1:19" x14ac:dyDescent="0.3">
      <c r="A53" s="49">
        <v>37</v>
      </c>
      <c r="B53" s="48">
        <v>5</v>
      </c>
      <c r="C53" s="40">
        <f>'Inversión Inicial'!E41</f>
        <v>0</v>
      </c>
      <c r="D53" s="40">
        <f>'COSTOS FIJOS'!G41</f>
        <v>0</v>
      </c>
      <c r="E53" s="40">
        <f>'COSTOS VARIABLES'!G41</f>
        <v>0</v>
      </c>
      <c r="F53" s="47">
        <f t="shared" si="21"/>
        <v>0</v>
      </c>
      <c r="G53" s="40">
        <f t="shared" si="16"/>
        <v>0</v>
      </c>
      <c r="H53" s="46">
        <f t="shared" si="17"/>
        <v>0</v>
      </c>
      <c r="I53" s="33"/>
      <c r="J53" s="44">
        <f>+J52+F53+'Otros Ingresos'!D43</f>
        <v>254838.60000000006</v>
      </c>
      <c r="K53" s="43">
        <f t="shared" ref="K53:K63" si="25">+K52+H53</f>
        <v>184680.89935399999</v>
      </c>
      <c r="L53" s="51">
        <f t="shared" si="18"/>
        <v>70157.70064600007</v>
      </c>
      <c r="M53" s="41">
        <f t="shared" si="19"/>
        <v>1.0538496294651647</v>
      </c>
      <c r="N53" s="3">
        <f t="shared" si="22"/>
        <v>36</v>
      </c>
      <c r="O53" s="40">
        <f>+(F53+'Otros Ingresos'!D43)/M53</f>
        <v>0</v>
      </c>
      <c r="P53" s="40">
        <f t="shared" ref="P53:P63" si="26">+(H53)/M53</f>
        <v>0</v>
      </c>
      <c r="Q53" s="40">
        <f t="shared" si="23"/>
        <v>245768.81787009587</v>
      </c>
      <c r="R53" s="40">
        <f t="shared" si="24"/>
        <v>178629.53967625659</v>
      </c>
      <c r="S53" s="50">
        <f t="shared" si="20"/>
        <v>67139.278193839273</v>
      </c>
    </row>
    <row r="54" spans="1:19" x14ac:dyDescent="0.3">
      <c r="A54" s="49">
        <v>38</v>
      </c>
      <c r="B54" s="48">
        <v>5</v>
      </c>
      <c r="C54" s="40">
        <f>'Inversión Inicial'!E42</f>
        <v>0</v>
      </c>
      <c r="D54" s="40">
        <f>'COSTOS FIJOS'!G42</f>
        <v>0</v>
      </c>
      <c r="E54" s="40">
        <f>'COSTOS VARIABLES'!G42</f>
        <v>0</v>
      </c>
      <c r="F54" s="47">
        <f t="shared" si="21"/>
        <v>14157.7</v>
      </c>
      <c r="G54" s="40">
        <f t="shared" si="16"/>
        <v>424.73099999999999</v>
      </c>
      <c r="H54" s="46">
        <f t="shared" si="17"/>
        <v>424.73099999999999</v>
      </c>
      <c r="I54" s="33"/>
      <c r="J54" s="44">
        <f>+J53+F54+'Otros Ingresos'!D44</f>
        <v>268996.30000000005</v>
      </c>
      <c r="K54" s="43">
        <f t="shared" si="25"/>
        <v>185105.63035399999</v>
      </c>
      <c r="L54" s="51">
        <f t="shared" si="18"/>
        <v>83890.669646000053</v>
      </c>
      <c r="M54" s="41">
        <f t="shared" si="19"/>
        <v>1.0553861422249249</v>
      </c>
      <c r="N54" s="3">
        <f t="shared" si="22"/>
        <v>37</v>
      </c>
      <c r="O54" s="40">
        <f>+(F54+'Otros Ingresos'!D44)/M54</f>
        <v>13414.710913441859</v>
      </c>
      <c r="P54" s="40">
        <f t="shared" si="26"/>
        <v>402.44132740325574</v>
      </c>
      <c r="Q54" s="40">
        <f t="shared" si="23"/>
        <v>259183.52878353774</v>
      </c>
      <c r="R54" s="40">
        <f t="shared" si="24"/>
        <v>179031.98100365984</v>
      </c>
      <c r="S54" s="50">
        <f t="shared" si="20"/>
        <v>80151.547779877903</v>
      </c>
    </row>
    <row r="55" spans="1:19" x14ac:dyDescent="0.3">
      <c r="A55" s="49">
        <v>39</v>
      </c>
      <c r="B55" s="48">
        <v>5</v>
      </c>
      <c r="C55" s="40">
        <f>'Inversión Inicial'!E43</f>
        <v>0</v>
      </c>
      <c r="D55" s="40">
        <f>'COSTOS FIJOS'!G43</f>
        <v>0</v>
      </c>
      <c r="E55" s="40">
        <f>'COSTOS VARIABLES'!G43</f>
        <v>0</v>
      </c>
      <c r="F55" s="47">
        <f t="shared" si="21"/>
        <v>14157.7</v>
      </c>
      <c r="G55" s="40">
        <f t="shared" si="16"/>
        <v>424.73099999999999</v>
      </c>
      <c r="H55" s="46">
        <f t="shared" si="17"/>
        <v>424.73099999999999</v>
      </c>
      <c r="I55" s="33"/>
      <c r="J55" s="44">
        <f>+J54+F55+'Otros Ingresos'!D45</f>
        <v>283154.00000000006</v>
      </c>
      <c r="K55" s="43">
        <f t="shared" si="25"/>
        <v>185530.36135399999</v>
      </c>
      <c r="L55" s="51">
        <f t="shared" si="18"/>
        <v>97623.638646000065</v>
      </c>
      <c r="M55" s="41">
        <f t="shared" si="19"/>
        <v>1.0569248952202888</v>
      </c>
      <c r="N55" s="3">
        <f t="shared" si="22"/>
        <v>38</v>
      </c>
      <c r="O55" s="40">
        <f>+(F55+'Otros Ingresos'!D45)/M55</f>
        <v>13395.180739923051</v>
      </c>
      <c r="P55" s="40">
        <f t="shared" si="26"/>
        <v>401.8554221976915</v>
      </c>
      <c r="Q55" s="40">
        <f t="shared" si="23"/>
        <v>272578.70952346077</v>
      </c>
      <c r="R55" s="40">
        <f t="shared" si="24"/>
        <v>179433.83642585753</v>
      </c>
      <c r="S55" s="50">
        <f t="shared" si="20"/>
        <v>93144.873097603238</v>
      </c>
    </row>
    <row r="56" spans="1:19" x14ac:dyDescent="0.3">
      <c r="A56" s="49">
        <v>40</v>
      </c>
      <c r="B56" s="48">
        <v>5</v>
      </c>
      <c r="C56" s="40">
        <f>'Inversión Inicial'!E44</f>
        <v>0</v>
      </c>
      <c r="D56" s="40">
        <f>'COSTOS FIJOS'!G44</f>
        <v>0</v>
      </c>
      <c r="E56" s="40">
        <f>'COSTOS VARIABLES'!G44</f>
        <v>0</v>
      </c>
      <c r="F56" s="47">
        <f t="shared" si="21"/>
        <v>14157.7</v>
      </c>
      <c r="G56" s="40">
        <f t="shared" si="16"/>
        <v>424.73099999999999</v>
      </c>
      <c r="H56" s="46">
        <f t="shared" si="17"/>
        <v>424.73099999999999</v>
      </c>
      <c r="I56" s="33"/>
      <c r="J56" s="44">
        <f>+J55+F56+'Otros Ingresos'!D46</f>
        <v>297311.70000000007</v>
      </c>
      <c r="K56" s="43">
        <f t="shared" si="25"/>
        <v>185955.09235399999</v>
      </c>
      <c r="L56" s="51">
        <f t="shared" si="18"/>
        <v>111356.60764600008</v>
      </c>
      <c r="M56" s="41">
        <f t="shared" si="19"/>
        <v>1.0584658917175198</v>
      </c>
      <c r="N56" s="3">
        <f t="shared" si="22"/>
        <v>39</v>
      </c>
      <c r="O56" s="40">
        <f>+(F56+'Otros Ingresos'!D46)/M56</f>
        <v>13375.678999941138</v>
      </c>
      <c r="P56" s="40">
        <f t="shared" si="26"/>
        <v>401.27036999823412</v>
      </c>
      <c r="Q56" s="40">
        <f t="shared" si="23"/>
        <v>285954.38852340193</v>
      </c>
      <c r="R56" s="40">
        <f t="shared" si="24"/>
        <v>179835.10679585577</v>
      </c>
      <c r="S56" s="50">
        <f t="shared" si="20"/>
        <v>106119.28172754616</v>
      </c>
    </row>
    <row r="57" spans="1:19" x14ac:dyDescent="0.3">
      <c r="A57" s="49">
        <v>41</v>
      </c>
      <c r="B57" s="48">
        <v>0</v>
      </c>
      <c r="C57" s="40">
        <f>'Inversión Inicial'!E45</f>
        <v>0</v>
      </c>
      <c r="D57" s="40">
        <f>'COSTOS FIJOS'!G45</f>
        <v>0</v>
      </c>
      <c r="E57" s="40">
        <f>'COSTOS VARIABLES'!G45</f>
        <v>0</v>
      </c>
      <c r="F57" s="47">
        <f t="shared" si="21"/>
        <v>14157.7</v>
      </c>
      <c r="G57" s="40">
        <f t="shared" si="16"/>
        <v>424.73099999999999</v>
      </c>
      <c r="H57" s="46">
        <f t="shared" si="17"/>
        <v>424.73099999999999</v>
      </c>
      <c r="I57" s="33"/>
      <c r="J57" s="44">
        <f>+J56+F57+'Otros Ingresos'!D47</f>
        <v>311469.40000000008</v>
      </c>
      <c r="K57" s="43">
        <f t="shared" si="25"/>
        <v>186379.82335399999</v>
      </c>
      <c r="L57" s="51">
        <f t="shared" si="18"/>
        <v>125089.57664600009</v>
      </c>
      <c r="M57" s="41">
        <f t="shared" si="19"/>
        <v>1.0600091349876437</v>
      </c>
      <c r="N57" s="3">
        <f t="shared" si="22"/>
        <v>40</v>
      </c>
      <c r="O57" s="40">
        <f>+(F57+'Otros Ingresos'!D47)/M57</f>
        <v>13356.20565210038</v>
      </c>
      <c r="P57" s="40">
        <f t="shared" si="26"/>
        <v>400.68616956301133</v>
      </c>
      <c r="Q57" s="40">
        <f t="shared" si="23"/>
        <v>299310.59417550231</v>
      </c>
      <c r="R57" s="40">
        <f t="shared" si="24"/>
        <v>180235.79296541878</v>
      </c>
      <c r="S57" s="50">
        <f t="shared" si="20"/>
        <v>119074.80121008353</v>
      </c>
    </row>
    <row r="58" spans="1:19" x14ac:dyDescent="0.3">
      <c r="A58" s="49">
        <v>42</v>
      </c>
      <c r="B58" s="48">
        <v>0</v>
      </c>
      <c r="C58" s="40">
        <f>'Inversión Inicial'!E46</f>
        <v>0</v>
      </c>
      <c r="D58" s="40">
        <f>'COSTOS FIJOS'!G46</f>
        <v>0</v>
      </c>
      <c r="E58" s="40">
        <f>'COSTOS VARIABLES'!G46</f>
        <v>6548.2000000000007</v>
      </c>
      <c r="F58" s="47">
        <f t="shared" si="21"/>
        <v>0</v>
      </c>
      <c r="G58" s="40">
        <f t="shared" si="16"/>
        <v>0</v>
      </c>
      <c r="H58" s="46">
        <f t="shared" si="17"/>
        <v>6548.2000000000007</v>
      </c>
      <c r="I58" s="33"/>
      <c r="J58" s="44">
        <f>+J57+F58+'Otros Ingresos'!D48</f>
        <v>311469.40000000008</v>
      </c>
      <c r="K58" s="43">
        <f t="shared" si="25"/>
        <v>192928.023354</v>
      </c>
      <c r="L58" s="52">
        <f t="shared" si="18"/>
        <v>118541.37664600008</v>
      </c>
      <c r="M58" s="41">
        <f t="shared" si="19"/>
        <v>1.0615546283064559</v>
      </c>
      <c r="N58" s="3">
        <f t="shared" si="22"/>
        <v>41</v>
      </c>
      <c r="O58" s="40">
        <f>+(F58+'Otros Ingresos'!D48)/M58</f>
        <v>0</v>
      </c>
      <c r="P58" s="40">
        <f t="shared" si="26"/>
        <v>6168.5002593287436</v>
      </c>
      <c r="Q58" s="40">
        <f t="shared" si="23"/>
        <v>299310.59417550231</v>
      </c>
      <c r="R58" s="40">
        <f t="shared" si="24"/>
        <v>186404.29322474753</v>
      </c>
      <c r="S58" s="50">
        <f t="shared" si="20"/>
        <v>112906.30095075478</v>
      </c>
    </row>
    <row r="59" spans="1:19" x14ac:dyDescent="0.3">
      <c r="A59" s="49">
        <v>43</v>
      </c>
      <c r="B59" s="48">
        <v>8</v>
      </c>
      <c r="C59" s="40">
        <f>'Inversión Inicial'!E47</f>
        <v>0</v>
      </c>
      <c r="D59" s="40">
        <f>'COSTOS FIJOS'!G47</f>
        <v>0</v>
      </c>
      <c r="E59" s="40">
        <f>'COSTOS VARIABLES'!G47</f>
        <v>0</v>
      </c>
      <c r="F59" s="47">
        <f t="shared" si="21"/>
        <v>0</v>
      </c>
      <c r="G59" s="40">
        <f t="shared" si="16"/>
        <v>0</v>
      </c>
      <c r="H59" s="46">
        <f t="shared" si="17"/>
        <v>0</v>
      </c>
      <c r="I59" s="33"/>
      <c r="J59" s="44">
        <f>+J58+F59+'Otros Ingresos'!D49</f>
        <v>311469.40000000008</v>
      </c>
      <c r="K59" s="43">
        <f t="shared" si="25"/>
        <v>192928.023354</v>
      </c>
      <c r="L59" s="51">
        <f t="shared" si="18"/>
        <v>118541.37664600008</v>
      </c>
      <c r="M59" s="41">
        <f t="shared" si="19"/>
        <v>1.0631023749545263</v>
      </c>
      <c r="N59" s="3">
        <f t="shared" si="22"/>
        <v>42</v>
      </c>
      <c r="O59" s="40">
        <f>+(F59+'Otros Ingresos'!D49)/M59</f>
        <v>0</v>
      </c>
      <c r="P59" s="40">
        <f t="shared" si="26"/>
        <v>0</v>
      </c>
      <c r="Q59" s="40">
        <f t="shared" si="23"/>
        <v>299310.59417550231</v>
      </c>
      <c r="R59" s="40">
        <f t="shared" si="24"/>
        <v>186404.29322474753</v>
      </c>
      <c r="S59" s="50">
        <f t="shared" si="20"/>
        <v>112906.30095075478</v>
      </c>
    </row>
    <row r="60" spans="1:19" x14ac:dyDescent="0.3">
      <c r="A60" s="49">
        <v>44</v>
      </c>
      <c r="B60" s="48">
        <v>2</v>
      </c>
      <c r="C60" s="40">
        <f>'Inversión Inicial'!E48</f>
        <v>0</v>
      </c>
      <c r="D60" s="40">
        <f>'COSTOS FIJOS'!G48</f>
        <v>0</v>
      </c>
      <c r="E60" s="40">
        <f>'COSTOS VARIABLES'!G48</f>
        <v>0</v>
      </c>
      <c r="F60" s="47">
        <f t="shared" si="21"/>
        <v>22652.32</v>
      </c>
      <c r="G60" s="40">
        <f t="shared" si="16"/>
        <v>679.56959999999992</v>
      </c>
      <c r="H60" s="46">
        <f t="shared" si="17"/>
        <v>679.56959999999992</v>
      </c>
      <c r="I60" s="33"/>
      <c r="J60" s="44">
        <f>+J59+F60+'Otros Ingresos'!D50</f>
        <v>334121.72000000009</v>
      </c>
      <c r="K60" s="43">
        <f t="shared" si="25"/>
        <v>193607.59295399999</v>
      </c>
      <c r="L60" s="51">
        <f t="shared" si="18"/>
        <v>140514.1270460001</v>
      </c>
      <c r="M60" s="41">
        <f t="shared" si="19"/>
        <v>1.0646523782172104</v>
      </c>
      <c r="N60" s="3">
        <f t="shared" si="22"/>
        <v>43</v>
      </c>
      <c r="O60" s="40">
        <f>+(F60+'Otros Ingresos'!D50)/M60</f>
        <v>21276.7288773937</v>
      </c>
      <c r="P60" s="40">
        <f t="shared" si="26"/>
        <v>638.30186632181096</v>
      </c>
      <c r="Q60" s="40">
        <f t="shared" si="23"/>
        <v>320587.32305289601</v>
      </c>
      <c r="R60" s="40">
        <f t="shared" si="24"/>
        <v>187042.59509106935</v>
      </c>
      <c r="S60" s="50">
        <f t="shared" si="20"/>
        <v>133544.72796182666</v>
      </c>
    </row>
    <row r="61" spans="1:19" x14ac:dyDescent="0.3">
      <c r="A61" s="49">
        <v>45</v>
      </c>
      <c r="B61" s="48">
        <v>3</v>
      </c>
      <c r="C61" s="40">
        <f>'Inversión Inicial'!E49</f>
        <v>0</v>
      </c>
      <c r="D61" s="40">
        <f>'COSTOS FIJOS'!G49</f>
        <v>0</v>
      </c>
      <c r="E61" s="40">
        <f>'COSTOS VARIABLES'!G49</f>
        <v>0</v>
      </c>
      <c r="F61" s="47">
        <f t="shared" si="21"/>
        <v>5663.08</v>
      </c>
      <c r="G61" s="40">
        <f t="shared" si="16"/>
        <v>169.89239999999998</v>
      </c>
      <c r="H61" s="46">
        <f t="shared" si="17"/>
        <v>169.89239999999998</v>
      </c>
      <c r="I61" s="33"/>
      <c r="J61" s="44">
        <f>+J60+F61+'Otros Ingresos'!D51</f>
        <v>339784.8000000001</v>
      </c>
      <c r="K61" s="43">
        <f t="shared" si="25"/>
        <v>193777.485354</v>
      </c>
      <c r="L61" s="51">
        <f t="shared" si="18"/>
        <v>146007.3146460001</v>
      </c>
      <c r="M61" s="41">
        <f t="shared" si="19"/>
        <v>1.0662046413846509</v>
      </c>
      <c r="N61" s="3">
        <f t="shared" si="22"/>
        <v>44</v>
      </c>
      <c r="O61" s="40">
        <f>+(F61+'Otros Ingresos'!D51)/M61</f>
        <v>5311.4381425366073</v>
      </c>
      <c r="P61" s="40">
        <f t="shared" si="26"/>
        <v>159.3431442760982</v>
      </c>
      <c r="Q61" s="40">
        <f t="shared" si="23"/>
        <v>325898.76119543263</v>
      </c>
      <c r="R61" s="40">
        <f t="shared" si="24"/>
        <v>187201.93823534544</v>
      </c>
      <c r="S61" s="50">
        <f t="shared" si="20"/>
        <v>138696.82296008719</v>
      </c>
    </row>
    <row r="62" spans="1:19" x14ac:dyDescent="0.3">
      <c r="A62" s="49">
        <v>46</v>
      </c>
      <c r="B62" s="48">
        <v>2</v>
      </c>
      <c r="C62" s="40">
        <f>'Inversión Inicial'!E50</f>
        <v>0</v>
      </c>
      <c r="D62" s="40">
        <f>'COSTOS FIJOS'!G50</f>
        <v>0</v>
      </c>
      <c r="E62" s="40">
        <f>'COSTOS VARIABLES'!G50</f>
        <v>0</v>
      </c>
      <c r="F62" s="47">
        <f t="shared" si="21"/>
        <v>8494.619999999999</v>
      </c>
      <c r="G62" s="40">
        <f t="shared" si="16"/>
        <v>254.83859999999996</v>
      </c>
      <c r="H62" s="46">
        <f t="shared" si="17"/>
        <v>254.83859999999996</v>
      </c>
      <c r="I62" s="33"/>
      <c r="J62" s="44">
        <f>+J61+F62+'Otros Ingresos'!D52</f>
        <v>348279.4200000001</v>
      </c>
      <c r="K62" s="43">
        <f t="shared" si="25"/>
        <v>194032.32395399999</v>
      </c>
      <c r="L62" s="51">
        <f t="shared" si="18"/>
        <v>154247.09604600011</v>
      </c>
      <c r="M62" s="41">
        <f t="shared" si="19"/>
        <v>1.0677591677517895</v>
      </c>
      <c r="N62" s="3">
        <f t="shared" si="22"/>
        <v>45</v>
      </c>
      <c r="O62" s="40">
        <f>+(F62+'Otros Ingresos'!D52)/M62</f>
        <v>7955.5580102260028</v>
      </c>
      <c r="P62" s="40">
        <f t="shared" si="26"/>
        <v>238.66674030678007</v>
      </c>
      <c r="Q62" s="40">
        <f t="shared" si="23"/>
        <v>333854.31920565863</v>
      </c>
      <c r="R62" s="40">
        <f t="shared" si="24"/>
        <v>187440.60497565221</v>
      </c>
      <c r="S62" s="50">
        <f t="shared" si="20"/>
        <v>146413.71423000642</v>
      </c>
    </row>
    <row r="63" spans="1:19" x14ac:dyDescent="0.3">
      <c r="A63" s="49">
        <v>47</v>
      </c>
      <c r="B63" s="48">
        <v>0</v>
      </c>
      <c r="C63" s="40">
        <f>'Inversión Inicial'!E51</f>
        <v>0</v>
      </c>
      <c r="D63" s="40">
        <f>'COSTOS FIJOS'!G51</f>
        <v>0</v>
      </c>
      <c r="E63" s="40">
        <f>'COSTOS VARIABLES'!G51</f>
        <v>0</v>
      </c>
      <c r="F63" s="47">
        <f t="shared" si="21"/>
        <v>5663.08</v>
      </c>
      <c r="G63" s="40">
        <f t="shared" si="16"/>
        <v>169.89239999999998</v>
      </c>
      <c r="H63" s="46">
        <f t="shared" si="17"/>
        <v>169.89239999999998</v>
      </c>
      <c r="I63" s="33"/>
      <c r="J63" s="44">
        <f>+J62+F63+'Otros Ingresos'!D53</f>
        <v>353942.50000000012</v>
      </c>
      <c r="K63" s="43">
        <f t="shared" si="25"/>
        <v>194202.216354</v>
      </c>
      <c r="L63" s="51">
        <f t="shared" si="18"/>
        <v>159740.28364600011</v>
      </c>
      <c r="M63" s="41">
        <f t="shared" si="19"/>
        <v>1.0693159606183715</v>
      </c>
      <c r="N63" s="3">
        <f t="shared" si="22"/>
        <v>46</v>
      </c>
      <c r="O63" s="40">
        <f>+(F63+'Otros Ingresos'!D53)/M63</f>
        <v>5295.9837957764275</v>
      </c>
      <c r="P63" s="40">
        <f t="shared" si="26"/>
        <v>158.87951387329281</v>
      </c>
      <c r="Q63" s="40">
        <f t="shared" si="23"/>
        <v>339150.30300143507</v>
      </c>
      <c r="R63" s="40">
        <f t="shared" si="24"/>
        <v>187599.48448952549</v>
      </c>
      <c r="S63" s="50">
        <f t="shared" si="20"/>
        <v>151550.81851190957</v>
      </c>
    </row>
    <row r="64" spans="1:19" x14ac:dyDescent="0.3">
      <c r="A64" s="49">
        <v>48</v>
      </c>
      <c r="B64" s="48">
        <v>0</v>
      </c>
      <c r="C64" s="40">
        <f>'Inversión Inicial'!E52</f>
        <v>0</v>
      </c>
      <c r="D64" s="40">
        <f>'COSTOS FIJOS'!G52</f>
        <v>0</v>
      </c>
      <c r="E64" s="40">
        <f>'COSTOS VARIABLES'!G52</f>
        <v>3274.1000000000004</v>
      </c>
      <c r="F64" s="47">
        <f t="shared" si="21"/>
        <v>0</v>
      </c>
      <c r="G64" s="40">
        <f t="shared" si="16"/>
        <v>0</v>
      </c>
      <c r="H64" s="46">
        <f t="shared" si="17"/>
        <v>3274.1000000000004</v>
      </c>
      <c r="I64" s="45">
        <f>[1]Impuestos!E11</f>
        <v>30207.969049999996</v>
      </c>
      <c r="J64" s="44">
        <f>+J63+F64+'Otros Ingresos'!D54</f>
        <v>353942.50000000012</v>
      </c>
      <c r="K64" s="43">
        <f>+K63+H64+I64</f>
        <v>227684.28540399999</v>
      </c>
      <c r="L64" s="52">
        <f t="shared" si="18"/>
        <v>126258.21459600012</v>
      </c>
      <c r="M64" s="41">
        <f t="shared" si="19"/>
        <v>1.070875023288953</v>
      </c>
      <c r="N64" s="3">
        <f t="shared" si="22"/>
        <v>47</v>
      </c>
      <c r="O64" s="40">
        <f>+(F64+'Otros Ingresos'!D54)/M64</f>
        <v>0</v>
      </c>
      <c r="P64" s="40">
        <f>+(H64+I64)/M64</f>
        <v>31266.084577420916</v>
      </c>
      <c r="Q64" s="40">
        <f t="shared" si="23"/>
        <v>339150.30300143507</v>
      </c>
      <c r="R64" s="40">
        <f t="shared" si="24"/>
        <v>218865.56906694639</v>
      </c>
      <c r="S64" s="50">
        <f t="shared" si="20"/>
        <v>120284.73393448867</v>
      </c>
    </row>
    <row r="65" spans="1:19" x14ac:dyDescent="0.3">
      <c r="A65" s="49">
        <v>49</v>
      </c>
      <c r="B65" s="48">
        <v>0</v>
      </c>
      <c r="C65" s="40">
        <f>'Inversión Inicial'!E53</f>
        <v>0</v>
      </c>
      <c r="D65" s="40">
        <f>'COSTOS FIJOS'!G53</f>
        <v>0</v>
      </c>
      <c r="E65" s="40">
        <f>'COSTOS VARIABLES'!G53</f>
        <v>0</v>
      </c>
      <c r="F65" s="47">
        <f t="shared" si="21"/>
        <v>0</v>
      </c>
      <c r="G65" s="40">
        <f t="shared" si="16"/>
        <v>0</v>
      </c>
      <c r="H65" s="46">
        <f t="shared" si="17"/>
        <v>0</v>
      </c>
      <c r="I65" s="33"/>
      <c r="J65" s="44">
        <f>+J64+F65+'Otros Ingresos'!D55</f>
        <v>353942.50000000012</v>
      </c>
      <c r="K65" s="43">
        <f t="shared" ref="K65:K75" si="27">+K64+H65</f>
        <v>227684.28540399999</v>
      </c>
      <c r="L65" s="51">
        <f t="shared" si="18"/>
        <v>126258.21459600012</v>
      </c>
      <c r="M65" s="41">
        <f t="shared" si="19"/>
        <v>1.0724363590729082</v>
      </c>
      <c r="N65" s="3">
        <f t="shared" si="22"/>
        <v>48</v>
      </c>
      <c r="O65" s="40">
        <f>+(F65+'Otros Ingresos'!D55)/M65</f>
        <v>0</v>
      </c>
      <c r="P65" s="40">
        <f t="shared" ref="P65:P75" si="28">+(H65)/M65</f>
        <v>0</v>
      </c>
      <c r="Q65" s="40">
        <f t="shared" si="23"/>
        <v>339150.30300143507</v>
      </c>
      <c r="R65" s="40">
        <f t="shared" si="24"/>
        <v>218865.56906694639</v>
      </c>
      <c r="S65" s="50">
        <f t="shared" si="20"/>
        <v>120284.73393448867</v>
      </c>
    </row>
    <row r="66" spans="1:19" x14ac:dyDescent="0.3">
      <c r="A66" s="49">
        <v>50</v>
      </c>
      <c r="B66" s="48">
        <v>5</v>
      </c>
      <c r="C66" s="40">
        <f>'Inversión Inicial'!E54</f>
        <v>0</v>
      </c>
      <c r="D66" s="40">
        <f>'COSTOS FIJOS'!G54</f>
        <v>0</v>
      </c>
      <c r="E66" s="40">
        <f>'COSTOS VARIABLES'!G54</f>
        <v>0</v>
      </c>
      <c r="F66" s="47">
        <f t="shared" si="21"/>
        <v>0</v>
      </c>
      <c r="G66" s="40">
        <f t="shared" si="16"/>
        <v>0</v>
      </c>
      <c r="H66" s="46">
        <f t="shared" si="17"/>
        <v>0</v>
      </c>
      <c r="I66" s="33"/>
      <c r="J66" s="44">
        <f>+J65+F66+'Otros Ingresos'!D56</f>
        <v>353942.50000000012</v>
      </c>
      <c r="K66" s="43">
        <f t="shared" si="27"/>
        <v>227684.28540399999</v>
      </c>
      <c r="L66" s="51">
        <f t="shared" si="18"/>
        <v>126258.21459600012</v>
      </c>
      <c r="M66" s="41">
        <f t="shared" si="19"/>
        <v>1.0739999712844364</v>
      </c>
      <c r="N66" s="3">
        <f t="shared" si="22"/>
        <v>49</v>
      </c>
      <c r="O66" s="40">
        <f>+(F66+'Otros Ingresos'!D56)/M66</f>
        <v>0</v>
      </c>
      <c r="P66" s="40">
        <f t="shared" si="28"/>
        <v>0</v>
      </c>
      <c r="Q66" s="40">
        <f t="shared" si="23"/>
        <v>339150.30300143507</v>
      </c>
      <c r="R66" s="40">
        <f t="shared" si="24"/>
        <v>218865.56906694639</v>
      </c>
      <c r="S66" s="50">
        <f t="shared" si="20"/>
        <v>120284.73393448867</v>
      </c>
    </row>
    <row r="67" spans="1:19" x14ac:dyDescent="0.3">
      <c r="A67" s="49">
        <v>51</v>
      </c>
      <c r="B67" s="48">
        <v>5</v>
      </c>
      <c r="C67" s="40">
        <f>'Inversión Inicial'!E55</f>
        <v>0</v>
      </c>
      <c r="D67" s="40">
        <f>'COSTOS FIJOS'!G55</f>
        <v>0</v>
      </c>
      <c r="E67" s="40">
        <f>'COSTOS VARIABLES'!G55</f>
        <v>0</v>
      </c>
      <c r="F67" s="47">
        <f t="shared" si="21"/>
        <v>14157.7</v>
      </c>
      <c r="G67" s="40">
        <f t="shared" si="16"/>
        <v>424.73099999999999</v>
      </c>
      <c r="H67" s="46">
        <f t="shared" si="17"/>
        <v>424.73099999999999</v>
      </c>
      <c r="I67" s="33"/>
      <c r="J67" s="44">
        <f>+J66+F67+'Otros Ingresos'!D57</f>
        <v>368100.20000000013</v>
      </c>
      <c r="K67" s="43">
        <f t="shared" si="27"/>
        <v>228109.01640399999</v>
      </c>
      <c r="L67" s="51">
        <f t="shared" si="18"/>
        <v>139991.18359600013</v>
      </c>
      <c r="M67" s="41">
        <f t="shared" si="19"/>
        <v>1.0755658632425691</v>
      </c>
      <c r="N67" s="3">
        <f t="shared" si="22"/>
        <v>50</v>
      </c>
      <c r="O67" s="40">
        <f>+(F67+'Otros Ingresos'!D57)/M67</f>
        <v>13163.024677371206</v>
      </c>
      <c r="P67" s="40">
        <f t="shared" si="28"/>
        <v>394.89074032113615</v>
      </c>
      <c r="Q67" s="40">
        <f t="shared" si="23"/>
        <v>352313.32767880626</v>
      </c>
      <c r="R67" s="40">
        <f t="shared" si="24"/>
        <v>219260.45980726753</v>
      </c>
      <c r="S67" s="50">
        <f t="shared" si="20"/>
        <v>133052.86787153874</v>
      </c>
    </row>
    <row r="68" spans="1:19" x14ac:dyDescent="0.3">
      <c r="A68" s="49">
        <v>52</v>
      </c>
      <c r="B68" s="48">
        <v>0</v>
      </c>
      <c r="C68" s="40">
        <f>'Inversión Inicial'!E56</f>
        <v>0</v>
      </c>
      <c r="D68" s="40">
        <f>'COSTOS FIJOS'!G56</f>
        <v>0</v>
      </c>
      <c r="E68" s="40">
        <f>'COSTOS VARIABLES'!G56</f>
        <v>0</v>
      </c>
      <c r="F68" s="47">
        <f t="shared" si="21"/>
        <v>14157.7</v>
      </c>
      <c r="G68" s="40">
        <f t="shared" si="16"/>
        <v>424.73099999999999</v>
      </c>
      <c r="H68" s="46">
        <f t="shared" si="17"/>
        <v>424.73099999999999</v>
      </c>
      <c r="I68" s="33"/>
      <c r="J68" s="44">
        <f>+J67+F68+'Otros Ingresos'!D58</f>
        <v>382257.90000000014</v>
      </c>
      <c r="K68" s="43">
        <f t="shared" si="27"/>
        <v>228533.74740399999</v>
      </c>
      <c r="L68" s="51">
        <f t="shared" si="18"/>
        <v>153724.15259600015</v>
      </c>
      <c r="M68" s="41">
        <f t="shared" si="19"/>
        <v>1.0771340382711769</v>
      </c>
      <c r="N68" s="3">
        <f t="shared" si="22"/>
        <v>51</v>
      </c>
      <c r="O68" s="40">
        <f>+(F68+'Otros Ingresos'!D58)/M68</f>
        <v>13143.860928137979</v>
      </c>
      <c r="P68" s="40">
        <f t="shared" si="28"/>
        <v>394.31582784413933</v>
      </c>
      <c r="Q68" s="40">
        <f t="shared" si="23"/>
        <v>365457.18860694423</v>
      </c>
      <c r="R68" s="40">
        <f t="shared" si="24"/>
        <v>219654.77563511167</v>
      </c>
      <c r="S68" s="50">
        <f t="shared" si="20"/>
        <v>145802.41297183256</v>
      </c>
    </row>
    <row r="69" spans="1:19" x14ac:dyDescent="0.3">
      <c r="A69" s="49">
        <v>53</v>
      </c>
      <c r="B69" s="48">
        <v>0</v>
      </c>
      <c r="C69" s="40">
        <f>'Inversión Inicial'!E57</f>
        <v>0</v>
      </c>
      <c r="D69" s="40">
        <f>'COSTOS FIJOS'!G57</f>
        <v>0</v>
      </c>
      <c r="E69" s="40">
        <f>'COSTOS VARIABLES'!G57</f>
        <v>0</v>
      </c>
      <c r="F69" s="47">
        <f t="shared" si="21"/>
        <v>0</v>
      </c>
      <c r="G69" s="40">
        <f t="shared" si="16"/>
        <v>0</v>
      </c>
      <c r="H69" s="46">
        <f t="shared" si="17"/>
        <v>0</v>
      </c>
      <c r="I69" s="33"/>
      <c r="J69" s="44">
        <f>+J68+F69+'Otros Ingresos'!D59</f>
        <v>382257.90000000014</v>
      </c>
      <c r="K69" s="43">
        <f t="shared" si="27"/>
        <v>228533.74740399999</v>
      </c>
      <c r="L69" s="51">
        <f t="shared" si="18"/>
        <v>153724.15259600015</v>
      </c>
      <c r="M69" s="41">
        <f t="shared" si="19"/>
        <v>1.0787044996989759</v>
      </c>
      <c r="N69" s="3">
        <f t="shared" si="22"/>
        <v>52</v>
      </c>
      <c r="O69" s="40">
        <f>+(F69+'Otros Ingresos'!D59)/M69</f>
        <v>0</v>
      </c>
      <c r="P69" s="40">
        <f t="shared" si="28"/>
        <v>0</v>
      </c>
      <c r="Q69" s="40">
        <f t="shared" si="23"/>
        <v>365457.18860694423</v>
      </c>
      <c r="R69" s="40">
        <f t="shared" si="24"/>
        <v>219654.77563511167</v>
      </c>
      <c r="S69" s="50">
        <f t="shared" si="20"/>
        <v>145802.41297183256</v>
      </c>
    </row>
    <row r="70" spans="1:19" x14ac:dyDescent="0.3">
      <c r="A70" s="49">
        <v>54</v>
      </c>
      <c r="B70" s="48">
        <v>0</v>
      </c>
      <c r="C70" s="40">
        <f>'Inversión Inicial'!E58</f>
        <v>0</v>
      </c>
      <c r="D70" s="40">
        <f>'COSTOS FIJOS'!G58</f>
        <v>0</v>
      </c>
      <c r="E70" s="40">
        <f>'COSTOS VARIABLES'!G58</f>
        <v>0</v>
      </c>
      <c r="F70" s="47">
        <f t="shared" si="21"/>
        <v>0</v>
      </c>
      <c r="G70" s="40">
        <f t="shared" si="16"/>
        <v>0</v>
      </c>
      <c r="H70" s="46">
        <f t="shared" si="17"/>
        <v>0</v>
      </c>
      <c r="I70" s="33"/>
      <c r="J70" s="44">
        <f>+J69+F70+'Otros Ingresos'!D60</f>
        <v>382257.90000000014</v>
      </c>
      <c r="K70" s="43">
        <f t="shared" si="27"/>
        <v>228533.74740399999</v>
      </c>
      <c r="L70" s="52">
        <f t="shared" si="18"/>
        <v>153724.15259600015</v>
      </c>
      <c r="M70" s="41">
        <f t="shared" si="19"/>
        <v>1.0802772508595371</v>
      </c>
      <c r="N70" s="3">
        <f t="shared" si="22"/>
        <v>53</v>
      </c>
      <c r="O70" s="40">
        <f>+(F70+'Otros Ingresos'!D60)/M70</f>
        <v>0</v>
      </c>
      <c r="P70" s="40">
        <f t="shared" si="28"/>
        <v>0</v>
      </c>
      <c r="Q70" s="40">
        <f t="shared" si="23"/>
        <v>365457.18860694423</v>
      </c>
      <c r="R70" s="40">
        <f t="shared" si="24"/>
        <v>219654.77563511167</v>
      </c>
      <c r="S70" s="50">
        <f t="shared" si="20"/>
        <v>145802.41297183256</v>
      </c>
    </row>
    <row r="71" spans="1:19" x14ac:dyDescent="0.3">
      <c r="A71" s="49">
        <v>55</v>
      </c>
      <c r="B71" s="48">
        <v>10</v>
      </c>
      <c r="C71" s="40">
        <f>'Inversión Inicial'!E59</f>
        <v>0</v>
      </c>
      <c r="D71" s="40">
        <f>'COSTOS FIJOS'!G59</f>
        <v>0</v>
      </c>
      <c r="E71" s="40">
        <f>'COSTOS VARIABLES'!G59</f>
        <v>0</v>
      </c>
      <c r="F71" s="47">
        <f t="shared" si="21"/>
        <v>0</v>
      </c>
      <c r="G71" s="40">
        <f t="shared" si="16"/>
        <v>0</v>
      </c>
      <c r="H71" s="46">
        <f t="shared" si="17"/>
        <v>0</v>
      </c>
      <c r="I71" s="33"/>
      <c r="J71" s="44">
        <f>+J70+F71+'Otros Ingresos'!D61</f>
        <v>382257.90000000014</v>
      </c>
      <c r="K71" s="43">
        <f t="shared" si="27"/>
        <v>228533.74740399999</v>
      </c>
      <c r="L71" s="51">
        <f t="shared" si="18"/>
        <v>153724.15259600015</v>
      </c>
      <c r="M71" s="41">
        <f t="shared" si="19"/>
        <v>1.0818522950912903</v>
      </c>
      <c r="N71" s="3">
        <f t="shared" si="22"/>
        <v>54</v>
      </c>
      <c r="O71" s="40">
        <f>+(F71+'Otros Ingresos'!D61)/M71</f>
        <v>0</v>
      </c>
      <c r="P71" s="40">
        <f t="shared" si="28"/>
        <v>0</v>
      </c>
      <c r="Q71" s="40">
        <f t="shared" si="23"/>
        <v>365457.18860694423</v>
      </c>
      <c r="R71" s="40">
        <f t="shared" si="24"/>
        <v>219654.77563511167</v>
      </c>
      <c r="S71" s="50">
        <f t="shared" si="20"/>
        <v>145802.41297183256</v>
      </c>
    </row>
    <row r="72" spans="1:19" x14ac:dyDescent="0.3">
      <c r="A72" s="49">
        <v>56</v>
      </c>
      <c r="B72" s="48">
        <v>3</v>
      </c>
      <c r="C72" s="40">
        <f>'Inversión Inicial'!E60</f>
        <v>0</v>
      </c>
      <c r="D72" s="40">
        <f>'COSTOS FIJOS'!G60</f>
        <v>0</v>
      </c>
      <c r="E72" s="40">
        <f>'COSTOS VARIABLES'!G60</f>
        <v>0</v>
      </c>
      <c r="F72" s="47">
        <f t="shared" si="21"/>
        <v>28315.4</v>
      </c>
      <c r="G72" s="40">
        <f t="shared" si="16"/>
        <v>849.46199999999999</v>
      </c>
      <c r="H72" s="46">
        <f t="shared" si="17"/>
        <v>849.46199999999999</v>
      </c>
      <c r="I72" s="33"/>
      <c r="J72" s="44">
        <f>+J71+F72+'Otros Ingresos'!D62</f>
        <v>410573.30000000016</v>
      </c>
      <c r="K72" s="43">
        <f t="shared" si="27"/>
        <v>229383.20940399999</v>
      </c>
      <c r="L72" s="51">
        <f t="shared" si="18"/>
        <v>181190.09059600017</v>
      </c>
      <c r="M72" s="41">
        <f t="shared" si="19"/>
        <v>1.0834296357375333</v>
      </c>
      <c r="N72" s="3">
        <f t="shared" si="22"/>
        <v>55</v>
      </c>
      <c r="O72" s="40">
        <f>+(F72+'Otros Ingresos'!D62)/M72</f>
        <v>26134.969051981483</v>
      </c>
      <c r="P72" s="40">
        <f t="shared" si="28"/>
        <v>784.04907155944443</v>
      </c>
      <c r="Q72" s="40">
        <f t="shared" si="23"/>
        <v>391592.15765892569</v>
      </c>
      <c r="R72" s="40">
        <f t="shared" si="24"/>
        <v>220438.82470667112</v>
      </c>
      <c r="S72" s="50">
        <f t="shared" si="20"/>
        <v>171153.33295225457</v>
      </c>
    </row>
    <row r="73" spans="1:19" x14ac:dyDescent="0.3">
      <c r="A73" s="49">
        <v>57</v>
      </c>
      <c r="B73" s="48">
        <v>2</v>
      </c>
      <c r="C73" s="40">
        <f>'Inversión Inicial'!E61</f>
        <v>0</v>
      </c>
      <c r="D73" s="40">
        <f>'COSTOS FIJOS'!G61</f>
        <v>0</v>
      </c>
      <c r="E73" s="40">
        <f>'COSTOS VARIABLES'!G61</f>
        <v>0</v>
      </c>
      <c r="F73" s="47">
        <f t="shared" si="21"/>
        <v>8494.619999999999</v>
      </c>
      <c r="G73" s="40">
        <f t="shared" si="16"/>
        <v>254.83859999999996</v>
      </c>
      <c r="H73" s="46">
        <f t="shared" si="17"/>
        <v>254.83859999999996</v>
      </c>
      <c r="I73" s="33"/>
      <c r="J73" s="44">
        <f>+J72+F73+'Otros Ingresos'!D63</f>
        <v>419067.92000000016</v>
      </c>
      <c r="K73" s="43">
        <f t="shared" si="27"/>
        <v>229638.04800399998</v>
      </c>
      <c r="L73" s="51">
        <f t="shared" si="18"/>
        <v>189429.87199600018</v>
      </c>
      <c r="M73" s="41">
        <f t="shared" si="19"/>
        <v>1.0850092761464383</v>
      </c>
      <c r="N73" s="3">
        <f t="shared" si="22"/>
        <v>56</v>
      </c>
      <c r="O73" s="40">
        <f>+(F73+'Otros Ingresos'!D63)/M73</f>
        <v>7829.0759228988591</v>
      </c>
      <c r="P73" s="40">
        <f t="shared" si="28"/>
        <v>234.87227768696576</v>
      </c>
      <c r="Q73" s="40">
        <f t="shared" si="23"/>
        <v>399421.23358182452</v>
      </c>
      <c r="R73" s="40">
        <f t="shared" si="24"/>
        <v>220673.69698435807</v>
      </c>
      <c r="S73" s="50">
        <f t="shared" si="20"/>
        <v>178747.53659746645</v>
      </c>
    </row>
    <row r="74" spans="1:19" x14ac:dyDescent="0.3">
      <c r="A74" s="49">
        <v>58</v>
      </c>
      <c r="B74" s="48">
        <v>0</v>
      </c>
      <c r="C74" s="40">
        <f>'Inversión Inicial'!E62</f>
        <v>0</v>
      </c>
      <c r="D74" s="40">
        <f>'COSTOS FIJOS'!G62</f>
        <v>0</v>
      </c>
      <c r="E74" s="40">
        <f>'COSTOS VARIABLES'!G62</f>
        <v>0</v>
      </c>
      <c r="F74" s="47">
        <f t="shared" si="21"/>
        <v>5663.08</v>
      </c>
      <c r="G74" s="40">
        <f t="shared" si="16"/>
        <v>169.89239999999998</v>
      </c>
      <c r="H74" s="46">
        <f t="shared" si="17"/>
        <v>169.89239999999998</v>
      </c>
      <c r="I74" s="33"/>
      <c r="J74" s="44">
        <f>+J73+F74+'Otros Ingresos'!D64</f>
        <v>424731.00000000017</v>
      </c>
      <c r="K74" s="43">
        <f t="shared" si="27"/>
        <v>229807.94040399999</v>
      </c>
      <c r="L74" s="51">
        <f t="shared" si="18"/>
        <v>194923.05959600018</v>
      </c>
      <c r="M74" s="41">
        <f t="shared" si="19"/>
        <v>1.0865912196710599</v>
      </c>
      <c r="N74" s="3">
        <f t="shared" si="22"/>
        <v>57</v>
      </c>
      <c r="O74" s="40">
        <f>+(F74+'Otros Ingresos'!D64)/M74</f>
        <v>5211.7851658274631</v>
      </c>
      <c r="P74" s="40">
        <f t="shared" si="28"/>
        <v>156.35355497482388</v>
      </c>
      <c r="Q74" s="40">
        <f t="shared" si="23"/>
        <v>404633.01874765201</v>
      </c>
      <c r="R74" s="40">
        <f t="shared" si="24"/>
        <v>220830.05053933291</v>
      </c>
      <c r="S74" s="50">
        <f t="shared" si="20"/>
        <v>183802.9682083191</v>
      </c>
    </row>
    <row r="75" spans="1:19" x14ac:dyDescent="0.3">
      <c r="A75" s="49">
        <v>59</v>
      </c>
      <c r="B75" s="48">
        <v>0</v>
      </c>
      <c r="C75" s="40">
        <f>'Inversión Inicial'!E63</f>
        <v>0</v>
      </c>
      <c r="D75" s="40">
        <f>'COSTOS FIJOS'!G63</f>
        <v>0</v>
      </c>
      <c r="E75" s="40">
        <f>'COSTOS VARIABLES'!G63</f>
        <v>0</v>
      </c>
      <c r="F75" s="47">
        <f t="shared" si="21"/>
        <v>0</v>
      </c>
      <c r="G75" s="40">
        <f t="shared" si="16"/>
        <v>0</v>
      </c>
      <c r="H75" s="46">
        <f t="shared" si="17"/>
        <v>0</v>
      </c>
      <c r="I75" s="33"/>
      <c r="J75" s="44">
        <f>+J74+F75+'Otros Ingresos'!D65</f>
        <v>424731.00000000017</v>
      </c>
      <c r="K75" s="43">
        <f t="shared" si="27"/>
        <v>229807.94040399999</v>
      </c>
      <c r="L75" s="51">
        <f t="shared" si="18"/>
        <v>194923.05959600018</v>
      </c>
      <c r="M75" s="41">
        <f t="shared" si="19"/>
        <v>1.08817546966934</v>
      </c>
      <c r="N75" s="3">
        <f t="shared" si="22"/>
        <v>58</v>
      </c>
      <c r="O75" s="40">
        <f>+(F75+'Otros Ingresos'!D65)/M75</f>
        <v>0</v>
      </c>
      <c r="P75" s="40">
        <f t="shared" si="28"/>
        <v>0</v>
      </c>
      <c r="Q75" s="40">
        <f t="shared" si="23"/>
        <v>404633.01874765201</v>
      </c>
      <c r="R75" s="40">
        <f t="shared" si="24"/>
        <v>220830.05053933291</v>
      </c>
      <c r="S75" s="50">
        <f t="shared" si="20"/>
        <v>183802.9682083191</v>
      </c>
    </row>
    <row r="76" spans="1:19" x14ac:dyDescent="0.3">
      <c r="A76" s="49">
        <v>60</v>
      </c>
      <c r="B76" s="48">
        <v>0</v>
      </c>
      <c r="C76" s="40">
        <f>'Inversión Inicial'!E64</f>
        <v>0</v>
      </c>
      <c r="D76" s="40">
        <f>'COSTOS FIJOS'!G64</f>
        <v>0</v>
      </c>
      <c r="E76" s="40">
        <f>'COSTOS VARIABLES'!G64</f>
        <v>0</v>
      </c>
      <c r="F76" s="47">
        <f t="shared" si="21"/>
        <v>0</v>
      </c>
      <c r="G76" s="40">
        <f t="shared" si="16"/>
        <v>0</v>
      </c>
      <c r="H76" s="46">
        <f t="shared" si="17"/>
        <v>0</v>
      </c>
      <c r="I76" s="45">
        <f>[1]Impuestos!F11</f>
        <v>24032.695749999999</v>
      </c>
      <c r="J76" s="44">
        <f>+J75+F76+'Otros Ingresos'!D66</f>
        <v>424731.00000000017</v>
      </c>
      <c r="K76" s="43">
        <f>+K75+H76+I76</f>
        <v>253840.63615400001</v>
      </c>
      <c r="L76" s="42">
        <f t="shared" si="18"/>
        <v>170890.36384600017</v>
      </c>
      <c r="M76" s="41">
        <f t="shared" si="19"/>
        <v>1.0897620295041182</v>
      </c>
      <c r="N76" s="3">
        <f t="shared" si="22"/>
        <v>59</v>
      </c>
      <c r="O76" s="40">
        <f>+(F76+'Otros Ingresos'!D66)/M76</f>
        <v>0</v>
      </c>
      <c r="P76" s="40">
        <f>+(H76+I76)/M76</f>
        <v>22053.159404843424</v>
      </c>
      <c r="Q76" s="40">
        <f t="shared" si="23"/>
        <v>404633.01874765201</v>
      </c>
      <c r="R76" s="40">
        <f t="shared" si="24"/>
        <v>242883.20994417634</v>
      </c>
      <c r="S76" s="39">
        <f t="shared" si="20"/>
        <v>161749.80880347567</v>
      </c>
    </row>
    <row r="77" spans="1:19" x14ac:dyDescent="0.3">
      <c r="A77" s="38" t="s">
        <v>158</v>
      </c>
      <c r="B77" s="38">
        <f>SUM(B23:B76)</f>
        <v>150</v>
      </c>
      <c r="C77" s="36">
        <f>SUM(C17:C52)</f>
        <v>0</v>
      </c>
      <c r="D77" s="36">
        <f>SUM(D17:D76)</f>
        <v>61542.251653999992</v>
      </c>
      <c r="E77" s="36">
        <f>SUM(E17:E52)</f>
        <v>39289.200000000012</v>
      </c>
      <c r="F77" s="37">
        <f>SUM(F17:F76)</f>
        <v>424731.00000000017</v>
      </c>
      <c r="G77" s="36">
        <f>SUM(G17:G76)</f>
        <v>12741.929999999997</v>
      </c>
      <c r="H77" s="35">
        <f>SUM(H17:H76)</f>
        <v>123395.681654</v>
      </c>
      <c r="I77" s="35">
        <f>SUM(I17:I76)</f>
        <v>130444.95449999999</v>
      </c>
      <c r="J77" s="35"/>
      <c r="K77" s="35"/>
      <c r="L77" s="34"/>
    </row>
    <row r="78" spans="1:19" x14ac:dyDescent="0.3">
      <c r="P78" s="33"/>
      <c r="Q78" s="33"/>
    </row>
    <row r="141" spans="2:2" x14ac:dyDescent="0.3">
      <c r="B141" t="s">
        <v>157</v>
      </c>
    </row>
    <row r="142" spans="2:2" x14ac:dyDescent="0.3">
      <c r="B142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394-59B4-44EF-8DFF-63942FA9C986}">
  <sheetPr>
    <tabColor theme="8" tint="0.59999389629810485"/>
  </sheetPr>
  <dimension ref="A1:D66"/>
  <sheetViews>
    <sheetView workbookViewId="0">
      <selection activeCell="B19" sqref="B19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220</v>
      </c>
    </row>
    <row r="3" spans="1:4" x14ac:dyDescent="0.3">
      <c r="A3" t="s">
        <v>221</v>
      </c>
    </row>
    <row r="6" spans="1:4" x14ac:dyDescent="0.3">
      <c r="A6" t="str">
        <f>[1]Resumen!A16</f>
        <v>MES</v>
      </c>
      <c r="B6" t="s">
        <v>222</v>
      </c>
      <c r="C6" t="s">
        <v>223</v>
      </c>
      <c r="D6" t="s">
        <v>224</v>
      </c>
    </row>
    <row r="7" spans="1:4" x14ac:dyDescent="0.3">
      <c r="A7">
        <f>[1]Resumen!A17</f>
        <v>1</v>
      </c>
      <c r="B7" s="33">
        <f>Resumen!L17</f>
        <v>-1269.6288</v>
      </c>
      <c r="C7" s="73">
        <f>IF(B7&gt;0,B7,0)</f>
        <v>0</v>
      </c>
      <c r="D7" s="73">
        <v>0</v>
      </c>
    </row>
    <row r="8" spans="1:4" x14ac:dyDescent="0.3">
      <c r="A8">
        <f>[1]Resumen!A18</f>
        <v>2</v>
      </c>
      <c r="B8" s="33">
        <f>Resumen!L18</f>
        <v>-3477.4187999999999</v>
      </c>
      <c r="C8" s="73">
        <f t="shared" ref="C8:C66" si="0">IF(B8&gt;0,B8,0)</f>
        <v>0</v>
      </c>
      <c r="D8" s="73">
        <v>0</v>
      </c>
    </row>
    <row r="9" spans="1:4" x14ac:dyDescent="0.3">
      <c r="A9">
        <f>[1]Resumen!A19</f>
        <v>3</v>
      </c>
      <c r="B9" s="33">
        <f>Resumen!L19</f>
        <v>-5956.9778269999997</v>
      </c>
      <c r="C9" s="73">
        <f t="shared" si="0"/>
        <v>0</v>
      </c>
      <c r="D9" s="73">
        <v>0</v>
      </c>
    </row>
    <row r="10" spans="1:4" x14ac:dyDescent="0.3">
      <c r="A10">
        <f>[1]Resumen!A20</f>
        <v>4</v>
      </c>
      <c r="B10" s="33">
        <f>Resumen!L20</f>
        <v>-7658.4378269999997</v>
      </c>
      <c r="C10" s="73">
        <f t="shared" si="0"/>
        <v>0</v>
      </c>
      <c r="D10" s="73">
        <v>0</v>
      </c>
    </row>
    <row r="11" spans="1:4" x14ac:dyDescent="0.3">
      <c r="A11">
        <f>[1]Resumen!A21</f>
        <v>5</v>
      </c>
      <c r="B11" s="33">
        <f>Resumen!L21</f>
        <v>-9753.7678269999997</v>
      </c>
      <c r="C11" s="73">
        <f t="shared" si="0"/>
        <v>0</v>
      </c>
      <c r="D11" s="73">
        <v>0</v>
      </c>
    </row>
    <row r="12" spans="1:4" x14ac:dyDescent="0.3">
      <c r="A12">
        <f>[1]Resumen!A22</f>
        <v>6</v>
      </c>
      <c r="B12" s="33">
        <f>Resumen!L22</f>
        <v>-14050.187827</v>
      </c>
      <c r="C12" s="73">
        <f t="shared" si="0"/>
        <v>0</v>
      </c>
      <c r="D12" s="73">
        <v>0</v>
      </c>
    </row>
    <row r="13" spans="1:4" x14ac:dyDescent="0.3">
      <c r="A13">
        <f>[1]Resumen!A23</f>
        <v>7</v>
      </c>
      <c r="B13" s="33">
        <f>Resumen!L23</f>
        <v>-15295.197827</v>
      </c>
      <c r="C13" s="73">
        <f t="shared" si="0"/>
        <v>0</v>
      </c>
      <c r="D13" s="73">
        <v>0</v>
      </c>
    </row>
    <row r="14" spans="1:4" x14ac:dyDescent="0.3">
      <c r="A14">
        <f>[1]Resumen!A24</f>
        <v>8</v>
      </c>
      <c r="B14" s="33">
        <f>Resumen!L24</f>
        <v>-17225.607827</v>
      </c>
      <c r="C14" s="73">
        <f t="shared" si="0"/>
        <v>0</v>
      </c>
      <c r="D14" s="73">
        <v>0</v>
      </c>
    </row>
    <row r="15" spans="1:4" x14ac:dyDescent="0.3">
      <c r="A15">
        <f>[1]Resumen!A25</f>
        <v>9</v>
      </c>
      <c r="B15" s="33">
        <f>Resumen!L25</f>
        <v>-19616.377827</v>
      </c>
      <c r="C15" s="73">
        <f t="shared" si="0"/>
        <v>0</v>
      </c>
      <c r="D15" s="73">
        <v>0</v>
      </c>
    </row>
    <row r="16" spans="1:4" x14ac:dyDescent="0.3">
      <c r="A16">
        <f>[1]Resumen!A26</f>
        <v>10</v>
      </c>
      <c r="B16" s="33">
        <f>Resumen!L26</f>
        <v>-22105.717827</v>
      </c>
      <c r="C16" s="73">
        <f t="shared" si="0"/>
        <v>0</v>
      </c>
      <c r="D16" s="73">
        <v>0</v>
      </c>
    </row>
    <row r="17" spans="1:4" x14ac:dyDescent="0.3">
      <c r="A17">
        <f>[1]Resumen!A27</f>
        <v>11</v>
      </c>
      <c r="B17" s="33">
        <f>Resumen!L27</f>
        <v>-23710.937827000002</v>
      </c>
      <c r="C17" s="73">
        <f t="shared" si="0"/>
        <v>0</v>
      </c>
      <c r="D17" s="73">
        <v>0</v>
      </c>
    </row>
    <row r="18" spans="1:4" x14ac:dyDescent="0.3">
      <c r="A18">
        <f>[1]Resumen!A28</f>
        <v>12</v>
      </c>
      <c r="B18" s="33">
        <f>Resumen!L28</f>
        <v>-31918.247827000003</v>
      </c>
      <c r="C18" s="73">
        <f t="shared" si="0"/>
        <v>0</v>
      </c>
      <c r="D18" s="73">
        <v>0</v>
      </c>
    </row>
    <row r="19" spans="1:4" x14ac:dyDescent="0.3">
      <c r="A19">
        <f>[1]Resumen!A29</f>
        <v>13</v>
      </c>
      <c r="B19" s="33">
        <f>Resumen!L29</f>
        <v>-33944.547827000002</v>
      </c>
      <c r="C19" s="73">
        <f t="shared" si="0"/>
        <v>0</v>
      </c>
      <c r="D19" s="73">
        <v>0</v>
      </c>
    </row>
    <row r="20" spans="1:4" x14ac:dyDescent="0.3">
      <c r="A20">
        <f>[1]Resumen!A30</f>
        <v>14</v>
      </c>
      <c r="B20" s="33">
        <f>Resumen!L30</f>
        <v>-35216.925826999999</v>
      </c>
      <c r="C20" s="73">
        <f t="shared" si="0"/>
        <v>0</v>
      </c>
      <c r="D20" s="73">
        <v>0</v>
      </c>
    </row>
    <row r="21" spans="1:4" x14ac:dyDescent="0.3">
      <c r="A21">
        <f>[1]Resumen!A31</f>
        <v>15</v>
      </c>
      <c r="B21" s="33">
        <f>Resumen!L31</f>
        <v>-36561.905827000002</v>
      </c>
      <c r="C21" s="73">
        <f t="shared" si="0"/>
        <v>0</v>
      </c>
      <c r="D21" s="73">
        <v>0</v>
      </c>
    </row>
    <row r="22" spans="1:4" x14ac:dyDescent="0.3">
      <c r="A22">
        <f>[1]Resumen!A32</f>
        <v>16</v>
      </c>
      <c r="B22" s="33">
        <f>Resumen!L32</f>
        <v>-38008.805827000004</v>
      </c>
      <c r="C22" s="73">
        <f t="shared" si="0"/>
        <v>0</v>
      </c>
      <c r="D22" s="73">
        <v>0</v>
      </c>
    </row>
    <row r="23" spans="1:4" x14ac:dyDescent="0.3">
      <c r="A23">
        <f>[1]Resumen!A33</f>
        <v>17</v>
      </c>
      <c r="B23" s="33">
        <f>Resumen!L33</f>
        <v>-38848.605827000007</v>
      </c>
      <c r="C23" s="73">
        <f t="shared" si="0"/>
        <v>0</v>
      </c>
      <c r="D23" s="73">
        <v>0</v>
      </c>
    </row>
    <row r="24" spans="1:4" x14ac:dyDescent="0.3">
      <c r="A24">
        <f>[1]Resumen!A34</f>
        <v>18</v>
      </c>
      <c r="B24" s="33">
        <f>Resumen!L34</f>
        <v>-46166.40582700001</v>
      </c>
      <c r="C24" s="73">
        <f t="shared" si="0"/>
        <v>0</v>
      </c>
      <c r="D24" s="73">
        <v>0</v>
      </c>
    </row>
    <row r="25" spans="1:4" x14ac:dyDescent="0.3">
      <c r="A25">
        <f>[1]Resumen!A35</f>
        <v>19</v>
      </c>
      <c r="B25" s="33">
        <f>Resumen!L35</f>
        <v>-47141.625827000011</v>
      </c>
      <c r="C25" s="73">
        <f t="shared" si="0"/>
        <v>0</v>
      </c>
      <c r="D25" s="73">
        <v>0</v>
      </c>
    </row>
    <row r="26" spans="1:4" x14ac:dyDescent="0.3">
      <c r="A26">
        <f>[1]Resumen!A36</f>
        <v>20</v>
      </c>
      <c r="B26" s="33">
        <f>Resumen!L36</f>
        <v>-5942.7188270000115</v>
      </c>
      <c r="C26" s="73">
        <f t="shared" si="0"/>
        <v>0</v>
      </c>
      <c r="D26" s="73">
        <f t="shared" ref="D26:D42" si="1">+C25*TasaPAsiva/12</f>
        <v>0</v>
      </c>
    </row>
    <row r="27" spans="1:4" x14ac:dyDescent="0.3">
      <c r="A27">
        <f>[1]Resumen!A37</f>
        <v>21</v>
      </c>
      <c r="B27" s="33">
        <f>Resumen!L37</f>
        <v>-9247.9066540000058</v>
      </c>
      <c r="C27" s="73">
        <f t="shared" si="0"/>
        <v>0</v>
      </c>
      <c r="D27" s="73">
        <f t="shared" si="1"/>
        <v>0</v>
      </c>
    </row>
    <row r="28" spans="1:4" x14ac:dyDescent="0.3">
      <c r="A28">
        <f>[1]Resumen!A38</f>
        <v>22</v>
      </c>
      <c r="B28" s="33">
        <f>Resumen!L38</f>
        <v>4485.0623459999915</v>
      </c>
      <c r="C28" s="73">
        <f t="shared" si="0"/>
        <v>4485.0623459999915</v>
      </c>
      <c r="D28" s="73">
        <f t="shared" si="1"/>
        <v>0</v>
      </c>
    </row>
    <row r="29" spans="1:4" x14ac:dyDescent="0.3">
      <c r="A29">
        <f>[1]Resumen!A39</f>
        <v>23</v>
      </c>
      <c r="B29" s="33">
        <f>Resumen!L39</f>
        <v>18218.031345999989</v>
      </c>
      <c r="C29" s="73">
        <f t="shared" si="0"/>
        <v>18218.031345999989</v>
      </c>
      <c r="D29" s="73">
        <f t="shared" si="1"/>
        <v>0</v>
      </c>
    </row>
    <row r="30" spans="1:4" x14ac:dyDescent="0.3">
      <c r="A30">
        <f>[1]Resumen!A40</f>
        <v>24</v>
      </c>
      <c r="B30" s="33">
        <f>Resumen!L40</f>
        <v>-17392.202703999996</v>
      </c>
      <c r="C30" s="73">
        <f t="shared" si="0"/>
        <v>0</v>
      </c>
      <c r="D30" s="73">
        <f t="shared" si="1"/>
        <v>0</v>
      </c>
    </row>
    <row r="31" spans="1:4" x14ac:dyDescent="0.3">
      <c r="A31">
        <f>[1]Resumen!A41</f>
        <v>25</v>
      </c>
      <c r="B31" s="33">
        <f>Resumen!L41</f>
        <v>-17392.202703999996</v>
      </c>
      <c r="C31" s="73">
        <f t="shared" si="0"/>
        <v>0</v>
      </c>
      <c r="D31" s="73">
        <f t="shared" si="1"/>
        <v>0</v>
      </c>
    </row>
    <row r="32" spans="1:4" x14ac:dyDescent="0.3">
      <c r="A32">
        <f>[1]Resumen!A42</f>
        <v>26</v>
      </c>
      <c r="B32" s="33">
        <f>Resumen!L42</f>
        <v>37539.673296000023</v>
      </c>
      <c r="C32" s="73">
        <f t="shared" si="0"/>
        <v>37539.673296000023</v>
      </c>
      <c r="D32" s="73">
        <f t="shared" si="1"/>
        <v>0</v>
      </c>
    </row>
    <row r="33" spans="1:4" x14ac:dyDescent="0.3">
      <c r="A33">
        <f>[1]Resumen!A43</f>
        <v>27</v>
      </c>
      <c r="B33" s="33">
        <f>Resumen!L43</f>
        <v>51272.642296000035</v>
      </c>
      <c r="C33" s="73">
        <f t="shared" si="0"/>
        <v>51272.642296000035</v>
      </c>
      <c r="D33" s="73">
        <f t="shared" si="1"/>
        <v>0</v>
      </c>
    </row>
    <row r="34" spans="1:4" x14ac:dyDescent="0.3">
      <c r="A34">
        <f>[1]Resumen!A44</f>
        <v>28</v>
      </c>
      <c r="B34" s="33">
        <f>Resumen!L44</f>
        <v>65005.611296000046</v>
      </c>
      <c r="C34" s="73">
        <f t="shared" si="0"/>
        <v>65005.611296000046</v>
      </c>
      <c r="D34" s="73">
        <f t="shared" si="1"/>
        <v>0</v>
      </c>
    </row>
    <row r="35" spans="1:4" x14ac:dyDescent="0.3">
      <c r="A35">
        <f>[1]Resumen!A45</f>
        <v>29</v>
      </c>
      <c r="B35" s="33">
        <f>Resumen!L45</f>
        <v>78738.580296000058</v>
      </c>
      <c r="C35" s="73">
        <f t="shared" si="0"/>
        <v>78738.580296000058</v>
      </c>
      <c r="D35" s="73">
        <f t="shared" si="1"/>
        <v>0</v>
      </c>
    </row>
    <row r="36" spans="1:4" x14ac:dyDescent="0.3">
      <c r="A36">
        <f>[1]Resumen!A46</f>
        <v>30</v>
      </c>
      <c r="B36" s="33">
        <f>Resumen!L46</f>
        <v>68916.280296000055</v>
      </c>
      <c r="C36" s="73">
        <f t="shared" si="0"/>
        <v>68916.280296000055</v>
      </c>
      <c r="D36" s="73">
        <f t="shared" si="1"/>
        <v>0</v>
      </c>
    </row>
    <row r="37" spans="1:4" x14ac:dyDescent="0.3">
      <c r="A37">
        <f>[1]Resumen!A47</f>
        <v>31</v>
      </c>
      <c r="B37" s="33">
        <f>Resumen!L47</f>
        <v>68916.280296000055</v>
      </c>
      <c r="C37" s="73">
        <f t="shared" si="0"/>
        <v>68916.280296000055</v>
      </c>
      <c r="D37" s="73">
        <f t="shared" si="1"/>
        <v>0</v>
      </c>
    </row>
    <row r="38" spans="1:4" x14ac:dyDescent="0.3">
      <c r="A38">
        <f>[1]Resumen!A48</f>
        <v>32</v>
      </c>
      <c r="B38" s="33">
        <f>Resumen!L48</f>
        <v>96382.21829600005</v>
      </c>
      <c r="C38" s="73">
        <f t="shared" si="0"/>
        <v>96382.21829600005</v>
      </c>
      <c r="D38" s="73">
        <f t="shared" si="1"/>
        <v>0</v>
      </c>
    </row>
    <row r="39" spans="1:4" x14ac:dyDescent="0.3">
      <c r="A39">
        <f>[1]Resumen!A49</f>
        <v>33</v>
      </c>
      <c r="B39" s="33">
        <f>Resumen!L49</f>
        <v>110115.18729600006</v>
      </c>
      <c r="C39" s="73">
        <f t="shared" si="0"/>
        <v>110115.18729600006</v>
      </c>
      <c r="D39" s="73">
        <f t="shared" si="1"/>
        <v>0</v>
      </c>
    </row>
    <row r="40" spans="1:4" x14ac:dyDescent="0.3">
      <c r="A40">
        <f>[1]Resumen!A50</f>
        <v>34</v>
      </c>
      <c r="B40" s="33">
        <f>Resumen!L50</f>
        <v>123848.15629600007</v>
      </c>
      <c r="C40" s="73">
        <f t="shared" si="0"/>
        <v>123848.15629600007</v>
      </c>
      <c r="D40" s="73">
        <f t="shared" si="1"/>
        <v>0</v>
      </c>
    </row>
    <row r="41" spans="1:4" x14ac:dyDescent="0.3">
      <c r="A41">
        <f>[1]Resumen!A51</f>
        <v>35</v>
      </c>
      <c r="B41" s="33">
        <f>Resumen!L51</f>
        <v>123848.15629600007</v>
      </c>
      <c r="C41" s="73">
        <f t="shared" si="0"/>
        <v>123848.15629600007</v>
      </c>
      <c r="D41" s="73">
        <f t="shared" si="1"/>
        <v>0</v>
      </c>
    </row>
    <row r="42" spans="1:4" x14ac:dyDescent="0.3">
      <c r="A42">
        <f>[1]Resumen!A52</f>
        <v>36</v>
      </c>
      <c r="B42" s="33">
        <f>Resumen!L52</f>
        <v>70157.70064600007</v>
      </c>
      <c r="C42" s="73">
        <f t="shared" si="0"/>
        <v>70157.70064600007</v>
      </c>
      <c r="D42" s="73">
        <f t="shared" si="1"/>
        <v>0</v>
      </c>
    </row>
    <row r="43" spans="1:4" x14ac:dyDescent="0.3">
      <c r="A43">
        <f>[1]Resumen!A53</f>
        <v>37</v>
      </c>
      <c r="B43" s="33">
        <f>Resumen!L53</f>
        <v>70157.70064600007</v>
      </c>
      <c r="C43" s="73">
        <f t="shared" si="0"/>
        <v>70157.70064600007</v>
      </c>
      <c r="D43" s="73">
        <f t="shared" ref="D43:D45" si="2">+C42*TasaPAsiva/12</f>
        <v>0</v>
      </c>
    </row>
    <row r="44" spans="1:4" x14ac:dyDescent="0.3">
      <c r="A44">
        <f>[1]Resumen!A54</f>
        <v>38</v>
      </c>
      <c r="B44" s="33">
        <f>Resumen!L54</f>
        <v>83890.669646000053</v>
      </c>
      <c r="C44" s="73">
        <f t="shared" si="0"/>
        <v>83890.669646000053</v>
      </c>
      <c r="D44" s="73">
        <f t="shared" si="2"/>
        <v>0</v>
      </c>
    </row>
    <row r="45" spans="1:4" x14ac:dyDescent="0.3">
      <c r="A45">
        <f>[1]Resumen!A55</f>
        <v>39</v>
      </c>
      <c r="B45" s="33">
        <f>Resumen!L55</f>
        <v>97623.638646000065</v>
      </c>
      <c r="C45" s="73">
        <f t="shared" si="0"/>
        <v>97623.638646000065</v>
      </c>
      <c r="D45" s="73">
        <f t="shared" si="2"/>
        <v>0</v>
      </c>
    </row>
    <row r="46" spans="1:4" x14ac:dyDescent="0.3">
      <c r="A46">
        <f>[1]Resumen!A56</f>
        <v>40</v>
      </c>
      <c r="B46" s="33">
        <f>Resumen!L56</f>
        <v>111356.60764600008</v>
      </c>
      <c r="C46" s="73">
        <f t="shared" si="0"/>
        <v>111356.60764600008</v>
      </c>
      <c r="D46" s="73">
        <f t="shared" ref="D46:D65" si="3">+C45*TasaPAsiva/12</f>
        <v>0</v>
      </c>
    </row>
    <row r="47" spans="1:4" x14ac:dyDescent="0.3">
      <c r="A47">
        <f>[1]Resumen!A57</f>
        <v>41</v>
      </c>
      <c r="B47" s="33">
        <f>Resumen!L57</f>
        <v>125089.57664600009</v>
      </c>
      <c r="C47" s="73">
        <f t="shared" si="0"/>
        <v>125089.57664600009</v>
      </c>
      <c r="D47" s="73">
        <f t="shared" si="3"/>
        <v>0</v>
      </c>
    </row>
    <row r="48" spans="1:4" x14ac:dyDescent="0.3">
      <c r="A48">
        <f>[1]Resumen!A58</f>
        <v>42</v>
      </c>
      <c r="B48" s="33">
        <f>Resumen!L58</f>
        <v>118541.37664600008</v>
      </c>
      <c r="C48" s="73">
        <f t="shared" si="0"/>
        <v>118541.37664600008</v>
      </c>
      <c r="D48" s="73">
        <f t="shared" si="3"/>
        <v>0</v>
      </c>
    </row>
    <row r="49" spans="1:4" x14ac:dyDescent="0.3">
      <c r="A49">
        <f>[1]Resumen!A59</f>
        <v>43</v>
      </c>
      <c r="B49" s="33">
        <f>Resumen!L59</f>
        <v>118541.37664600008</v>
      </c>
      <c r="C49" s="73">
        <f t="shared" si="0"/>
        <v>118541.37664600008</v>
      </c>
      <c r="D49" s="73">
        <f t="shared" si="3"/>
        <v>0</v>
      </c>
    </row>
    <row r="50" spans="1:4" x14ac:dyDescent="0.3">
      <c r="A50">
        <f>[1]Resumen!A60</f>
        <v>44</v>
      </c>
      <c r="B50" s="33">
        <f>Resumen!L60</f>
        <v>140514.1270460001</v>
      </c>
      <c r="C50" s="73">
        <f t="shared" si="0"/>
        <v>140514.1270460001</v>
      </c>
      <c r="D50" s="73">
        <f t="shared" si="3"/>
        <v>0</v>
      </c>
    </row>
    <row r="51" spans="1:4" x14ac:dyDescent="0.3">
      <c r="A51">
        <f>[1]Resumen!A61</f>
        <v>45</v>
      </c>
      <c r="B51" s="33">
        <f>Resumen!L61</f>
        <v>146007.3146460001</v>
      </c>
      <c r="C51" s="73">
        <f t="shared" si="0"/>
        <v>146007.3146460001</v>
      </c>
      <c r="D51" s="73">
        <f t="shared" si="3"/>
        <v>0</v>
      </c>
    </row>
    <row r="52" spans="1:4" x14ac:dyDescent="0.3">
      <c r="A52">
        <f>[1]Resumen!A62</f>
        <v>46</v>
      </c>
      <c r="B52" s="33">
        <f>Resumen!L62</f>
        <v>154247.09604600011</v>
      </c>
      <c r="C52" s="73">
        <f t="shared" si="0"/>
        <v>154247.09604600011</v>
      </c>
      <c r="D52" s="73">
        <f t="shared" si="3"/>
        <v>0</v>
      </c>
    </row>
    <row r="53" spans="1:4" x14ac:dyDescent="0.3">
      <c r="A53">
        <f>[1]Resumen!A63</f>
        <v>47</v>
      </c>
      <c r="B53" s="33">
        <f>Resumen!L63</f>
        <v>159740.28364600011</v>
      </c>
      <c r="C53" s="73">
        <f t="shared" si="0"/>
        <v>159740.28364600011</v>
      </c>
      <c r="D53" s="73">
        <f t="shared" si="3"/>
        <v>0</v>
      </c>
    </row>
    <row r="54" spans="1:4" x14ac:dyDescent="0.3">
      <c r="A54">
        <f>[1]Resumen!A64</f>
        <v>48</v>
      </c>
      <c r="B54" s="33">
        <f>Resumen!L64</f>
        <v>126258.21459600012</v>
      </c>
      <c r="C54" s="73">
        <f t="shared" si="0"/>
        <v>126258.21459600012</v>
      </c>
      <c r="D54" s="73">
        <f t="shared" si="3"/>
        <v>0</v>
      </c>
    </row>
    <row r="55" spans="1:4" x14ac:dyDescent="0.3">
      <c r="A55">
        <f>[1]Resumen!A65</f>
        <v>49</v>
      </c>
      <c r="B55" s="33">
        <f>Resumen!L65</f>
        <v>126258.21459600012</v>
      </c>
      <c r="C55" s="73">
        <f t="shared" si="0"/>
        <v>126258.21459600012</v>
      </c>
      <c r="D55" s="73">
        <f t="shared" si="3"/>
        <v>0</v>
      </c>
    </row>
    <row r="56" spans="1:4" x14ac:dyDescent="0.3">
      <c r="A56">
        <f>[1]Resumen!A66</f>
        <v>50</v>
      </c>
      <c r="B56" s="33">
        <f>Resumen!L66</f>
        <v>126258.21459600012</v>
      </c>
      <c r="C56" s="73">
        <f t="shared" si="0"/>
        <v>126258.21459600012</v>
      </c>
      <c r="D56" s="73">
        <f t="shared" si="3"/>
        <v>0</v>
      </c>
    </row>
    <row r="57" spans="1:4" x14ac:dyDescent="0.3">
      <c r="A57">
        <f>[1]Resumen!A67</f>
        <v>51</v>
      </c>
      <c r="B57" s="33">
        <f>Resumen!L67</f>
        <v>139991.18359600013</v>
      </c>
      <c r="C57" s="73">
        <f t="shared" si="0"/>
        <v>139991.18359600013</v>
      </c>
      <c r="D57" s="73">
        <f t="shared" si="3"/>
        <v>0</v>
      </c>
    </row>
    <row r="58" spans="1:4" x14ac:dyDescent="0.3">
      <c r="A58">
        <f>[1]Resumen!A68</f>
        <v>52</v>
      </c>
      <c r="B58" s="33">
        <f>Resumen!L68</f>
        <v>153724.15259600015</v>
      </c>
      <c r="C58" s="73">
        <f t="shared" si="0"/>
        <v>153724.15259600015</v>
      </c>
      <c r="D58" s="73">
        <f t="shared" si="3"/>
        <v>0</v>
      </c>
    </row>
    <row r="59" spans="1:4" x14ac:dyDescent="0.3">
      <c r="A59">
        <f>[1]Resumen!A69</f>
        <v>53</v>
      </c>
      <c r="B59" s="33">
        <f>Resumen!L69</f>
        <v>153724.15259600015</v>
      </c>
      <c r="C59" s="73">
        <f t="shared" si="0"/>
        <v>153724.15259600015</v>
      </c>
      <c r="D59" s="73">
        <f t="shared" si="3"/>
        <v>0</v>
      </c>
    </row>
    <row r="60" spans="1:4" x14ac:dyDescent="0.3">
      <c r="A60">
        <f>[1]Resumen!A70</f>
        <v>54</v>
      </c>
      <c r="B60" s="33">
        <f>Resumen!L70</f>
        <v>153724.15259600015</v>
      </c>
      <c r="C60" s="73">
        <f t="shared" si="0"/>
        <v>153724.15259600015</v>
      </c>
      <c r="D60" s="73">
        <f t="shared" si="3"/>
        <v>0</v>
      </c>
    </row>
    <row r="61" spans="1:4" x14ac:dyDescent="0.3">
      <c r="A61">
        <f>[1]Resumen!A71</f>
        <v>55</v>
      </c>
      <c r="B61" s="33">
        <f>Resumen!L71</f>
        <v>153724.15259600015</v>
      </c>
      <c r="C61" s="73">
        <f t="shared" si="0"/>
        <v>153724.15259600015</v>
      </c>
      <c r="D61" s="73">
        <f t="shared" si="3"/>
        <v>0</v>
      </c>
    </row>
    <row r="62" spans="1:4" x14ac:dyDescent="0.3">
      <c r="A62">
        <f>[1]Resumen!A72</f>
        <v>56</v>
      </c>
      <c r="B62" s="33">
        <f>Resumen!L72</f>
        <v>181190.09059600017</v>
      </c>
      <c r="C62" s="73">
        <f t="shared" si="0"/>
        <v>181190.09059600017</v>
      </c>
      <c r="D62" s="73">
        <f t="shared" si="3"/>
        <v>0</v>
      </c>
    </row>
    <row r="63" spans="1:4" x14ac:dyDescent="0.3">
      <c r="A63">
        <f>[1]Resumen!A73</f>
        <v>57</v>
      </c>
      <c r="B63" s="33">
        <f>Resumen!L73</f>
        <v>189429.87199600018</v>
      </c>
      <c r="C63" s="73">
        <f t="shared" si="0"/>
        <v>189429.87199600018</v>
      </c>
      <c r="D63" s="73">
        <f t="shared" si="3"/>
        <v>0</v>
      </c>
    </row>
    <row r="64" spans="1:4" x14ac:dyDescent="0.3">
      <c r="A64">
        <f>[1]Resumen!A74</f>
        <v>58</v>
      </c>
      <c r="B64" s="33">
        <f>Resumen!L74</f>
        <v>194923.05959600018</v>
      </c>
      <c r="C64" s="73">
        <f t="shared" si="0"/>
        <v>194923.05959600018</v>
      </c>
      <c r="D64" s="73">
        <f t="shared" si="3"/>
        <v>0</v>
      </c>
    </row>
    <row r="65" spans="1:4" x14ac:dyDescent="0.3">
      <c r="A65">
        <f>[1]Resumen!A75</f>
        <v>59</v>
      </c>
      <c r="B65" s="33">
        <f>Resumen!L75</f>
        <v>194923.05959600018</v>
      </c>
      <c r="C65" s="73">
        <f t="shared" si="0"/>
        <v>194923.05959600018</v>
      </c>
      <c r="D65" s="73">
        <f t="shared" si="3"/>
        <v>0</v>
      </c>
    </row>
    <row r="66" spans="1:4" x14ac:dyDescent="0.3">
      <c r="A66">
        <f>[1]Resumen!A76</f>
        <v>60</v>
      </c>
      <c r="B66" s="33">
        <f>Resumen!L76</f>
        <v>170890.36384600017</v>
      </c>
      <c r="C66" s="73">
        <f t="shared" si="0"/>
        <v>170890.36384600017</v>
      </c>
      <c r="D66" s="73">
        <f t="shared" ref="D66" si="4">+C65*TasaPAsiva/12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01A4-4BB4-4C46-892B-7367137EAFEE}">
  <sheetPr>
    <tabColor theme="9" tint="-0.249977111117893"/>
  </sheetPr>
  <dimension ref="A1:J66"/>
  <sheetViews>
    <sheetView workbookViewId="0">
      <selection activeCell="H5" sqref="H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32" t="s">
        <v>183</v>
      </c>
    </row>
    <row r="4" spans="1:10" x14ac:dyDescent="0.3">
      <c r="A4" s="71" t="s">
        <v>174</v>
      </c>
      <c r="B4" s="71" t="s">
        <v>184</v>
      </c>
      <c r="C4" s="71" t="s">
        <v>185</v>
      </c>
      <c r="D4" s="71" t="s">
        <v>186</v>
      </c>
      <c r="E4" s="71" t="s">
        <v>187</v>
      </c>
    </row>
    <row r="5" spans="1:10" x14ac:dyDescent="0.3">
      <c r="A5">
        <v>1</v>
      </c>
      <c r="E5">
        <f>SUM(B5:D5)</f>
        <v>0</v>
      </c>
      <c r="H5">
        <v>2281.83</v>
      </c>
      <c r="J5" t="s">
        <v>188</v>
      </c>
    </row>
    <row r="6" spans="1:10" x14ac:dyDescent="0.3">
      <c r="A6">
        <v>2</v>
      </c>
      <c r="E6">
        <f t="shared" ref="E6:E64" si="0">SUM(B6:D6)</f>
        <v>0</v>
      </c>
      <c r="H6">
        <v>2281.83</v>
      </c>
      <c r="J6" t="s">
        <v>189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si="0"/>
        <v>0</v>
      </c>
    </row>
    <row r="42" spans="1:5" x14ac:dyDescent="0.3">
      <c r="A42">
        <v>38</v>
      </c>
      <c r="E42">
        <f t="shared" si="0"/>
        <v>0</v>
      </c>
    </row>
    <row r="43" spans="1:5" x14ac:dyDescent="0.3">
      <c r="A43">
        <v>39</v>
      </c>
      <c r="E43">
        <f t="shared" si="0"/>
        <v>0</v>
      </c>
    </row>
    <row r="44" spans="1:5" x14ac:dyDescent="0.3">
      <c r="A44">
        <v>40</v>
      </c>
      <c r="E44">
        <f t="shared" si="0"/>
        <v>0</v>
      </c>
    </row>
    <row r="45" spans="1:5" x14ac:dyDescent="0.3">
      <c r="A45">
        <v>41</v>
      </c>
      <c r="E45">
        <f t="shared" si="0"/>
        <v>0</v>
      </c>
    </row>
    <row r="46" spans="1:5" x14ac:dyDescent="0.3">
      <c r="A46">
        <v>42</v>
      </c>
      <c r="E46">
        <f t="shared" si="0"/>
        <v>0</v>
      </c>
    </row>
    <row r="47" spans="1:5" x14ac:dyDescent="0.3">
      <c r="A47">
        <v>43</v>
      </c>
      <c r="E47">
        <f t="shared" si="0"/>
        <v>0</v>
      </c>
    </row>
    <row r="48" spans="1:5" x14ac:dyDescent="0.3">
      <c r="A48">
        <v>44</v>
      </c>
      <c r="E48">
        <f t="shared" si="0"/>
        <v>0</v>
      </c>
    </row>
    <row r="49" spans="1:5" x14ac:dyDescent="0.3">
      <c r="A49">
        <v>45</v>
      </c>
      <c r="E49">
        <f t="shared" si="0"/>
        <v>0</v>
      </c>
    </row>
    <row r="50" spans="1:5" x14ac:dyDescent="0.3">
      <c r="A50">
        <v>46</v>
      </c>
      <c r="E50">
        <f t="shared" si="0"/>
        <v>0</v>
      </c>
    </row>
    <row r="51" spans="1:5" x14ac:dyDescent="0.3">
      <c r="A51">
        <v>47</v>
      </c>
      <c r="E51">
        <f t="shared" si="0"/>
        <v>0</v>
      </c>
    </row>
    <row r="52" spans="1:5" x14ac:dyDescent="0.3">
      <c r="A52">
        <v>48</v>
      </c>
      <c r="E52">
        <f t="shared" si="0"/>
        <v>0</v>
      </c>
    </row>
    <row r="53" spans="1:5" x14ac:dyDescent="0.3">
      <c r="A53">
        <v>49</v>
      </c>
      <c r="E53">
        <f t="shared" si="0"/>
        <v>0</v>
      </c>
    </row>
    <row r="54" spans="1:5" x14ac:dyDescent="0.3">
      <c r="A54">
        <v>50</v>
      </c>
      <c r="E54">
        <f t="shared" si="0"/>
        <v>0</v>
      </c>
    </row>
    <row r="55" spans="1:5" x14ac:dyDescent="0.3">
      <c r="A55">
        <v>51</v>
      </c>
      <c r="E55">
        <f t="shared" si="0"/>
        <v>0</v>
      </c>
    </row>
    <row r="56" spans="1:5" x14ac:dyDescent="0.3">
      <c r="A56">
        <v>52</v>
      </c>
      <c r="E56">
        <f t="shared" si="0"/>
        <v>0</v>
      </c>
    </row>
    <row r="57" spans="1:5" x14ac:dyDescent="0.3">
      <c r="A57">
        <v>53</v>
      </c>
      <c r="E57">
        <f t="shared" si="0"/>
        <v>0</v>
      </c>
    </row>
    <row r="58" spans="1:5" x14ac:dyDescent="0.3">
      <c r="A58">
        <v>54</v>
      </c>
      <c r="E58">
        <f t="shared" si="0"/>
        <v>0</v>
      </c>
    </row>
    <row r="59" spans="1:5" x14ac:dyDescent="0.3">
      <c r="A59">
        <v>55</v>
      </c>
      <c r="E59">
        <f t="shared" si="0"/>
        <v>0</v>
      </c>
    </row>
    <row r="60" spans="1:5" x14ac:dyDescent="0.3">
      <c r="A60">
        <v>56</v>
      </c>
      <c r="E60">
        <f t="shared" si="0"/>
        <v>0</v>
      </c>
    </row>
    <row r="61" spans="1:5" x14ac:dyDescent="0.3">
      <c r="A61">
        <v>57</v>
      </c>
      <c r="E61">
        <f t="shared" si="0"/>
        <v>0</v>
      </c>
    </row>
    <row r="62" spans="1:5" x14ac:dyDescent="0.3">
      <c r="A62">
        <v>58</v>
      </c>
      <c r="E62">
        <f t="shared" si="0"/>
        <v>0</v>
      </c>
    </row>
    <row r="63" spans="1:5" x14ac:dyDescent="0.3">
      <c r="A63">
        <v>59</v>
      </c>
      <c r="E63">
        <f t="shared" si="0"/>
        <v>0</v>
      </c>
    </row>
    <row r="64" spans="1:5" x14ac:dyDescent="0.3">
      <c r="A64">
        <v>60</v>
      </c>
      <c r="E64">
        <f t="shared" si="0"/>
        <v>0</v>
      </c>
    </row>
    <row r="66" spans="1:5" x14ac:dyDescent="0.3">
      <c r="A66" s="72" t="s">
        <v>190</v>
      </c>
      <c r="E66">
        <f>SUM(E5:E65)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650-2D1B-4BD0-94AC-C2379A0DD0E8}">
  <sheetPr>
    <tabColor theme="9" tint="0.59999389629810485"/>
  </sheetPr>
  <dimension ref="A1:L73"/>
  <sheetViews>
    <sheetView topLeftCell="A57" workbookViewId="0">
      <selection activeCell="A71" sqref="A71"/>
    </sheetView>
  </sheetViews>
  <sheetFormatPr baseColWidth="10" defaultRowHeight="14.4" x14ac:dyDescent="0.3"/>
  <cols>
    <col min="2" max="2" width="22.554687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2" t="s">
        <v>191</v>
      </c>
    </row>
    <row r="4" spans="1:12" x14ac:dyDescent="0.3">
      <c r="A4" s="71" t="s">
        <v>174</v>
      </c>
      <c r="B4" s="71" t="s">
        <v>192</v>
      </c>
      <c r="C4" s="71" t="s">
        <v>193</v>
      </c>
      <c r="D4" s="71" t="s">
        <v>194</v>
      </c>
      <c r="E4" s="71" t="s">
        <v>195</v>
      </c>
      <c r="F4" s="71" t="s">
        <v>196</v>
      </c>
      <c r="G4" s="71" t="s">
        <v>197</v>
      </c>
    </row>
    <row r="5" spans="1:12" x14ac:dyDescent="0.3">
      <c r="A5">
        <v>1</v>
      </c>
      <c r="B5" s="73">
        <v>0</v>
      </c>
      <c r="C5" s="73">
        <f>K7*20</f>
        <v>154</v>
      </c>
      <c r="D5" s="73">
        <f>K6*40 + K6*8 + K6*16 + K6*13.44</f>
        <v>795.30880000000002</v>
      </c>
      <c r="E5" s="73">
        <f>K5*20 + K5*8 + K5*16</f>
        <v>320.32</v>
      </c>
      <c r="F5" s="73">
        <v>0</v>
      </c>
      <c r="G5" s="73">
        <f t="shared" ref="G5:G64" si="0">SUM(B5:F5)</f>
        <v>1269.6288</v>
      </c>
      <c r="H5" t="s">
        <v>267</v>
      </c>
      <c r="J5" t="s">
        <v>259</v>
      </c>
      <c r="K5">
        <v>7.28</v>
      </c>
      <c r="L5">
        <v>1164</v>
      </c>
    </row>
    <row r="6" spans="1:12" x14ac:dyDescent="0.3">
      <c r="A6">
        <v>2</v>
      </c>
      <c r="B6" s="73">
        <v>0</v>
      </c>
      <c r="C6" s="73">
        <v>0</v>
      </c>
      <c r="D6" s="73">
        <f>K6*22 + K6*80 + K6*16 + K6*19</f>
        <v>1406.9899999999998</v>
      </c>
      <c r="E6" s="73">
        <f>K5*22 + K5*80 + K5*8</f>
        <v>800.8</v>
      </c>
      <c r="F6" s="73">
        <v>0</v>
      </c>
      <c r="G6" s="73">
        <f t="shared" si="0"/>
        <v>2207.79</v>
      </c>
      <c r="H6" t="s">
        <v>270</v>
      </c>
      <c r="J6" t="s">
        <v>260</v>
      </c>
      <c r="K6">
        <v>10.27</v>
      </c>
      <c r="L6">
        <v>1643</v>
      </c>
    </row>
    <row r="7" spans="1:12" x14ac:dyDescent="0.3">
      <c r="A7">
        <v>3</v>
      </c>
      <c r="B7" s="73">
        <v>0</v>
      </c>
      <c r="C7" s="73">
        <f>K7*10+K7*20</f>
        <v>231</v>
      </c>
      <c r="D7" s="73">
        <f>K6*4+K6*80+K6*75.4001</f>
        <v>1637.0390269999998</v>
      </c>
      <c r="E7" s="73">
        <f>K5*30+K5*24+K5*30</f>
        <v>611.52</v>
      </c>
      <c r="F7" s="73">
        <v>0</v>
      </c>
      <c r="G7" s="73">
        <f t="shared" si="0"/>
        <v>2479.5590269999998</v>
      </c>
      <c r="H7" t="s">
        <v>271</v>
      </c>
      <c r="J7" t="s">
        <v>261</v>
      </c>
      <c r="K7">
        <v>7.7</v>
      </c>
      <c r="L7">
        <v>1232</v>
      </c>
    </row>
    <row r="8" spans="1:12" x14ac:dyDescent="0.3">
      <c r="A8">
        <v>4</v>
      </c>
      <c r="B8" s="73">
        <v>0</v>
      </c>
      <c r="C8" s="73">
        <f>K7*20+K7*24</f>
        <v>338.8</v>
      </c>
      <c r="D8" s="73">
        <f>K6*20+K6*20+K6*20+K6*40+K6*10</f>
        <v>1129.7</v>
      </c>
      <c r="E8" s="73">
        <f>K5*10+K5*10+K5*12</f>
        <v>232.95999999999998</v>
      </c>
      <c r="F8" s="73">
        <v>0</v>
      </c>
      <c r="G8" s="73">
        <f t="shared" si="0"/>
        <v>1701.46</v>
      </c>
      <c r="H8" t="s">
        <v>269</v>
      </c>
      <c r="J8" t="s">
        <v>262</v>
      </c>
      <c r="K8">
        <v>5.99</v>
      </c>
      <c r="L8">
        <v>958.4</v>
      </c>
    </row>
    <row r="9" spans="1:12" x14ac:dyDescent="0.3">
      <c r="A9">
        <v>5</v>
      </c>
      <c r="B9" s="73">
        <v>0</v>
      </c>
      <c r="C9" s="73">
        <f>K7*56</f>
        <v>431.2</v>
      </c>
      <c r="D9" s="73">
        <f>K6*52+K6*19+K6*40</f>
        <v>1139.9699999999998</v>
      </c>
      <c r="E9" s="73">
        <f>K5*52+K5*20</f>
        <v>524.16</v>
      </c>
      <c r="F9" s="73">
        <v>0</v>
      </c>
      <c r="G9" s="73">
        <f t="shared" si="0"/>
        <v>2095.33</v>
      </c>
      <c r="H9" t="s">
        <v>264</v>
      </c>
      <c r="J9" t="s">
        <v>263</v>
      </c>
      <c r="K9">
        <v>9.42</v>
      </c>
      <c r="L9">
        <v>1507.2</v>
      </c>
    </row>
    <row r="10" spans="1:12" x14ac:dyDescent="0.3">
      <c r="A10">
        <v>6</v>
      </c>
      <c r="B10" s="73">
        <v>0</v>
      </c>
      <c r="C10" s="73">
        <v>0</v>
      </c>
      <c r="D10" s="73">
        <f>K6*40</f>
        <v>410.79999999999995</v>
      </c>
      <c r="E10" s="73">
        <f>K5*84</f>
        <v>611.52</v>
      </c>
      <c r="F10" s="73">
        <v>0</v>
      </c>
      <c r="G10" s="73">
        <f t="shared" si="0"/>
        <v>1022.3199999999999</v>
      </c>
    </row>
    <row r="11" spans="1:12" x14ac:dyDescent="0.3">
      <c r="A11">
        <v>7</v>
      </c>
      <c r="B11" s="73">
        <v>0</v>
      </c>
      <c r="C11" s="73">
        <v>0</v>
      </c>
      <c r="D11" s="73">
        <f>K6*21+K6*18</f>
        <v>400.53</v>
      </c>
      <c r="E11" s="73">
        <f>K5*88+K5*28</f>
        <v>844.48</v>
      </c>
      <c r="F11" s="73">
        <v>0</v>
      </c>
      <c r="G11" s="73">
        <f t="shared" si="0"/>
        <v>1245.01</v>
      </c>
      <c r="H11" t="s">
        <v>265</v>
      </c>
    </row>
    <row r="12" spans="1:12" x14ac:dyDescent="0.3">
      <c r="A12">
        <v>8</v>
      </c>
      <c r="B12" s="73">
        <f>K8*8</f>
        <v>47.92</v>
      </c>
      <c r="C12" s="73">
        <f>K7*8.2</f>
        <v>63.139999999999993</v>
      </c>
      <c r="D12" s="73">
        <f>K6*33+K6*22+K6*5+K6*20+K6*5</f>
        <v>872.94999999999993</v>
      </c>
      <c r="E12" s="73">
        <f>K5*80+K5*20+K5*30</f>
        <v>946.4</v>
      </c>
      <c r="F12" s="73">
        <v>0</v>
      </c>
      <c r="G12" s="73">
        <f t="shared" si="0"/>
        <v>1930.4099999999999</v>
      </c>
    </row>
    <row r="13" spans="1:12" x14ac:dyDescent="0.3">
      <c r="A13">
        <v>9</v>
      </c>
      <c r="B13" s="73">
        <f>K8*20+K8*14</f>
        <v>203.66000000000003</v>
      </c>
      <c r="C13" s="73">
        <f>K7*17</f>
        <v>130.9</v>
      </c>
      <c r="D13" s="73">
        <f>K6*15+K6*40+K6*20+K6*10+K6*20+K6*10+K6*20</f>
        <v>1386.4499999999998</v>
      </c>
      <c r="E13" s="73">
        <f>K5*40+K5*20+K5*10+K5*22</f>
        <v>669.76</v>
      </c>
      <c r="F13" s="73">
        <v>0</v>
      </c>
      <c r="G13" s="73">
        <f t="shared" si="0"/>
        <v>2390.7699999999995</v>
      </c>
      <c r="H13" t="s">
        <v>266</v>
      </c>
    </row>
    <row r="14" spans="1:12" x14ac:dyDescent="0.3">
      <c r="A14">
        <v>10</v>
      </c>
      <c r="B14" s="73">
        <f>K8*14+K8*20+K8*20</f>
        <v>323.46000000000004</v>
      </c>
      <c r="C14" s="73">
        <f>K7*8+K7*12</f>
        <v>154</v>
      </c>
      <c r="D14" s="73">
        <f>K6*14+K6*20+K6*20+K6*10+K6*34+K6*10</f>
        <v>1109.1600000000001</v>
      </c>
      <c r="E14" s="73">
        <f>K5*18+K5*16+K5*10+K5*34+K5*34+K5*12</f>
        <v>902.72</v>
      </c>
      <c r="F14" s="73">
        <v>0</v>
      </c>
      <c r="G14" s="73">
        <f t="shared" si="0"/>
        <v>2489.34</v>
      </c>
      <c r="H14" t="s">
        <v>272</v>
      </c>
    </row>
    <row r="15" spans="1:12" x14ac:dyDescent="0.3">
      <c r="A15">
        <v>11</v>
      </c>
      <c r="B15" s="73">
        <f>K8*24+K8*16+K8*10</f>
        <v>299.5</v>
      </c>
      <c r="C15" s="73">
        <v>0</v>
      </c>
      <c r="D15" s="73">
        <f>K6*20+K6*14+K6*18</f>
        <v>534.04</v>
      </c>
      <c r="E15" s="73">
        <f>K5*46+K5*20+K5*40</f>
        <v>771.68000000000006</v>
      </c>
      <c r="F15" s="73">
        <v>0</v>
      </c>
      <c r="G15" s="73">
        <f t="shared" si="0"/>
        <v>1605.22</v>
      </c>
      <c r="H15" t="s">
        <v>273</v>
      </c>
    </row>
    <row r="16" spans="1:12" x14ac:dyDescent="0.3">
      <c r="A16">
        <v>12</v>
      </c>
      <c r="B16" s="73">
        <f>K8*14+K8*12+K8*10</f>
        <v>215.64000000000001</v>
      </c>
      <c r="C16" s="73">
        <f>K7*6</f>
        <v>46.2</v>
      </c>
      <c r="D16" s="73">
        <f>K6*11+K6*11+K6*1+K6*18+K6*20</f>
        <v>626.47</v>
      </c>
      <c r="E16" s="73">
        <f>K5*14+K5*30+K5*36</f>
        <v>582.4</v>
      </c>
      <c r="F16" s="73">
        <f>K9*20</f>
        <v>188.4</v>
      </c>
      <c r="G16" s="73">
        <f t="shared" si="0"/>
        <v>1659.1100000000001</v>
      </c>
      <c r="H16" t="s">
        <v>274</v>
      </c>
    </row>
    <row r="17" spans="1:9" x14ac:dyDescent="0.3">
      <c r="A17">
        <v>13</v>
      </c>
      <c r="B17" s="73">
        <f>K8*26+K8*28+K8*10</f>
        <v>383.36</v>
      </c>
      <c r="C17" s="73">
        <f>K7*4</f>
        <v>30.8</v>
      </c>
      <c r="D17" s="73">
        <f>K6*16+K6*20+K6*10+K6*10+K6*10+K6*2+K6*2+K6*4</f>
        <v>759.9799999999999</v>
      </c>
      <c r="E17" s="73">
        <f>K5*16+K5*28+K5*10+K5*6+K5*6+K5*12+K5*4+K5*4</f>
        <v>626.08000000000004</v>
      </c>
      <c r="F17" s="73">
        <f>K9*4+K9*20</f>
        <v>226.08</v>
      </c>
      <c r="G17" s="73">
        <f t="shared" si="0"/>
        <v>2026.2999999999997</v>
      </c>
      <c r="H17" t="s">
        <v>267</v>
      </c>
      <c r="I17" t="s">
        <v>268</v>
      </c>
    </row>
    <row r="18" spans="1:9" x14ac:dyDescent="0.3">
      <c r="A18">
        <v>14</v>
      </c>
      <c r="B18" s="73">
        <f>K8*10+K8*7.2</f>
        <v>103.02800000000001</v>
      </c>
      <c r="C18" s="73">
        <v>0</v>
      </c>
      <c r="D18" s="73">
        <f>K6*10+K6*40+K6*10+K6*12+K6*5</f>
        <v>790.79000000000008</v>
      </c>
      <c r="E18" s="73">
        <f>K5*18+K5*28+K5*6</f>
        <v>378.56</v>
      </c>
      <c r="F18" s="73">
        <v>0</v>
      </c>
      <c r="G18" s="73">
        <f t="shared" si="0"/>
        <v>1272.3780000000002</v>
      </c>
    </row>
    <row r="19" spans="1:9" x14ac:dyDescent="0.3">
      <c r="A19">
        <v>15</v>
      </c>
      <c r="B19" s="73">
        <v>0</v>
      </c>
      <c r="C19" s="73">
        <v>0</v>
      </c>
      <c r="D19" s="73">
        <f>K6*40+K6*10+K6*10+K6*10</f>
        <v>718.90000000000009</v>
      </c>
      <c r="E19" s="73">
        <f>K5*36+K5*10+K5*20+K5*20</f>
        <v>626.08000000000004</v>
      </c>
      <c r="F19" s="73">
        <v>0</v>
      </c>
      <c r="G19" s="73">
        <f t="shared" si="0"/>
        <v>1344.98</v>
      </c>
    </row>
    <row r="20" spans="1:9" x14ac:dyDescent="0.3">
      <c r="A20">
        <v>16</v>
      </c>
      <c r="B20" s="73">
        <v>0</v>
      </c>
      <c r="C20" s="73">
        <v>0</v>
      </c>
      <c r="D20" s="73">
        <f>K6*3+K6*5+K6*40+K6*10+K6*12</f>
        <v>718.89999999999986</v>
      </c>
      <c r="E20" s="73">
        <f>K5*4+K5*20+K5*12+K5*12+K5*40+K5*12</f>
        <v>728</v>
      </c>
      <c r="F20" s="73">
        <v>0</v>
      </c>
      <c r="G20" s="73">
        <f t="shared" si="0"/>
        <v>1446.8999999999999</v>
      </c>
      <c r="H20" t="s">
        <v>269</v>
      </c>
    </row>
    <row r="21" spans="1:9" x14ac:dyDescent="0.3">
      <c r="A21">
        <v>17</v>
      </c>
      <c r="B21" s="73">
        <v>0</v>
      </c>
      <c r="C21" s="73">
        <v>0</v>
      </c>
      <c r="D21" s="73">
        <f>K6*42+K6*10</f>
        <v>534.04</v>
      </c>
      <c r="E21" s="73">
        <f>K5*42</f>
        <v>305.76</v>
      </c>
      <c r="F21" s="73">
        <v>0</v>
      </c>
      <c r="G21" s="73">
        <f t="shared" si="0"/>
        <v>839.8</v>
      </c>
    </row>
    <row r="22" spans="1:9" x14ac:dyDescent="0.3">
      <c r="A22">
        <v>18</v>
      </c>
      <c r="B22" s="73">
        <v>0</v>
      </c>
      <c r="C22" s="73">
        <v>0</v>
      </c>
      <c r="D22" s="73">
        <f>K6*8+K6*30+K6*10</f>
        <v>492.96</v>
      </c>
      <c r="E22" s="73">
        <f>K5*8+K5*30</f>
        <v>276.64</v>
      </c>
      <c r="F22" s="73">
        <v>0</v>
      </c>
      <c r="G22" s="73">
        <f t="shared" si="0"/>
        <v>769.59999999999991</v>
      </c>
    </row>
    <row r="23" spans="1:9" x14ac:dyDescent="0.3">
      <c r="A23">
        <v>19</v>
      </c>
      <c r="B23" s="73">
        <v>0</v>
      </c>
      <c r="C23" s="73">
        <v>0</v>
      </c>
      <c r="D23" s="73">
        <f>K6*12+K6*18</f>
        <v>308.09999999999997</v>
      </c>
      <c r="E23" s="73">
        <f>K5*14</f>
        <v>101.92</v>
      </c>
      <c r="F23" s="73">
        <f>K9*60</f>
        <v>565.20000000000005</v>
      </c>
      <c r="G23" s="73">
        <f t="shared" si="0"/>
        <v>975.22</v>
      </c>
      <c r="H23" t="s">
        <v>265</v>
      </c>
    </row>
    <row r="24" spans="1:9" x14ac:dyDescent="0.3">
      <c r="A24">
        <v>20</v>
      </c>
      <c r="B24" s="73"/>
      <c r="C24" s="73"/>
      <c r="D24" s="73"/>
      <c r="E24" s="73"/>
      <c r="F24" s="73"/>
      <c r="G24" s="73">
        <f t="shared" si="0"/>
        <v>0</v>
      </c>
      <c r="H24" t="s">
        <v>275</v>
      </c>
    </row>
    <row r="25" spans="1:9" x14ac:dyDescent="0.3">
      <c r="A25">
        <v>21</v>
      </c>
      <c r="B25" s="92">
        <f>SUM(B5:B24)</f>
        <v>1576.568</v>
      </c>
      <c r="C25" s="92">
        <f>SUM(C5:C24)</f>
        <v>1580.0400000000002</v>
      </c>
      <c r="D25" s="92">
        <f>SUM(D5:D24)</f>
        <v>15773.077826999996</v>
      </c>
      <c r="E25" s="92">
        <f>SUM(E5:E23)</f>
        <v>10861.76</v>
      </c>
      <c r="F25" s="92">
        <f>SUM(F5:F23)</f>
        <v>979.68000000000006</v>
      </c>
      <c r="G25" s="73">
        <f t="shared" si="0"/>
        <v>30771.125826999996</v>
      </c>
    </row>
    <row r="26" spans="1:9" x14ac:dyDescent="0.3">
      <c r="A26">
        <v>22</v>
      </c>
      <c r="B26" s="73"/>
      <c r="C26" s="73"/>
      <c r="D26" s="73"/>
      <c r="E26" s="73"/>
      <c r="F26" s="73"/>
      <c r="G26" s="73">
        <f t="shared" si="0"/>
        <v>0</v>
      </c>
    </row>
    <row r="27" spans="1:9" x14ac:dyDescent="0.3">
      <c r="A27">
        <v>23</v>
      </c>
      <c r="B27" s="73"/>
      <c r="C27" s="73"/>
      <c r="D27" s="73"/>
      <c r="E27" s="73"/>
      <c r="F27" s="73"/>
      <c r="G27" s="73">
        <f t="shared" si="0"/>
        <v>0</v>
      </c>
    </row>
    <row r="28" spans="1:9" x14ac:dyDescent="0.3">
      <c r="A28">
        <v>24</v>
      </c>
      <c r="B28" s="73"/>
      <c r="C28" s="73"/>
      <c r="D28" s="73"/>
      <c r="E28" s="73"/>
      <c r="F28" s="73"/>
      <c r="G28" s="73">
        <f t="shared" si="0"/>
        <v>0</v>
      </c>
    </row>
    <row r="29" spans="1:9" x14ac:dyDescent="0.3">
      <c r="A29">
        <v>25</v>
      </c>
      <c r="B29" s="73"/>
      <c r="C29" s="73"/>
      <c r="D29" s="73"/>
      <c r="E29" s="73"/>
      <c r="F29" s="73"/>
      <c r="G29" s="73">
        <f t="shared" si="0"/>
        <v>0</v>
      </c>
    </row>
    <row r="30" spans="1:9" x14ac:dyDescent="0.3">
      <c r="A30">
        <v>26</v>
      </c>
      <c r="B30" s="73"/>
      <c r="C30" s="73"/>
      <c r="D30" s="73"/>
      <c r="E30" s="73"/>
      <c r="F30" s="73"/>
      <c r="G30" s="73">
        <f t="shared" si="0"/>
        <v>0</v>
      </c>
    </row>
    <row r="31" spans="1:9" x14ac:dyDescent="0.3">
      <c r="A31">
        <v>27</v>
      </c>
      <c r="B31" s="73"/>
      <c r="C31" s="73"/>
      <c r="D31" s="73"/>
      <c r="E31" s="73"/>
      <c r="F31" s="73"/>
      <c r="G31" s="73">
        <f t="shared" si="0"/>
        <v>0</v>
      </c>
    </row>
    <row r="32" spans="1:9" x14ac:dyDescent="0.3">
      <c r="A32">
        <v>28</v>
      </c>
      <c r="B32" s="73"/>
      <c r="C32" s="73"/>
      <c r="D32" s="73"/>
      <c r="E32" s="73"/>
      <c r="F32" s="73"/>
      <c r="G32" s="73">
        <f t="shared" si="0"/>
        <v>0</v>
      </c>
    </row>
    <row r="33" spans="1:7" x14ac:dyDescent="0.3">
      <c r="A33">
        <v>29</v>
      </c>
      <c r="B33" s="73"/>
      <c r="C33" s="73"/>
      <c r="D33" s="73"/>
      <c r="E33" s="73"/>
      <c r="F33" s="73"/>
      <c r="G33" s="73">
        <f t="shared" si="0"/>
        <v>0</v>
      </c>
    </row>
    <row r="34" spans="1:7" x14ac:dyDescent="0.3">
      <c r="A34">
        <v>30</v>
      </c>
      <c r="B34" s="73"/>
      <c r="C34" s="73"/>
      <c r="D34" s="73"/>
      <c r="E34" s="73"/>
      <c r="F34" s="73"/>
      <c r="G34" s="73">
        <f t="shared" si="0"/>
        <v>0</v>
      </c>
    </row>
    <row r="35" spans="1:7" x14ac:dyDescent="0.3">
      <c r="A35">
        <v>31</v>
      </c>
      <c r="B35" s="73"/>
      <c r="C35" s="73"/>
      <c r="D35" s="73"/>
      <c r="E35" s="73"/>
      <c r="F35" s="73"/>
      <c r="G35" s="73">
        <f t="shared" si="0"/>
        <v>0</v>
      </c>
    </row>
    <row r="36" spans="1:7" x14ac:dyDescent="0.3">
      <c r="A36">
        <v>32</v>
      </c>
      <c r="B36" s="73"/>
      <c r="C36" s="73"/>
      <c r="D36" s="73"/>
      <c r="E36" s="73"/>
      <c r="F36" s="73"/>
      <c r="G36" s="73">
        <f t="shared" si="0"/>
        <v>0</v>
      </c>
    </row>
    <row r="37" spans="1:7" x14ac:dyDescent="0.3">
      <c r="A37">
        <v>33</v>
      </c>
      <c r="B37" s="73"/>
      <c r="C37" s="73"/>
      <c r="D37" s="73"/>
      <c r="E37" s="73"/>
      <c r="F37" s="73"/>
      <c r="G37" s="73">
        <f t="shared" si="0"/>
        <v>0</v>
      </c>
    </row>
    <row r="38" spans="1:7" x14ac:dyDescent="0.3">
      <c r="A38">
        <v>34</v>
      </c>
      <c r="B38" s="73"/>
      <c r="C38" s="73"/>
      <c r="D38" s="73"/>
      <c r="E38" s="73"/>
      <c r="F38" s="73"/>
      <c r="G38" s="73">
        <f t="shared" si="0"/>
        <v>0</v>
      </c>
    </row>
    <row r="39" spans="1:7" x14ac:dyDescent="0.3">
      <c r="A39">
        <v>35</v>
      </c>
      <c r="B39" s="73"/>
      <c r="C39" s="73"/>
      <c r="D39" s="73"/>
      <c r="E39" s="73"/>
      <c r="F39" s="73"/>
      <c r="G39" s="73">
        <f t="shared" si="0"/>
        <v>0</v>
      </c>
    </row>
    <row r="40" spans="1:7" x14ac:dyDescent="0.3">
      <c r="A40">
        <v>36</v>
      </c>
      <c r="B40" s="73"/>
      <c r="C40" s="73"/>
      <c r="D40" s="73"/>
      <c r="E40" s="73"/>
      <c r="F40" s="73"/>
      <c r="G40" s="73">
        <f t="shared" si="0"/>
        <v>0</v>
      </c>
    </row>
    <row r="41" spans="1:7" x14ac:dyDescent="0.3">
      <c r="A41">
        <v>37</v>
      </c>
      <c r="B41" s="73"/>
      <c r="C41" s="73"/>
      <c r="D41" s="73"/>
      <c r="E41" s="73"/>
      <c r="F41" s="73"/>
      <c r="G41" s="73">
        <f t="shared" si="0"/>
        <v>0</v>
      </c>
    </row>
    <row r="42" spans="1:7" x14ac:dyDescent="0.3">
      <c r="A42">
        <v>38</v>
      </c>
      <c r="B42" s="73"/>
      <c r="C42" s="73"/>
      <c r="D42" s="73"/>
      <c r="E42" s="73"/>
      <c r="F42" s="73"/>
      <c r="G42" s="73">
        <f t="shared" si="0"/>
        <v>0</v>
      </c>
    </row>
    <row r="43" spans="1:7" x14ac:dyDescent="0.3">
      <c r="A43">
        <v>39</v>
      </c>
      <c r="B43" s="73"/>
      <c r="C43" s="73"/>
      <c r="D43" s="73"/>
      <c r="E43" s="73"/>
      <c r="F43" s="73"/>
      <c r="G43" s="73">
        <f t="shared" si="0"/>
        <v>0</v>
      </c>
    </row>
    <row r="44" spans="1:7" x14ac:dyDescent="0.3">
      <c r="A44">
        <v>40</v>
      </c>
      <c r="B44" s="73"/>
      <c r="C44" s="73"/>
      <c r="D44" s="73"/>
      <c r="E44" s="73"/>
      <c r="F44" s="73"/>
      <c r="G44" s="73">
        <f t="shared" si="0"/>
        <v>0</v>
      </c>
    </row>
    <row r="45" spans="1:7" x14ac:dyDescent="0.3">
      <c r="A45">
        <v>41</v>
      </c>
      <c r="B45" s="73"/>
      <c r="C45" s="73"/>
      <c r="D45" s="73"/>
      <c r="E45" s="73"/>
      <c r="F45" s="73"/>
      <c r="G45" s="73">
        <f t="shared" si="0"/>
        <v>0</v>
      </c>
    </row>
    <row r="46" spans="1:7" x14ac:dyDescent="0.3">
      <c r="A46">
        <v>42</v>
      </c>
      <c r="B46" s="73"/>
      <c r="C46" s="73"/>
      <c r="D46" s="73"/>
      <c r="E46" s="73"/>
      <c r="F46" s="73"/>
      <c r="G46" s="73">
        <f t="shared" si="0"/>
        <v>0</v>
      </c>
    </row>
    <row r="47" spans="1:7" x14ac:dyDescent="0.3">
      <c r="A47">
        <v>43</v>
      </c>
      <c r="B47" s="73"/>
      <c r="C47" s="73"/>
      <c r="D47" s="73"/>
      <c r="E47" s="73"/>
      <c r="F47" s="73"/>
      <c r="G47" s="73">
        <f t="shared" si="0"/>
        <v>0</v>
      </c>
    </row>
    <row r="48" spans="1:7" x14ac:dyDescent="0.3">
      <c r="A48">
        <v>44</v>
      </c>
      <c r="B48" s="73"/>
      <c r="C48" s="73"/>
      <c r="D48" s="73"/>
      <c r="E48" s="73"/>
      <c r="F48" s="73"/>
      <c r="G48" s="73">
        <f t="shared" si="0"/>
        <v>0</v>
      </c>
    </row>
    <row r="49" spans="1:7" x14ac:dyDescent="0.3">
      <c r="A49">
        <v>45</v>
      </c>
      <c r="B49" s="73"/>
      <c r="C49" s="73"/>
      <c r="D49" s="73"/>
      <c r="E49" s="73"/>
      <c r="F49" s="73"/>
      <c r="G49" s="73">
        <f t="shared" si="0"/>
        <v>0</v>
      </c>
    </row>
    <row r="50" spans="1:7" x14ac:dyDescent="0.3">
      <c r="A50">
        <v>46</v>
      </c>
      <c r="B50" s="73"/>
      <c r="C50" s="73"/>
      <c r="D50" s="73"/>
      <c r="E50" s="73"/>
      <c r="F50" s="73"/>
      <c r="G50" s="73">
        <f t="shared" si="0"/>
        <v>0</v>
      </c>
    </row>
    <row r="51" spans="1:7" x14ac:dyDescent="0.3">
      <c r="A51">
        <v>47</v>
      </c>
      <c r="B51" s="73"/>
      <c r="C51" s="73"/>
      <c r="D51" s="73"/>
      <c r="E51" s="73"/>
      <c r="F51" s="73"/>
      <c r="G51" s="73">
        <f t="shared" si="0"/>
        <v>0</v>
      </c>
    </row>
    <row r="52" spans="1:7" x14ac:dyDescent="0.3">
      <c r="A52">
        <v>48</v>
      </c>
      <c r="B52" s="73"/>
      <c r="C52" s="73"/>
      <c r="D52" s="73"/>
      <c r="E52" s="73"/>
      <c r="F52" s="73"/>
      <c r="G52" s="73">
        <f t="shared" si="0"/>
        <v>0</v>
      </c>
    </row>
    <row r="53" spans="1:7" x14ac:dyDescent="0.3">
      <c r="A53">
        <v>49</v>
      </c>
      <c r="B53" s="73"/>
      <c r="C53" s="73"/>
      <c r="D53" s="73"/>
      <c r="E53" s="73"/>
      <c r="F53" s="73"/>
      <c r="G53" s="73">
        <f t="shared" si="0"/>
        <v>0</v>
      </c>
    </row>
    <row r="54" spans="1:7" x14ac:dyDescent="0.3">
      <c r="A54">
        <v>50</v>
      </c>
      <c r="B54" s="73"/>
      <c r="C54" s="73"/>
      <c r="D54" s="73"/>
      <c r="E54" s="73"/>
      <c r="F54" s="73"/>
      <c r="G54" s="73">
        <f t="shared" si="0"/>
        <v>0</v>
      </c>
    </row>
    <row r="55" spans="1:7" x14ac:dyDescent="0.3">
      <c r="A55">
        <v>51</v>
      </c>
      <c r="B55" s="73"/>
      <c r="C55" s="73"/>
      <c r="D55" s="73"/>
      <c r="E55" s="73"/>
      <c r="F55" s="73"/>
      <c r="G55" s="73">
        <f t="shared" si="0"/>
        <v>0</v>
      </c>
    </row>
    <row r="56" spans="1:7" x14ac:dyDescent="0.3">
      <c r="A56">
        <v>52</v>
      </c>
      <c r="B56" s="73"/>
      <c r="C56" s="73"/>
      <c r="D56" s="73"/>
      <c r="E56" s="73"/>
      <c r="F56" s="73"/>
      <c r="G56" s="73">
        <f t="shared" si="0"/>
        <v>0</v>
      </c>
    </row>
    <row r="57" spans="1:7" x14ac:dyDescent="0.3">
      <c r="A57">
        <v>53</v>
      </c>
      <c r="B57" s="73"/>
      <c r="C57" s="73"/>
      <c r="D57" s="73"/>
      <c r="E57" s="73"/>
      <c r="F57" s="73"/>
      <c r="G57" s="73">
        <f t="shared" si="0"/>
        <v>0</v>
      </c>
    </row>
    <row r="58" spans="1:7" x14ac:dyDescent="0.3">
      <c r="A58">
        <v>54</v>
      </c>
      <c r="B58" s="73"/>
      <c r="C58" s="73"/>
      <c r="D58" s="73"/>
      <c r="E58" s="73"/>
      <c r="F58" s="73"/>
      <c r="G58" s="73">
        <f t="shared" si="0"/>
        <v>0</v>
      </c>
    </row>
    <row r="59" spans="1:7" x14ac:dyDescent="0.3">
      <c r="A59">
        <v>55</v>
      </c>
      <c r="B59" s="73"/>
      <c r="C59" s="73"/>
      <c r="D59" s="73"/>
      <c r="E59" s="73"/>
      <c r="F59" s="73"/>
      <c r="G59" s="73">
        <f t="shared" si="0"/>
        <v>0</v>
      </c>
    </row>
    <row r="60" spans="1:7" x14ac:dyDescent="0.3">
      <c r="A60">
        <v>56</v>
      </c>
      <c r="B60" s="73"/>
      <c r="C60" s="73"/>
      <c r="D60" s="73"/>
      <c r="E60" s="73"/>
      <c r="F60" s="73"/>
      <c r="G60" s="73">
        <f t="shared" si="0"/>
        <v>0</v>
      </c>
    </row>
    <row r="61" spans="1:7" x14ac:dyDescent="0.3">
      <c r="A61">
        <v>57</v>
      </c>
      <c r="B61" s="73"/>
      <c r="C61" s="73"/>
      <c r="D61" s="73"/>
      <c r="E61" s="73"/>
      <c r="F61" s="73"/>
      <c r="G61" s="73">
        <f t="shared" si="0"/>
        <v>0</v>
      </c>
    </row>
    <row r="62" spans="1:7" x14ac:dyDescent="0.3">
      <c r="A62">
        <v>58</v>
      </c>
      <c r="B62" s="73"/>
      <c r="C62" s="73"/>
      <c r="D62" s="73"/>
      <c r="E62" s="73"/>
      <c r="F62" s="73"/>
      <c r="G62" s="73">
        <f t="shared" si="0"/>
        <v>0</v>
      </c>
    </row>
    <row r="63" spans="1:7" x14ac:dyDescent="0.3">
      <c r="A63">
        <v>59</v>
      </c>
      <c r="B63" s="73"/>
      <c r="C63" s="73"/>
      <c r="D63" s="73"/>
      <c r="E63" s="73"/>
      <c r="F63" s="73"/>
      <c r="G63" s="73">
        <f t="shared" si="0"/>
        <v>0</v>
      </c>
    </row>
    <row r="64" spans="1:7" x14ac:dyDescent="0.3">
      <c r="A64">
        <v>60</v>
      </c>
      <c r="B64" s="73"/>
      <c r="C64" s="73"/>
      <c r="D64" s="73"/>
      <c r="E64" s="73"/>
      <c r="F64" s="73"/>
      <c r="G64" s="73">
        <f t="shared" si="0"/>
        <v>0</v>
      </c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A66" s="72" t="s">
        <v>190</v>
      </c>
      <c r="B66" s="73"/>
      <c r="C66" s="73"/>
      <c r="D66" s="73"/>
      <c r="E66" s="73"/>
      <c r="F66" s="73"/>
      <c r="G66" s="74">
        <f>SUM(G5:G65)</f>
        <v>61542.251653999992</v>
      </c>
    </row>
    <row r="71" spans="1:7" x14ac:dyDescent="0.3">
      <c r="A71" s="32" t="s">
        <v>277</v>
      </c>
    </row>
    <row r="73" spans="1:7" x14ac:dyDescent="0.3">
      <c r="A73" t="s">
        <v>278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0622-09DA-4E46-ACA8-08F7E1800B7A}">
  <sheetPr>
    <tabColor rgb="FF0070C0"/>
  </sheetPr>
  <dimension ref="A1:H66"/>
  <sheetViews>
    <sheetView workbookViewId="0">
      <selection activeCell="D5" sqref="D5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198</v>
      </c>
    </row>
    <row r="4" spans="1:8" x14ac:dyDescent="0.3">
      <c r="A4" s="71" t="s">
        <v>174</v>
      </c>
      <c r="B4" s="71" t="s">
        <v>199</v>
      </c>
      <c r="C4" s="71" t="s">
        <v>200</v>
      </c>
      <c r="D4" s="71" t="s">
        <v>286</v>
      </c>
      <c r="E4" s="71" t="s">
        <v>201</v>
      </c>
      <c r="F4" s="71" t="s">
        <v>202</v>
      </c>
      <c r="G4" s="71" t="s">
        <v>203</v>
      </c>
    </row>
    <row r="5" spans="1:8" x14ac:dyDescent="0.3">
      <c r="A5">
        <v>1</v>
      </c>
      <c r="B5" s="73">
        <v>87.14</v>
      </c>
      <c r="C5" s="73">
        <v>181.28</v>
      </c>
      <c r="D5" s="73">
        <v>60</v>
      </c>
      <c r="E5" s="73">
        <v>327.41000000000003</v>
      </c>
      <c r="F5" s="75">
        <v>0</v>
      </c>
      <c r="G5" s="73">
        <f>+E5*F5</f>
        <v>0</v>
      </c>
      <c r="H5" t="s">
        <v>204</v>
      </c>
    </row>
    <row r="6" spans="1:8" x14ac:dyDescent="0.3">
      <c r="A6">
        <v>2</v>
      </c>
      <c r="B6" s="73">
        <v>87.14</v>
      </c>
      <c r="C6" s="73">
        <v>181.28</v>
      </c>
      <c r="D6" s="73">
        <v>60</v>
      </c>
      <c r="E6" s="73">
        <v>327.41000000000003</v>
      </c>
      <c r="F6" s="75">
        <v>0</v>
      </c>
      <c r="G6" s="73">
        <f t="shared" ref="G6:G12" si="0">+E6*F6</f>
        <v>0</v>
      </c>
      <c r="H6" t="s">
        <v>205</v>
      </c>
    </row>
    <row r="7" spans="1:8" x14ac:dyDescent="0.3">
      <c r="A7">
        <v>3</v>
      </c>
      <c r="B7" s="73">
        <v>87.14</v>
      </c>
      <c r="C7" s="73">
        <v>181.28</v>
      </c>
      <c r="D7" s="73">
        <v>60</v>
      </c>
      <c r="E7" s="73">
        <v>327.41000000000003</v>
      </c>
      <c r="F7" s="75">
        <v>0</v>
      </c>
      <c r="G7" s="73">
        <f t="shared" si="0"/>
        <v>0</v>
      </c>
      <c r="H7" t="s">
        <v>206</v>
      </c>
    </row>
    <row r="8" spans="1:8" x14ac:dyDescent="0.3">
      <c r="A8">
        <v>4</v>
      </c>
      <c r="B8" s="73">
        <v>87.14</v>
      </c>
      <c r="C8" s="73">
        <v>181.28</v>
      </c>
      <c r="D8" s="73">
        <v>60</v>
      </c>
      <c r="E8" s="73">
        <v>327.41000000000003</v>
      </c>
      <c r="F8" s="75">
        <v>0</v>
      </c>
      <c r="G8" s="73">
        <f t="shared" si="0"/>
        <v>0</v>
      </c>
    </row>
    <row r="9" spans="1:8" x14ac:dyDescent="0.3">
      <c r="A9">
        <v>5</v>
      </c>
      <c r="B9" s="73">
        <v>87.14</v>
      </c>
      <c r="C9" s="73">
        <v>181.28</v>
      </c>
      <c r="D9" s="73">
        <v>60</v>
      </c>
      <c r="E9" s="73">
        <v>327.41000000000003</v>
      </c>
      <c r="F9" s="75">
        <v>0</v>
      </c>
      <c r="G9" s="73">
        <f t="shared" si="0"/>
        <v>0</v>
      </c>
    </row>
    <row r="10" spans="1:8" x14ac:dyDescent="0.3">
      <c r="A10">
        <v>6</v>
      </c>
      <c r="B10" s="73">
        <v>87.14</v>
      </c>
      <c r="C10" s="73">
        <v>181.28</v>
      </c>
      <c r="D10" s="73">
        <v>60</v>
      </c>
      <c r="E10" s="73">
        <v>327.41000000000003</v>
      </c>
      <c r="F10">
        <v>10</v>
      </c>
      <c r="G10" s="76">
        <f t="shared" si="0"/>
        <v>3274.1000000000004</v>
      </c>
    </row>
    <row r="11" spans="1:8" x14ac:dyDescent="0.3">
      <c r="A11">
        <v>7</v>
      </c>
      <c r="B11" s="73">
        <v>87.14</v>
      </c>
      <c r="C11" s="73">
        <v>181.28</v>
      </c>
      <c r="D11" s="73">
        <v>60</v>
      </c>
      <c r="E11" s="73">
        <v>327.41000000000003</v>
      </c>
      <c r="F11">
        <f>[1]Resumen!B24</f>
        <v>0</v>
      </c>
      <c r="G11" s="73">
        <f t="shared" si="0"/>
        <v>0</v>
      </c>
    </row>
    <row r="12" spans="1:8" x14ac:dyDescent="0.3">
      <c r="A12">
        <v>8</v>
      </c>
      <c r="B12" s="73">
        <v>87.14</v>
      </c>
      <c r="C12" s="73">
        <v>181.28</v>
      </c>
      <c r="D12" s="73">
        <v>60</v>
      </c>
      <c r="E12" s="73">
        <v>327.41000000000003</v>
      </c>
      <c r="F12">
        <f>[1]Resumen!B25</f>
        <v>0</v>
      </c>
      <c r="G12" s="73">
        <f t="shared" si="0"/>
        <v>0</v>
      </c>
    </row>
    <row r="13" spans="1:8" x14ac:dyDescent="0.3">
      <c r="A13">
        <v>9</v>
      </c>
      <c r="B13" s="73">
        <v>87.14</v>
      </c>
      <c r="C13" s="73">
        <v>181.28</v>
      </c>
      <c r="D13" s="73">
        <v>60</v>
      </c>
      <c r="E13" s="73">
        <v>327.41000000000003</v>
      </c>
      <c r="F13">
        <f>[1]Resumen!B26</f>
        <v>0</v>
      </c>
      <c r="G13" s="73">
        <f>+E13*F13</f>
        <v>0</v>
      </c>
    </row>
    <row r="14" spans="1:8" x14ac:dyDescent="0.3">
      <c r="A14">
        <v>10</v>
      </c>
      <c r="B14" s="73">
        <v>87.14</v>
      </c>
      <c r="C14" s="73">
        <v>181.28</v>
      </c>
      <c r="D14" s="73">
        <v>60</v>
      </c>
      <c r="E14" s="73">
        <v>327.41000000000003</v>
      </c>
      <c r="F14">
        <f>[1]Resumen!B27</f>
        <v>0</v>
      </c>
      <c r="G14" s="73">
        <f t="shared" ref="G14:G64" si="1">+E14*F14</f>
        <v>0</v>
      </c>
    </row>
    <row r="15" spans="1:8" x14ac:dyDescent="0.3">
      <c r="A15">
        <v>11</v>
      </c>
      <c r="B15" s="73">
        <v>87.14</v>
      </c>
      <c r="C15" s="73">
        <v>181.28</v>
      </c>
      <c r="D15" s="73">
        <v>60</v>
      </c>
      <c r="E15" s="73">
        <v>327.41000000000003</v>
      </c>
      <c r="F15">
        <f>[1]Resumen!B28</f>
        <v>0</v>
      </c>
      <c r="G15" s="73">
        <f t="shared" si="1"/>
        <v>0</v>
      </c>
    </row>
    <row r="16" spans="1:8" x14ac:dyDescent="0.3">
      <c r="A16">
        <v>12</v>
      </c>
      <c r="B16" s="73">
        <v>87.14</v>
      </c>
      <c r="C16" s="73">
        <v>181.28</v>
      </c>
      <c r="D16" s="73">
        <v>60</v>
      </c>
      <c r="E16" s="73">
        <v>327.41000000000003</v>
      </c>
      <c r="F16">
        <v>20</v>
      </c>
      <c r="G16" s="73">
        <f t="shared" si="1"/>
        <v>6548.2000000000007</v>
      </c>
    </row>
    <row r="17" spans="1:7" x14ac:dyDescent="0.3">
      <c r="A17">
        <v>13</v>
      </c>
      <c r="B17" s="73">
        <v>87.14</v>
      </c>
      <c r="C17" s="73">
        <v>181.28</v>
      </c>
      <c r="D17" s="73">
        <v>60</v>
      </c>
      <c r="E17" s="73">
        <v>327.41000000000003</v>
      </c>
      <c r="F17">
        <f>[1]Resumen!B30</f>
        <v>0</v>
      </c>
      <c r="G17" s="73">
        <f t="shared" si="1"/>
        <v>0</v>
      </c>
    </row>
    <row r="18" spans="1:7" x14ac:dyDescent="0.3">
      <c r="A18">
        <v>14</v>
      </c>
      <c r="B18" s="73">
        <v>87.14</v>
      </c>
      <c r="C18" s="73">
        <v>181.28</v>
      </c>
      <c r="D18" s="73">
        <v>60</v>
      </c>
      <c r="E18" s="73">
        <v>327.41000000000003</v>
      </c>
      <c r="F18">
        <f>[1]Resumen!B31</f>
        <v>0</v>
      </c>
      <c r="G18" s="73">
        <f t="shared" si="1"/>
        <v>0</v>
      </c>
    </row>
    <row r="19" spans="1:7" x14ac:dyDescent="0.3">
      <c r="A19">
        <v>15</v>
      </c>
      <c r="B19" s="73">
        <v>87.14</v>
      </c>
      <c r="C19" s="73">
        <v>181.28</v>
      </c>
      <c r="D19" s="73">
        <v>60</v>
      </c>
      <c r="E19" s="73">
        <v>327.41000000000003</v>
      </c>
      <c r="F19">
        <f>[1]Resumen!B32</f>
        <v>0</v>
      </c>
      <c r="G19" s="73">
        <f t="shared" si="1"/>
        <v>0</v>
      </c>
    </row>
    <row r="20" spans="1:7" x14ac:dyDescent="0.3">
      <c r="A20">
        <v>16</v>
      </c>
      <c r="B20" s="73">
        <v>87.14</v>
      </c>
      <c r="C20" s="73">
        <v>181.28</v>
      </c>
      <c r="D20" s="73">
        <v>60</v>
      </c>
      <c r="E20" s="73">
        <v>327.41000000000003</v>
      </c>
      <c r="F20">
        <f>[1]Resumen!B33</f>
        <v>0</v>
      </c>
      <c r="G20" s="73">
        <f t="shared" si="1"/>
        <v>0</v>
      </c>
    </row>
    <row r="21" spans="1:7" x14ac:dyDescent="0.3">
      <c r="A21">
        <v>17</v>
      </c>
      <c r="B21" s="73">
        <v>87.14</v>
      </c>
      <c r="C21" s="73">
        <v>181.28</v>
      </c>
      <c r="D21" s="73">
        <v>60</v>
      </c>
      <c r="E21" s="73">
        <v>327.41000000000003</v>
      </c>
      <c r="F21">
        <f>[1]Resumen!B34</f>
        <v>0</v>
      </c>
      <c r="G21" s="73">
        <f t="shared" si="1"/>
        <v>0</v>
      </c>
    </row>
    <row r="22" spans="1:7" x14ac:dyDescent="0.3">
      <c r="A22">
        <v>18</v>
      </c>
      <c r="B22" s="73">
        <v>87.14</v>
      </c>
      <c r="C22" s="73">
        <v>181.28</v>
      </c>
      <c r="D22" s="73">
        <v>60</v>
      </c>
      <c r="E22" s="73">
        <v>327.41000000000003</v>
      </c>
      <c r="F22">
        <v>20</v>
      </c>
      <c r="G22" s="73">
        <f t="shared" si="1"/>
        <v>6548.2000000000007</v>
      </c>
    </row>
    <row r="23" spans="1:7" x14ac:dyDescent="0.3">
      <c r="A23">
        <v>19</v>
      </c>
      <c r="B23" s="73">
        <v>87.14</v>
      </c>
      <c r="C23" s="73">
        <v>181.28</v>
      </c>
      <c r="D23" s="73">
        <v>60</v>
      </c>
      <c r="E23" s="73">
        <v>327.41000000000003</v>
      </c>
      <c r="F23">
        <v>0</v>
      </c>
      <c r="G23" s="73">
        <f t="shared" si="1"/>
        <v>0</v>
      </c>
    </row>
    <row r="24" spans="1:7" x14ac:dyDescent="0.3">
      <c r="A24">
        <v>20</v>
      </c>
      <c r="B24" s="73">
        <v>87.14</v>
      </c>
      <c r="C24" s="73">
        <v>181.28</v>
      </c>
      <c r="D24" s="73">
        <v>60</v>
      </c>
      <c r="E24" s="73">
        <v>327.41000000000003</v>
      </c>
      <c r="F24">
        <v>0</v>
      </c>
      <c r="G24" s="73">
        <f t="shared" si="1"/>
        <v>0</v>
      </c>
    </row>
    <row r="25" spans="1:7" x14ac:dyDescent="0.3">
      <c r="A25">
        <v>21</v>
      </c>
      <c r="B25" s="73">
        <v>87.14</v>
      </c>
      <c r="C25" s="73">
        <v>181.28</v>
      </c>
      <c r="D25" s="73">
        <v>60</v>
      </c>
      <c r="E25" s="73">
        <v>327.41000000000003</v>
      </c>
      <c r="F25">
        <v>0</v>
      </c>
      <c r="G25" s="73">
        <f t="shared" si="1"/>
        <v>0</v>
      </c>
    </row>
    <row r="26" spans="1:7" x14ac:dyDescent="0.3">
      <c r="A26">
        <v>22</v>
      </c>
      <c r="B26" s="73">
        <v>87.14</v>
      </c>
      <c r="C26" s="73">
        <v>181.28</v>
      </c>
      <c r="D26" s="73">
        <v>60</v>
      </c>
      <c r="E26" s="73">
        <v>327.41000000000003</v>
      </c>
      <c r="F26">
        <v>0</v>
      </c>
      <c r="G26" s="73">
        <f t="shared" si="1"/>
        <v>0</v>
      </c>
    </row>
    <row r="27" spans="1:7" x14ac:dyDescent="0.3">
      <c r="A27">
        <v>23</v>
      </c>
      <c r="B27" s="73">
        <v>87.14</v>
      </c>
      <c r="C27" s="73">
        <v>181.28</v>
      </c>
      <c r="D27" s="73">
        <v>60</v>
      </c>
      <c r="E27" s="73">
        <v>327.41000000000003</v>
      </c>
      <c r="F27">
        <v>0</v>
      </c>
      <c r="G27" s="73">
        <f t="shared" si="1"/>
        <v>0</v>
      </c>
    </row>
    <row r="28" spans="1:7" x14ac:dyDescent="0.3">
      <c r="A28">
        <v>24</v>
      </c>
      <c r="B28" s="73">
        <v>87.14</v>
      </c>
      <c r="C28" s="73">
        <v>181.28</v>
      </c>
      <c r="D28" s="73">
        <v>60</v>
      </c>
      <c r="E28" s="73">
        <v>327.41000000000003</v>
      </c>
      <c r="F28">
        <v>20</v>
      </c>
      <c r="G28" s="73">
        <f t="shared" si="1"/>
        <v>6548.2000000000007</v>
      </c>
    </row>
    <row r="29" spans="1:7" x14ac:dyDescent="0.3">
      <c r="A29">
        <v>25</v>
      </c>
      <c r="B29" s="73">
        <v>87.14</v>
      </c>
      <c r="C29" s="73">
        <v>181.28</v>
      </c>
      <c r="D29" s="73">
        <v>60</v>
      </c>
      <c r="E29" s="73">
        <v>327.41000000000003</v>
      </c>
      <c r="F29" s="75">
        <v>0</v>
      </c>
      <c r="G29" s="73">
        <f t="shared" si="1"/>
        <v>0</v>
      </c>
    </row>
    <row r="30" spans="1:7" x14ac:dyDescent="0.3">
      <c r="A30">
        <v>26</v>
      </c>
      <c r="B30" s="73">
        <v>87.14</v>
      </c>
      <c r="C30" s="73">
        <v>181.28</v>
      </c>
      <c r="D30" s="73">
        <v>60</v>
      </c>
      <c r="E30" s="73">
        <v>327.41000000000003</v>
      </c>
      <c r="F30">
        <v>0</v>
      </c>
      <c r="G30" s="73">
        <f t="shared" si="1"/>
        <v>0</v>
      </c>
    </row>
    <row r="31" spans="1:7" x14ac:dyDescent="0.3">
      <c r="A31">
        <v>27</v>
      </c>
      <c r="B31" s="73">
        <v>87.14</v>
      </c>
      <c r="C31" s="73">
        <v>181.28</v>
      </c>
      <c r="D31" s="73">
        <v>60</v>
      </c>
      <c r="E31" s="73">
        <v>327.41000000000003</v>
      </c>
      <c r="F31">
        <v>0</v>
      </c>
      <c r="G31" s="73">
        <f t="shared" si="1"/>
        <v>0</v>
      </c>
    </row>
    <row r="32" spans="1:7" x14ac:dyDescent="0.3">
      <c r="A32">
        <v>28</v>
      </c>
      <c r="B32" s="73">
        <v>87.14</v>
      </c>
      <c r="C32" s="73">
        <v>181.28</v>
      </c>
      <c r="D32" s="73">
        <v>60</v>
      </c>
      <c r="E32" s="73">
        <v>327.41000000000003</v>
      </c>
      <c r="F32">
        <v>0</v>
      </c>
      <c r="G32" s="73">
        <f t="shared" si="1"/>
        <v>0</v>
      </c>
    </row>
    <row r="33" spans="1:7" x14ac:dyDescent="0.3">
      <c r="A33">
        <v>29</v>
      </c>
      <c r="B33" s="73">
        <v>87.14</v>
      </c>
      <c r="C33" s="73">
        <v>181.28</v>
      </c>
      <c r="D33" s="73">
        <v>60</v>
      </c>
      <c r="E33" s="73">
        <v>327.41000000000003</v>
      </c>
      <c r="F33">
        <v>0</v>
      </c>
      <c r="G33" s="73">
        <f t="shared" si="1"/>
        <v>0</v>
      </c>
    </row>
    <row r="34" spans="1:7" x14ac:dyDescent="0.3">
      <c r="A34">
        <v>30</v>
      </c>
      <c r="B34" s="73">
        <v>87.14</v>
      </c>
      <c r="C34" s="73">
        <v>181.28</v>
      </c>
      <c r="D34" s="73">
        <v>60</v>
      </c>
      <c r="E34" s="73">
        <v>327.41000000000003</v>
      </c>
      <c r="F34">
        <v>30</v>
      </c>
      <c r="G34" s="73">
        <f t="shared" si="1"/>
        <v>9822.3000000000011</v>
      </c>
    </row>
    <row r="35" spans="1:7" x14ac:dyDescent="0.3">
      <c r="A35">
        <v>31</v>
      </c>
      <c r="B35" s="73">
        <v>87.14</v>
      </c>
      <c r="C35" s="73">
        <v>181.28</v>
      </c>
      <c r="D35" s="73">
        <v>60</v>
      </c>
      <c r="E35" s="73">
        <v>327.41000000000003</v>
      </c>
      <c r="F35">
        <v>0</v>
      </c>
      <c r="G35" s="73">
        <f t="shared" si="1"/>
        <v>0</v>
      </c>
    </row>
    <row r="36" spans="1:7" x14ac:dyDescent="0.3">
      <c r="A36">
        <v>32</v>
      </c>
      <c r="B36" s="73">
        <v>87.14</v>
      </c>
      <c r="C36" s="73">
        <v>181.28</v>
      </c>
      <c r="D36" s="73">
        <v>60</v>
      </c>
      <c r="E36" s="73">
        <v>327.41000000000003</v>
      </c>
      <c r="F36">
        <v>0</v>
      </c>
      <c r="G36" s="73">
        <f t="shared" si="1"/>
        <v>0</v>
      </c>
    </row>
    <row r="37" spans="1:7" x14ac:dyDescent="0.3">
      <c r="A37">
        <v>33</v>
      </c>
      <c r="B37" s="73">
        <v>87.14</v>
      </c>
      <c r="C37" s="73">
        <v>181.28</v>
      </c>
      <c r="D37" s="73">
        <v>60</v>
      </c>
      <c r="E37" s="73">
        <v>327.41000000000003</v>
      </c>
      <c r="F37">
        <v>0</v>
      </c>
      <c r="G37" s="73">
        <f t="shared" si="1"/>
        <v>0</v>
      </c>
    </row>
    <row r="38" spans="1:7" x14ac:dyDescent="0.3">
      <c r="A38">
        <v>34</v>
      </c>
      <c r="B38" s="73">
        <v>87.14</v>
      </c>
      <c r="C38" s="73">
        <v>181.28</v>
      </c>
      <c r="D38" s="73">
        <v>60</v>
      </c>
      <c r="E38" s="73">
        <v>327.41000000000003</v>
      </c>
      <c r="F38">
        <v>0</v>
      </c>
      <c r="G38" s="73">
        <f t="shared" si="1"/>
        <v>0</v>
      </c>
    </row>
    <row r="39" spans="1:7" x14ac:dyDescent="0.3">
      <c r="A39">
        <v>35</v>
      </c>
      <c r="B39" s="73">
        <v>87.14</v>
      </c>
      <c r="C39" s="73">
        <v>181.28</v>
      </c>
      <c r="D39" s="73">
        <v>60</v>
      </c>
      <c r="E39" s="73">
        <v>327.41000000000003</v>
      </c>
      <c r="F39">
        <f>[1]Resumen!B52</f>
        <v>0</v>
      </c>
      <c r="G39" s="73">
        <f t="shared" si="1"/>
        <v>0</v>
      </c>
    </row>
    <row r="40" spans="1:7" x14ac:dyDescent="0.3">
      <c r="A40">
        <v>36</v>
      </c>
      <c r="B40" s="73">
        <v>87.14</v>
      </c>
      <c r="C40" s="73">
        <v>181.28</v>
      </c>
      <c r="D40" s="73">
        <v>60</v>
      </c>
      <c r="E40" s="73">
        <v>327.41000000000003</v>
      </c>
      <c r="F40">
        <v>20</v>
      </c>
      <c r="G40" s="73">
        <f t="shared" si="1"/>
        <v>6548.2000000000007</v>
      </c>
    </row>
    <row r="41" spans="1:7" x14ac:dyDescent="0.3">
      <c r="A41">
        <v>37</v>
      </c>
      <c r="B41" s="73">
        <v>87.14</v>
      </c>
      <c r="C41" s="73">
        <v>181.28</v>
      </c>
      <c r="D41" s="73">
        <v>60</v>
      </c>
      <c r="E41" s="73">
        <v>327.41000000000003</v>
      </c>
      <c r="F41">
        <v>0</v>
      </c>
      <c r="G41" s="73">
        <f t="shared" si="1"/>
        <v>0</v>
      </c>
    </row>
    <row r="42" spans="1:7" x14ac:dyDescent="0.3">
      <c r="A42">
        <v>38</v>
      </c>
      <c r="B42" s="73">
        <v>87.14</v>
      </c>
      <c r="C42" s="73">
        <v>181.28</v>
      </c>
      <c r="D42" s="73">
        <v>60</v>
      </c>
      <c r="E42" s="73">
        <v>327.41000000000003</v>
      </c>
      <c r="F42">
        <v>0</v>
      </c>
      <c r="G42" s="73">
        <f t="shared" si="1"/>
        <v>0</v>
      </c>
    </row>
    <row r="43" spans="1:7" x14ac:dyDescent="0.3">
      <c r="A43">
        <v>39</v>
      </c>
      <c r="B43" s="73">
        <v>87.14</v>
      </c>
      <c r="C43" s="73">
        <v>181.28</v>
      </c>
      <c r="D43" s="73">
        <v>60</v>
      </c>
      <c r="E43" s="73">
        <v>327.41000000000003</v>
      </c>
      <c r="F43">
        <v>0</v>
      </c>
      <c r="G43" s="73">
        <f t="shared" si="1"/>
        <v>0</v>
      </c>
    </row>
    <row r="44" spans="1:7" x14ac:dyDescent="0.3">
      <c r="A44">
        <v>40</v>
      </c>
      <c r="B44" s="73">
        <v>87.14</v>
      </c>
      <c r="C44" s="73">
        <v>181.28</v>
      </c>
      <c r="D44" s="73">
        <v>60</v>
      </c>
      <c r="E44" s="73">
        <v>327.41000000000003</v>
      </c>
      <c r="F44">
        <v>0</v>
      </c>
      <c r="G44" s="73">
        <f t="shared" si="1"/>
        <v>0</v>
      </c>
    </row>
    <row r="45" spans="1:7" x14ac:dyDescent="0.3">
      <c r="A45">
        <v>41</v>
      </c>
      <c r="B45" s="73">
        <v>87.14</v>
      </c>
      <c r="C45" s="73">
        <v>181.28</v>
      </c>
      <c r="D45" s="73">
        <v>60</v>
      </c>
      <c r="E45" s="73">
        <v>327.41000000000003</v>
      </c>
      <c r="F45">
        <v>0</v>
      </c>
      <c r="G45" s="73">
        <f t="shared" si="1"/>
        <v>0</v>
      </c>
    </row>
    <row r="46" spans="1:7" x14ac:dyDescent="0.3">
      <c r="A46">
        <v>42</v>
      </c>
      <c r="B46" s="73">
        <v>87.14</v>
      </c>
      <c r="C46" s="73">
        <v>181.28</v>
      </c>
      <c r="D46" s="73">
        <v>60</v>
      </c>
      <c r="E46" s="73">
        <v>327.41000000000003</v>
      </c>
      <c r="F46">
        <v>20</v>
      </c>
      <c r="G46" s="73">
        <f t="shared" si="1"/>
        <v>6548.2000000000007</v>
      </c>
    </row>
    <row r="47" spans="1:7" x14ac:dyDescent="0.3">
      <c r="A47">
        <v>43</v>
      </c>
      <c r="B47" s="73">
        <v>87.14</v>
      </c>
      <c r="C47" s="73">
        <v>181.28</v>
      </c>
      <c r="D47" s="73">
        <v>60</v>
      </c>
      <c r="E47" s="73">
        <v>327.41000000000003</v>
      </c>
      <c r="F47">
        <v>0</v>
      </c>
      <c r="G47" s="73">
        <f t="shared" si="1"/>
        <v>0</v>
      </c>
    </row>
    <row r="48" spans="1:7" x14ac:dyDescent="0.3">
      <c r="A48">
        <v>44</v>
      </c>
      <c r="B48" s="73">
        <v>87.14</v>
      </c>
      <c r="C48" s="73">
        <v>181.28</v>
      </c>
      <c r="D48" s="73">
        <v>60</v>
      </c>
      <c r="E48" s="73">
        <v>327.41000000000003</v>
      </c>
      <c r="F48">
        <v>0</v>
      </c>
      <c r="G48" s="73">
        <f t="shared" si="1"/>
        <v>0</v>
      </c>
    </row>
    <row r="49" spans="1:7" x14ac:dyDescent="0.3">
      <c r="A49">
        <v>45</v>
      </c>
      <c r="B49" s="73">
        <v>87.14</v>
      </c>
      <c r="C49" s="73">
        <v>181.28</v>
      </c>
      <c r="D49" s="73">
        <v>60</v>
      </c>
      <c r="E49" s="73">
        <v>327.41000000000003</v>
      </c>
      <c r="F49">
        <v>0</v>
      </c>
      <c r="G49" s="73">
        <f t="shared" si="1"/>
        <v>0</v>
      </c>
    </row>
    <row r="50" spans="1:7" x14ac:dyDescent="0.3">
      <c r="A50">
        <v>46</v>
      </c>
      <c r="B50" s="73">
        <v>87.14</v>
      </c>
      <c r="C50" s="73">
        <v>181.28</v>
      </c>
      <c r="D50" s="73">
        <v>60</v>
      </c>
      <c r="E50" s="73">
        <v>327.41000000000003</v>
      </c>
      <c r="F50">
        <v>0</v>
      </c>
      <c r="G50" s="73">
        <f t="shared" si="1"/>
        <v>0</v>
      </c>
    </row>
    <row r="51" spans="1:7" x14ac:dyDescent="0.3">
      <c r="A51">
        <v>47</v>
      </c>
      <c r="B51" s="73">
        <v>87.14</v>
      </c>
      <c r="C51" s="73">
        <v>181.28</v>
      </c>
      <c r="D51" s="73">
        <v>60</v>
      </c>
      <c r="E51" s="73">
        <v>327.41000000000003</v>
      </c>
      <c r="F51">
        <v>0</v>
      </c>
      <c r="G51" s="73">
        <f t="shared" si="1"/>
        <v>0</v>
      </c>
    </row>
    <row r="52" spans="1:7" x14ac:dyDescent="0.3">
      <c r="A52">
        <v>48</v>
      </c>
      <c r="B52" s="73">
        <v>87.14</v>
      </c>
      <c r="C52" s="73">
        <v>181.28</v>
      </c>
      <c r="D52" s="73">
        <v>60</v>
      </c>
      <c r="E52" s="73">
        <v>327.41000000000003</v>
      </c>
      <c r="F52">
        <v>10</v>
      </c>
      <c r="G52" s="73">
        <f t="shared" si="1"/>
        <v>3274.1000000000004</v>
      </c>
    </row>
    <row r="53" spans="1:7" x14ac:dyDescent="0.3">
      <c r="A53">
        <v>49</v>
      </c>
      <c r="B53" s="73">
        <v>87.14</v>
      </c>
      <c r="C53" s="73">
        <v>181.28</v>
      </c>
      <c r="D53" s="73">
        <v>60</v>
      </c>
      <c r="E53" s="73">
        <v>327.41000000000003</v>
      </c>
      <c r="F53">
        <v>0</v>
      </c>
      <c r="G53" s="73">
        <f t="shared" si="1"/>
        <v>0</v>
      </c>
    </row>
    <row r="54" spans="1:7" x14ac:dyDescent="0.3">
      <c r="A54">
        <v>50</v>
      </c>
      <c r="B54" s="73">
        <v>87.14</v>
      </c>
      <c r="C54" s="73">
        <v>181.28</v>
      </c>
      <c r="D54" s="73">
        <v>60</v>
      </c>
      <c r="E54" s="73">
        <v>327.41000000000003</v>
      </c>
      <c r="F54">
        <v>0</v>
      </c>
      <c r="G54" s="73">
        <f t="shared" si="1"/>
        <v>0</v>
      </c>
    </row>
    <row r="55" spans="1:7" x14ac:dyDescent="0.3">
      <c r="A55">
        <v>51</v>
      </c>
      <c r="B55" s="73">
        <v>87.14</v>
      </c>
      <c r="C55" s="73">
        <v>181.28</v>
      </c>
      <c r="D55" s="73">
        <v>60</v>
      </c>
      <c r="E55" s="73">
        <v>327.41000000000003</v>
      </c>
      <c r="F55">
        <v>0</v>
      </c>
      <c r="G55" s="73">
        <f t="shared" si="1"/>
        <v>0</v>
      </c>
    </row>
    <row r="56" spans="1:7" x14ac:dyDescent="0.3">
      <c r="A56">
        <v>52</v>
      </c>
      <c r="B56" s="73">
        <v>87.14</v>
      </c>
      <c r="C56" s="73">
        <v>181.28</v>
      </c>
      <c r="D56" s="73">
        <v>60</v>
      </c>
      <c r="E56" s="73">
        <v>327.41000000000003</v>
      </c>
      <c r="F56">
        <v>0</v>
      </c>
      <c r="G56" s="73">
        <f t="shared" si="1"/>
        <v>0</v>
      </c>
    </row>
    <row r="57" spans="1:7" x14ac:dyDescent="0.3">
      <c r="A57">
        <v>53</v>
      </c>
      <c r="B57" s="73">
        <v>87.14</v>
      </c>
      <c r="C57" s="73">
        <v>181.28</v>
      </c>
      <c r="D57" s="73">
        <v>60</v>
      </c>
      <c r="E57" s="73">
        <v>327.41000000000003</v>
      </c>
      <c r="F57">
        <v>0</v>
      </c>
      <c r="G57" s="73">
        <f t="shared" si="1"/>
        <v>0</v>
      </c>
    </row>
    <row r="58" spans="1:7" x14ac:dyDescent="0.3">
      <c r="A58">
        <v>54</v>
      </c>
      <c r="B58" s="73">
        <v>87.14</v>
      </c>
      <c r="C58" s="73">
        <v>181.28</v>
      </c>
      <c r="D58" s="73">
        <v>60</v>
      </c>
      <c r="E58" s="73">
        <v>327.41000000000003</v>
      </c>
      <c r="F58">
        <v>0</v>
      </c>
      <c r="G58" s="73">
        <f t="shared" si="1"/>
        <v>0</v>
      </c>
    </row>
    <row r="59" spans="1:7" x14ac:dyDescent="0.3">
      <c r="A59">
        <v>55</v>
      </c>
      <c r="B59" s="73">
        <v>87.14</v>
      </c>
      <c r="C59" s="73">
        <v>181.28</v>
      </c>
      <c r="D59" s="73">
        <v>60</v>
      </c>
      <c r="E59" s="73">
        <v>327.41000000000003</v>
      </c>
      <c r="F59">
        <v>0</v>
      </c>
      <c r="G59" s="73">
        <f t="shared" si="1"/>
        <v>0</v>
      </c>
    </row>
    <row r="60" spans="1:7" x14ac:dyDescent="0.3">
      <c r="A60">
        <v>56</v>
      </c>
      <c r="B60" s="73">
        <v>87.14</v>
      </c>
      <c r="C60" s="73">
        <v>181.28</v>
      </c>
      <c r="D60" s="73">
        <v>60</v>
      </c>
      <c r="E60" s="73">
        <v>327.41000000000003</v>
      </c>
      <c r="F60">
        <v>0</v>
      </c>
      <c r="G60" s="73">
        <f t="shared" si="1"/>
        <v>0</v>
      </c>
    </row>
    <row r="61" spans="1:7" x14ac:dyDescent="0.3">
      <c r="A61">
        <v>57</v>
      </c>
      <c r="B61" s="73">
        <v>87.14</v>
      </c>
      <c r="C61" s="73">
        <v>181.28</v>
      </c>
      <c r="D61" s="73">
        <v>60</v>
      </c>
      <c r="E61" s="73">
        <v>327.41000000000003</v>
      </c>
      <c r="F61">
        <v>0</v>
      </c>
      <c r="G61" s="73">
        <f t="shared" si="1"/>
        <v>0</v>
      </c>
    </row>
    <row r="62" spans="1:7" x14ac:dyDescent="0.3">
      <c r="A62">
        <v>58</v>
      </c>
      <c r="B62" s="73">
        <v>87.14</v>
      </c>
      <c r="C62" s="73">
        <v>181.28</v>
      </c>
      <c r="D62" s="73">
        <v>60</v>
      </c>
      <c r="E62" s="73">
        <v>327.41000000000003</v>
      </c>
      <c r="F62">
        <v>0</v>
      </c>
      <c r="G62" s="73">
        <f t="shared" si="1"/>
        <v>0</v>
      </c>
    </row>
    <row r="63" spans="1:7" x14ac:dyDescent="0.3">
      <c r="A63">
        <v>59</v>
      </c>
      <c r="B63" s="73">
        <v>87.14</v>
      </c>
      <c r="C63" s="73">
        <v>181.28</v>
      </c>
      <c r="D63" s="73">
        <v>60</v>
      </c>
      <c r="E63" s="73">
        <v>327.41000000000003</v>
      </c>
      <c r="F63">
        <v>0</v>
      </c>
      <c r="G63" s="73">
        <f t="shared" si="1"/>
        <v>0</v>
      </c>
    </row>
    <row r="64" spans="1:7" x14ac:dyDescent="0.3">
      <c r="A64">
        <v>60</v>
      </c>
      <c r="B64" s="73">
        <v>87.14</v>
      </c>
      <c r="C64" s="73">
        <v>181.28</v>
      </c>
      <c r="D64" s="73">
        <v>60</v>
      </c>
      <c r="E64" s="73">
        <v>327.41000000000003</v>
      </c>
      <c r="F64">
        <v>0</v>
      </c>
      <c r="G64" s="73">
        <f t="shared" si="1"/>
        <v>0</v>
      </c>
    </row>
    <row r="65" spans="1:7" x14ac:dyDescent="0.3">
      <c r="G65" s="73"/>
    </row>
    <row r="66" spans="1:7" x14ac:dyDescent="0.3">
      <c r="A66" s="72" t="s">
        <v>190</v>
      </c>
      <c r="E66" s="32"/>
      <c r="G66" s="74">
        <f>SUM(G5:G65)</f>
        <v>49111.500000000007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A9F2-2F8D-40C4-98D1-2A1B01D8A8F8}">
  <sheetPr>
    <tabColor rgb="FFFF0000"/>
  </sheetPr>
  <dimension ref="A1:F14"/>
  <sheetViews>
    <sheetView workbookViewId="0">
      <selection activeCell="F11" sqref="F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207</v>
      </c>
    </row>
    <row r="4" spans="1:6" x14ac:dyDescent="0.3">
      <c r="B4" s="77" t="s">
        <v>208</v>
      </c>
      <c r="C4" s="77" t="s">
        <v>209</v>
      </c>
      <c r="D4" s="77" t="s">
        <v>210</v>
      </c>
      <c r="E4" s="77" t="s">
        <v>211</v>
      </c>
      <c r="F4" s="77" t="s">
        <v>212</v>
      </c>
    </row>
    <row r="6" spans="1:6" x14ac:dyDescent="0.3">
      <c r="A6" s="77" t="s">
        <v>213</v>
      </c>
      <c r="B6" s="73">
        <f>SUM([1]Resumen!F17:F28)</f>
        <v>0</v>
      </c>
      <c r="C6" s="73">
        <f>SUM(Resumen!F29:F40)</f>
        <v>99103.9</v>
      </c>
      <c r="D6" s="73">
        <f>SUM(Resumen!F41:F52)</f>
        <v>155734.70000000001</v>
      </c>
      <c r="E6" s="73">
        <f>SUM(Resumen!F53:F64)</f>
        <v>99103.9</v>
      </c>
      <c r="F6" s="73">
        <f>SUM(Resumen!F65:F76)</f>
        <v>70788.5</v>
      </c>
    </row>
    <row r="7" spans="1:6" x14ac:dyDescent="0.3">
      <c r="A7" s="77" t="s">
        <v>170</v>
      </c>
      <c r="B7" s="73">
        <f>SUM([1]Resumen!H17:H28)</f>
        <v>9822.3000000000011</v>
      </c>
      <c r="C7" s="73">
        <f>SUM(Resumen!H29:H40)</f>
        <v>55515.820826999989</v>
      </c>
      <c r="D7" s="73">
        <f>SUM(Resumen!H41:H52)</f>
        <v>21042.541000000001</v>
      </c>
      <c r="E7" s="73">
        <f>SUM(Resumen!H53:H64)</f>
        <v>12795.417000000001</v>
      </c>
      <c r="F7" s="73">
        <f>SUM(Resumen!H65:H76)</f>
        <v>2123.6550000000002</v>
      </c>
    </row>
    <row r="8" spans="1:6" x14ac:dyDescent="0.3">
      <c r="A8" s="77"/>
      <c r="B8" s="73"/>
      <c r="C8" s="73"/>
      <c r="D8" s="73"/>
      <c r="E8" s="73"/>
      <c r="F8" s="73"/>
    </row>
    <row r="9" spans="1:6" x14ac:dyDescent="0.3">
      <c r="A9" s="77" t="s">
        <v>214</v>
      </c>
      <c r="B9" s="73">
        <f>+B6-B7</f>
        <v>-9822.3000000000011</v>
      </c>
      <c r="C9" s="73">
        <f>+C6-C7</f>
        <v>43588.079173000006</v>
      </c>
      <c r="D9" s="73">
        <f>+D6-D7</f>
        <v>134692.15900000001</v>
      </c>
      <c r="E9" s="73">
        <f t="shared" ref="E9:F9" si="0">+E6-E7</f>
        <v>86308.482999999993</v>
      </c>
      <c r="F9" s="73">
        <f t="shared" si="0"/>
        <v>68664.845000000001</v>
      </c>
    </row>
    <row r="10" spans="1:6" x14ac:dyDescent="0.3">
      <c r="A10" s="77"/>
      <c r="B10" s="73"/>
      <c r="C10" s="73"/>
      <c r="D10" s="73"/>
      <c r="E10" s="73"/>
      <c r="F10" s="73"/>
    </row>
    <row r="11" spans="1:6" x14ac:dyDescent="0.3">
      <c r="A11" s="78" t="s">
        <v>215</v>
      </c>
      <c r="B11" s="79">
        <f>IF(B9&gt;0,B9*TasaImpuestos,0)</f>
        <v>0</v>
      </c>
      <c r="C11" s="79">
        <f>IF(C9&gt;0,C9*0.35,0)</f>
        <v>15255.82771055</v>
      </c>
      <c r="D11" s="79">
        <f>IF(D9&gt;0,D9*0.35,0)</f>
        <v>47142.255649999999</v>
      </c>
      <c r="E11" s="79">
        <f>IF(E9&gt;0,E9*0.35,0)</f>
        <v>30207.969049999996</v>
      </c>
      <c r="F11" s="79">
        <f>IF(F9&gt;0,F9*0.35,0)</f>
        <v>24032.695749999999</v>
      </c>
    </row>
    <row r="14" spans="1:6" x14ac:dyDescent="0.3">
      <c r="C14" s="5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32A1-B2EE-4B30-94B1-F64E8B274F31}">
  <dimension ref="A1:J64"/>
  <sheetViews>
    <sheetView topLeftCell="A41" workbookViewId="0">
      <selection activeCell="H67" sqref="H67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216</v>
      </c>
    </row>
    <row r="2" spans="1:10" x14ac:dyDescent="0.3">
      <c r="H2" t="s">
        <v>217</v>
      </c>
      <c r="I2" s="80">
        <f>[1]Resumen!F11</f>
        <v>1.4580000000000001E-3</v>
      </c>
      <c r="J2" s="56">
        <f>NPV(I2,I6:I40)+I5</f>
        <v>389110.48894480098</v>
      </c>
    </row>
    <row r="4" spans="1:10" x14ac:dyDescent="0.3">
      <c r="A4" s="73" t="str">
        <f>[1]Resumen!A16</f>
        <v>MES</v>
      </c>
      <c r="B4" s="73" t="str">
        <f>[1]Resumen!J16</f>
        <v>INGRESOS ACUMULADOS</v>
      </c>
      <c r="C4" s="73" t="str">
        <f>[1]Resumen!K16</f>
        <v>EGRESOS ACUMULADOS</v>
      </c>
      <c r="D4" s="73" t="str">
        <f>[1]Resumen!L16</f>
        <v>ING-EGRESOS</v>
      </c>
      <c r="E4" t="s">
        <v>218</v>
      </c>
      <c r="H4" t="s">
        <v>174</v>
      </c>
      <c r="I4" t="s">
        <v>219</v>
      </c>
    </row>
    <row r="5" spans="1:10" x14ac:dyDescent="0.3">
      <c r="A5" s="81">
        <f>[1]Resumen!A17</f>
        <v>1</v>
      </c>
      <c r="B5" s="73">
        <f>Resumen!J17</f>
        <v>0</v>
      </c>
      <c r="C5" s="73">
        <f>-[1]Resumen!K17</f>
        <v>0</v>
      </c>
      <c r="D5" s="73">
        <f>Resumen!L17</f>
        <v>-1269.6288</v>
      </c>
      <c r="E5" s="33">
        <f>+Resumen!S17</f>
        <v>-1269.6288</v>
      </c>
      <c r="H5" s="82">
        <f>+A5</f>
        <v>1</v>
      </c>
      <c r="I5" s="33">
        <f>+Resumen!L17</f>
        <v>-1269.6288</v>
      </c>
    </row>
    <row r="6" spans="1:10" x14ac:dyDescent="0.3">
      <c r="A6" s="81">
        <f>[1]Resumen!A18</f>
        <v>2</v>
      </c>
      <c r="B6" s="73">
        <f>Resumen!J18</f>
        <v>0</v>
      </c>
      <c r="C6" s="73">
        <f>-[1]Resumen!K18</f>
        <v>0</v>
      </c>
      <c r="D6" s="73">
        <f>Resumen!L18</f>
        <v>-3477.4187999999999</v>
      </c>
      <c r="E6" s="33">
        <f>+Resumen!S18</f>
        <v>-3474.2045285877193</v>
      </c>
      <c r="H6" s="82">
        <f t="shared" ref="H6:H64" si="0">+A6</f>
        <v>2</v>
      </c>
      <c r="I6" s="33">
        <f>+Resumen!L18</f>
        <v>-3477.4187999999999</v>
      </c>
    </row>
    <row r="7" spans="1:10" x14ac:dyDescent="0.3">
      <c r="A7" s="81">
        <f>[1]Resumen!A19</f>
        <v>3</v>
      </c>
      <c r="B7" s="73">
        <f>Resumen!J19</f>
        <v>0</v>
      </c>
      <c r="C7" s="73">
        <f>-[1]Resumen!K19</f>
        <v>0</v>
      </c>
      <c r="D7" s="73">
        <f>Resumen!L19</f>
        <v>-5956.9778269999997</v>
      </c>
      <c r="E7" s="33">
        <f>+Resumen!S19</f>
        <v>-5946.5489436526368</v>
      </c>
      <c r="H7" s="82">
        <f t="shared" si="0"/>
        <v>3</v>
      </c>
      <c r="I7" s="33">
        <f>+Resumen!L19</f>
        <v>-5956.9778269999997</v>
      </c>
    </row>
    <row r="8" spans="1:10" x14ac:dyDescent="0.3">
      <c r="A8" s="81">
        <f>[1]Resumen!A20</f>
        <v>4</v>
      </c>
      <c r="B8" s="73">
        <f>Resumen!J20</f>
        <v>0</v>
      </c>
      <c r="C8" s="73">
        <f>-[1]Resumen!K20</f>
        <v>0</v>
      </c>
      <c r="D8" s="73">
        <f>Resumen!L20</f>
        <v>-7658.4378269999997</v>
      </c>
      <c r="E8" s="33">
        <f>+Resumen!S20</f>
        <v>-7640.5884064077873</v>
      </c>
      <c r="H8" s="82">
        <f t="shared" si="0"/>
        <v>4</v>
      </c>
      <c r="I8" s="33">
        <f>+Resumen!L20</f>
        <v>-7658.4378269999997</v>
      </c>
    </row>
    <row r="9" spans="1:10" x14ac:dyDescent="0.3">
      <c r="A9" s="81">
        <f>[1]Resumen!A21</f>
        <v>5</v>
      </c>
      <c r="B9" s="73">
        <f>Resumen!J21</f>
        <v>0</v>
      </c>
      <c r="C9" s="73">
        <f>-[1]Resumen!K21</f>
        <v>0</v>
      </c>
      <c r="D9" s="73">
        <f>Resumen!L21</f>
        <v>-9753.7678269999997</v>
      </c>
      <c r="E9" s="33">
        <f>+Resumen!S21</f>
        <v>-9723.7428540654328</v>
      </c>
      <c r="H9" s="82">
        <f t="shared" si="0"/>
        <v>5</v>
      </c>
      <c r="I9" s="33">
        <f>+Resumen!L21</f>
        <v>-9753.7678269999997</v>
      </c>
    </row>
    <row r="10" spans="1:10" x14ac:dyDescent="0.3">
      <c r="A10" s="81">
        <f>[1]Resumen!A22</f>
        <v>6</v>
      </c>
      <c r="B10" s="73">
        <f>Resumen!J22</f>
        <v>0</v>
      </c>
      <c r="C10" s="73">
        <f>-Resumen!K22</f>
        <v>-14050.187827</v>
      </c>
      <c r="D10" s="73">
        <f>Resumen!L22</f>
        <v>-14050.187827</v>
      </c>
      <c r="E10" s="33">
        <f>+Resumen!S22</f>
        <v>-13988.978485179479</v>
      </c>
      <c r="H10" s="82">
        <f t="shared" si="0"/>
        <v>6</v>
      </c>
      <c r="I10" s="33">
        <f>+Resumen!L22</f>
        <v>-14050.187827</v>
      </c>
    </row>
    <row r="11" spans="1:10" x14ac:dyDescent="0.3">
      <c r="A11" s="81">
        <f>[1]Resumen!A23</f>
        <v>7</v>
      </c>
      <c r="B11" s="73">
        <f>Resumen!J23</f>
        <v>0</v>
      </c>
      <c r="C11" s="73">
        <f>-Resumen!K23</f>
        <v>-15295.197827</v>
      </c>
      <c r="D11" s="73">
        <f>Resumen!L23</f>
        <v>-15295.197827</v>
      </c>
      <c r="E11" s="33">
        <f>+Resumen!S23</f>
        <v>-15223.152500863102</v>
      </c>
      <c r="H11" s="82">
        <f t="shared" si="0"/>
        <v>7</v>
      </c>
      <c r="I11" s="33">
        <f>+Resumen!L23</f>
        <v>-15295.197827</v>
      </c>
    </row>
    <row r="12" spans="1:10" x14ac:dyDescent="0.3">
      <c r="A12" s="81">
        <f>[1]Resumen!A24</f>
        <v>8</v>
      </c>
      <c r="B12" s="73">
        <f>Resumen!J24</f>
        <v>0</v>
      </c>
      <c r="C12" s="73">
        <f>-Resumen!K24</f>
        <v>-17225.607827</v>
      </c>
      <c r="D12" s="73">
        <f>Resumen!L24</f>
        <v>-17225.607827</v>
      </c>
      <c r="E12" s="33">
        <f>+Resumen!S24</f>
        <v>-17133.975136343841</v>
      </c>
      <c r="H12" s="82">
        <f t="shared" si="0"/>
        <v>8</v>
      </c>
      <c r="I12" s="33">
        <f>+Resumen!L24</f>
        <v>-17225.607827</v>
      </c>
    </row>
    <row r="13" spans="1:10" x14ac:dyDescent="0.3">
      <c r="A13" s="81">
        <f>[1]Resumen!A25</f>
        <v>9</v>
      </c>
      <c r="B13" s="73">
        <f>Resumen!J25</f>
        <v>0</v>
      </c>
      <c r="C13" s="73">
        <f>-Resumen!K25</f>
        <v>-19616.377827</v>
      </c>
      <c r="D13" s="73">
        <f>Resumen!L25</f>
        <v>-19616.377827</v>
      </c>
      <c r="E13" s="33">
        <f>+Resumen!S25</f>
        <v>-19497.041269093377</v>
      </c>
      <c r="H13" s="82">
        <f t="shared" si="0"/>
        <v>9</v>
      </c>
      <c r="I13" s="33">
        <f>+Resumen!L25</f>
        <v>-19616.377827</v>
      </c>
    </row>
    <row r="14" spans="1:10" x14ac:dyDescent="0.3">
      <c r="A14" s="81">
        <f>[1]Resumen!A26</f>
        <v>10</v>
      </c>
      <c r="B14" s="73">
        <f>Resumen!J26</f>
        <v>0</v>
      </c>
      <c r="C14" s="73">
        <f>-Resumen!K26</f>
        <v>-22105.717827</v>
      </c>
      <c r="D14" s="73">
        <f>Resumen!L26</f>
        <v>-22105.717827</v>
      </c>
      <c r="E14" s="33">
        <f>+Resumen!S26</f>
        <v>-21953.953010845471</v>
      </c>
      <c r="H14" s="82">
        <f t="shared" si="0"/>
        <v>10</v>
      </c>
      <c r="I14" s="33">
        <f>+Resumen!L26</f>
        <v>-22105.717827</v>
      </c>
    </row>
    <row r="15" spans="1:10" x14ac:dyDescent="0.3">
      <c r="A15" s="81">
        <f>[1]Resumen!A27</f>
        <v>11</v>
      </c>
      <c r="B15" s="73">
        <f>Resumen!J27</f>
        <v>0</v>
      </c>
      <c r="C15" s="73">
        <f>-Resumen!K27</f>
        <v>-23710.937827000002</v>
      </c>
      <c r="D15" s="73">
        <f>Resumen!L27</f>
        <v>-23710.937827000002</v>
      </c>
      <c r="E15" s="33">
        <f>+Resumen!S27</f>
        <v>-23535.955491414268</v>
      </c>
      <c r="H15" s="82">
        <f t="shared" si="0"/>
        <v>11</v>
      </c>
      <c r="I15" s="33">
        <f>+Resumen!L27</f>
        <v>-23710.937827000002</v>
      </c>
    </row>
    <row r="16" spans="1:10" x14ac:dyDescent="0.3">
      <c r="A16" s="81">
        <f>[1]Resumen!A28</f>
        <v>12</v>
      </c>
      <c r="B16" s="73">
        <f>Resumen!J28</f>
        <v>0</v>
      </c>
      <c r="C16" s="73">
        <f>-Resumen!K28</f>
        <v>-31918.247827000003</v>
      </c>
      <c r="D16" s="73">
        <f>Resumen!L28</f>
        <v>-31918.247827000003</v>
      </c>
      <c r="E16" s="33">
        <f>+Resumen!S28</f>
        <v>-31612.780904562333</v>
      </c>
      <c r="H16" s="82">
        <f t="shared" si="0"/>
        <v>12</v>
      </c>
      <c r="I16" s="33">
        <f>+Resumen!L28</f>
        <v>-31918.247827000003</v>
      </c>
    </row>
    <row r="17" spans="1:9" x14ac:dyDescent="0.3">
      <c r="A17" s="81">
        <f>[1]Resumen!A29</f>
        <v>13</v>
      </c>
      <c r="B17" s="73">
        <f>Resumen!J29</f>
        <v>0</v>
      </c>
      <c r="C17" s="73">
        <f>-Resumen!K29</f>
        <v>-33944.547827000002</v>
      </c>
      <c r="D17" s="73">
        <f>Resumen!L29</f>
        <v>-33944.547827000002</v>
      </c>
      <c r="E17" s="33">
        <f>+Resumen!S29</f>
        <v>-33603.962466171521</v>
      </c>
      <c r="H17" s="82">
        <f t="shared" si="0"/>
        <v>13</v>
      </c>
      <c r="I17" s="33">
        <f>+Resumen!L29</f>
        <v>-33944.547827000002</v>
      </c>
    </row>
    <row r="18" spans="1:9" x14ac:dyDescent="0.3">
      <c r="A18" s="81">
        <f>[1]Resumen!A30</f>
        <v>14</v>
      </c>
      <c r="B18" s="73">
        <f>Resumen!J30</f>
        <v>0</v>
      </c>
      <c r="C18" s="73">
        <f>-Resumen!K30</f>
        <v>-35216.925826999999</v>
      </c>
      <c r="D18" s="73">
        <f>Resumen!L30</f>
        <v>-35216.925826999999</v>
      </c>
      <c r="E18" s="33">
        <f>+Resumen!S30</f>
        <v>-34852.468164207996</v>
      </c>
      <c r="H18" s="82">
        <f t="shared" si="0"/>
        <v>14</v>
      </c>
      <c r="I18" s="33">
        <f>+Resumen!L30</f>
        <v>-35216.925826999999</v>
      </c>
    </row>
    <row r="19" spans="1:9" x14ac:dyDescent="0.3">
      <c r="A19" s="81">
        <f>[1]Resumen!A31</f>
        <v>15</v>
      </c>
      <c r="B19" s="73">
        <f>Resumen!J31</f>
        <v>0</v>
      </c>
      <c r="C19" s="73">
        <f>-Resumen!K31</f>
        <v>-36561.905827000002</v>
      </c>
      <c r="D19" s="73">
        <f>Resumen!L31</f>
        <v>-36561.905827000002</v>
      </c>
      <c r="E19" s="33">
        <f>+Resumen!S31</f>
        <v>-36170.292318988177</v>
      </c>
      <c r="H19" s="82">
        <f t="shared" si="0"/>
        <v>15</v>
      </c>
      <c r="I19" s="33">
        <f>+Resumen!L31</f>
        <v>-36561.905827000002</v>
      </c>
    </row>
    <row r="20" spans="1:9" x14ac:dyDescent="0.3">
      <c r="A20" s="81">
        <f>[1]Resumen!A32</f>
        <v>16</v>
      </c>
      <c r="B20" s="73">
        <f>Resumen!J32</f>
        <v>0</v>
      </c>
      <c r="C20" s="73">
        <f>-Resumen!K32</f>
        <v>-38008.805827000004</v>
      </c>
      <c r="D20" s="73">
        <f>Resumen!L32</f>
        <v>-38008.805827000004</v>
      </c>
      <c r="E20" s="33">
        <f>+Resumen!S32</f>
        <v>-37585.91467859767</v>
      </c>
      <c r="H20" s="82">
        <f t="shared" si="0"/>
        <v>16</v>
      </c>
      <c r="I20" s="33">
        <f>+Resumen!L32</f>
        <v>-38008.805827000004</v>
      </c>
    </row>
    <row r="21" spans="1:9" x14ac:dyDescent="0.3">
      <c r="A21" s="81">
        <f>[1]Resumen!A33</f>
        <v>17</v>
      </c>
      <c r="B21" s="73">
        <f>Resumen!J33</f>
        <v>0</v>
      </c>
      <c r="C21" s="73">
        <f>-Resumen!K33</f>
        <v>-38848.605827000007</v>
      </c>
      <c r="D21" s="73">
        <f>Resumen!L33</f>
        <v>-38848.605827000007</v>
      </c>
      <c r="E21" s="33">
        <f>+Resumen!S33</f>
        <v>-38406.364504357938</v>
      </c>
      <c r="H21" s="82">
        <f t="shared" si="0"/>
        <v>17</v>
      </c>
      <c r="I21" s="33">
        <f>+Resumen!L33</f>
        <v>-38848.605827000007</v>
      </c>
    </row>
    <row r="22" spans="1:9" x14ac:dyDescent="0.3">
      <c r="A22" s="81">
        <f>[1]Resumen!A34</f>
        <v>18</v>
      </c>
      <c r="B22" s="73">
        <f>Resumen!J34</f>
        <v>0</v>
      </c>
      <c r="C22" s="73">
        <f>-Resumen!K34</f>
        <v>-46166.40582700001</v>
      </c>
      <c r="D22" s="73">
        <f>Resumen!L34</f>
        <v>-46166.40582700001</v>
      </c>
      <c r="E22" s="33">
        <f>+Resumen!S34</f>
        <v>-45545.143750485855</v>
      </c>
      <c r="H22" s="82">
        <f t="shared" si="0"/>
        <v>18</v>
      </c>
      <c r="I22" s="33">
        <f>+Resumen!L34</f>
        <v>-46166.40582700001</v>
      </c>
    </row>
    <row r="23" spans="1:9" x14ac:dyDescent="0.3">
      <c r="A23" s="81">
        <f>[1]Resumen!A35</f>
        <v>19</v>
      </c>
      <c r="B23" s="73">
        <f>Resumen!J35</f>
        <v>0</v>
      </c>
      <c r="C23" s="73">
        <f>-Resumen!K35</f>
        <v>-47141.625827000011</v>
      </c>
      <c r="D23" s="73">
        <f>Resumen!L35</f>
        <v>-47141.625827000011</v>
      </c>
      <c r="E23" s="33">
        <f>+Resumen!S35</f>
        <v>-46495.121155266694</v>
      </c>
      <c r="H23" s="82">
        <f t="shared" si="0"/>
        <v>19</v>
      </c>
      <c r="I23" s="33">
        <f>+Resumen!L35</f>
        <v>-47141.625827000011</v>
      </c>
    </row>
    <row r="24" spans="1:9" x14ac:dyDescent="0.3">
      <c r="A24" s="81">
        <f>[1]Resumen!A36</f>
        <v>20</v>
      </c>
      <c r="B24" s="73">
        <f>Resumen!J36</f>
        <v>42473.1</v>
      </c>
      <c r="C24" s="73">
        <f>-Resumen!K36</f>
        <v>-48415.81882700001</v>
      </c>
      <c r="D24" s="73">
        <f>Resumen!L36</f>
        <v>-5942.7188270000115</v>
      </c>
      <c r="E24" s="33">
        <f>+Resumen!S36</f>
        <v>-6421.0347133134928</v>
      </c>
      <c r="H24" s="82">
        <f t="shared" si="0"/>
        <v>20</v>
      </c>
      <c r="I24" s="33">
        <f>+Resumen!L36</f>
        <v>-5942.7188270000115</v>
      </c>
    </row>
    <row r="25" spans="1:9" x14ac:dyDescent="0.3">
      <c r="A25" s="81">
        <f>[1]Resumen!A37</f>
        <v>21</v>
      </c>
      <c r="B25" s="73">
        <f>Resumen!J37</f>
        <v>70788.5</v>
      </c>
      <c r="C25" s="73">
        <f>-Resumen!K37</f>
        <v>-80036.406654000006</v>
      </c>
      <c r="D25" s="73">
        <f>Resumen!L37</f>
        <v>-9247.9066540000058</v>
      </c>
      <c r="E25" s="33">
        <f>+Resumen!S37</f>
        <v>-9631.3030892371462</v>
      </c>
      <c r="H25" s="82">
        <f t="shared" si="0"/>
        <v>21</v>
      </c>
      <c r="I25" s="33">
        <f>+Resumen!L37</f>
        <v>-9247.9066540000058</v>
      </c>
    </row>
    <row r="26" spans="1:9" x14ac:dyDescent="0.3">
      <c r="A26" s="81">
        <f>[1]Resumen!A38</f>
        <v>22</v>
      </c>
      <c r="B26" s="73">
        <f>Resumen!J38</f>
        <v>84946.2</v>
      </c>
      <c r="C26" s="73">
        <f>-Resumen!K38</f>
        <v>-80461.137654000006</v>
      </c>
      <c r="D26" s="73">
        <f>Resumen!L38</f>
        <v>4485.0623459999915</v>
      </c>
      <c r="E26" s="33">
        <f>+Resumen!S38</f>
        <v>3687.8587354717019</v>
      </c>
      <c r="H26" s="82">
        <f t="shared" si="0"/>
        <v>22</v>
      </c>
      <c r="I26" s="33">
        <f>+Resumen!L38</f>
        <v>4485.0623459999915</v>
      </c>
    </row>
    <row r="27" spans="1:9" x14ac:dyDescent="0.3">
      <c r="A27" s="81">
        <f>[1]Resumen!A39</f>
        <v>23</v>
      </c>
      <c r="B27" s="73">
        <f>Resumen!J39</f>
        <v>99103.9</v>
      </c>
      <c r="C27" s="73">
        <f>-Resumen!K39</f>
        <v>-80885.868654000005</v>
      </c>
      <c r="D27" s="73">
        <f>Resumen!L39</f>
        <v>18218.031345999989</v>
      </c>
      <c r="E27" s="33">
        <f>+Resumen!S39</f>
        <v>16987.629494413995</v>
      </c>
      <c r="H27" s="82">
        <f t="shared" si="0"/>
        <v>23</v>
      </c>
      <c r="I27" s="33">
        <f>+Resumen!L39</f>
        <v>18218.031345999989</v>
      </c>
    </row>
    <row r="28" spans="1:9" x14ac:dyDescent="0.3">
      <c r="A28" s="81">
        <f>[1]Resumen!A40</f>
        <v>24</v>
      </c>
      <c r="B28" s="73">
        <f>Resumen!J40</f>
        <v>99103.9</v>
      </c>
      <c r="C28" s="73">
        <f>-Resumen!K40</f>
        <v>-116496.10270399999</v>
      </c>
      <c r="D28" s="73">
        <f>Resumen!L40</f>
        <v>-17392.202703999996</v>
      </c>
      <c r="E28" s="33">
        <f>+Resumen!S40</f>
        <v>-17449.092416182248</v>
      </c>
      <c r="H28" s="82">
        <f t="shared" si="0"/>
        <v>24</v>
      </c>
      <c r="I28" s="33">
        <f>+Resumen!L40</f>
        <v>-17392.202703999996</v>
      </c>
    </row>
    <row r="29" spans="1:9" x14ac:dyDescent="0.3">
      <c r="A29" s="81">
        <f>[1]Resumen!A41</f>
        <v>25</v>
      </c>
      <c r="B29" s="73">
        <f>Resumen!J41</f>
        <v>99103.9</v>
      </c>
      <c r="C29" s="73">
        <f>-Resumen!K41</f>
        <v>-116496.10270399999</v>
      </c>
      <c r="D29" s="73">
        <f>Resumen!L41</f>
        <v>-17392.202703999996</v>
      </c>
      <c r="E29" s="33">
        <f>+Resumen!S41</f>
        <v>-17449.092416182248</v>
      </c>
      <c r="H29" s="82">
        <f t="shared" si="0"/>
        <v>25</v>
      </c>
      <c r="I29" s="33">
        <f>+Resumen!L41</f>
        <v>-17392.202703999996</v>
      </c>
    </row>
    <row r="30" spans="1:9" x14ac:dyDescent="0.3">
      <c r="A30" s="81">
        <f>[1]Resumen!A42</f>
        <v>26</v>
      </c>
      <c r="B30" s="73">
        <f>Resumen!J42</f>
        <v>155734.70000000001</v>
      </c>
      <c r="C30" s="73">
        <f>-Resumen!K42</f>
        <v>-118195.02670399999</v>
      </c>
      <c r="D30" s="73">
        <f>Resumen!L42</f>
        <v>37539.673296000023</v>
      </c>
      <c r="E30" s="33">
        <f>+Resumen!S42</f>
        <v>35517.974717327277</v>
      </c>
      <c r="H30" s="82">
        <f t="shared" si="0"/>
        <v>26</v>
      </c>
      <c r="I30" s="33">
        <f>+Resumen!L42</f>
        <v>37539.673296000023</v>
      </c>
    </row>
    <row r="31" spans="1:9" x14ac:dyDescent="0.3">
      <c r="A31" s="81">
        <f>[1]Resumen!A43</f>
        <v>27</v>
      </c>
      <c r="B31" s="73">
        <f>Resumen!J43</f>
        <v>169892.40000000002</v>
      </c>
      <c r="C31" s="73">
        <f>-Resumen!K43</f>
        <v>-118619.75770399999</v>
      </c>
      <c r="D31" s="73">
        <f>Resumen!L43</f>
        <v>51272.642296000035</v>
      </c>
      <c r="E31" s="33">
        <f>+Resumen!S43</f>
        <v>48740.463112624318</v>
      </c>
      <c r="H31" s="82">
        <f t="shared" si="0"/>
        <v>27</v>
      </c>
      <c r="I31" s="33">
        <f>+Resumen!L43</f>
        <v>51272.642296000035</v>
      </c>
    </row>
    <row r="32" spans="1:9" x14ac:dyDescent="0.3">
      <c r="A32" s="81">
        <f>[1]Resumen!A44</f>
        <v>28</v>
      </c>
      <c r="B32" s="73">
        <f>Resumen!J44</f>
        <v>184050.10000000003</v>
      </c>
      <c r="C32" s="73">
        <f>-Resumen!K44</f>
        <v>-119044.48870399999</v>
      </c>
      <c r="D32" s="73">
        <f>Resumen!L44</f>
        <v>65005.611296000046</v>
      </c>
      <c r="E32" s="33">
        <f>+Resumen!S44</f>
        <v>61943.701186809179</v>
      </c>
      <c r="H32" s="82">
        <f t="shared" si="0"/>
        <v>28</v>
      </c>
      <c r="I32" s="33">
        <f>+Resumen!L44</f>
        <v>65005.611296000046</v>
      </c>
    </row>
    <row r="33" spans="1:9" x14ac:dyDescent="0.3">
      <c r="A33" s="81">
        <f>[1]Resumen!A45</f>
        <v>29</v>
      </c>
      <c r="B33" s="73">
        <f>Resumen!J45</f>
        <v>198207.80000000005</v>
      </c>
      <c r="C33" s="73">
        <f>-Resumen!K45</f>
        <v>-119469.21970399999</v>
      </c>
      <c r="D33" s="73">
        <f>Resumen!L45</f>
        <v>78738.580296000058</v>
      </c>
      <c r="E33" s="33">
        <f>+Resumen!S45</f>
        <v>75127.716965988016</v>
      </c>
      <c r="H33" s="82">
        <f t="shared" si="0"/>
        <v>29</v>
      </c>
      <c r="I33" s="33">
        <f>+Resumen!L45</f>
        <v>78738.580296000058</v>
      </c>
    </row>
    <row r="34" spans="1:9" x14ac:dyDescent="0.3">
      <c r="A34" s="81">
        <f>[1]Resumen!A46</f>
        <v>30</v>
      </c>
      <c r="B34" s="73">
        <f>Resumen!J46</f>
        <v>198207.80000000005</v>
      </c>
      <c r="C34" s="73">
        <f>-Resumen!K46</f>
        <v>-129291.51970399999</v>
      </c>
      <c r="D34" s="73">
        <f>Resumen!L46</f>
        <v>68916.280296000055</v>
      </c>
      <c r="E34" s="33">
        <f>+Resumen!S46</f>
        <v>65711.775961560095</v>
      </c>
      <c r="H34" s="82">
        <f t="shared" si="0"/>
        <v>30</v>
      </c>
      <c r="I34" s="33">
        <f>+Resumen!L46</f>
        <v>68916.280296000055</v>
      </c>
    </row>
    <row r="35" spans="1:9" x14ac:dyDescent="0.3">
      <c r="A35" s="81">
        <f>[1]Resumen!A47</f>
        <v>31</v>
      </c>
      <c r="B35" s="73">
        <f>Resumen!J47</f>
        <v>198207.80000000005</v>
      </c>
      <c r="C35" s="73">
        <f>-Resumen!K47</f>
        <v>-129291.51970399999</v>
      </c>
      <c r="D35" s="73">
        <f>Resumen!L47</f>
        <v>68916.280296000055</v>
      </c>
      <c r="E35" s="33">
        <f>+Resumen!S47</f>
        <v>65711.775961560095</v>
      </c>
      <c r="H35" s="82">
        <f t="shared" si="0"/>
        <v>31</v>
      </c>
      <c r="I35" s="33">
        <f>+Resumen!L47</f>
        <v>68916.280296000055</v>
      </c>
    </row>
    <row r="36" spans="1:9" x14ac:dyDescent="0.3">
      <c r="A36" s="81">
        <f>[1]Resumen!A48</f>
        <v>32</v>
      </c>
      <c r="B36" s="73">
        <f>Resumen!J48</f>
        <v>226523.20000000004</v>
      </c>
      <c r="C36" s="73">
        <f>-Resumen!K48</f>
        <v>-130140.98170399999</v>
      </c>
      <c r="D36" s="73">
        <f>Resumen!L48</f>
        <v>96382.21829600005</v>
      </c>
      <c r="E36" s="33">
        <f>+Resumen!S48</f>
        <v>91964.809247697354</v>
      </c>
      <c r="H36" s="82">
        <f t="shared" si="0"/>
        <v>32</v>
      </c>
      <c r="I36" s="33">
        <f>+Resumen!L48</f>
        <v>96382.21829600005</v>
      </c>
    </row>
    <row r="37" spans="1:9" x14ac:dyDescent="0.3">
      <c r="A37" s="81">
        <f>[1]Resumen!A49</f>
        <v>33</v>
      </c>
      <c r="B37" s="73">
        <f>Resumen!J49</f>
        <v>240680.90000000005</v>
      </c>
      <c r="C37" s="73">
        <f>-Resumen!K49</f>
        <v>-130565.71270399999</v>
      </c>
      <c r="D37" s="73">
        <f>Resumen!L49</f>
        <v>110115.18729600006</v>
      </c>
      <c r="E37" s="33">
        <f>+Resumen!S49</f>
        <v>105072.2152927523</v>
      </c>
      <c r="H37" s="82">
        <f t="shared" si="0"/>
        <v>33</v>
      </c>
      <c r="I37" s="33">
        <f>+Resumen!L49</f>
        <v>110115.18729600006</v>
      </c>
    </row>
    <row r="38" spans="1:9" x14ac:dyDescent="0.3">
      <c r="A38" s="81">
        <f>[1]Resumen!A50</f>
        <v>34</v>
      </c>
      <c r="B38" s="73">
        <f>Resumen!J50</f>
        <v>254838.60000000006</v>
      </c>
      <c r="C38" s="73">
        <f>-Resumen!K50</f>
        <v>-130990.44370399999</v>
      </c>
      <c r="D38" s="73">
        <f>Resumen!L50</f>
        <v>123848.15629600007</v>
      </c>
      <c r="E38" s="33">
        <f>+Resumen!S50</f>
        <v>118160.53856247997</v>
      </c>
      <c r="H38" s="82">
        <f t="shared" si="0"/>
        <v>34</v>
      </c>
      <c r="I38" s="33">
        <f>+Resumen!L50</f>
        <v>123848.15629600007</v>
      </c>
    </row>
    <row r="39" spans="1:9" x14ac:dyDescent="0.3">
      <c r="A39" s="81">
        <f>[1]Resumen!A51</f>
        <v>35</v>
      </c>
      <c r="B39" s="73">
        <f>Resumen!J51</f>
        <v>254838.60000000006</v>
      </c>
      <c r="C39" s="73">
        <f>-Resumen!K51</f>
        <v>-130990.44370399999</v>
      </c>
      <c r="D39" s="73">
        <f>Resumen!L51</f>
        <v>123848.15629600007</v>
      </c>
      <c r="E39" s="33">
        <f>+Resumen!S51</f>
        <v>118160.53856247997</v>
      </c>
      <c r="H39" s="82">
        <f t="shared" si="0"/>
        <v>35</v>
      </c>
      <c r="I39" s="33">
        <f>+Resumen!L51</f>
        <v>123848.15629600007</v>
      </c>
    </row>
    <row r="40" spans="1:9" x14ac:dyDescent="0.3">
      <c r="A40" s="81">
        <f>[1]Resumen!A52</f>
        <v>36</v>
      </c>
      <c r="B40" s="73">
        <f>Resumen!J52</f>
        <v>254838.60000000006</v>
      </c>
      <c r="C40" s="73">
        <f>-Resumen!K52</f>
        <v>-184680.89935399999</v>
      </c>
      <c r="D40" s="73">
        <f>Resumen!L52</f>
        <v>70157.70064600007</v>
      </c>
      <c r="E40" s="33">
        <f>+Resumen!S52</f>
        <v>67139.278193839273</v>
      </c>
      <c r="H40" s="82">
        <f t="shared" si="0"/>
        <v>36</v>
      </c>
      <c r="I40" s="33">
        <f>+Resumen!L52</f>
        <v>70157.70064600007</v>
      </c>
    </row>
    <row r="41" spans="1:9" x14ac:dyDescent="0.3">
      <c r="A41" s="81">
        <f>[1]Resumen!A53</f>
        <v>37</v>
      </c>
      <c r="B41" s="73">
        <f>Resumen!J53</f>
        <v>254838.60000000006</v>
      </c>
      <c r="C41" s="73">
        <f>-Resumen!K53</f>
        <v>-184680.89935399999</v>
      </c>
      <c r="D41" s="73">
        <f>Resumen!L53</f>
        <v>70157.70064600007</v>
      </c>
      <c r="E41" s="33">
        <f>+Resumen!S53</f>
        <v>67139.278193839273</v>
      </c>
      <c r="H41" s="82">
        <f t="shared" si="0"/>
        <v>37</v>
      </c>
      <c r="I41" s="33">
        <f>+Resumen!L53</f>
        <v>70157.70064600007</v>
      </c>
    </row>
    <row r="42" spans="1:9" x14ac:dyDescent="0.3">
      <c r="A42" s="81">
        <f>[1]Resumen!A54</f>
        <v>38</v>
      </c>
      <c r="B42" s="73">
        <f>Resumen!J54</f>
        <v>268996.30000000005</v>
      </c>
      <c r="C42" s="73">
        <f>-Resumen!K54</f>
        <v>-185105.63035399999</v>
      </c>
      <c r="D42" s="73">
        <f>Resumen!L54</f>
        <v>83890.669646000053</v>
      </c>
      <c r="E42" s="33">
        <f>+Resumen!S54</f>
        <v>80151.547779877903</v>
      </c>
      <c r="H42" s="82">
        <f t="shared" si="0"/>
        <v>38</v>
      </c>
      <c r="I42" s="33">
        <f>+Resumen!L54</f>
        <v>83890.669646000053</v>
      </c>
    </row>
    <row r="43" spans="1:9" x14ac:dyDescent="0.3">
      <c r="A43" s="81">
        <f>[1]Resumen!A55</f>
        <v>39</v>
      </c>
      <c r="B43" s="73">
        <f>Resumen!J55</f>
        <v>283154.00000000006</v>
      </c>
      <c r="C43" s="73">
        <f>-Resumen!K55</f>
        <v>-185530.36135399999</v>
      </c>
      <c r="D43" s="73">
        <f>Resumen!L55</f>
        <v>97623.638646000065</v>
      </c>
      <c r="E43" s="33">
        <f>+Resumen!S55</f>
        <v>93144.873097603238</v>
      </c>
      <c r="H43" s="82">
        <f t="shared" si="0"/>
        <v>39</v>
      </c>
      <c r="I43" s="33">
        <f>+Resumen!L55</f>
        <v>97623.638646000065</v>
      </c>
    </row>
    <row r="44" spans="1:9" x14ac:dyDescent="0.3">
      <c r="A44" s="81">
        <f>[1]Resumen!A56</f>
        <v>40</v>
      </c>
      <c r="B44" s="73">
        <f>Resumen!J56</f>
        <v>297311.70000000007</v>
      </c>
      <c r="C44" s="73">
        <f>-Resumen!K56</f>
        <v>-185955.09235399999</v>
      </c>
      <c r="D44" s="73">
        <f>Resumen!L56</f>
        <v>111356.60764600008</v>
      </c>
      <c r="E44" s="33">
        <f>+Resumen!S56</f>
        <v>106119.28172754616</v>
      </c>
      <c r="H44" s="82">
        <f t="shared" si="0"/>
        <v>40</v>
      </c>
      <c r="I44" s="33">
        <f>+Resumen!L56</f>
        <v>111356.60764600008</v>
      </c>
    </row>
    <row r="45" spans="1:9" x14ac:dyDescent="0.3">
      <c r="A45" s="81">
        <f>[1]Resumen!A57</f>
        <v>41</v>
      </c>
      <c r="B45" s="73">
        <f>Resumen!J57</f>
        <v>311469.40000000008</v>
      </c>
      <c r="C45" s="73">
        <f>-Resumen!K57</f>
        <v>-186379.82335399999</v>
      </c>
      <c r="D45" s="73">
        <f>Resumen!L57</f>
        <v>125089.57664600009</v>
      </c>
      <c r="E45" s="33">
        <f>+Resumen!S57</f>
        <v>119074.80121008353</v>
      </c>
      <c r="H45" s="82">
        <f t="shared" si="0"/>
        <v>41</v>
      </c>
      <c r="I45" s="33">
        <f>+Resumen!L57</f>
        <v>125089.57664600009</v>
      </c>
    </row>
    <row r="46" spans="1:9" x14ac:dyDescent="0.3">
      <c r="A46" s="81">
        <f>[1]Resumen!A58</f>
        <v>42</v>
      </c>
      <c r="B46" s="73">
        <f>Resumen!J58</f>
        <v>311469.40000000008</v>
      </c>
      <c r="C46" s="73">
        <f>-Resumen!K58</f>
        <v>-192928.023354</v>
      </c>
      <c r="D46" s="73">
        <f>Resumen!L58</f>
        <v>118541.37664600008</v>
      </c>
      <c r="E46" s="33">
        <f>+Resumen!S58</f>
        <v>112906.30095075478</v>
      </c>
      <c r="H46" s="82">
        <f t="shared" si="0"/>
        <v>42</v>
      </c>
      <c r="I46" s="33">
        <f>+Resumen!L58</f>
        <v>118541.37664600008</v>
      </c>
    </row>
    <row r="47" spans="1:9" x14ac:dyDescent="0.3">
      <c r="A47" s="81">
        <f>[1]Resumen!A59</f>
        <v>43</v>
      </c>
      <c r="B47" s="73">
        <f>Resumen!J59</f>
        <v>311469.40000000008</v>
      </c>
      <c r="C47" s="73">
        <f>-Resumen!K59</f>
        <v>-192928.023354</v>
      </c>
      <c r="D47" s="73">
        <f>Resumen!L59</f>
        <v>118541.37664600008</v>
      </c>
      <c r="E47" s="33">
        <f>+Resumen!S59</f>
        <v>112906.30095075478</v>
      </c>
      <c r="H47" s="82">
        <f t="shared" si="0"/>
        <v>43</v>
      </c>
      <c r="I47" s="33">
        <f>+Resumen!L59</f>
        <v>118541.37664600008</v>
      </c>
    </row>
    <row r="48" spans="1:9" x14ac:dyDescent="0.3">
      <c r="A48" s="81">
        <f>[1]Resumen!A60</f>
        <v>44</v>
      </c>
      <c r="B48" s="73">
        <f>Resumen!J60</f>
        <v>334121.72000000009</v>
      </c>
      <c r="C48" s="73">
        <f>-Resumen!K60</f>
        <v>-193607.59295399999</v>
      </c>
      <c r="D48" s="73">
        <f>Resumen!L60</f>
        <v>140514.1270460001</v>
      </c>
      <c r="E48" s="33">
        <f>+Resumen!S60</f>
        <v>133544.72796182666</v>
      </c>
      <c r="H48" s="82">
        <f t="shared" si="0"/>
        <v>44</v>
      </c>
      <c r="I48" s="33">
        <f>+Resumen!L60</f>
        <v>140514.1270460001</v>
      </c>
    </row>
    <row r="49" spans="1:9" x14ac:dyDescent="0.3">
      <c r="A49" s="81">
        <f>[1]Resumen!A61</f>
        <v>45</v>
      </c>
      <c r="B49" s="73">
        <f>Resumen!J61</f>
        <v>339784.8000000001</v>
      </c>
      <c r="C49" s="73">
        <f>-Resumen!K61</f>
        <v>-193777.485354</v>
      </c>
      <c r="D49" s="73">
        <f>Resumen!L61</f>
        <v>146007.3146460001</v>
      </c>
      <c r="E49" s="33">
        <f>+Resumen!S61</f>
        <v>138696.82296008719</v>
      </c>
      <c r="H49" s="82">
        <f t="shared" si="0"/>
        <v>45</v>
      </c>
      <c r="I49" s="33">
        <f>+Resumen!L61</f>
        <v>146007.3146460001</v>
      </c>
    </row>
    <row r="50" spans="1:9" x14ac:dyDescent="0.3">
      <c r="A50" s="81">
        <f>[1]Resumen!A62</f>
        <v>46</v>
      </c>
      <c r="B50" s="73">
        <f>Resumen!J62</f>
        <v>348279.4200000001</v>
      </c>
      <c r="C50" s="73">
        <f>-Resumen!K62</f>
        <v>-194032.32395399999</v>
      </c>
      <c r="D50" s="73">
        <f>Resumen!L62</f>
        <v>154247.09604600011</v>
      </c>
      <c r="E50" s="33">
        <f>+Resumen!S62</f>
        <v>146413.71423000642</v>
      </c>
      <c r="H50" s="82">
        <f t="shared" si="0"/>
        <v>46</v>
      </c>
      <c r="I50" s="33">
        <f>+Resumen!L62</f>
        <v>154247.09604600011</v>
      </c>
    </row>
    <row r="51" spans="1:9" x14ac:dyDescent="0.3">
      <c r="A51" s="81">
        <f>[1]Resumen!A63</f>
        <v>47</v>
      </c>
      <c r="B51" s="73">
        <f>Resumen!J63</f>
        <v>353942.50000000012</v>
      </c>
      <c r="C51" s="73">
        <f>-Resumen!K63</f>
        <v>-194202.216354</v>
      </c>
      <c r="D51" s="73">
        <f>Resumen!L63</f>
        <v>159740.28364600011</v>
      </c>
      <c r="E51" s="33">
        <f>+Resumen!S63</f>
        <v>151550.81851190957</v>
      </c>
      <c r="H51" s="82">
        <f t="shared" si="0"/>
        <v>47</v>
      </c>
      <c r="I51" s="33">
        <f>+Resumen!L63</f>
        <v>159740.28364600011</v>
      </c>
    </row>
    <row r="52" spans="1:9" x14ac:dyDescent="0.3">
      <c r="A52" s="81">
        <f>[1]Resumen!A64</f>
        <v>48</v>
      </c>
      <c r="B52" s="73">
        <f>Resumen!J64</f>
        <v>353942.50000000012</v>
      </c>
      <c r="C52" s="73">
        <f>-Resumen!K64</f>
        <v>-227684.28540399999</v>
      </c>
      <c r="D52" s="73">
        <f>Resumen!L64</f>
        <v>126258.21459600012</v>
      </c>
      <c r="E52" s="33">
        <f>+Resumen!S64</f>
        <v>120284.73393448867</v>
      </c>
      <c r="H52" s="82">
        <f t="shared" si="0"/>
        <v>48</v>
      </c>
      <c r="I52" s="33">
        <f>+Resumen!L64</f>
        <v>126258.21459600012</v>
      </c>
    </row>
    <row r="53" spans="1:9" x14ac:dyDescent="0.3">
      <c r="A53" s="81">
        <f>[1]Resumen!A65</f>
        <v>49</v>
      </c>
      <c r="B53" s="73">
        <f>Resumen!J65</f>
        <v>353942.50000000012</v>
      </c>
      <c r="C53" s="73">
        <f>-Resumen!K65</f>
        <v>-227684.28540399999</v>
      </c>
      <c r="D53" s="73">
        <f>Resumen!L65</f>
        <v>126258.21459600012</v>
      </c>
      <c r="E53" s="33">
        <f>+Resumen!S65</f>
        <v>120284.73393448867</v>
      </c>
      <c r="H53" s="82">
        <f t="shared" si="0"/>
        <v>49</v>
      </c>
      <c r="I53" s="33">
        <f>+Resumen!L65</f>
        <v>126258.21459600012</v>
      </c>
    </row>
    <row r="54" spans="1:9" x14ac:dyDescent="0.3">
      <c r="A54" s="81">
        <f>[1]Resumen!A66</f>
        <v>50</v>
      </c>
      <c r="B54" s="73">
        <f>Resumen!J66</f>
        <v>353942.50000000012</v>
      </c>
      <c r="C54" s="73">
        <f>-Resumen!K66</f>
        <v>-227684.28540399999</v>
      </c>
      <c r="D54" s="73">
        <f>Resumen!L66</f>
        <v>126258.21459600012</v>
      </c>
      <c r="E54" s="33">
        <f>+Resumen!S66</f>
        <v>120284.73393448867</v>
      </c>
      <c r="H54" s="82">
        <f t="shared" si="0"/>
        <v>50</v>
      </c>
      <c r="I54" s="33">
        <f>+Resumen!L66</f>
        <v>126258.21459600012</v>
      </c>
    </row>
    <row r="55" spans="1:9" x14ac:dyDescent="0.3">
      <c r="A55" s="81">
        <f>[1]Resumen!A67</f>
        <v>51</v>
      </c>
      <c r="B55" s="73">
        <f>Resumen!J67</f>
        <v>368100.20000000013</v>
      </c>
      <c r="C55" s="73">
        <f>-Resumen!K67</f>
        <v>-228109.01640399999</v>
      </c>
      <c r="D55" s="73">
        <f>Resumen!L67</f>
        <v>139991.18359600013</v>
      </c>
      <c r="E55" s="33">
        <f>+Resumen!S67</f>
        <v>133052.86787153874</v>
      </c>
      <c r="H55" s="82">
        <f t="shared" si="0"/>
        <v>51</v>
      </c>
      <c r="I55" s="33">
        <f>+Resumen!L67</f>
        <v>139991.18359600013</v>
      </c>
    </row>
    <row r="56" spans="1:9" x14ac:dyDescent="0.3">
      <c r="A56" s="81">
        <f>[1]Resumen!A68</f>
        <v>52</v>
      </c>
      <c r="B56" s="73">
        <f>Resumen!J68</f>
        <v>382257.90000000014</v>
      </c>
      <c r="C56" s="73">
        <f>-Resumen!K68</f>
        <v>-228533.74740399999</v>
      </c>
      <c r="D56" s="73">
        <f>Resumen!L68</f>
        <v>153724.15259600015</v>
      </c>
      <c r="E56" s="33">
        <f>+Resumen!S68</f>
        <v>145802.41297183256</v>
      </c>
      <c r="H56" s="82">
        <f t="shared" si="0"/>
        <v>52</v>
      </c>
      <c r="I56" s="33">
        <f>+Resumen!L68</f>
        <v>153724.15259600015</v>
      </c>
    </row>
    <row r="57" spans="1:9" x14ac:dyDescent="0.3">
      <c r="A57" s="81">
        <f>[1]Resumen!A69</f>
        <v>53</v>
      </c>
      <c r="B57" s="73">
        <f>Resumen!J69</f>
        <v>382257.90000000014</v>
      </c>
      <c r="C57" s="73">
        <f>-Resumen!K69</f>
        <v>-228533.74740399999</v>
      </c>
      <c r="D57" s="73">
        <f>Resumen!L69</f>
        <v>153724.15259600015</v>
      </c>
      <c r="E57" s="33">
        <f>+Resumen!S69</f>
        <v>145802.41297183256</v>
      </c>
      <c r="H57" s="82">
        <f t="shared" si="0"/>
        <v>53</v>
      </c>
      <c r="I57" s="33">
        <f>+Resumen!L69</f>
        <v>153724.15259600015</v>
      </c>
    </row>
    <row r="58" spans="1:9" x14ac:dyDescent="0.3">
      <c r="A58" s="81">
        <f>[1]Resumen!A70</f>
        <v>54</v>
      </c>
      <c r="B58" s="73">
        <f>Resumen!J70</f>
        <v>382257.90000000014</v>
      </c>
      <c r="C58" s="73">
        <f>-Resumen!K70</f>
        <v>-228533.74740399999</v>
      </c>
      <c r="D58" s="73">
        <f>Resumen!L70</f>
        <v>153724.15259600015</v>
      </c>
      <c r="E58" s="33">
        <f>+Resumen!S70</f>
        <v>145802.41297183256</v>
      </c>
      <c r="H58" s="82">
        <f t="shared" si="0"/>
        <v>54</v>
      </c>
      <c r="I58" s="33">
        <f>+Resumen!L70</f>
        <v>153724.15259600015</v>
      </c>
    </row>
    <row r="59" spans="1:9" x14ac:dyDescent="0.3">
      <c r="A59" s="81">
        <f>[1]Resumen!A71</f>
        <v>55</v>
      </c>
      <c r="B59" s="73">
        <f>Resumen!J71</f>
        <v>382257.90000000014</v>
      </c>
      <c r="C59" s="73">
        <f>-Resumen!K71</f>
        <v>-228533.74740399999</v>
      </c>
      <c r="D59" s="73">
        <f>Resumen!L71</f>
        <v>153724.15259600015</v>
      </c>
      <c r="E59" s="33">
        <f>+Resumen!S71</f>
        <v>145802.41297183256</v>
      </c>
      <c r="H59" s="82">
        <f t="shared" si="0"/>
        <v>55</v>
      </c>
      <c r="I59" s="33">
        <f>+Resumen!L71</f>
        <v>153724.15259600015</v>
      </c>
    </row>
    <row r="60" spans="1:9" x14ac:dyDescent="0.3">
      <c r="A60" s="81">
        <f>[1]Resumen!A72</f>
        <v>56</v>
      </c>
      <c r="B60" s="73">
        <f>Resumen!J72</f>
        <v>410573.30000000016</v>
      </c>
      <c r="C60" s="73">
        <f>-Resumen!K72</f>
        <v>-229383.20940399999</v>
      </c>
      <c r="D60" s="73">
        <f>Resumen!L72</f>
        <v>181190.09059600017</v>
      </c>
      <c r="E60" s="33">
        <f>+Resumen!S72</f>
        <v>171153.33295225457</v>
      </c>
      <c r="H60" s="82">
        <f t="shared" si="0"/>
        <v>56</v>
      </c>
      <c r="I60" s="33">
        <f>+Resumen!L72</f>
        <v>181190.09059600017</v>
      </c>
    </row>
    <row r="61" spans="1:9" x14ac:dyDescent="0.3">
      <c r="A61" s="81">
        <f>[1]Resumen!A73</f>
        <v>57</v>
      </c>
      <c r="B61" s="73">
        <f>Resumen!J73</f>
        <v>419067.92000000016</v>
      </c>
      <c r="C61" s="73">
        <f>-Resumen!K73</f>
        <v>-229638.04800399998</v>
      </c>
      <c r="D61" s="73">
        <f>Resumen!L73</f>
        <v>189429.87199600018</v>
      </c>
      <c r="E61" s="33">
        <f>+Resumen!S73</f>
        <v>178747.53659746645</v>
      </c>
      <c r="H61" s="82">
        <f t="shared" si="0"/>
        <v>57</v>
      </c>
      <c r="I61" s="33">
        <f>+Resumen!L73</f>
        <v>189429.87199600018</v>
      </c>
    </row>
    <row r="62" spans="1:9" x14ac:dyDescent="0.3">
      <c r="A62" s="81">
        <f>[1]Resumen!A74</f>
        <v>58</v>
      </c>
      <c r="B62" s="73">
        <f>Resumen!J74</f>
        <v>424731.00000000017</v>
      </c>
      <c r="C62" s="73">
        <f>-Resumen!K74</f>
        <v>-229807.94040399999</v>
      </c>
      <c r="D62" s="73">
        <f>Resumen!L74</f>
        <v>194923.05959600018</v>
      </c>
      <c r="E62" s="33">
        <f>+Resumen!S74</f>
        <v>183802.9682083191</v>
      </c>
      <c r="H62" s="82">
        <f t="shared" si="0"/>
        <v>58</v>
      </c>
      <c r="I62" s="33">
        <f>+Resumen!L74</f>
        <v>194923.05959600018</v>
      </c>
    </row>
    <row r="63" spans="1:9" x14ac:dyDescent="0.3">
      <c r="A63" s="81">
        <f>[1]Resumen!A75</f>
        <v>59</v>
      </c>
      <c r="B63" s="73">
        <f>Resumen!J75</f>
        <v>424731.00000000017</v>
      </c>
      <c r="C63" s="73">
        <f>-Resumen!K75</f>
        <v>-229807.94040399999</v>
      </c>
      <c r="D63" s="73">
        <f>Resumen!L75</f>
        <v>194923.05959600018</v>
      </c>
      <c r="E63" s="33">
        <f>+Resumen!S75</f>
        <v>183802.9682083191</v>
      </c>
      <c r="H63" s="82">
        <f t="shared" si="0"/>
        <v>59</v>
      </c>
      <c r="I63" s="33">
        <f>+Resumen!L75</f>
        <v>194923.05959600018</v>
      </c>
    </row>
    <row r="64" spans="1:9" x14ac:dyDescent="0.3">
      <c r="A64" s="81">
        <f>[1]Resumen!A76</f>
        <v>60</v>
      </c>
      <c r="B64" s="73">
        <f>Resumen!J76</f>
        <v>424731.00000000017</v>
      </c>
      <c r="C64" s="73">
        <f>-Resumen!K76</f>
        <v>-253840.63615400001</v>
      </c>
      <c r="D64" s="73">
        <f>Resumen!L76</f>
        <v>170890.36384600017</v>
      </c>
      <c r="E64" s="33">
        <f>+Resumen!S76</f>
        <v>161749.80880347567</v>
      </c>
      <c r="H64" s="82">
        <f t="shared" si="0"/>
        <v>60</v>
      </c>
      <c r="I64" s="33">
        <f>+Resumen!L76</f>
        <v>170890.36384600017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8"/>
  <sheetViews>
    <sheetView workbookViewId="0">
      <selection activeCell="L18" sqref="L18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73</v>
      </c>
      <c r="C3" s="3" t="s">
        <v>74</v>
      </c>
      <c r="D3" s="3" t="s">
        <v>113</v>
      </c>
      <c r="E3" s="3" t="s">
        <v>110</v>
      </c>
      <c r="F3" s="3" t="s">
        <v>75</v>
      </c>
      <c r="G3" s="3" t="s">
        <v>111</v>
      </c>
      <c r="H3" s="3" t="s">
        <v>112</v>
      </c>
      <c r="I3" s="3" t="s">
        <v>76</v>
      </c>
      <c r="J3" s="3" t="s">
        <v>114</v>
      </c>
      <c r="K3" s="3" t="s">
        <v>77</v>
      </c>
      <c r="L3" s="5" t="s">
        <v>115</v>
      </c>
      <c r="M3" s="5" t="s">
        <v>116</v>
      </c>
    </row>
    <row r="4" spans="1:13" x14ac:dyDescent="0.3">
      <c r="A4" s="3" t="s">
        <v>104</v>
      </c>
      <c r="B4" s="3">
        <v>7.2</v>
      </c>
      <c r="C4" s="29">
        <f>112/3.3</f>
        <v>33.939393939393938</v>
      </c>
      <c r="D4" s="29">
        <f>(468-36)/3.3</f>
        <v>130.90909090909091</v>
      </c>
      <c r="E4" s="29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8</v>
      </c>
      <c r="B5" s="3">
        <v>0.05</v>
      </c>
      <c r="C5" s="29">
        <f>112/3.3</f>
        <v>33.939393939393938</v>
      </c>
      <c r="D5" s="29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78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79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80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81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120</v>
      </c>
    </row>
    <row r="13" spans="1:13" x14ac:dyDescent="0.3">
      <c r="A13" s="6"/>
      <c r="B13" s="6"/>
    </row>
    <row r="14" spans="1:13" x14ac:dyDescent="0.3">
      <c r="A14" s="6"/>
      <c r="B14" s="6"/>
      <c r="D14">
        <f>B4*K4</f>
        <v>25534.655999999999</v>
      </c>
      <c r="E14">
        <f>C4*F4*4</f>
        <v>950.30303030303025</v>
      </c>
      <c r="F14" s="30">
        <f>D4*G4*4</f>
        <v>50.269090909090906</v>
      </c>
      <c r="G14">
        <f>E4*H4*4</f>
        <v>6.9236363636363638</v>
      </c>
      <c r="H14">
        <f>L4*M4*4</f>
        <v>123.99999999999999</v>
      </c>
      <c r="J14" s="10">
        <f>(D14+E14+F14+G14+H14)/3600</f>
        <v>7.4072643771043776</v>
      </c>
      <c r="K14" t="s">
        <v>124</v>
      </c>
    </row>
    <row r="15" spans="1:13" x14ac:dyDescent="0.3">
      <c r="B15" s="6"/>
    </row>
    <row r="16" spans="1:13" x14ac:dyDescent="0.3">
      <c r="B16" s="6"/>
      <c r="D16">
        <f>(D14+E14+F14+G14+H14)/1000</f>
        <v>26.666151757575761</v>
      </c>
      <c r="E16" t="s">
        <v>119</v>
      </c>
      <c r="I16" t="s">
        <v>122</v>
      </c>
      <c r="J16" s="10">
        <f>2300/J14</f>
        <v>310.5059955884966</v>
      </c>
      <c r="K16" t="s">
        <v>123</v>
      </c>
      <c r="L16" s="10">
        <f>7000/J14</f>
        <v>945.01824744325052</v>
      </c>
    </row>
    <row r="18" spans="4:12" x14ac:dyDescent="0.3">
      <c r="D18">
        <f>6*D16/3600</f>
        <v>4.4443586262626268E-2</v>
      </c>
      <c r="E18" t="s">
        <v>118</v>
      </c>
      <c r="I18" t="s">
        <v>121</v>
      </c>
      <c r="J18" s="10">
        <f>J16/24</f>
        <v>12.937749816187358</v>
      </c>
      <c r="K18" t="s">
        <v>121</v>
      </c>
      <c r="L18" s="10">
        <f>L16/24</f>
        <v>39.375760310135441</v>
      </c>
    </row>
    <row r="20" spans="4:12" x14ac:dyDescent="0.3">
      <c r="D20">
        <f>D18*24*7</f>
        <v>7.4665224921212134</v>
      </c>
      <c r="E20" t="s">
        <v>117</v>
      </c>
    </row>
    <row r="22" spans="4:12" x14ac:dyDescent="0.3">
      <c r="D22">
        <f>2.3*0.7</f>
        <v>1.6099999999999999</v>
      </c>
    </row>
    <row r="24" spans="4:12" x14ac:dyDescent="0.3">
      <c r="D24" s="9"/>
      <c r="E24" s="9"/>
      <c r="F24" s="100"/>
      <c r="G24" s="9"/>
      <c r="H24" s="9"/>
      <c r="I24" s="9"/>
      <c r="J24" s="9"/>
      <c r="K24" s="9"/>
      <c r="L24" s="9"/>
    </row>
    <row r="25" spans="4:12" x14ac:dyDescent="0.3">
      <c r="D25" s="9"/>
      <c r="E25" s="9"/>
      <c r="F25" s="9"/>
      <c r="G25" s="9"/>
      <c r="H25" s="9"/>
      <c r="I25" s="9"/>
      <c r="J25" s="9"/>
      <c r="K25" s="9"/>
      <c r="L25" s="9"/>
    </row>
    <row r="26" spans="4:12" x14ac:dyDescent="0.3">
      <c r="D26" s="9"/>
      <c r="E26" s="9"/>
      <c r="F26" s="9"/>
      <c r="G26" s="9"/>
      <c r="H26" s="9"/>
      <c r="I26" s="9"/>
      <c r="J26" s="9"/>
      <c r="K26" s="9"/>
      <c r="L26" s="9"/>
    </row>
    <row r="27" spans="4:12" x14ac:dyDescent="0.3">
      <c r="D27" s="9"/>
      <c r="E27" s="9"/>
      <c r="F27" s="9"/>
      <c r="G27" s="9"/>
      <c r="H27" s="9"/>
      <c r="I27" s="9"/>
      <c r="J27" s="9"/>
      <c r="K27" s="9"/>
      <c r="L27" s="9"/>
    </row>
    <row r="28" spans="4:12" x14ac:dyDescent="0.3">
      <c r="D28" s="9"/>
      <c r="E28" s="9"/>
      <c r="F28" s="9"/>
      <c r="G28" s="9"/>
      <c r="H28" s="9"/>
      <c r="I28" s="9"/>
      <c r="J28" s="9"/>
      <c r="K28" s="9"/>
      <c r="L28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3"/>
  <sheetViews>
    <sheetView workbookViewId="0">
      <selection activeCell="I27" sqref="I27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6640625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s="13" t="s">
        <v>4</v>
      </c>
      <c r="G1" s="2" t="s">
        <v>57</v>
      </c>
      <c r="H1" s="14" t="s">
        <v>58</v>
      </c>
      <c r="I1" t="s">
        <v>7</v>
      </c>
    </row>
    <row r="2" spans="1:9" s="26" customFormat="1" x14ac:dyDescent="0.3">
      <c r="A2" s="16" t="s">
        <v>59</v>
      </c>
      <c r="B2" s="16" t="s">
        <v>60</v>
      </c>
      <c r="C2" s="16">
        <v>1</v>
      </c>
      <c r="D2" s="22" t="s">
        <v>61</v>
      </c>
      <c r="E2" s="16">
        <v>26.85</v>
      </c>
      <c r="F2" s="25">
        <v>0.21</v>
      </c>
      <c r="G2" s="25">
        <f>E2+(E2*F2)</f>
        <v>32.488500000000002</v>
      </c>
      <c r="H2" s="25">
        <f>G2*C2</f>
        <v>32.488500000000002</v>
      </c>
    </row>
    <row r="3" spans="1:9" s="26" customFormat="1" x14ac:dyDescent="0.3">
      <c r="A3" s="16" t="s">
        <v>62</v>
      </c>
      <c r="B3" s="16"/>
      <c r="C3" s="16">
        <v>1</v>
      </c>
      <c r="D3" s="22" t="s">
        <v>61</v>
      </c>
      <c r="E3" s="16">
        <v>4.54</v>
      </c>
      <c r="F3" s="25">
        <v>0.21</v>
      </c>
      <c r="G3" s="25">
        <f t="shared" ref="G3:G13" si="0">E3+(E3*F3)</f>
        <v>5.4934000000000003</v>
      </c>
      <c r="H3" s="25">
        <f t="shared" ref="H3:H13" si="1">G3*C3</f>
        <v>5.4934000000000003</v>
      </c>
    </row>
    <row r="4" spans="1:9" s="26" customFormat="1" x14ac:dyDescent="0.3">
      <c r="A4" s="16" t="s">
        <v>128</v>
      </c>
      <c r="B4" s="16"/>
      <c r="C4" s="16">
        <v>1</v>
      </c>
      <c r="D4" s="22" t="s">
        <v>105</v>
      </c>
      <c r="E4" s="16">
        <v>11.6</v>
      </c>
      <c r="F4" s="25">
        <v>0.21</v>
      </c>
      <c r="G4" s="25">
        <f t="shared" si="0"/>
        <v>14.036</v>
      </c>
      <c r="H4" s="25">
        <f t="shared" si="1"/>
        <v>14.036</v>
      </c>
    </row>
    <row r="5" spans="1:9" s="26" customFormat="1" x14ac:dyDescent="0.3">
      <c r="A5" s="16" t="s">
        <v>63</v>
      </c>
      <c r="B5" s="16" t="s">
        <v>64</v>
      </c>
      <c r="C5" s="16">
        <v>1</v>
      </c>
      <c r="D5" s="22" t="s">
        <v>65</v>
      </c>
      <c r="E5" s="16">
        <v>2</v>
      </c>
      <c r="F5" s="25">
        <v>0.21</v>
      </c>
      <c r="G5" s="25">
        <f t="shared" si="0"/>
        <v>2.42</v>
      </c>
      <c r="H5" s="25">
        <f t="shared" si="1"/>
        <v>2.42</v>
      </c>
    </row>
    <row r="6" spans="1:9" s="26" customFormat="1" x14ac:dyDescent="0.3">
      <c r="A6" s="16" t="s">
        <v>66</v>
      </c>
      <c r="B6" s="16"/>
      <c r="C6" s="16">
        <v>1</v>
      </c>
      <c r="D6" s="22" t="s">
        <v>67</v>
      </c>
      <c r="E6" s="16">
        <v>7.5</v>
      </c>
      <c r="F6" s="25">
        <v>0.21</v>
      </c>
      <c r="G6" s="25">
        <f t="shared" si="0"/>
        <v>9.0749999999999993</v>
      </c>
      <c r="H6" s="25">
        <f t="shared" si="1"/>
        <v>9.0749999999999993</v>
      </c>
    </row>
    <row r="7" spans="1:9" s="26" customFormat="1" x14ac:dyDescent="0.3">
      <c r="A7" s="16" t="s">
        <v>144</v>
      </c>
      <c r="B7" s="16" t="s">
        <v>228</v>
      </c>
      <c r="C7" s="16">
        <v>1</v>
      </c>
      <c r="D7" s="22" t="s">
        <v>145</v>
      </c>
      <c r="E7" s="16">
        <v>0.81</v>
      </c>
      <c r="F7" s="25">
        <v>0.21</v>
      </c>
      <c r="G7" s="25">
        <f t="shared" si="0"/>
        <v>0.98010000000000008</v>
      </c>
      <c r="H7" s="25">
        <f t="shared" si="1"/>
        <v>0.98010000000000008</v>
      </c>
    </row>
    <row r="8" spans="1:9" s="26" customFormat="1" x14ac:dyDescent="0.3">
      <c r="A8" s="16" t="s">
        <v>143</v>
      </c>
      <c r="B8" s="16" t="s">
        <v>64</v>
      </c>
      <c r="C8" s="16">
        <v>1</v>
      </c>
      <c r="D8" s="22" t="s">
        <v>65</v>
      </c>
      <c r="E8" s="16">
        <v>2</v>
      </c>
      <c r="F8" s="25">
        <v>0.21</v>
      </c>
      <c r="G8" s="25">
        <f t="shared" si="0"/>
        <v>2.42</v>
      </c>
      <c r="H8" s="25">
        <f t="shared" si="1"/>
        <v>2.42</v>
      </c>
    </row>
    <row r="9" spans="1:9" s="26" customFormat="1" x14ac:dyDescent="0.3">
      <c r="A9" s="16" t="s">
        <v>103</v>
      </c>
      <c r="B9" s="89" t="s">
        <v>313</v>
      </c>
      <c r="C9" s="16">
        <v>1</v>
      </c>
      <c r="D9" s="22" t="s">
        <v>145</v>
      </c>
      <c r="E9" s="16">
        <v>9.89</v>
      </c>
      <c r="F9" s="25">
        <v>0.21</v>
      </c>
      <c r="G9" s="25">
        <f t="shared" si="0"/>
        <v>11.966900000000001</v>
      </c>
      <c r="H9" s="25">
        <f t="shared" si="1"/>
        <v>11.966900000000001</v>
      </c>
    </row>
    <row r="10" spans="1:9" s="26" customFormat="1" x14ac:dyDescent="0.3">
      <c r="A10" s="16" t="s">
        <v>129</v>
      </c>
      <c r="B10" s="28" t="s">
        <v>102</v>
      </c>
      <c r="C10" s="16">
        <v>1</v>
      </c>
      <c r="D10" s="22" t="s">
        <v>68</v>
      </c>
      <c r="E10" s="16">
        <v>87.26</v>
      </c>
      <c r="F10" s="25">
        <v>0.21</v>
      </c>
      <c r="G10" s="25">
        <f t="shared" si="0"/>
        <v>105.58460000000001</v>
      </c>
      <c r="H10" s="25">
        <f t="shared" si="1"/>
        <v>105.58460000000001</v>
      </c>
    </row>
    <row r="11" spans="1:9" s="26" customFormat="1" x14ac:dyDescent="0.3">
      <c r="A11" s="16" t="s">
        <v>69</v>
      </c>
      <c r="B11" s="16" t="s">
        <v>312</v>
      </c>
      <c r="C11" s="16">
        <v>4</v>
      </c>
      <c r="D11" s="22" t="s">
        <v>26</v>
      </c>
      <c r="E11" s="16">
        <v>0.63800000000000001</v>
      </c>
      <c r="F11" s="25">
        <v>0.21</v>
      </c>
      <c r="G11" s="25">
        <f t="shared" si="0"/>
        <v>0.77198</v>
      </c>
      <c r="H11" s="25">
        <f t="shared" si="1"/>
        <v>3.08792</v>
      </c>
    </row>
    <row r="12" spans="1:9" s="26" customFormat="1" x14ac:dyDescent="0.3">
      <c r="A12" s="16" t="s">
        <v>70</v>
      </c>
      <c r="B12" s="16" t="s">
        <v>71</v>
      </c>
      <c r="C12" s="16">
        <v>1</v>
      </c>
      <c r="D12" s="22" t="s">
        <v>65</v>
      </c>
      <c r="E12" s="16">
        <v>2</v>
      </c>
      <c r="F12" s="25">
        <v>0.21</v>
      </c>
      <c r="G12" s="25">
        <f t="shared" si="0"/>
        <v>2.42</v>
      </c>
      <c r="H12" s="25">
        <f t="shared" si="1"/>
        <v>2.42</v>
      </c>
    </row>
    <row r="13" spans="1:9" s="26" customFormat="1" x14ac:dyDescent="0.3">
      <c r="A13" s="16" t="s">
        <v>106</v>
      </c>
      <c r="B13" s="16" t="s">
        <v>133</v>
      </c>
      <c r="C13" s="16">
        <v>1</v>
      </c>
      <c r="D13" s="22" t="s">
        <v>65</v>
      </c>
      <c r="E13" s="16">
        <v>1.2</v>
      </c>
      <c r="F13" s="25">
        <v>0.21</v>
      </c>
      <c r="G13" s="25">
        <f t="shared" si="0"/>
        <v>1.452</v>
      </c>
      <c r="H13" s="25">
        <f t="shared" si="1"/>
        <v>1.452</v>
      </c>
    </row>
    <row r="14" spans="1:9" x14ac:dyDescent="0.3">
      <c r="A14" s="12" t="s">
        <v>53</v>
      </c>
      <c r="B14" s="12"/>
      <c r="C14" s="12"/>
      <c r="D14" s="12"/>
      <c r="E14" s="12"/>
      <c r="F14" s="12"/>
      <c r="G14" s="12"/>
      <c r="H14" s="15">
        <f>SUM(H2:H13)</f>
        <v>191.42441999999997</v>
      </c>
    </row>
    <row r="15" spans="1:9" x14ac:dyDescent="0.3">
      <c r="A15" s="11"/>
      <c r="B15" s="11"/>
      <c r="C15" s="11"/>
      <c r="D15" s="11"/>
      <c r="E15" s="11"/>
      <c r="F15" s="6"/>
      <c r="G15" s="9"/>
    </row>
    <row r="16" spans="1:9" s="6" customFormat="1" x14ac:dyDescent="0.3"/>
    <row r="17" spans="1:8" x14ac:dyDescent="0.3">
      <c r="A17" s="9"/>
    </row>
    <row r="18" spans="1:8" x14ac:dyDescent="0.3">
      <c r="A18" s="9"/>
      <c r="B18" s="9"/>
    </row>
    <row r="19" spans="1:8" x14ac:dyDescent="0.3">
      <c r="A19" s="9"/>
      <c r="B19" s="9"/>
    </row>
    <row r="21" spans="1:8" ht="15" thickBot="1" x14ac:dyDescent="0.35"/>
    <row r="22" spans="1:8" ht="15" thickBot="1" x14ac:dyDescent="0.35">
      <c r="A22" s="7" t="s">
        <v>54</v>
      </c>
      <c r="B22" s="7" t="s">
        <v>1</v>
      </c>
      <c r="C22" s="7" t="s">
        <v>55</v>
      </c>
      <c r="D22" s="7"/>
      <c r="E22" s="1" t="s">
        <v>108</v>
      </c>
      <c r="F22" s="8" t="s">
        <v>109</v>
      </c>
      <c r="H22" s="101"/>
    </row>
    <row r="23" spans="1:8" x14ac:dyDescent="0.3">
      <c r="A23" s="5" t="s">
        <v>72</v>
      </c>
      <c r="B23" s="5" t="s">
        <v>107</v>
      </c>
      <c r="C23" s="5">
        <v>6</v>
      </c>
      <c r="D23" s="3"/>
      <c r="E23" s="3">
        <v>9.42</v>
      </c>
      <c r="F23" s="4">
        <f>E23*C23</f>
        <v>56.519999999999996</v>
      </c>
      <c r="H23" s="8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216-040A-4605-B2FB-759C6DDC3989}">
  <dimension ref="A1:I33"/>
  <sheetViews>
    <sheetView workbookViewId="0">
      <selection activeCell="H16" sqref="H16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6640625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s="13" t="s">
        <v>4</v>
      </c>
      <c r="G1" s="2" t="s">
        <v>57</v>
      </c>
      <c r="H1" s="14" t="s">
        <v>58</v>
      </c>
      <c r="I1" t="s">
        <v>7</v>
      </c>
    </row>
    <row r="2" spans="1:9" s="26" customFormat="1" x14ac:dyDescent="0.3">
      <c r="A2" s="16" t="s">
        <v>232</v>
      </c>
      <c r="B2" s="16" t="s">
        <v>229</v>
      </c>
      <c r="C2" s="16">
        <v>8</v>
      </c>
      <c r="D2" s="22" t="s">
        <v>130</v>
      </c>
      <c r="E2" s="16">
        <v>2.2000000000000002</v>
      </c>
      <c r="F2" s="25">
        <v>0.21</v>
      </c>
      <c r="G2" s="25">
        <f>E2+(E2*F2)</f>
        <v>2.6620000000000004</v>
      </c>
      <c r="H2" s="25">
        <f>G2*C2</f>
        <v>21.296000000000003</v>
      </c>
    </row>
    <row r="3" spans="1:9" s="26" customFormat="1" x14ac:dyDescent="0.3">
      <c r="A3" s="16" t="s">
        <v>230</v>
      </c>
      <c r="B3" s="16" t="s">
        <v>231</v>
      </c>
      <c r="C3" s="16">
        <v>8</v>
      </c>
      <c r="D3" s="22" t="s">
        <v>130</v>
      </c>
      <c r="E3" s="16">
        <v>2.96</v>
      </c>
      <c r="F3" s="25">
        <v>0.21</v>
      </c>
      <c r="G3" s="25">
        <f>E3+(E3*F3)</f>
        <v>3.5815999999999999</v>
      </c>
      <c r="H3" s="25">
        <f>G3*C3</f>
        <v>28.652799999999999</v>
      </c>
    </row>
    <row r="4" spans="1:9" s="26" customFormat="1" x14ac:dyDescent="0.3">
      <c r="A4" s="16" t="s">
        <v>233</v>
      </c>
      <c r="B4" s="16" t="s">
        <v>131</v>
      </c>
      <c r="C4" s="16">
        <v>8</v>
      </c>
      <c r="D4" s="22" t="s">
        <v>130</v>
      </c>
      <c r="E4" s="16">
        <v>3.61</v>
      </c>
      <c r="F4" s="25">
        <v>0.21</v>
      </c>
      <c r="G4" s="25">
        <f t="shared" ref="G4:G23" si="0">E4+(E4*F4)</f>
        <v>4.3681000000000001</v>
      </c>
      <c r="H4" s="25">
        <f t="shared" ref="H4:H23" si="1">G4*C4</f>
        <v>34.944800000000001</v>
      </c>
    </row>
    <row r="5" spans="1:9" s="26" customFormat="1" x14ac:dyDescent="0.3">
      <c r="A5" s="16" t="s">
        <v>234</v>
      </c>
      <c r="B5" s="16" t="s">
        <v>132</v>
      </c>
      <c r="C5" s="16">
        <v>8</v>
      </c>
      <c r="D5" s="22" t="s">
        <v>130</v>
      </c>
      <c r="E5" s="16">
        <v>8.6</v>
      </c>
      <c r="F5" s="25">
        <v>0.21</v>
      </c>
      <c r="G5" s="25">
        <f t="shared" si="0"/>
        <v>10.405999999999999</v>
      </c>
      <c r="H5" s="25">
        <f t="shared" si="1"/>
        <v>83.24799999999999</v>
      </c>
    </row>
    <row r="6" spans="1:9" s="26" customFormat="1" x14ac:dyDescent="0.3">
      <c r="A6" s="16" t="s">
        <v>235</v>
      </c>
      <c r="B6" s="16" t="s">
        <v>131</v>
      </c>
      <c r="C6" s="16">
        <v>4</v>
      </c>
      <c r="D6" s="22" t="s">
        <v>130</v>
      </c>
      <c r="E6" s="16">
        <v>1.04</v>
      </c>
      <c r="F6" s="25">
        <v>0.21</v>
      </c>
      <c r="G6" s="25">
        <f t="shared" si="0"/>
        <v>1.2584</v>
      </c>
      <c r="H6" s="25">
        <f t="shared" si="1"/>
        <v>5.0335999999999999</v>
      </c>
    </row>
    <row r="7" spans="1:9" s="26" customFormat="1" x14ac:dyDescent="0.3">
      <c r="A7" s="16" t="s">
        <v>238</v>
      </c>
      <c r="B7" s="16" t="s">
        <v>239</v>
      </c>
      <c r="C7" s="16">
        <v>4</v>
      </c>
      <c r="D7" s="22" t="s">
        <v>130</v>
      </c>
      <c r="E7" s="16">
        <v>0.23</v>
      </c>
      <c r="F7" s="25">
        <v>0.21</v>
      </c>
      <c r="G7" s="25">
        <f t="shared" si="0"/>
        <v>0.27829999999999999</v>
      </c>
      <c r="H7" s="25">
        <f t="shared" si="1"/>
        <v>1.1132</v>
      </c>
    </row>
    <row r="8" spans="1:9" s="26" customFormat="1" x14ac:dyDescent="0.3">
      <c r="A8" s="16" t="s">
        <v>244</v>
      </c>
      <c r="B8" s="90" t="s">
        <v>132</v>
      </c>
      <c r="C8" s="16">
        <v>4</v>
      </c>
      <c r="D8" s="22" t="s">
        <v>130</v>
      </c>
      <c r="E8" s="16">
        <v>0.32</v>
      </c>
      <c r="F8" s="25">
        <v>0.21</v>
      </c>
      <c r="G8" s="25">
        <f t="shared" si="0"/>
        <v>0.38719999999999999</v>
      </c>
      <c r="H8" s="25">
        <f t="shared" si="1"/>
        <v>1.5488</v>
      </c>
    </row>
    <row r="9" spans="1:9" s="26" customFormat="1" x14ac:dyDescent="0.3">
      <c r="A9" s="16" t="s">
        <v>237</v>
      </c>
      <c r="B9" s="16" t="s">
        <v>131</v>
      </c>
      <c r="C9" s="16">
        <v>16</v>
      </c>
      <c r="D9" s="22" t="s">
        <v>130</v>
      </c>
      <c r="E9" s="16">
        <v>0.35</v>
      </c>
      <c r="F9" s="25">
        <v>0.21</v>
      </c>
      <c r="G9" s="25">
        <f t="shared" si="0"/>
        <v>0.42349999999999999</v>
      </c>
      <c r="H9" s="25">
        <f t="shared" si="1"/>
        <v>6.7759999999999998</v>
      </c>
    </row>
    <row r="10" spans="1:9" s="26" customFormat="1" x14ac:dyDescent="0.3">
      <c r="A10" s="16" t="s">
        <v>236</v>
      </c>
      <c r="B10" s="16" t="s">
        <v>134</v>
      </c>
      <c r="C10" s="16">
        <v>16</v>
      </c>
      <c r="D10" s="22" t="s">
        <v>130</v>
      </c>
      <c r="E10" s="16">
        <v>0.82</v>
      </c>
      <c r="F10" s="25">
        <v>0.21</v>
      </c>
      <c r="G10" s="25">
        <f t="shared" si="0"/>
        <v>0.99219999999999997</v>
      </c>
      <c r="H10" s="25">
        <f t="shared" si="1"/>
        <v>15.8752</v>
      </c>
    </row>
    <row r="11" spans="1:9" s="26" customFormat="1" x14ac:dyDescent="0.3">
      <c r="A11" s="16" t="s">
        <v>135</v>
      </c>
      <c r="B11" s="89" t="s">
        <v>138</v>
      </c>
      <c r="C11" s="16">
        <v>2</v>
      </c>
      <c r="D11" s="22" t="s">
        <v>130</v>
      </c>
      <c r="E11" s="16">
        <v>0.38</v>
      </c>
      <c r="F11" s="25">
        <v>0.21</v>
      </c>
      <c r="G11" s="25">
        <f t="shared" si="0"/>
        <v>0.45979999999999999</v>
      </c>
      <c r="H11" s="25">
        <f t="shared" si="1"/>
        <v>0.91959999999999997</v>
      </c>
    </row>
    <row r="12" spans="1:9" s="26" customFormat="1" x14ac:dyDescent="0.3">
      <c r="A12" s="16" t="s">
        <v>240</v>
      </c>
      <c r="B12" s="31" t="s">
        <v>132</v>
      </c>
      <c r="C12" s="16">
        <v>10</v>
      </c>
      <c r="D12" s="22" t="s">
        <v>130</v>
      </c>
      <c r="E12" s="16">
        <v>3.45</v>
      </c>
      <c r="F12" s="25">
        <v>0.21</v>
      </c>
      <c r="G12" s="25">
        <f t="shared" si="0"/>
        <v>4.1745000000000001</v>
      </c>
      <c r="H12" s="25">
        <f t="shared" si="1"/>
        <v>41.745000000000005</v>
      </c>
    </row>
    <row r="13" spans="1:9" s="26" customFormat="1" x14ac:dyDescent="0.3">
      <c r="A13" s="16" t="s">
        <v>240</v>
      </c>
      <c r="B13" s="16" t="s">
        <v>131</v>
      </c>
      <c r="C13" s="16">
        <v>16</v>
      </c>
      <c r="D13" s="22" t="s">
        <v>130</v>
      </c>
      <c r="E13" s="16">
        <v>2.46</v>
      </c>
      <c r="F13" s="25">
        <v>0.21</v>
      </c>
      <c r="G13" s="25">
        <f t="shared" si="0"/>
        <v>2.9765999999999999</v>
      </c>
      <c r="H13" s="25">
        <f t="shared" si="1"/>
        <v>47.625599999999999</v>
      </c>
    </row>
    <row r="14" spans="1:9" s="26" customFormat="1" x14ac:dyDescent="0.3">
      <c r="A14" s="16" t="s">
        <v>241</v>
      </c>
      <c r="B14" s="16" t="s">
        <v>243</v>
      </c>
      <c r="C14" s="16">
        <v>1</v>
      </c>
      <c r="D14" s="22" t="s">
        <v>130</v>
      </c>
      <c r="E14" s="16">
        <v>0.34</v>
      </c>
      <c r="F14" s="25">
        <v>0.21</v>
      </c>
      <c r="G14" s="25">
        <f t="shared" si="0"/>
        <v>0.41140000000000004</v>
      </c>
      <c r="H14" s="25">
        <f t="shared" si="1"/>
        <v>0.41140000000000004</v>
      </c>
    </row>
    <row r="15" spans="1:9" s="26" customFormat="1" x14ac:dyDescent="0.3">
      <c r="A15" s="16" t="s">
        <v>242</v>
      </c>
      <c r="B15" s="16" t="s">
        <v>243</v>
      </c>
      <c r="C15" s="16">
        <v>1</v>
      </c>
      <c r="D15" s="22" t="s">
        <v>130</v>
      </c>
      <c r="E15" s="16">
        <v>0.55000000000000004</v>
      </c>
      <c r="F15" s="25">
        <v>0.21</v>
      </c>
      <c r="G15" s="25">
        <f t="shared" si="0"/>
        <v>0.66550000000000009</v>
      </c>
      <c r="H15" s="25">
        <f t="shared" si="1"/>
        <v>0.66550000000000009</v>
      </c>
    </row>
    <row r="16" spans="1:9" s="26" customFormat="1" x14ac:dyDescent="0.3">
      <c r="A16" s="16" t="s">
        <v>314</v>
      </c>
      <c r="B16" s="16" t="s">
        <v>245</v>
      </c>
      <c r="C16" s="16">
        <v>5.75</v>
      </c>
      <c r="D16" s="22" t="s">
        <v>249</v>
      </c>
      <c r="E16" s="16">
        <v>2.25</v>
      </c>
      <c r="F16" s="25">
        <v>0.21</v>
      </c>
      <c r="G16" s="25">
        <f t="shared" si="0"/>
        <v>2.7225000000000001</v>
      </c>
      <c r="H16" s="25">
        <f t="shared" si="1"/>
        <v>15.654375000000002</v>
      </c>
    </row>
    <row r="17" spans="1:8" s="26" customFormat="1" x14ac:dyDescent="0.3">
      <c r="A17" s="16" t="s">
        <v>250</v>
      </c>
      <c r="B17" s="16" t="s">
        <v>136</v>
      </c>
      <c r="C17" s="16">
        <v>1</v>
      </c>
      <c r="D17" s="22" t="s">
        <v>257</v>
      </c>
      <c r="E17" s="16">
        <v>4.5599999999999996</v>
      </c>
      <c r="F17" s="25">
        <v>0.21</v>
      </c>
      <c r="G17" s="25">
        <f t="shared" si="0"/>
        <v>5.5175999999999998</v>
      </c>
      <c r="H17" s="25">
        <f t="shared" si="1"/>
        <v>5.5175999999999998</v>
      </c>
    </row>
    <row r="18" spans="1:8" s="26" customFormat="1" x14ac:dyDescent="0.3">
      <c r="A18" s="16" t="s">
        <v>246</v>
      </c>
      <c r="B18" s="16" t="s">
        <v>247</v>
      </c>
      <c r="C18" s="16">
        <v>4</v>
      </c>
      <c r="D18" s="22" t="s">
        <v>248</v>
      </c>
      <c r="E18" s="16">
        <v>1.41</v>
      </c>
      <c r="F18" s="25">
        <v>0.21</v>
      </c>
      <c r="G18" s="25">
        <f t="shared" si="0"/>
        <v>1.7060999999999999</v>
      </c>
      <c r="H18" s="25">
        <f t="shared" si="1"/>
        <v>6.8243999999999998</v>
      </c>
    </row>
    <row r="19" spans="1:8" s="26" customFormat="1" x14ac:dyDescent="0.3">
      <c r="A19" s="16" t="s">
        <v>227</v>
      </c>
      <c r="B19" s="16" t="s">
        <v>137</v>
      </c>
      <c r="C19" s="16">
        <v>1</v>
      </c>
      <c r="D19" s="22" t="s">
        <v>248</v>
      </c>
      <c r="E19" s="16">
        <v>11.04</v>
      </c>
      <c r="F19" s="25">
        <v>0.21</v>
      </c>
      <c r="G19" s="25">
        <f t="shared" si="0"/>
        <v>13.3584</v>
      </c>
      <c r="H19" s="25">
        <f t="shared" si="1"/>
        <v>13.3584</v>
      </c>
    </row>
    <row r="20" spans="1:8" s="26" customFormat="1" x14ac:dyDescent="0.3">
      <c r="A20" s="16" t="s">
        <v>139</v>
      </c>
      <c r="B20" s="16" t="s">
        <v>131</v>
      </c>
      <c r="C20" s="16">
        <v>2</v>
      </c>
      <c r="D20" s="22" t="s">
        <v>249</v>
      </c>
      <c r="E20" s="16">
        <v>3.84</v>
      </c>
      <c r="F20" s="25">
        <v>0.21</v>
      </c>
      <c r="G20" s="25">
        <f t="shared" si="0"/>
        <v>4.6463999999999999</v>
      </c>
      <c r="H20" s="25">
        <f t="shared" si="1"/>
        <v>9.2927999999999997</v>
      </c>
    </row>
    <row r="21" spans="1:8" s="26" customFormat="1" x14ac:dyDescent="0.3">
      <c r="A21" s="16" t="s">
        <v>140</v>
      </c>
      <c r="B21" s="16" t="s">
        <v>141</v>
      </c>
      <c r="C21" s="16">
        <v>0.5</v>
      </c>
      <c r="D21" s="22" t="s">
        <v>256</v>
      </c>
      <c r="E21" s="16">
        <v>31.2</v>
      </c>
      <c r="F21" s="25">
        <v>0.21</v>
      </c>
      <c r="G21" s="25">
        <f t="shared" si="0"/>
        <v>37.751999999999995</v>
      </c>
      <c r="H21" s="25">
        <f t="shared" si="1"/>
        <v>18.875999999999998</v>
      </c>
    </row>
    <row r="22" spans="1:8" s="26" customFormat="1" x14ac:dyDescent="0.3">
      <c r="A22" s="16" t="s">
        <v>142</v>
      </c>
      <c r="B22" s="16" t="s">
        <v>141</v>
      </c>
      <c r="C22" s="16">
        <v>0.5</v>
      </c>
      <c r="D22" s="22" t="s">
        <v>256</v>
      </c>
      <c r="E22" s="16">
        <v>18</v>
      </c>
      <c r="F22" s="25">
        <v>0.21</v>
      </c>
      <c r="G22" s="25">
        <f t="shared" si="0"/>
        <v>21.78</v>
      </c>
      <c r="H22" s="25">
        <f t="shared" si="1"/>
        <v>10.89</v>
      </c>
    </row>
    <row r="23" spans="1:8" s="26" customFormat="1" x14ac:dyDescent="0.3">
      <c r="A23" s="16" t="s">
        <v>150</v>
      </c>
      <c r="B23" s="16" t="s">
        <v>251</v>
      </c>
      <c r="C23" s="16">
        <v>16</v>
      </c>
      <c r="D23" s="22"/>
      <c r="E23" s="16">
        <v>0.71</v>
      </c>
      <c r="F23" s="25">
        <v>0.21</v>
      </c>
      <c r="G23" s="25">
        <f t="shared" si="0"/>
        <v>0.85909999999999997</v>
      </c>
      <c r="H23" s="25">
        <f t="shared" si="1"/>
        <v>13.7456</v>
      </c>
    </row>
    <row r="24" spans="1:8" x14ac:dyDescent="0.3">
      <c r="A24" s="12" t="s">
        <v>53</v>
      </c>
      <c r="B24" s="12"/>
      <c r="C24" s="12"/>
      <c r="D24" s="12"/>
      <c r="E24" s="12"/>
      <c r="F24" s="12"/>
      <c r="G24" s="12"/>
      <c r="H24" s="15">
        <f>SUM(H2:H22)</f>
        <v>370.2690750000001</v>
      </c>
    </row>
    <row r="25" spans="1:8" x14ac:dyDescent="0.3">
      <c r="A25" s="11"/>
      <c r="B25" s="11"/>
      <c r="C25" s="11"/>
      <c r="D25" s="11"/>
      <c r="E25" s="11"/>
      <c r="F25" s="6"/>
      <c r="G25" s="9"/>
    </row>
    <row r="26" spans="1:8" s="6" customFormat="1" x14ac:dyDescent="0.3"/>
    <row r="27" spans="1:8" x14ac:dyDescent="0.3">
      <c r="A27" s="9"/>
    </row>
    <row r="28" spans="1:8" x14ac:dyDescent="0.3">
      <c r="A28" s="9"/>
      <c r="B28" s="9"/>
    </row>
    <row r="29" spans="1:8" x14ac:dyDescent="0.3">
      <c r="A29" s="9"/>
      <c r="B29" s="9"/>
    </row>
    <row r="31" spans="1:8" ht="15" thickBot="1" x14ac:dyDescent="0.35"/>
    <row r="32" spans="1:8" ht="15" thickBot="1" x14ac:dyDescent="0.35">
      <c r="A32" s="7" t="s">
        <v>54</v>
      </c>
      <c r="B32" s="7" t="s">
        <v>1</v>
      </c>
      <c r="C32" s="7" t="s">
        <v>55</v>
      </c>
      <c r="D32" s="7"/>
      <c r="E32" s="1" t="s">
        <v>108</v>
      </c>
      <c r="F32" s="8" t="s">
        <v>109</v>
      </c>
      <c r="H32" s="101"/>
    </row>
    <row r="33" spans="1:8" x14ac:dyDescent="0.3">
      <c r="A33" s="5" t="s">
        <v>252</v>
      </c>
      <c r="B33" s="5" t="s">
        <v>107</v>
      </c>
      <c r="C33" s="5">
        <v>16</v>
      </c>
      <c r="D33" s="3"/>
      <c r="E33" s="3">
        <v>9.42</v>
      </c>
      <c r="F33" s="4">
        <f>E33*C33</f>
        <v>150.72</v>
      </c>
      <c r="H33" s="8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FCA6-5076-4A68-889F-FFC2E18695FB}">
  <sheetPr>
    <tabColor theme="3" tint="0.39997558519241921"/>
  </sheetPr>
  <dimension ref="A1:L87"/>
  <sheetViews>
    <sheetView topLeftCell="A29" workbookViewId="0">
      <selection activeCell="D38" sqref="D38"/>
    </sheetView>
  </sheetViews>
  <sheetFormatPr baseColWidth="10" defaultRowHeight="14.4" x14ac:dyDescent="0.3"/>
  <cols>
    <col min="1" max="1" width="12.88671875" customWidth="1"/>
    <col min="2" max="2" width="24.332031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2" t="s">
        <v>276</v>
      </c>
    </row>
    <row r="2" spans="1:12" x14ac:dyDescent="0.3">
      <c r="J2" s="68" t="s">
        <v>342</v>
      </c>
    </row>
    <row r="4" spans="1:12" x14ac:dyDescent="0.3">
      <c r="A4" s="71" t="s">
        <v>174</v>
      </c>
      <c r="B4" s="71" t="s">
        <v>192</v>
      </c>
      <c r="C4" s="71" t="s">
        <v>193</v>
      </c>
      <c r="D4" s="71" t="s">
        <v>194</v>
      </c>
      <c r="E4" s="71" t="s">
        <v>195</v>
      </c>
      <c r="F4" s="71" t="s">
        <v>196</v>
      </c>
      <c r="G4" s="71" t="s">
        <v>197</v>
      </c>
    </row>
    <row r="5" spans="1:12" x14ac:dyDescent="0.3">
      <c r="A5">
        <v>1</v>
      </c>
      <c r="B5" s="73">
        <v>0</v>
      </c>
      <c r="C5" s="73">
        <f>K7*20</f>
        <v>154</v>
      </c>
      <c r="D5" s="73">
        <f>K6*40 + K6*8 + K6*16 + K6*13.44</f>
        <v>795.30880000000002</v>
      </c>
      <c r="E5" s="73">
        <f>K5*20 + K5*8 + K5*16</f>
        <v>320.32</v>
      </c>
      <c r="F5" s="73">
        <v>0</v>
      </c>
      <c r="G5" s="73">
        <f t="shared" ref="G5:G64" si="0">SUM(B5:F5)</f>
        <v>1269.6288</v>
      </c>
      <c r="H5" t="s">
        <v>267</v>
      </c>
      <c r="J5" t="s">
        <v>259</v>
      </c>
      <c r="K5">
        <v>7.28</v>
      </c>
      <c r="L5">
        <v>1164</v>
      </c>
    </row>
    <row r="6" spans="1:12" x14ac:dyDescent="0.3">
      <c r="A6">
        <v>2</v>
      </c>
      <c r="B6" s="73">
        <v>0</v>
      </c>
      <c r="C6" s="73">
        <v>0</v>
      </c>
      <c r="D6" s="73">
        <f>K6*22 + K6*80 + K6*16 + K6*19</f>
        <v>1406.9899999999998</v>
      </c>
      <c r="E6" s="73">
        <f>K5*22 + K5*80 + K5*8</f>
        <v>800.8</v>
      </c>
      <c r="F6" s="73">
        <v>0</v>
      </c>
      <c r="G6" s="73">
        <f t="shared" si="0"/>
        <v>2207.79</v>
      </c>
      <c r="H6" t="s">
        <v>270</v>
      </c>
      <c r="J6" t="s">
        <v>260</v>
      </c>
      <c r="K6">
        <v>10.27</v>
      </c>
      <c r="L6">
        <v>1643</v>
      </c>
    </row>
    <row r="7" spans="1:12" x14ac:dyDescent="0.3">
      <c r="A7">
        <v>3</v>
      </c>
      <c r="B7" s="73">
        <v>0</v>
      </c>
      <c r="C7" s="73">
        <f>K7*10+K7*20</f>
        <v>231</v>
      </c>
      <c r="D7" s="73">
        <f>K6*4+K6*80+K6*75.4001</f>
        <v>1637.0390269999998</v>
      </c>
      <c r="E7" s="73">
        <f>K5*30+K5*24+K5*30</f>
        <v>611.52</v>
      </c>
      <c r="F7" s="73">
        <v>0</v>
      </c>
      <c r="G7" s="73">
        <f t="shared" si="0"/>
        <v>2479.5590269999998</v>
      </c>
      <c r="H7" t="s">
        <v>271</v>
      </c>
      <c r="J7" t="s">
        <v>261</v>
      </c>
      <c r="K7">
        <v>7.7</v>
      </c>
      <c r="L7">
        <v>1232</v>
      </c>
    </row>
    <row r="8" spans="1:12" x14ac:dyDescent="0.3">
      <c r="A8">
        <v>4</v>
      </c>
      <c r="B8" s="73">
        <v>0</v>
      </c>
      <c r="C8" s="73">
        <f>K7*20+K7*24</f>
        <v>338.8</v>
      </c>
      <c r="D8" s="73">
        <f>K6*20+K6*20+K6*20+K6*40+K6*10</f>
        <v>1129.7</v>
      </c>
      <c r="E8" s="73">
        <f>K5*10+K5*10+K5*12</f>
        <v>232.95999999999998</v>
      </c>
      <c r="F8" s="73">
        <v>0</v>
      </c>
      <c r="G8" s="73">
        <f t="shared" si="0"/>
        <v>1701.46</v>
      </c>
      <c r="H8" t="s">
        <v>269</v>
      </c>
      <c r="J8" t="s">
        <v>262</v>
      </c>
      <c r="K8">
        <v>5.99</v>
      </c>
      <c r="L8">
        <v>958.4</v>
      </c>
    </row>
    <row r="9" spans="1:12" x14ac:dyDescent="0.3">
      <c r="A9">
        <v>5</v>
      </c>
      <c r="B9" s="73">
        <v>0</v>
      </c>
      <c r="C9" s="73">
        <f>K7*56</f>
        <v>431.2</v>
      </c>
      <c r="D9" s="73">
        <f>K6*52+K6*19+K6*40</f>
        <v>1139.9699999999998</v>
      </c>
      <c r="E9" s="73">
        <f>K5*52+K5*20</f>
        <v>524.16</v>
      </c>
      <c r="F9" s="73">
        <v>0</v>
      </c>
      <c r="G9" s="73">
        <f t="shared" si="0"/>
        <v>2095.33</v>
      </c>
      <c r="H9" t="s">
        <v>264</v>
      </c>
      <c r="J9" t="s">
        <v>263</v>
      </c>
      <c r="K9">
        <v>9.42</v>
      </c>
      <c r="L9">
        <v>1507.2</v>
      </c>
    </row>
    <row r="10" spans="1:12" x14ac:dyDescent="0.3">
      <c r="A10">
        <v>6</v>
      </c>
      <c r="B10" s="73">
        <v>0</v>
      </c>
      <c r="C10" s="73">
        <v>0</v>
      </c>
      <c r="D10" s="73">
        <f>K6*40</f>
        <v>410.79999999999995</v>
      </c>
      <c r="E10" s="73">
        <f>K5*84</f>
        <v>611.52</v>
      </c>
      <c r="F10" s="73">
        <v>0</v>
      </c>
      <c r="G10" s="73">
        <f t="shared" si="0"/>
        <v>1022.3199999999999</v>
      </c>
    </row>
    <row r="11" spans="1:12" x14ac:dyDescent="0.3">
      <c r="A11">
        <v>7</v>
      </c>
      <c r="B11" s="73">
        <v>0</v>
      </c>
      <c r="C11" s="73">
        <v>0</v>
      </c>
      <c r="D11" s="73">
        <f>K6*21+K6*18</f>
        <v>400.53</v>
      </c>
      <c r="E11" s="73">
        <f>K5*88+K5*28</f>
        <v>844.48</v>
      </c>
      <c r="F11" s="73">
        <v>0</v>
      </c>
      <c r="G11" s="73">
        <f t="shared" si="0"/>
        <v>1245.01</v>
      </c>
      <c r="H11" t="s">
        <v>265</v>
      </c>
    </row>
    <row r="12" spans="1:12" x14ac:dyDescent="0.3">
      <c r="A12">
        <v>8</v>
      </c>
      <c r="B12" s="73">
        <f>K8*8</f>
        <v>47.92</v>
      </c>
      <c r="C12" s="73">
        <f>K7*8.2</f>
        <v>63.139999999999993</v>
      </c>
      <c r="D12" s="73">
        <f>K6*33+K6*22+K6*5+K6*20+K6*5</f>
        <v>872.94999999999993</v>
      </c>
      <c r="E12" s="73">
        <f>K5*80+K5*20+K5*30</f>
        <v>946.4</v>
      </c>
      <c r="F12" s="73">
        <v>0</v>
      </c>
      <c r="G12" s="73">
        <f t="shared" si="0"/>
        <v>1930.4099999999999</v>
      </c>
    </row>
    <row r="13" spans="1:12" x14ac:dyDescent="0.3">
      <c r="A13">
        <v>9</v>
      </c>
      <c r="B13" s="73">
        <f>K8*20+K8*14</f>
        <v>203.66000000000003</v>
      </c>
      <c r="C13" s="73">
        <f>K7*17</f>
        <v>130.9</v>
      </c>
      <c r="D13" s="73">
        <f>K6*15+K6*40+K6*20+K6*10+K6*20+K6*10+K6*20</f>
        <v>1386.4499999999998</v>
      </c>
      <c r="E13" s="73">
        <f>K5*40+K5*20+K5*10+K5*22</f>
        <v>669.76</v>
      </c>
      <c r="F13" s="73">
        <v>0</v>
      </c>
      <c r="G13" s="73">
        <f t="shared" si="0"/>
        <v>2390.7699999999995</v>
      </c>
      <c r="H13" t="s">
        <v>266</v>
      </c>
    </row>
    <row r="14" spans="1:12" x14ac:dyDescent="0.3">
      <c r="A14">
        <v>10</v>
      </c>
      <c r="B14" s="73">
        <f>K8*14+K8*20+K8*20</f>
        <v>323.46000000000004</v>
      </c>
      <c r="C14" s="73">
        <f>K7*8+K7*12</f>
        <v>154</v>
      </c>
      <c r="D14" s="73">
        <f>K6*14+K6*20+K6*20+K6*10+K6*34+K6*10</f>
        <v>1109.1600000000001</v>
      </c>
      <c r="E14" s="73">
        <f>K5*18+K5*16+K5*10+K5*34+K5*34+K5*12</f>
        <v>902.72</v>
      </c>
      <c r="F14" s="73">
        <v>0</v>
      </c>
      <c r="G14" s="73">
        <f t="shared" si="0"/>
        <v>2489.34</v>
      </c>
      <c r="H14" t="s">
        <v>272</v>
      </c>
    </row>
    <row r="15" spans="1:12" x14ac:dyDescent="0.3">
      <c r="A15">
        <v>11</v>
      </c>
      <c r="B15" s="73">
        <f>K8*24+K8*16+K8*10</f>
        <v>299.5</v>
      </c>
      <c r="C15" s="73">
        <v>0</v>
      </c>
      <c r="D15" s="73">
        <f>K6*20+K6*14+K6*18</f>
        <v>534.04</v>
      </c>
      <c r="E15" s="73">
        <f>K5*46+K5*20+K5*40</f>
        <v>771.68000000000006</v>
      </c>
      <c r="F15" s="73">
        <v>0</v>
      </c>
      <c r="G15" s="73">
        <f t="shared" si="0"/>
        <v>1605.22</v>
      </c>
      <c r="H15" t="s">
        <v>273</v>
      </c>
    </row>
    <row r="16" spans="1:12" x14ac:dyDescent="0.3">
      <c r="A16">
        <v>12</v>
      </c>
      <c r="B16" s="73">
        <f>K8*14+K8*12+K8*10</f>
        <v>215.64000000000001</v>
      </c>
      <c r="C16" s="73">
        <f>K7*6</f>
        <v>46.2</v>
      </c>
      <c r="D16" s="73">
        <f>K6*11+K6*11+K6*1+K6*18+K6*20</f>
        <v>626.47</v>
      </c>
      <c r="E16" s="73">
        <f>K5*14+K5*30+K5*36</f>
        <v>582.4</v>
      </c>
      <c r="F16" s="73">
        <f>K9*20</f>
        <v>188.4</v>
      </c>
      <c r="G16" s="73">
        <f t="shared" si="0"/>
        <v>1659.1100000000001</v>
      </c>
      <c r="H16" t="s">
        <v>274</v>
      </c>
    </row>
    <row r="17" spans="1:8" x14ac:dyDescent="0.3">
      <c r="A17">
        <v>13</v>
      </c>
      <c r="B17" s="73">
        <f>K8*26+K8*28+K8*10</f>
        <v>383.36</v>
      </c>
      <c r="C17" s="73">
        <f>K7*4</f>
        <v>30.8</v>
      </c>
      <c r="D17" s="73">
        <f>K6*16+K6*20+K6*10+K6*10+K6*10+K6*2+K6*2+K6*4</f>
        <v>759.9799999999999</v>
      </c>
      <c r="E17" s="73">
        <f>K5*16+K5*28+K5*10+K5*6+K5*6+K5*12+K5*4+K5*4</f>
        <v>626.08000000000004</v>
      </c>
      <c r="F17" s="73">
        <f>K9*4+K9*20</f>
        <v>226.08</v>
      </c>
      <c r="G17" s="73">
        <f t="shared" si="0"/>
        <v>2026.2999999999997</v>
      </c>
      <c r="H17" t="s">
        <v>267</v>
      </c>
    </row>
    <row r="18" spans="1:8" x14ac:dyDescent="0.3">
      <c r="A18">
        <v>14</v>
      </c>
      <c r="B18" s="73">
        <f>K8*10+K8*7.2</f>
        <v>103.02800000000001</v>
      </c>
      <c r="C18" s="73">
        <v>0</v>
      </c>
      <c r="D18" s="73">
        <f>K6*10+K6*40+K6*10+K6*12+K6*5</f>
        <v>790.79000000000008</v>
      </c>
      <c r="E18" s="73">
        <f>K5*18+K5*28+K5*6</f>
        <v>378.56</v>
      </c>
      <c r="F18" s="73">
        <v>0</v>
      </c>
      <c r="G18" s="73">
        <f t="shared" si="0"/>
        <v>1272.3780000000002</v>
      </c>
    </row>
    <row r="19" spans="1:8" x14ac:dyDescent="0.3">
      <c r="A19">
        <v>15</v>
      </c>
      <c r="B19" s="73">
        <v>0</v>
      </c>
      <c r="C19" s="73">
        <v>0</v>
      </c>
      <c r="D19" s="73">
        <f>K6*40+K6*10+K6*10+K6*10</f>
        <v>718.90000000000009</v>
      </c>
      <c r="E19" s="73">
        <f>K5*36+K5*10+K5*20+K5*20</f>
        <v>626.08000000000004</v>
      </c>
      <c r="F19" s="73">
        <v>0</v>
      </c>
      <c r="G19" s="73">
        <f t="shared" si="0"/>
        <v>1344.98</v>
      </c>
    </row>
    <row r="20" spans="1:8" x14ac:dyDescent="0.3">
      <c r="A20">
        <v>16</v>
      </c>
      <c r="B20" s="73">
        <v>0</v>
      </c>
      <c r="C20" s="73">
        <v>0</v>
      </c>
      <c r="D20" s="73">
        <f>K6*3+K6*5+K6*40+K6*10+K6*12</f>
        <v>718.89999999999986</v>
      </c>
      <c r="E20" s="73">
        <f>K5*4+K5*20+K5*12+K5*12+K5*40+K5*12</f>
        <v>728</v>
      </c>
      <c r="F20" s="73">
        <v>0</v>
      </c>
      <c r="G20" s="73">
        <f t="shared" si="0"/>
        <v>1446.8999999999999</v>
      </c>
      <c r="H20" t="s">
        <v>269</v>
      </c>
    </row>
    <row r="21" spans="1:8" x14ac:dyDescent="0.3">
      <c r="A21">
        <v>17</v>
      </c>
      <c r="B21" s="73">
        <v>0</v>
      </c>
      <c r="C21" s="73">
        <v>0</v>
      </c>
      <c r="D21" s="73">
        <f>K6*42+K6*10</f>
        <v>534.04</v>
      </c>
      <c r="E21" s="73">
        <f>K5*42</f>
        <v>305.76</v>
      </c>
      <c r="F21" s="73">
        <v>0</v>
      </c>
      <c r="G21" s="73">
        <f t="shared" si="0"/>
        <v>839.8</v>
      </c>
    </row>
    <row r="22" spans="1:8" x14ac:dyDescent="0.3">
      <c r="A22">
        <v>18</v>
      </c>
      <c r="B22" s="73">
        <v>0</v>
      </c>
      <c r="C22" s="73">
        <v>0</v>
      </c>
      <c r="D22" s="73">
        <f>K6*8+K6*30+K6*10</f>
        <v>492.96</v>
      </c>
      <c r="E22" s="73">
        <f>K5*8+K5*30</f>
        <v>276.64</v>
      </c>
      <c r="F22" s="73">
        <v>0</v>
      </c>
      <c r="G22" s="73">
        <f t="shared" si="0"/>
        <v>769.59999999999991</v>
      </c>
    </row>
    <row r="23" spans="1:8" x14ac:dyDescent="0.3">
      <c r="A23">
        <v>19</v>
      </c>
      <c r="B23" s="73">
        <v>0</v>
      </c>
      <c r="C23" s="73">
        <v>0</v>
      </c>
      <c r="D23" s="73">
        <f>K6*12+K6*18</f>
        <v>308.09999999999997</v>
      </c>
      <c r="E23" s="73">
        <f>K5*14</f>
        <v>101.92</v>
      </c>
      <c r="F23" s="73">
        <f>K9*60</f>
        <v>565.20000000000005</v>
      </c>
      <c r="G23" s="73">
        <f t="shared" si="0"/>
        <v>975.22</v>
      </c>
      <c r="H23" t="s">
        <v>265</v>
      </c>
    </row>
    <row r="24" spans="1:8" x14ac:dyDescent="0.3">
      <c r="A24">
        <v>20</v>
      </c>
      <c r="B24" s="73"/>
      <c r="C24" s="73"/>
      <c r="D24" s="73"/>
      <c r="E24" s="73"/>
      <c r="F24" s="73"/>
      <c r="G24" s="73">
        <f t="shared" si="0"/>
        <v>0</v>
      </c>
      <c r="H24" t="s">
        <v>275</v>
      </c>
    </row>
    <row r="25" spans="1:8" x14ac:dyDescent="0.3">
      <c r="A25">
        <v>21</v>
      </c>
      <c r="B25" s="92">
        <f>SUM(B5:B24)</f>
        <v>1576.568</v>
      </c>
      <c r="C25" s="92">
        <f>SUM(C5:C24)</f>
        <v>1580.0400000000002</v>
      </c>
      <c r="D25" s="92">
        <f>SUM(D5:D24)</f>
        <v>15773.077826999996</v>
      </c>
      <c r="E25" s="92">
        <f>SUM(E5:E23)</f>
        <v>10861.76</v>
      </c>
      <c r="F25" s="92">
        <f>SUM(F5:F23)</f>
        <v>979.68000000000006</v>
      </c>
      <c r="G25" s="73">
        <f t="shared" si="0"/>
        <v>30771.125826999996</v>
      </c>
      <c r="H25" s="33"/>
    </row>
    <row r="26" spans="1:8" x14ac:dyDescent="0.3">
      <c r="A26">
        <v>22</v>
      </c>
      <c r="B26" s="73"/>
      <c r="C26" s="73"/>
      <c r="D26" s="73"/>
      <c r="E26" s="73"/>
      <c r="F26" s="73"/>
      <c r="G26" s="73">
        <f t="shared" si="0"/>
        <v>0</v>
      </c>
    </row>
    <row r="27" spans="1:8" x14ac:dyDescent="0.3">
      <c r="A27">
        <v>23</v>
      </c>
      <c r="B27" s="73"/>
      <c r="C27" s="73"/>
      <c r="D27" s="73"/>
      <c r="E27" s="73"/>
      <c r="F27" s="73"/>
      <c r="G27" s="73">
        <f t="shared" si="0"/>
        <v>0</v>
      </c>
    </row>
    <row r="28" spans="1:8" x14ac:dyDescent="0.3">
      <c r="A28">
        <v>24</v>
      </c>
      <c r="B28" s="73"/>
      <c r="C28" s="73"/>
      <c r="D28" s="73"/>
      <c r="E28" s="73"/>
      <c r="F28" s="73"/>
      <c r="G28" s="73">
        <f t="shared" si="0"/>
        <v>0</v>
      </c>
    </row>
    <row r="29" spans="1:8" x14ac:dyDescent="0.3">
      <c r="A29">
        <v>25</v>
      </c>
      <c r="B29" s="73"/>
      <c r="C29" s="73"/>
      <c r="D29" s="73"/>
      <c r="E29" s="73"/>
      <c r="F29" s="73"/>
      <c r="G29" s="73">
        <f t="shared" si="0"/>
        <v>0</v>
      </c>
    </row>
    <row r="30" spans="1:8" x14ac:dyDescent="0.3">
      <c r="A30">
        <v>26</v>
      </c>
      <c r="B30" s="73"/>
      <c r="C30" s="73"/>
      <c r="D30" s="73"/>
      <c r="E30" s="73"/>
      <c r="F30" s="73"/>
      <c r="G30" s="73">
        <f t="shared" si="0"/>
        <v>0</v>
      </c>
    </row>
    <row r="31" spans="1:8" x14ac:dyDescent="0.3">
      <c r="A31">
        <v>27</v>
      </c>
      <c r="B31" s="73"/>
      <c r="C31" s="73"/>
      <c r="D31" s="73"/>
      <c r="E31" s="73"/>
      <c r="F31" s="73"/>
      <c r="G31" s="73">
        <f t="shared" si="0"/>
        <v>0</v>
      </c>
    </row>
    <row r="32" spans="1:8" x14ac:dyDescent="0.3">
      <c r="A32">
        <v>28</v>
      </c>
      <c r="B32" s="73"/>
      <c r="C32" s="73"/>
      <c r="D32" s="73"/>
      <c r="E32" s="73"/>
      <c r="F32" s="73"/>
      <c r="G32" s="73">
        <f t="shared" si="0"/>
        <v>0</v>
      </c>
    </row>
    <row r="33" spans="1:7" x14ac:dyDescent="0.3">
      <c r="A33">
        <v>29</v>
      </c>
      <c r="B33" s="73"/>
      <c r="C33" s="73"/>
      <c r="D33" s="73"/>
      <c r="E33" s="73"/>
      <c r="F33" s="73"/>
      <c r="G33" s="73">
        <f t="shared" si="0"/>
        <v>0</v>
      </c>
    </row>
    <row r="34" spans="1:7" x14ac:dyDescent="0.3">
      <c r="A34">
        <v>30</v>
      </c>
      <c r="B34" s="73"/>
      <c r="C34" s="73"/>
      <c r="D34" s="73"/>
      <c r="E34" s="73"/>
      <c r="F34" s="73"/>
      <c r="G34" s="73">
        <f t="shared" si="0"/>
        <v>0</v>
      </c>
    </row>
    <row r="35" spans="1:7" x14ac:dyDescent="0.3">
      <c r="A35">
        <v>31</v>
      </c>
      <c r="B35" s="73"/>
      <c r="C35" s="73"/>
      <c r="D35" s="73"/>
      <c r="E35" s="73"/>
      <c r="F35" s="73"/>
      <c r="G35" s="73">
        <f t="shared" si="0"/>
        <v>0</v>
      </c>
    </row>
    <row r="36" spans="1:7" x14ac:dyDescent="0.3">
      <c r="A36">
        <v>32</v>
      </c>
      <c r="B36" s="73"/>
      <c r="C36" s="73"/>
      <c r="D36" s="73"/>
      <c r="E36" s="73"/>
      <c r="F36" s="73"/>
      <c r="G36" s="73">
        <f t="shared" si="0"/>
        <v>0</v>
      </c>
    </row>
    <row r="37" spans="1:7" x14ac:dyDescent="0.3">
      <c r="A37">
        <v>33</v>
      </c>
      <c r="B37" s="73"/>
      <c r="C37" s="73"/>
      <c r="D37" s="73"/>
      <c r="E37" s="73"/>
      <c r="F37" s="73"/>
      <c r="G37" s="73">
        <f t="shared" si="0"/>
        <v>0</v>
      </c>
    </row>
    <row r="38" spans="1:7" x14ac:dyDescent="0.3">
      <c r="A38">
        <v>34</v>
      </c>
      <c r="B38" s="73"/>
      <c r="C38" s="73"/>
      <c r="D38" s="73"/>
      <c r="E38" s="73"/>
      <c r="F38" s="73"/>
      <c r="G38" s="73">
        <f t="shared" si="0"/>
        <v>0</v>
      </c>
    </row>
    <row r="39" spans="1:7" x14ac:dyDescent="0.3">
      <c r="A39">
        <v>35</v>
      </c>
      <c r="B39" s="73"/>
      <c r="C39" s="73"/>
      <c r="D39" s="73"/>
      <c r="E39" s="73"/>
      <c r="F39" s="73"/>
      <c r="G39" s="73">
        <f t="shared" si="0"/>
        <v>0</v>
      </c>
    </row>
    <row r="40" spans="1:7" x14ac:dyDescent="0.3">
      <c r="A40">
        <v>36</v>
      </c>
      <c r="B40" s="73"/>
      <c r="C40" s="73"/>
      <c r="D40" s="73"/>
      <c r="E40" s="73"/>
      <c r="F40" s="73"/>
      <c r="G40" s="73">
        <f t="shared" si="0"/>
        <v>0</v>
      </c>
    </row>
    <row r="41" spans="1:7" x14ac:dyDescent="0.3">
      <c r="A41">
        <v>37</v>
      </c>
      <c r="B41" s="73"/>
      <c r="C41" s="73"/>
      <c r="D41" s="73"/>
      <c r="E41" s="73"/>
      <c r="F41" s="73"/>
      <c r="G41" s="73">
        <f t="shared" si="0"/>
        <v>0</v>
      </c>
    </row>
    <row r="42" spans="1:7" x14ac:dyDescent="0.3">
      <c r="A42">
        <v>38</v>
      </c>
      <c r="B42" s="73"/>
      <c r="C42" s="73"/>
      <c r="D42" s="73"/>
      <c r="E42" s="73"/>
      <c r="F42" s="73"/>
      <c r="G42" s="73">
        <f t="shared" si="0"/>
        <v>0</v>
      </c>
    </row>
    <row r="43" spans="1:7" x14ac:dyDescent="0.3">
      <c r="A43">
        <v>39</v>
      </c>
      <c r="B43" s="73"/>
      <c r="C43" s="73"/>
      <c r="D43" s="73"/>
      <c r="E43" s="73"/>
      <c r="F43" s="73"/>
      <c r="G43" s="73">
        <f t="shared" si="0"/>
        <v>0</v>
      </c>
    </row>
    <row r="44" spans="1:7" x14ac:dyDescent="0.3">
      <c r="A44">
        <v>40</v>
      </c>
      <c r="B44" s="73"/>
      <c r="C44" s="73"/>
      <c r="D44" s="73"/>
      <c r="E44" s="73"/>
      <c r="F44" s="73"/>
      <c r="G44" s="73">
        <f t="shared" si="0"/>
        <v>0</v>
      </c>
    </row>
    <row r="45" spans="1:7" x14ac:dyDescent="0.3">
      <c r="A45">
        <v>41</v>
      </c>
      <c r="B45" s="73"/>
      <c r="C45" s="73"/>
      <c r="D45" s="73"/>
      <c r="E45" s="73"/>
      <c r="F45" s="73"/>
      <c r="G45" s="73">
        <f t="shared" si="0"/>
        <v>0</v>
      </c>
    </row>
    <row r="46" spans="1:7" x14ac:dyDescent="0.3">
      <c r="A46">
        <v>42</v>
      </c>
      <c r="B46" s="73"/>
      <c r="C46" s="73"/>
      <c r="D46" s="73"/>
      <c r="E46" s="73"/>
      <c r="F46" s="73"/>
      <c r="G46" s="73">
        <f t="shared" si="0"/>
        <v>0</v>
      </c>
    </row>
    <row r="47" spans="1:7" x14ac:dyDescent="0.3">
      <c r="A47">
        <v>43</v>
      </c>
      <c r="B47" s="73"/>
      <c r="C47" s="73"/>
      <c r="D47" s="73"/>
      <c r="E47" s="73"/>
      <c r="F47" s="73"/>
      <c r="G47" s="73">
        <f t="shared" si="0"/>
        <v>0</v>
      </c>
    </row>
    <row r="48" spans="1:7" x14ac:dyDescent="0.3">
      <c r="A48">
        <v>44</v>
      </c>
      <c r="B48" s="73"/>
      <c r="C48" s="73"/>
      <c r="D48" s="73"/>
      <c r="E48" s="73"/>
      <c r="F48" s="73"/>
      <c r="G48" s="73">
        <f t="shared" si="0"/>
        <v>0</v>
      </c>
    </row>
    <row r="49" spans="1:7" x14ac:dyDescent="0.3">
      <c r="A49">
        <v>45</v>
      </c>
      <c r="B49" s="73"/>
      <c r="C49" s="73"/>
      <c r="D49" s="73"/>
      <c r="E49" s="73"/>
      <c r="F49" s="73"/>
      <c r="G49" s="73">
        <f t="shared" si="0"/>
        <v>0</v>
      </c>
    </row>
    <row r="50" spans="1:7" x14ac:dyDescent="0.3">
      <c r="A50">
        <v>46</v>
      </c>
      <c r="B50" s="73"/>
      <c r="C50" s="73"/>
      <c r="D50" s="73"/>
      <c r="E50" s="73"/>
      <c r="F50" s="73"/>
      <c r="G50" s="73">
        <f t="shared" si="0"/>
        <v>0</v>
      </c>
    </row>
    <row r="51" spans="1:7" x14ac:dyDescent="0.3">
      <c r="A51">
        <v>47</v>
      </c>
      <c r="B51" s="73"/>
      <c r="C51" s="73"/>
      <c r="D51" s="73"/>
      <c r="E51" s="73"/>
      <c r="F51" s="73"/>
      <c r="G51" s="73">
        <f t="shared" si="0"/>
        <v>0</v>
      </c>
    </row>
    <row r="52" spans="1:7" x14ac:dyDescent="0.3">
      <c r="A52">
        <v>48</v>
      </c>
      <c r="B52" s="73"/>
      <c r="C52" s="73"/>
      <c r="D52" s="73"/>
      <c r="E52" s="73"/>
      <c r="F52" s="73"/>
      <c r="G52" s="73">
        <f t="shared" si="0"/>
        <v>0</v>
      </c>
    </row>
    <row r="53" spans="1:7" x14ac:dyDescent="0.3">
      <c r="A53">
        <v>49</v>
      </c>
      <c r="B53" s="73"/>
      <c r="C53" s="73"/>
      <c r="D53" s="73"/>
      <c r="E53" s="73"/>
      <c r="F53" s="73"/>
      <c r="G53" s="73">
        <f t="shared" si="0"/>
        <v>0</v>
      </c>
    </row>
    <row r="54" spans="1:7" x14ac:dyDescent="0.3">
      <c r="A54">
        <v>50</v>
      </c>
      <c r="B54" s="73"/>
      <c r="C54" s="73"/>
      <c r="D54" s="73"/>
      <c r="E54" s="73"/>
      <c r="F54" s="73"/>
      <c r="G54" s="73">
        <f t="shared" si="0"/>
        <v>0</v>
      </c>
    </row>
    <row r="55" spans="1:7" x14ac:dyDescent="0.3">
      <c r="A55">
        <v>51</v>
      </c>
      <c r="B55" s="73"/>
      <c r="C55" s="73"/>
      <c r="D55" s="73"/>
      <c r="E55" s="73"/>
      <c r="F55" s="73"/>
      <c r="G55" s="73">
        <f t="shared" si="0"/>
        <v>0</v>
      </c>
    </row>
    <row r="56" spans="1:7" x14ac:dyDescent="0.3">
      <c r="A56">
        <v>52</v>
      </c>
      <c r="B56" s="73"/>
      <c r="C56" s="73"/>
      <c r="D56" s="73"/>
      <c r="E56" s="73"/>
      <c r="F56" s="73"/>
      <c r="G56" s="73">
        <f t="shared" si="0"/>
        <v>0</v>
      </c>
    </row>
    <row r="57" spans="1:7" x14ac:dyDescent="0.3">
      <c r="A57">
        <v>53</v>
      </c>
      <c r="B57" s="73"/>
      <c r="C57" s="73"/>
      <c r="D57" s="73"/>
      <c r="E57" s="73"/>
      <c r="F57" s="73"/>
      <c r="G57" s="73">
        <f t="shared" si="0"/>
        <v>0</v>
      </c>
    </row>
    <row r="58" spans="1:7" x14ac:dyDescent="0.3">
      <c r="A58">
        <v>54</v>
      </c>
      <c r="B58" s="73"/>
      <c r="C58" s="73"/>
      <c r="D58" s="73"/>
      <c r="E58" s="73"/>
      <c r="F58" s="73"/>
      <c r="G58" s="73">
        <f t="shared" si="0"/>
        <v>0</v>
      </c>
    </row>
    <row r="59" spans="1:7" x14ac:dyDescent="0.3">
      <c r="A59">
        <v>55</v>
      </c>
      <c r="B59" s="73"/>
      <c r="C59" s="73"/>
      <c r="D59" s="73"/>
      <c r="E59" s="73"/>
      <c r="F59" s="73"/>
      <c r="G59" s="73">
        <f t="shared" si="0"/>
        <v>0</v>
      </c>
    </row>
    <row r="60" spans="1:7" x14ac:dyDescent="0.3">
      <c r="A60">
        <v>56</v>
      </c>
      <c r="B60" s="73"/>
      <c r="C60" s="73"/>
      <c r="D60" s="73"/>
      <c r="E60" s="73"/>
      <c r="F60" s="73"/>
      <c r="G60" s="73">
        <f t="shared" si="0"/>
        <v>0</v>
      </c>
    </row>
    <row r="61" spans="1:7" x14ac:dyDescent="0.3">
      <c r="A61">
        <v>57</v>
      </c>
      <c r="B61" s="73"/>
      <c r="C61" s="73"/>
      <c r="D61" s="73"/>
      <c r="E61" s="73"/>
      <c r="F61" s="73"/>
      <c r="G61" s="73">
        <f t="shared" si="0"/>
        <v>0</v>
      </c>
    </row>
    <row r="62" spans="1:7" x14ac:dyDescent="0.3">
      <c r="A62">
        <v>58</v>
      </c>
      <c r="B62" s="73"/>
      <c r="C62" s="73"/>
      <c r="D62" s="73"/>
      <c r="E62" s="73"/>
      <c r="F62" s="73"/>
      <c r="G62" s="73">
        <f t="shared" si="0"/>
        <v>0</v>
      </c>
    </row>
    <row r="63" spans="1:7" x14ac:dyDescent="0.3">
      <c r="A63">
        <v>59</v>
      </c>
      <c r="B63" s="73"/>
      <c r="C63" s="73"/>
      <c r="D63" s="73"/>
      <c r="E63" s="73"/>
      <c r="F63" s="73"/>
      <c r="G63" s="73">
        <f t="shared" si="0"/>
        <v>0</v>
      </c>
    </row>
    <row r="64" spans="1:7" x14ac:dyDescent="0.3">
      <c r="A64">
        <v>60</v>
      </c>
      <c r="B64" s="73"/>
      <c r="C64" s="73"/>
      <c r="D64" s="73"/>
      <c r="E64" s="73"/>
      <c r="F64" s="73"/>
      <c r="G64" s="73">
        <f t="shared" si="0"/>
        <v>0</v>
      </c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A66" s="72" t="s">
        <v>190</v>
      </c>
      <c r="B66" s="73"/>
      <c r="C66" s="73"/>
      <c r="D66" s="73"/>
      <c r="E66" s="73"/>
      <c r="F66" s="73"/>
      <c r="G66" s="74"/>
    </row>
    <row r="71" spans="1:7" x14ac:dyDescent="0.3">
      <c r="A71" s="32"/>
    </row>
    <row r="81" spans="3:3" x14ac:dyDescent="0.3">
      <c r="C81" s="9"/>
    </row>
    <row r="87" spans="3:3" x14ac:dyDescent="0.3">
      <c r="C8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C963-125B-4157-BB7D-C9EEF8B00726}">
  <sheetPr>
    <tabColor theme="9" tint="0.59999389629810485"/>
  </sheetPr>
  <dimension ref="A1:K68"/>
  <sheetViews>
    <sheetView workbookViewId="0">
      <selection activeCell="C17" sqref="C17"/>
    </sheetView>
  </sheetViews>
  <sheetFormatPr baseColWidth="10" defaultRowHeight="14.4" x14ac:dyDescent="0.3"/>
  <cols>
    <col min="1" max="1" width="25.88671875" customWidth="1"/>
    <col min="2" max="2" width="26.441406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1" x14ac:dyDescent="0.3">
      <c r="A1" s="32" t="s">
        <v>277</v>
      </c>
    </row>
    <row r="2" spans="1:11" x14ac:dyDescent="0.3">
      <c r="A2" s="32"/>
      <c r="G2" s="68" t="s">
        <v>342</v>
      </c>
    </row>
    <row r="3" spans="1:11" x14ac:dyDescent="0.3">
      <c r="A3" s="95" t="s">
        <v>317</v>
      </c>
    </row>
    <row r="4" spans="1:11" x14ac:dyDescent="0.3">
      <c r="A4" s="95"/>
    </row>
    <row r="5" spans="1:11" x14ac:dyDescent="0.3">
      <c r="A5" t="s">
        <v>316</v>
      </c>
      <c r="B5">
        <f>(11.42+'Armado Placa'!H34-'Armado Placa'!H33)*5</f>
        <v>346.84615499999995</v>
      </c>
      <c r="C5" t="s">
        <v>279</v>
      </c>
    </row>
    <row r="6" spans="1:11" x14ac:dyDescent="0.3">
      <c r="A6" t="s">
        <v>340</v>
      </c>
      <c r="B6">
        <f>('Armado Gabinete'!H14)*5</f>
        <v>957.12209999999982</v>
      </c>
      <c r="C6" t="s">
        <v>280</v>
      </c>
    </row>
    <row r="7" spans="1:11" x14ac:dyDescent="0.3">
      <c r="J7" t="s">
        <v>259</v>
      </c>
      <c r="K7">
        <v>7.28</v>
      </c>
    </row>
    <row r="8" spans="1:11" x14ac:dyDescent="0.3">
      <c r="J8" t="s">
        <v>260</v>
      </c>
      <c r="K8">
        <v>10.27</v>
      </c>
    </row>
    <row r="9" spans="1:11" x14ac:dyDescent="0.3">
      <c r="J9" t="s">
        <v>261</v>
      </c>
      <c r="K9">
        <v>7.7</v>
      </c>
    </row>
    <row r="10" spans="1:11" x14ac:dyDescent="0.3">
      <c r="J10" t="s">
        <v>262</v>
      </c>
      <c r="K10">
        <v>5.99</v>
      </c>
    </row>
    <row r="11" spans="1:11" x14ac:dyDescent="0.3">
      <c r="J11" t="s">
        <v>263</v>
      </c>
      <c r="K11">
        <v>9.42</v>
      </c>
    </row>
    <row r="12" spans="1:11" x14ac:dyDescent="0.3">
      <c r="A12" s="95" t="s">
        <v>320</v>
      </c>
    </row>
    <row r="13" spans="1:11" x14ac:dyDescent="0.3">
      <c r="B13" s="73"/>
      <c r="C13" s="73"/>
      <c r="D13" s="73"/>
      <c r="E13" s="73"/>
      <c r="F13" s="73"/>
      <c r="G13" s="73"/>
    </row>
    <row r="14" spans="1:11" x14ac:dyDescent="0.3">
      <c r="A14" t="s">
        <v>318</v>
      </c>
      <c r="B14">
        <f>K8*10</f>
        <v>102.69999999999999</v>
      </c>
      <c r="C14" t="s">
        <v>281</v>
      </c>
    </row>
    <row r="15" spans="1:11" x14ac:dyDescent="0.3">
      <c r="A15" t="s">
        <v>319</v>
      </c>
      <c r="B15">
        <f>9.42*6</f>
        <v>56.519999999999996</v>
      </c>
      <c r="C15" t="s">
        <v>321</v>
      </c>
    </row>
    <row r="16" spans="1:11" x14ac:dyDescent="0.3">
      <c r="A16" t="s">
        <v>282</v>
      </c>
      <c r="B16">
        <f>15.75+0.08*(B5/5+B6/5)</f>
        <v>36.61349208</v>
      </c>
      <c r="C16" t="s">
        <v>350</v>
      </c>
    </row>
    <row r="17" spans="1:8" x14ac:dyDescent="0.3">
      <c r="A17" t="s">
        <v>311</v>
      </c>
      <c r="B17">
        <f>10.27*8</f>
        <v>82.16</v>
      </c>
    </row>
    <row r="20" spans="1:8" x14ac:dyDescent="0.3">
      <c r="A20" s="96" t="s">
        <v>53</v>
      </c>
      <c r="B20" s="97">
        <f>SUM(B14:B17)</f>
        <v>277.99349208000001</v>
      </c>
    </row>
    <row r="21" spans="1:8" x14ac:dyDescent="0.3">
      <c r="B21" s="73"/>
      <c r="C21" s="73"/>
      <c r="D21" s="73"/>
      <c r="E21" s="73"/>
      <c r="F21" s="73"/>
      <c r="G21" s="73"/>
    </row>
    <row r="22" spans="1:8" x14ac:dyDescent="0.3">
      <c r="B22" s="73"/>
      <c r="C22" s="73"/>
      <c r="D22" s="73"/>
      <c r="E22" s="73"/>
      <c r="F22" s="73"/>
      <c r="G22" s="73"/>
    </row>
    <row r="27" spans="1:8" x14ac:dyDescent="0.3">
      <c r="H27" s="33"/>
    </row>
    <row r="30" spans="1:8" x14ac:dyDescent="0.3">
      <c r="A30" s="9"/>
      <c r="B30" s="9"/>
      <c r="C30" s="9"/>
      <c r="D30" s="9"/>
    </row>
    <row r="31" spans="1:8" x14ac:dyDescent="0.3">
      <c r="A31" s="102"/>
      <c r="B31" s="9"/>
      <c r="C31" s="9"/>
      <c r="D31" s="9"/>
    </row>
    <row r="32" spans="1:8" x14ac:dyDescent="0.3">
      <c r="A32" s="9"/>
      <c r="B32" s="9"/>
      <c r="C32" s="9"/>
      <c r="D32" s="9"/>
    </row>
    <row r="33" spans="1:7" x14ac:dyDescent="0.3">
      <c r="A33" s="9"/>
      <c r="B33" s="9"/>
      <c r="C33" s="9"/>
      <c r="D33" s="9"/>
    </row>
    <row r="34" spans="1:7" x14ac:dyDescent="0.3">
      <c r="A34" s="9"/>
      <c r="B34" s="9"/>
      <c r="C34" s="9"/>
      <c r="D34" s="9"/>
    </row>
    <row r="35" spans="1:7" x14ac:dyDescent="0.3">
      <c r="A35" s="9"/>
      <c r="B35" s="9"/>
      <c r="C35" s="9"/>
      <c r="D35" s="9"/>
    </row>
    <row r="36" spans="1:7" x14ac:dyDescent="0.3">
      <c r="A36" s="9"/>
      <c r="B36" s="9"/>
      <c r="C36" s="9"/>
      <c r="D36" s="9"/>
    </row>
    <row r="37" spans="1:7" x14ac:dyDescent="0.3">
      <c r="A37" s="76"/>
      <c r="B37" s="76"/>
      <c r="C37" s="76"/>
      <c r="D37" s="9"/>
      <c r="E37" s="73"/>
      <c r="F37" s="73"/>
      <c r="G37" s="73"/>
    </row>
    <row r="38" spans="1:7" x14ac:dyDescent="0.3">
      <c r="B38" s="73"/>
      <c r="C38" s="73"/>
      <c r="D38" s="73"/>
      <c r="E38" s="73"/>
      <c r="F38" s="73"/>
      <c r="G38" s="73"/>
    </row>
    <row r="39" spans="1:7" x14ac:dyDescent="0.3">
      <c r="B39" s="73"/>
      <c r="C39" s="73"/>
      <c r="D39" s="73"/>
      <c r="E39" s="73"/>
      <c r="F39" s="73"/>
      <c r="G39" s="73"/>
    </row>
    <row r="40" spans="1:7" x14ac:dyDescent="0.3">
      <c r="B40" s="73"/>
      <c r="C40" s="73"/>
      <c r="D40" s="73"/>
      <c r="E40" s="73"/>
      <c r="F40" s="73"/>
      <c r="G40" s="73"/>
    </row>
    <row r="41" spans="1:7" x14ac:dyDescent="0.3">
      <c r="B41" s="73"/>
      <c r="C41" s="73"/>
      <c r="D41" s="73"/>
      <c r="E41" s="73"/>
      <c r="F41" s="73"/>
      <c r="G41" s="73"/>
    </row>
    <row r="42" spans="1:7" x14ac:dyDescent="0.3">
      <c r="B42" s="73"/>
      <c r="C42" s="73"/>
      <c r="D42" s="73"/>
      <c r="E42" s="73"/>
      <c r="F42" s="73"/>
      <c r="G42" s="73"/>
    </row>
    <row r="43" spans="1:7" x14ac:dyDescent="0.3">
      <c r="B43" s="73"/>
      <c r="C43" s="73"/>
      <c r="D43" s="73"/>
      <c r="E43" s="73"/>
      <c r="F43" s="73"/>
      <c r="G43" s="73"/>
    </row>
    <row r="44" spans="1:7" x14ac:dyDescent="0.3">
      <c r="B44" s="73"/>
      <c r="C44" s="73"/>
      <c r="D44" s="73"/>
      <c r="E44" s="73"/>
      <c r="F44" s="73"/>
      <c r="G44" s="73"/>
    </row>
    <row r="45" spans="1:7" x14ac:dyDescent="0.3">
      <c r="B45" s="73"/>
      <c r="C45" s="73"/>
      <c r="D45" s="73"/>
      <c r="E45" s="73"/>
      <c r="F45" s="73"/>
      <c r="G45" s="73"/>
    </row>
    <row r="46" spans="1:7" x14ac:dyDescent="0.3">
      <c r="B46" s="73"/>
      <c r="C46" s="73"/>
      <c r="D46" s="73"/>
      <c r="E46" s="73"/>
      <c r="F46" s="73"/>
      <c r="G46" s="73"/>
    </row>
    <row r="47" spans="1:7" x14ac:dyDescent="0.3">
      <c r="B47" s="73"/>
      <c r="C47" s="73"/>
      <c r="D47" s="73"/>
      <c r="E47" s="73"/>
      <c r="F47" s="73"/>
      <c r="G47" s="73"/>
    </row>
    <row r="48" spans="1:7" x14ac:dyDescent="0.3">
      <c r="B48" s="73"/>
      <c r="C48" s="73"/>
      <c r="D48" s="73"/>
      <c r="E48" s="73"/>
      <c r="F48" s="73"/>
      <c r="G48" s="73"/>
    </row>
    <row r="49" spans="2:7" x14ac:dyDescent="0.3">
      <c r="B49" s="73"/>
      <c r="C49" s="73"/>
      <c r="D49" s="73"/>
      <c r="E49" s="73"/>
      <c r="F49" s="73"/>
      <c r="G49" s="73"/>
    </row>
    <row r="50" spans="2:7" x14ac:dyDescent="0.3">
      <c r="B50" s="73"/>
      <c r="C50" s="73"/>
      <c r="D50" s="73"/>
      <c r="E50" s="73"/>
      <c r="F50" s="73"/>
      <c r="G50" s="73"/>
    </row>
    <row r="51" spans="2:7" x14ac:dyDescent="0.3">
      <c r="B51" s="73"/>
      <c r="C51" s="73"/>
      <c r="D51" s="73"/>
      <c r="E51" s="73"/>
      <c r="F51" s="73"/>
      <c r="G51" s="73"/>
    </row>
    <row r="52" spans="2:7" x14ac:dyDescent="0.3">
      <c r="B52" s="73"/>
      <c r="C52" s="73"/>
      <c r="D52" s="73"/>
      <c r="E52" s="73"/>
      <c r="F52" s="73"/>
      <c r="G52" s="73"/>
    </row>
    <row r="53" spans="2:7" x14ac:dyDescent="0.3">
      <c r="B53" s="73"/>
      <c r="C53" s="73"/>
      <c r="D53" s="73"/>
      <c r="E53" s="73"/>
      <c r="F53" s="73"/>
      <c r="G53" s="73"/>
    </row>
    <row r="54" spans="2:7" x14ac:dyDescent="0.3">
      <c r="B54" s="73"/>
      <c r="C54" s="73"/>
      <c r="D54" s="73"/>
      <c r="E54" s="73"/>
      <c r="F54" s="73"/>
      <c r="G54" s="73"/>
    </row>
    <row r="55" spans="2:7" x14ac:dyDescent="0.3">
      <c r="B55" s="73"/>
      <c r="C55" s="73"/>
      <c r="D55" s="73"/>
      <c r="E55" s="73"/>
      <c r="F55" s="73"/>
      <c r="G55" s="73"/>
    </row>
    <row r="56" spans="2:7" x14ac:dyDescent="0.3">
      <c r="B56" s="73"/>
      <c r="C56" s="73"/>
      <c r="D56" s="73"/>
      <c r="E56" s="73"/>
      <c r="F56" s="73"/>
      <c r="G56" s="73"/>
    </row>
    <row r="57" spans="2:7" x14ac:dyDescent="0.3">
      <c r="B57" s="73"/>
      <c r="C57" s="73"/>
      <c r="D57" s="73"/>
      <c r="E57" s="73"/>
      <c r="F57" s="73"/>
      <c r="G57" s="73"/>
    </row>
    <row r="58" spans="2:7" x14ac:dyDescent="0.3">
      <c r="B58" s="73"/>
      <c r="C58" s="73"/>
      <c r="D58" s="73"/>
      <c r="E58" s="73"/>
      <c r="F58" s="73"/>
      <c r="G58" s="73"/>
    </row>
    <row r="59" spans="2:7" x14ac:dyDescent="0.3">
      <c r="B59" s="73"/>
      <c r="C59" s="73"/>
      <c r="D59" s="73"/>
      <c r="E59" s="73"/>
      <c r="F59" s="73"/>
      <c r="G59" s="73"/>
    </row>
    <row r="60" spans="2:7" x14ac:dyDescent="0.3">
      <c r="B60" s="73"/>
      <c r="C60" s="73"/>
      <c r="D60" s="73"/>
      <c r="E60" s="73"/>
      <c r="F60" s="73"/>
      <c r="G60" s="73"/>
    </row>
    <row r="61" spans="2:7" x14ac:dyDescent="0.3">
      <c r="B61" s="73"/>
      <c r="C61" s="73"/>
      <c r="D61" s="73"/>
      <c r="E61" s="73"/>
      <c r="F61" s="73"/>
      <c r="G61" s="73"/>
    </row>
    <row r="62" spans="2:7" x14ac:dyDescent="0.3">
      <c r="B62" s="73"/>
      <c r="C62" s="73"/>
      <c r="D62" s="73"/>
      <c r="E62" s="73"/>
      <c r="F62" s="73"/>
      <c r="G62" s="73"/>
    </row>
    <row r="63" spans="2:7" x14ac:dyDescent="0.3">
      <c r="B63" s="73"/>
      <c r="C63" s="73"/>
      <c r="D63" s="73"/>
      <c r="E63" s="73"/>
      <c r="F63" s="73"/>
      <c r="G63" s="73"/>
    </row>
    <row r="64" spans="2:7" x14ac:dyDescent="0.3">
      <c r="B64" s="73"/>
      <c r="C64" s="73"/>
      <c r="D64" s="73"/>
      <c r="E64" s="73"/>
      <c r="F64" s="73"/>
      <c r="G64" s="73"/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B66" s="73"/>
      <c r="C66" s="73"/>
      <c r="D66" s="73"/>
      <c r="E66" s="73"/>
      <c r="F66" s="73"/>
      <c r="G66" s="73"/>
    </row>
    <row r="67" spans="1:7" x14ac:dyDescent="0.3">
      <c r="B67" s="73"/>
      <c r="C67" s="73"/>
      <c r="D67" s="73"/>
      <c r="E67" s="73"/>
      <c r="F67" s="73"/>
      <c r="G67" s="73"/>
    </row>
    <row r="68" spans="1:7" x14ac:dyDescent="0.3">
      <c r="A68" s="72"/>
      <c r="B68" s="73"/>
      <c r="C68" s="73"/>
      <c r="D68" s="73"/>
      <c r="E68" s="73"/>
      <c r="F68" s="73"/>
      <c r="G68" s="7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693-1CF5-4F4E-A738-A07BF46451A7}">
  <sheetPr>
    <tabColor rgb="FFFFFF00"/>
  </sheetPr>
  <dimension ref="A1:H70"/>
  <sheetViews>
    <sheetView workbookViewId="0">
      <selection activeCell="E32" sqref="E32"/>
    </sheetView>
  </sheetViews>
  <sheetFormatPr baseColWidth="10" defaultRowHeight="14.4" x14ac:dyDescent="0.3"/>
  <cols>
    <col min="1" max="1" width="29.5546875" customWidth="1"/>
    <col min="2" max="2" width="26.441406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7" x14ac:dyDescent="0.3">
      <c r="A1" s="32" t="s">
        <v>331</v>
      </c>
    </row>
    <row r="2" spans="1:7" x14ac:dyDescent="0.3">
      <c r="A2" s="32"/>
      <c r="E2" s="68" t="s">
        <v>341</v>
      </c>
    </row>
    <row r="3" spans="1:7" x14ac:dyDescent="0.3">
      <c r="A3" t="s">
        <v>334</v>
      </c>
      <c r="B3">
        <f>'Armado Placa'!H34*15</f>
        <v>1305.6582149999997</v>
      </c>
      <c r="C3" t="s">
        <v>322</v>
      </c>
    </row>
    <row r="4" spans="1:7" x14ac:dyDescent="0.3">
      <c r="A4" t="s">
        <v>332</v>
      </c>
      <c r="B4">
        <f>'Armado Placa'!H34*2</f>
        <v>174.08776199999997</v>
      </c>
      <c r="C4" t="s">
        <v>333</v>
      </c>
      <c r="D4" s="11"/>
      <c r="E4" s="11"/>
      <c r="F4" s="11"/>
    </row>
    <row r="5" spans="1:7" x14ac:dyDescent="0.3">
      <c r="A5" t="s">
        <v>336</v>
      </c>
      <c r="B5">
        <f>('Armado Gabinete'!H14)*15</f>
        <v>2871.3662999999997</v>
      </c>
      <c r="C5" t="s">
        <v>322</v>
      </c>
      <c r="D5" s="11"/>
      <c r="E5" s="11"/>
      <c r="F5" s="11"/>
    </row>
    <row r="6" spans="1:7" x14ac:dyDescent="0.3">
      <c r="A6" t="s">
        <v>335</v>
      </c>
      <c r="B6">
        <f>('Armado Gabinete'!H14)*2</f>
        <v>382.84883999999994</v>
      </c>
      <c r="C6" t="s">
        <v>337</v>
      </c>
      <c r="D6" s="11"/>
      <c r="E6" s="11"/>
      <c r="F6" s="11"/>
    </row>
    <row r="7" spans="1:7" x14ac:dyDescent="0.3">
      <c r="A7" t="s">
        <v>338</v>
      </c>
      <c r="B7">
        <f>Montaje!H24*15</f>
        <v>5554.0361250000014</v>
      </c>
      <c r="C7" t="s">
        <v>339</v>
      </c>
      <c r="D7" s="11"/>
      <c r="E7" s="11"/>
      <c r="F7" s="11"/>
    </row>
    <row r="8" spans="1:7" x14ac:dyDescent="0.3">
      <c r="D8" s="11"/>
      <c r="E8" s="11"/>
      <c r="F8" s="11"/>
    </row>
    <row r="9" spans="1:7" x14ac:dyDescent="0.3">
      <c r="A9" s="11"/>
      <c r="B9" s="11"/>
      <c r="C9" s="11"/>
      <c r="D9" s="11"/>
      <c r="E9" s="11"/>
      <c r="F9" s="11"/>
    </row>
    <row r="10" spans="1:7" x14ac:dyDescent="0.3">
      <c r="A10" s="11"/>
      <c r="B10" s="11"/>
      <c r="C10" s="11"/>
      <c r="D10" s="11"/>
      <c r="E10" s="11"/>
      <c r="F10" s="11"/>
    </row>
    <row r="11" spans="1:7" x14ac:dyDescent="0.3">
      <c r="A11" t="s">
        <v>285</v>
      </c>
      <c r="B11" s="10">
        <f>SUM(B3:B7)</f>
        <v>10287.997242000001</v>
      </c>
      <c r="C11" s="11"/>
      <c r="D11" s="11"/>
      <c r="E11" s="11"/>
      <c r="F11" s="11"/>
    </row>
    <row r="12" spans="1:7" x14ac:dyDescent="0.3">
      <c r="A12" s="11"/>
      <c r="B12" s="11"/>
      <c r="C12" s="11"/>
      <c r="D12" s="11"/>
      <c r="E12" s="11"/>
      <c r="F12" s="11"/>
    </row>
    <row r="13" spans="1:7" x14ac:dyDescent="0.3">
      <c r="A13" s="11"/>
      <c r="B13" s="11"/>
      <c r="C13" s="11"/>
      <c r="D13" s="11"/>
      <c r="E13" s="11"/>
      <c r="F13" s="11"/>
    </row>
    <row r="14" spans="1:7" x14ac:dyDescent="0.3">
      <c r="A14" s="103"/>
      <c r="B14" s="11"/>
      <c r="C14" s="11"/>
      <c r="D14" s="11"/>
      <c r="E14" s="11"/>
      <c r="F14" s="11"/>
    </row>
    <row r="15" spans="1:7" x14ac:dyDescent="0.3">
      <c r="A15" s="11"/>
      <c r="B15" s="104"/>
      <c r="C15" s="104"/>
      <c r="D15" s="104"/>
      <c r="E15" s="104"/>
      <c r="F15" s="104"/>
      <c r="G15" s="73"/>
    </row>
    <row r="16" spans="1:7" x14ac:dyDescent="0.3">
      <c r="A16" s="11"/>
      <c r="B16" s="11"/>
      <c r="C16" s="11"/>
      <c r="D16" s="11"/>
      <c r="E16" s="11"/>
      <c r="F16" s="11"/>
    </row>
    <row r="17" spans="1:8" x14ac:dyDescent="0.3">
      <c r="A17" s="11"/>
      <c r="B17" s="11"/>
      <c r="C17" s="11"/>
      <c r="D17" s="11"/>
      <c r="E17" s="11"/>
      <c r="F17" s="11"/>
    </row>
    <row r="18" spans="1:8" x14ac:dyDescent="0.3">
      <c r="C18" s="11"/>
      <c r="D18" s="11"/>
      <c r="E18" s="11"/>
      <c r="F18" s="11"/>
    </row>
    <row r="19" spans="1:8" x14ac:dyDescent="0.3">
      <c r="A19" s="11"/>
      <c r="B19" s="11"/>
      <c r="C19" s="11"/>
      <c r="D19" s="11"/>
      <c r="E19" s="11"/>
      <c r="F19" s="11"/>
    </row>
    <row r="20" spans="1:8" x14ac:dyDescent="0.3">
      <c r="A20" s="11"/>
      <c r="B20" s="11"/>
      <c r="C20" s="11"/>
      <c r="D20" s="11"/>
      <c r="E20" s="11"/>
      <c r="F20" s="11"/>
    </row>
    <row r="21" spans="1:8" x14ac:dyDescent="0.3">
      <c r="A21" s="11"/>
      <c r="B21" s="11"/>
      <c r="C21" s="11"/>
      <c r="D21" s="11"/>
      <c r="E21" s="11"/>
      <c r="F21" s="11"/>
    </row>
    <row r="22" spans="1:8" x14ac:dyDescent="0.3">
      <c r="A22" s="11"/>
      <c r="B22" s="11"/>
      <c r="C22" s="11"/>
      <c r="D22" s="11"/>
      <c r="E22" s="11"/>
      <c r="F22" s="11"/>
    </row>
    <row r="23" spans="1:8" x14ac:dyDescent="0.3">
      <c r="A23" s="11"/>
      <c r="B23" s="104"/>
      <c r="C23" s="104"/>
      <c r="D23" s="104"/>
      <c r="E23" s="104"/>
      <c r="F23" s="104"/>
      <c r="G23" s="73"/>
    </row>
    <row r="24" spans="1:8" x14ac:dyDescent="0.3">
      <c r="A24" s="11"/>
      <c r="B24" s="104"/>
      <c r="C24" s="104"/>
      <c r="D24" s="104"/>
      <c r="E24" s="104"/>
      <c r="F24" s="104"/>
      <c r="G24" s="73"/>
    </row>
    <row r="25" spans="1:8" x14ac:dyDescent="0.3">
      <c r="A25" s="11"/>
      <c r="B25" s="11"/>
      <c r="C25" s="11"/>
      <c r="D25" s="11"/>
      <c r="E25" s="11"/>
      <c r="F25" s="11"/>
    </row>
    <row r="26" spans="1:8" x14ac:dyDescent="0.3">
      <c r="A26" s="11"/>
      <c r="B26" s="11"/>
      <c r="C26" s="11"/>
      <c r="D26" s="11"/>
      <c r="E26" s="11"/>
      <c r="F26" s="11"/>
    </row>
    <row r="27" spans="1:8" x14ac:dyDescent="0.3">
      <c r="A27" s="11"/>
      <c r="B27" s="11"/>
      <c r="C27" s="11"/>
      <c r="D27" s="11"/>
      <c r="E27" s="11"/>
      <c r="F27" s="11"/>
    </row>
    <row r="28" spans="1:8" x14ac:dyDescent="0.3">
      <c r="A28" s="11"/>
      <c r="B28" s="11"/>
      <c r="C28" s="11"/>
      <c r="D28" s="11"/>
      <c r="E28" s="11"/>
      <c r="F28" s="11"/>
    </row>
    <row r="29" spans="1:8" x14ac:dyDescent="0.3">
      <c r="H29" s="33"/>
    </row>
    <row r="33" spans="1:7" x14ac:dyDescent="0.3">
      <c r="A33" s="95"/>
    </row>
    <row r="39" spans="1:7" x14ac:dyDescent="0.3">
      <c r="A39" s="73"/>
      <c r="B39" s="73"/>
      <c r="C39" s="73"/>
      <c r="E39" s="73"/>
      <c r="F39" s="73"/>
      <c r="G39" s="73"/>
    </row>
    <row r="40" spans="1:7" x14ac:dyDescent="0.3">
      <c r="B40" s="73"/>
      <c r="C40" s="73"/>
      <c r="D40" s="73"/>
      <c r="E40" s="73"/>
      <c r="F40" s="73"/>
      <c r="G40" s="73"/>
    </row>
    <row r="41" spans="1:7" x14ac:dyDescent="0.3">
      <c r="B41" s="73"/>
      <c r="C41" s="73"/>
      <c r="D41" s="73"/>
      <c r="E41" s="73"/>
      <c r="F41" s="73"/>
      <c r="G41" s="73"/>
    </row>
    <row r="42" spans="1:7" x14ac:dyDescent="0.3">
      <c r="B42" s="73"/>
      <c r="C42" s="73"/>
      <c r="D42" s="73"/>
      <c r="E42" s="73"/>
      <c r="F42" s="73"/>
      <c r="G42" s="73"/>
    </row>
    <row r="43" spans="1:7" x14ac:dyDescent="0.3">
      <c r="B43" s="73"/>
      <c r="C43" s="73"/>
      <c r="D43" s="73"/>
      <c r="E43" s="73"/>
      <c r="F43" s="73"/>
      <c r="G43" s="73"/>
    </row>
    <row r="44" spans="1:7" x14ac:dyDescent="0.3">
      <c r="B44" s="73"/>
      <c r="C44" s="73"/>
      <c r="D44" s="73"/>
      <c r="E44" s="73"/>
      <c r="F44" s="73"/>
      <c r="G44" s="73"/>
    </row>
    <row r="45" spans="1:7" x14ac:dyDescent="0.3">
      <c r="B45" s="73"/>
      <c r="C45" s="73"/>
      <c r="D45" s="73"/>
      <c r="E45" s="73"/>
      <c r="F45" s="73"/>
      <c r="G45" s="73"/>
    </row>
    <row r="46" spans="1:7" x14ac:dyDescent="0.3">
      <c r="B46" s="73"/>
      <c r="C46" s="73"/>
      <c r="D46" s="73"/>
      <c r="E46" s="73"/>
      <c r="F46" s="73"/>
      <c r="G46" s="73"/>
    </row>
    <row r="47" spans="1:7" x14ac:dyDescent="0.3">
      <c r="B47" s="73"/>
      <c r="C47" s="73"/>
      <c r="D47" s="73"/>
      <c r="E47" s="73"/>
      <c r="F47" s="73"/>
      <c r="G47" s="73"/>
    </row>
    <row r="48" spans="1:7" x14ac:dyDescent="0.3">
      <c r="B48" s="73"/>
      <c r="C48" s="73"/>
      <c r="D48" s="73"/>
      <c r="E48" s="73"/>
      <c r="F48" s="73"/>
      <c r="G48" s="73"/>
    </row>
    <row r="49" spans="2:7" x14ac:dyDescent="0.3">
      <c r="B49" s="73"/>
      <c r="C49" s="73"/>
      <c r="D49" s="73"/>
      <c r="E49" s="73"/>
      <c r="F49" s="73"/>
      <c r="G49" s="73"/>
    </row>
    <row r="50" spans="2:7" x14ac:dyDescent="0.3">
      <c r="B50" s="73"/>
      <c r="C50" s="73"/>
      <c r="D50" s="73"/>
      <c r="E50" s="73"/>
      <c r="F50" s="73"/>
      <c r="G50" s="73"/>
    </row>
    <row r="51" spans="2:7" x14ac:dyDescent="0.3">
      <c r="B51" s="73"/>
      <c r="C51" s="73"/>
      <c r="D51" s="73"/>
      <c r="E51" s="73"/>
      <c r="F51" s="73"/>
      <c r="G51" s="73"/>
    </row>
    <row r="52" spans="2:7" x14ac:dyDescent="0.3">
      <c r="B52" s="73"/>
      <c r="C52" s="73"/>
      <c r="D52" s="73"/>
      <c r="E52" s="73"/>
      <c r="F52" s="73"/>
      <c r="G52" s="73"/>
    </row>
    <row r="53" spans="2:7" x14ac:dyDescent="0.3">
      <c r="B53" s="73"/>
      <c r="C53" s="73"/>
      <c r="D53" s="73"/>
      <c r="E53" s="73"/>
      <c r="F53" s="73"/>
      <c r="G53" s="73"/>
    </row>
    <row r="54" spans="2:7" x14ac:dyDescent="0.3">
      <c r="B54" s="73"/>
      <c r="C54" s="73"/>
      <c r="D54" s="73"/>
      <c r="E54" s="73"/>
      <c r="F54" s="73"/>
      <c r="G54" s="73"/>
    </row>
    <row r="55" spans="2:7" x14ac:dyDescent="0.3">
      <c r="B55" s="73"/>
      <c r="C55" s="73"/>
      <c r="D55" s="73"/>
      <c r="E55" s="73"/>
      <c r="F55" s="73"/>
      <c r="G55" s="73"/>
    </row>
    <row r="56" spans="2:7" x14ac:dyDescent="0.3">
      <c r="B56" s="73"/>
      <c r="C56" s="73"/>
      <c r="D56" s="73"/>
      <c r="E56" s="73"/>
      <c r="F56" s="73"/>
      <c r="G56" s="73"/>
    </row>
    <row r="57" spans="2:7" x14ac:dyDescent="0.3">
      <c r="B57" s="73"/>
      <c r="C57" s="73"/>
      <c r="D57" s="73"/>
      <c r="E57" s="73"/>
      <c r="F57" s="73"/>
      <c r="G57" s="73"/>
    </row>
    <row r="58" spans="2:7" x14ac:dyDescent="0.3">
      <c r="B58" s="73"/>
      <c r="C58" s="73"/>
      <c r="D58" s="73"/>
      <c r="E58" s="73"/>
      <c r="F58" s="73"/>
      <c r="G58" s="73"/>
    </row>
    <row r="59" spans="2:7" x14ac:dyDescent="0.3">
      <c r="B59" s="73"/>
      <c r="C59" s="73"/>
      <c r="D59" s="73"/>
      <c r="E59" s="73"/>
      <c r="F59" s="73"/>
      <c r="G59" s="73"/>
    </row>
    <row r="60" spans="2:7" x14ac:dyDescent="0.3">
      <c r="B60" s="73"/>
      <c r="C60" s="73"/>
      <c r="D60" s="73"/>
      <c r="E60" s="73"/>
      <c r="F60" s="73"/>
      <c r="G60" s="73"/>
    </row>
    <row r="61" spans="2:7" x14ac:dyDescent="0.3">
      <c r="B61" s="73"/>
      <c r="C61" s="73"/>
      <c r="D61" s="73"/>
      <c r="E61" s="73"/>
      <c r="F61" s="73"/>
      <c r="G61" s="73"/>
    </row>
    <row r="62" spans="2:7" x14ac:dyDescent="0.3">
      <c r="B62" s="73"/>
      <c r="C62" s="73"/>
      <c r="D62" s="73"/>
      <c r="E62" s="73"/>
      <c r="F62" s="73"/>
      <c r="G62" s="73"/>
    </row>
    <row r="63" spans="2:7" x14ac:dyDescent="0.3">
      <c r="B63" s="73"/>
      <c r="C63" s="73"/>
      <c r="D63" s="73"/>
      <c r="E63" s="73"/>
      <c r="F63" s="73"/>
      <c r="G63" s="73"/>
    </row>
    <row r="64" spans="2:7" x14ac:dyDescent="0.3">
      <c r="B64" s="73"/>
      <c r="C64" s="73"/>
      <c r="D64" s="73"/>
      <c r="E64" s="73"/>
      <c r="F64" s="73"/>
      <c r="G64" s="73"/>
    </row>
    <row r="65" spans="1:7" x14ac:dyDescent="0.3">
      <c r="B65" s="73"/>
      <c r="C65" s="73"/>
      <c r="D65" s="73"/>
      <c r="E65" s="73"/>
      <c r="F65" s="73"/>
      <c r="G65" s="73"/>
    </row>
    <row r="66" spans="1:7" x14ac:dyDescent="0.3">
      <c r="B66" s="73"/>
      <c r="C66" s="73"/>
      <c r="D66" s="73"/>
      <c r="E66" s="73"/>
      <c r="F66" s="73"/>
      <c r="G66" s="73"/>
    </row>
    <row r="67" spans="1:7" x14ac:dyDescent="0.3">
      <c r="B67" s="73"/>
      <c r="C67" s="73"/>
      <c r="D67" s="73"/>
      <c r="E67" s="73"/>
      <c r="F67" s="73"/>
      <c r="G67" s="73"/>
    </row>
    <row r="68" spans="1:7" x14ac:dyDescent="0.3">
      <c r="B68" s="73"/>
      <c r="C68" s="73"/>
      <c r="D68" s="73"/>
      <c r="E68" s="73"/>
      <c r="F68" s="73"/>
      <c r="G68" s="73"/>
    </row>
    <row r="69" spans="1:7" x14ac:dyDescent="0.3">
      <c r="B69" s="73"/>
      <c r="C69" s="73"/>
      <c r="D69" s="73"/>
      <c r="E69" s="73"/>
      <c r="F69" s="73"/>
      <c r="G69" s="73"/>
    </row>
    <row r="70" spans="1:7" x14ac:dyDescent="0.3">
      <c r="A70" s="72"/>
      <c r="B70" s="73"/>
      <c r="C70" s="73"/>
      <c r="D70" s="73"/>
      <c r="E70" s="73"/>
      <c r="F70" s="73"/>
      <c r="G70" s="7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50F8-A6BF-4028-93CF-2C6524EDB8B9}">
  <sheetPr>
    <tabColor theme="5" tint="0.79998168889431442"/>
  </sheetPr>
  <dimension ref="A1:E43"/>
  <sheetViews>
    <sheetView zoomScale="120" zoomScaleNormal="120" workbookViewId="0">
      <selection activeCell="B7" sqref="B7"/>
    </sheetView>
  </sheetViews>
  <sheetFormatPr baseColWidth="10" defaultRowHeight="14.4" x14ac:dyDescent="0.3"/>
  <cols>
    <col min="1" max="1" width="45.44140625" customWidth="1"/>
    <col min="2" max="2" width="49.77734375" customWidth="1"/>
    <col min="3" max="3" width="59.109375" customWidth="1"/>
    <col min="4" max="4" width="26.33203125" customWidth="1"/>
  </cols>
  <sheetData>
    <row r="1" spans="1:5" x14ac:dyDescent="0.3">
      <c r="A1" s="32" t="s">
        <v>146</v>
      </c>
      <c r="B1" s="32" t="s">
        <v>148</v>
      </c>
      <c r="C1" s="32" t="s">
        <v>149</v>
      </c>
      <c r="D1" s="32" t="s">
        <v>328</v>
      </c>
    </row>
    <row r="3" spans="1:5" x14ac:dyDescent="0.3">
      <c r="A3" t="s">
        <v>147</v>
      </c>
      <c r="B3" s="91" t="s">
        <v>283</v>
      </c>
      <c r="C3" t="s">
        <v>344</v>
      </c>
      <c r="D3" t="s">
        <v>315</v>
      </c>
    </row>
    <row r="4" spans="1:5" x14ac:dyDescent="0.3">
      <c r="A4" t="s">
        <v>226</v>
      </c>
      <c r="B4">
        <v>5.14</v>
      </c>
      <c r="C4" t="s">
        <v>294</v>
      </c>
      <c r="D4" t="s">
        <v>315</v>
      </c>
    </row>
    <row r="5" spans="1:5" x14ac:dyDescent="0.3">
      <c r="A5" t="s">
        <v>305</v>
      </c>
      <c r="B5">
        <v>257.14</v>
      </c>
      <c r="D5" t="s">
        <v>315</v>
      </c>
    </row>
    <row r="6" spans="1:5" x14ac:dyDescent="0.3">
      <c r="A6" t="s">
        <v>302</v>
      </c>
      <c r="B6">
        <v>15.23</v>
      </c>
      <c r="D6" t="s">
        <v>153</v>
      </c>
    </row>
    <row r="7" spans="1:5" x14ac:dyDescent="0.3">
      <c r="A7" t="s">
        <v>151</v>
      </c>
      <c r="B7" s="91">
        <v>21.25</v>
      </c>
      <c r="C7" t="s">
        <v>287</v>
      </c>
      <c r="D7" t="s">
        <v>153</v>
      </c>
    </row>
    <row r="8" spans="1:5" x14ac:dyDescent="0.3">
      <c r="A8" t="s">
        <v>152</v>
      </c>
      <c r="B8">
        <v>7.7</v>
      </c>
      <c r="C8" t="s">
        <v>255</v>
      </c>
      <c r="D8" t="s">
        <v>154</v>
      </c>
    </row>
    <row r="9" spans="1:5" x14ac:dyDescent="0.3">
      <c r="A9" t="s">
        <v>327</v>
      </c>
      <c r="B9" s="91" t="s">
        <v>258</v>
      </c>
      <c r="C9" t="s">
        <v>254</v>
      </c>
      <c r="D9" t="s">
        <v>153</v>
      </c>
    </row>
    <row r="10" spans="1:5" x14ac:dyDescent="0.3">
      <c r="A10" t="s">
        <v>155</v>
      </c>
      <c r="B10">
        <v>7.28</v>
      </c>
      <c r="C10" t="s">
        <v>253</v>
      </c>
      <c r="D10" t="s">
        <v>154</v>
      </c>
    </row>
    <row r="11" spans="1:5" x14ac:dyDescent="0.3">
      <c r="A11" t="s">
        <v>304</v>
      </c>
      <c r="B11" s="91">
        <v>9.42</v>
      </c>
      <c r="C11" t="s">
        <v>288</v>
      </c>
      <c r="D11" s="93" t="s">
        <v>153</v>
      </c>
    </row>
    <row r="14" spans="1:5" x14ac:dyDescent="0.3">
      <c r="A14" t="s">
        <v>329</v>
      </c>
    </row>
    <row r="15" spans="1:5" x14ac:dyDescent="0.3">
      <c r="A15" s="99" t="s">
        <v>330</v>
      </c>
      <c r="B15" s="98"/>
      <c r="C15" s="98"/>
      <c r="D15" s="98"/>
      <c r="E15" s="98"/>
    </row>
    <row r="16" spans="1:5" x14ac:dyDescent="0.3">
      <c r="A16" s="9"/>
      <c r="B16" s="9"/>
      <c r="C16" s="9"/>
      <c r="D16" s="9"/>
      <c r="E16" s="9"/>
    </row>
    <row r="17" spans="1:5" x14ac:dyDescent="0.3">
      <c r="A17" s="9"/>
      <c r="B17" s="9"/>
      <c r="C17" s="9"/>
      <c r="D17" s="9"/>
      <c r="E17" s="9"/>
    </row>
    <row r="18" spans="1:5" x14ac:dyDescent="0.3">
      <c r="A18" s="9"/>
      <c r="B18" s="9"/>
      <c r="C18" s="9"/>
      <c r="D18" s="9"/>
      <c r="E18" s="9"/>
    </row>
    <row r="19" spans="1:5" x14ac:dyDescent="0.3">
      <c r="A19" s="9"/>
      <c r="B19" s="9"/>
      <c r="C19" s="9"/>
      <c r="D19" s="9"/>
      <c r="E19" s="9"/>
    </row>
    <row r="20" spans="1:5" x14ac:dyDescent="0.3">
      <c r="A20" s="9"/>
      <c r="B20" s="9"/>
      <c r="C20" s="9"/>
      <c r="D20" s="9"/>
      <c r="E20" s="9"/>
    </row>
    <row r="21" spans="1:5" x14ac:dyDescent="0.3">
      <c r="A21" s="9"/>
      <c r="B21" s="9"/>
      <c r="C21" s="9"/>
      <c r="D21" s="9"/>
      <c r="E21" s="9"/>
    </row>
    <row r="22" spans="1:5" x14ac:dyDescent="0.3">
      <c r="A22" s="9"/>
      <c r="B22" s="9"/>
      <c r="C22" s="9"/>
      <c r="D22" s="9"/>
      <c r="E22" s="9"/>
    </row>
    <row r="23" spans="1:5" x14ac:dyDescent="0.3">
      <c r="A23" s="9"/>
      <c r="B23" s="9"/>
      <c r="C23" s="9"/>
      <c r="D23" s="9"/>
      <c r="E23" s="9"/>
    </row>
    <row r="24" spans="1:5" x14ac:dyDescent="0.3">
      <c r="A24" s="9"/>
      <c r="B24" s="9"/>
      <c r="C24" s="9"/>
      <c r="D24" s="9"/>
      <c r="E24" s="9"/>
    </row>
    <row r="25" spans="1:5" x14ac:dyDescent="0.3">
      <c r="A25" s="9"/>
      <c r="B25" s="9"/>
      <c r="C25" s="9"/>
      <c r="D25" s="9"/>
      <c r="E25" s="9"/>
    </row>
    <row r="26" spans="1:5" x14ac:dyDescent="0.3">
      <c r="A26" s="9"/>
      <c r="B26" s="9"/>
      <c r="C26" s="9"/>
      <c r="D26" s="9"/>
      <c r="E26" s="9"/>
    </row>
    <row r="27" spans="1:5" x14ac:dyDescent="0.3">
      <c r="A27" s="9"/>
      <c r="B27" s="9"/>
      <c r="C27" s="9"/>
      <c r="D27" s="9"/>
      <c r="E27" s="9"/>
    </row>
    <row r="28" spans="1:5" x14ac:dyDescent="0.3">
      <c r="A28" s="9"/>
      <c r="B28" s="9"/>
      <c r="C28" s="9"/>
      <c r="D28" s="9"/>
      <c r="E28" s="9"/>
    </row>
    <row r="29" spans="1:5" x14ac:dyDescent="0.3">
      <c r="A29" s="9"/>
      <c r="B29" s="9"/>
      <c r="C29" s="9"/>
      <c r="D29" s="9"/>
      <c r="E29" s="9"/>
    </row>
    <row r="30" spans="1:5" x14ac:dyDescent="0.3">
      <c r="A30" s="9"/>
      <c r="B30" s="9"/>
      <c r="C30" s="9"/>
      <c r="D30" s="9"/>
      <c r="E30" s="9"/>
    </row>
    <row r="31" spans="1:5" x14ac:dyDescent="0.3">
      <c r="A31" s="9"/>
      <c r="B31" s="9"/>
      <c r="C31" s="98"/>
      <c r="D31" s="98"/>
      <c r="E31" s="98"/>
    </row>
    <row r="32" spans="1:5" x14ac:dyDescent="0.3">
      <c r="A32" s="9"/>
      <c r="B32" s="9"/>
      <c r="C32" s="9"/>
      <c r="D32" s="9"/>
      <c r="E32" s="9"/>
    </row>
    <row r="33" spans="1:5" x14ac:dyDescent="0.3">
      <c r="A33" s="9"/>
      <c r="B33" s="9"/>
      <c r="C33" s="9"/>
      <c r="D33" s="9"/>
      <c r="E33" s="9"/>
    </row>
    <row r="34" spans="1:5" x14ac:dyDescent="0.3">
      <c r="A34" s="9"/>
      <c r="B34" s="9"/>
      <c r="C34" s="9"/>
      <c r="D34" s="9"/>
      <c r="E34" s="9"/>
    </row>
    <row r="35" spans="1:5" x14ac:dyDescent="0.3">
      <c r="A35" s="98"/>
      <c r="B35" s="98"/>
      <c r="C35" s="98"/>
      <c r="D35" s="98"/>
      <c r="E35" s="98"/>
    </row>
    <row r="36" spans="1:5" x14ac:dyDescent="0.3">
      <c r="A36" s="9"/>
      <c r="B36" s="9"/>
      <c r="C36" s="9"/>
      <c r="D36" s="9"/>
      <c r="E36" s="9"/>
    </row>
    <row r="37" spans="1:5" x14ac:dyDescent="0.3">
      <c r="A37" s="9"/>
      <c r="B37" s="9"/>
      <c r="C37" s="9"/>
      <c r="D37" s="9"/>
      <c r="E37" s="9"/>
    </row>
    <row r="38" spans="1:5" x14ac:dyDescent="0.3">
      <c r="A38" s="9"/>
      <c r="B38" s="9"/>
      <c r="C38" s="9"/>
      <c r="D38" s="9"/>
      <c r="E38" s="9"/>
    </row>
    <row r="39" spans="1:5" x14ac:dyDescent="0.3">
      <c r="A39" s="9"/>
      <c r="B39" s="9"/>
      <c r="C39" s="9"/>
      <c r="D39" s="9"/>
      <c r="E39" s="9"/>
    </row>
    <row r="40" spans="1:5" x14ac:dyDescent="0.3">
      <c r="A40" s="9"/>
      <c r="B40" s="9"/>
      <c r="C40" s="9"/>
      <c r="D40" s="9"/>
      <c r="E40" s="9"/>
    </row>
    <row r="41" spans="1:5" x14ac:dyDescent="0.3">
      <c r="A41" s="9"/>
      <c r="B41" s="9"/>
      <c r="C41" s="98"/>
      <c r="D41" s="98"/>
      <c r="E41" s="98"/>
    </row>
    <row r="42" spans="1:5" x14ac:dyDescent="0.3">
      <c r="A42" s="9"/>
      <c r="B42" s="9"/>
      <c r="C42" s="9"/>
      <c r="D42" s="9"/>
      <c r="E42" s="9"/>
    </row>
    <row r="43" spans="1:5" x14ac:dyDescent="0.3">
      <c r="A43" s="9"/>
      <c r="B43" s="9"/>
      <c r="C43" s="9"/>
      <c r="D43" s="9"/>
      <c r="E43" s="9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2131-4266-45BF-AD14-8E88503E1B8A}">
  <sheetPr>
    <tabColor rgb="FFFF0000"/>
  </sheetPr>
  <dimension ref="A1:E31"/>
  <sheetViews>
    <sheetView tabSelected="1" zoomScale="110" zoomScaleNormal="110" workbookViewId="0">
      <selection activeCell="D23" sqref="D23"/>
    </sheetView>
  </sheetViews>
  <sheetFormatPr baseColWidth="10" defaultRowHeight="14.4" x14ac:dyDescent="0.3"/>
  <cols>
    <col min="1" max="1" width="57.2187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2" t="s">
        <v>345</v>
      </c>
      <c r="B1" t="s">
        <v>326</v>
      </c>
    </row>
    <row r="3" spans="1:5" x14ac:dyDescent="0.3">
      <c r="A3" s="32" t="s">
        <v>346</v>
      </c>
      <c r="B3" s="32" t="s">
        <v>82</v>
      </c>
      <c r="C3" s="32" t="s">
        <v>301</v>
      </c>
      <c r="D3" s="32" t="s">
        <v>293</v>
      </c>
      <c r="E3" s="32" t="s">
        <v>300</v>
      </c>
    </row>
    <row r="5" spans="1:5" x14ac:dyDescent="0.3">
      <c r="A5" t="s">
        <v>297</v>
      </c>
      <c r="B5">
        <v>1</v>
      </c>
      <c r="D5">
        <f>'Armado Placa'!H34</f>
        <v>87.043880999999985</v>
      </c>
      <c r="E5">
        <f t="shared" ref="E5:E12" si="0">B5*D5</f>
        <v>87.043880999999985</v>
      </c>
    </row>
    <row r="6" spans="1:5" x14ac:dyDescent="0.3">
      <c r="A6" t="s">
        <v>289</v>
      </c>
      <c r="B6">
        <v>1</v>
      </c>
      <c r="C6">
        <v>10</v>
      </c>
      <c r="D6">
        <f>7.28*C6</f>
        <v>72.8</v>
      </c>
      <c r="E6">
        <f t="shared" si="0"/>
        <v>72.8</v>
      </c>
    </row>
    <row r="7" spans="1:5" x14ac:dyDescent="0.3">
      <c r="A7" t="s">
        <v>296</v>
      </c>
      <c r="B7">
        <v>1</v>
      </c>
      <c r="D7">
        <f>'Armado Gabinete'!H14</f>
        <v>191.42441999999997</v>
      </c>
      <c r="E7">
        <f t="shared" si="0"/>
        <v>191.42441999999997</v>
      </c>
    </row>
    <row r="8" spans="1:5" x14ac:dyDescent="0.3">
      <c r="A8" t="s">
        <v>290</v>
      </c>
      <c r="B8">
        <v>1</v>
      </c>
      <c r="C8">
        <v>6</v>
      </c>
      <c r="D8">
        <f>9.42*C8</f>
        <v>56.519999999999996</v>
      </c>
      <c r="E8">
        <f t="shared" si="0"/>
        <v>56.519999999999996</v>
      </c>
    </row>
    <row r="9" spans="1:5" x14ac:dyDescent="0.3">
      <c r="A9" t="s">
        <v>295</v>
      </c>
      <c r="B9">
        <v>1</v>
      </c>
      <c r="D9">
        <f>Montaje!H24</f>
        <v>370.2690750000001</v>
      </c>
      <c r="E9">
        <f t="shared" si="0"/>
        <v>370.2690750000001</v>
      </c>
    </row>
    <row r="10" spans="1:5" x14ac:dyDescent="0.3">
      <c r="A10" t="s">
        <v>291</v>
      </c>
      <c r="B10">
        <v>1</v>
      </c>
      <c r="C10">
        <v>8</v>
      </c>
      <c r="D10">
        <f>9.42*C10</f>
        <v>75.36</v>
      </c>
      <c r="E10">
        <f t="shared" si="0"/>
        <v>75.36</v>
      </c>
    </row>
    <row r="11" spans="1:5" x14ac:dyDescent="0.3">
      <c r="A11" t="s">
        <v>292</v>
      </c>
      <c r="B11">
        <v>1</v>
      </c>
      <c r="C11">
        <v>1</v>
      </c>
      <c r="D11">
        <v>5.14</v>
      </c>
      <c r="E11">
        <f t="shared" si="0"/>
        <v>5.14</v>
      </c>
    </row>
    <row r="12" spans="1:5" x14ac:dyDescent="0.3">
      <c r="A12" t="s">
        <v>299</v>
      </c>
      <c r="B12">
        <v>1</v>
      </c>
      <c r="C12">
        <v>2</v>
      </c>
      <c r="D12">
        <f>5.14*C12</f>
        <v>10.28</v>
      </c>
      <c r="E12">
        <f t="shared" si="0"/>
        <v>10.28</v>
      </c>
    </row>
    <row r="13" spans="1:5" x14ac:dyDescent="0.3">
      <c r="A13" t="s">
        <v>147</v>
      </c>
      <c r="B13">
        <v>1</v>
      </c>
      <c r="C13" t="s">
        <v>298</v>
      </c>
      <c r="D13">
        <f>1.05*15+('Armado Placa'!H33+'Armado Gabinete'!H14+Montaje!H24)</f>
        <v>606.5381450000001</v>
      </c>
      <c r="E13">
        <f>1.05*15+('Armado Placa'!H33*B13+'Armado Gabinete'!H14*B13+Montaje!H24*B13)</f>
        <v>606.5381450000001</v>
      </c>
    </row>
    <row r="14" spans="1:5" x14ac:dyDescent="0.3">
      <c r="D14" s="91"/>
    </row>
    <row r="16" spans="1:5" x14ac:dyDescent="0.3">
      <c r="A16" s="32" t="s">
        <v>347</v>
      </c>
    </row>
    <row r="17" spans="1:5" x14ac:dyDescent="0.3">
      <c r="A17" t="s">
        <v>348</v>
      </c>
      <c r="B17" t="s">
        <v>298</v>
      </c>
      <c r="C17">
        <v>2</v>
      </c>
      <c r="D17">
        <f>7.7*C17</f>
        <v>15.4</v>
      </c>
      <c r="E17">
        <f>D17</f>
        <v>15.4</v>
      </c>
    </row>
    <row r="19" spans="1:5" x14ac:dyDescent="0.3">
      <c r="C19" s="94" t="s">
        <v>351</v>
      </c>
      <c r="D19" s="94">
        <f>E19/B10</f>
        <v>1490.775521</v>
      </c>
      <c r="E19" s="94">
        <f>SUM(E5:E17)</f>
        <v>1490.775521</v>
      </c>
    </row>
    <row r="23" spans="1:5" x14ac:dyDescent="0.3">
      <c r="A23" s="98"/>
      <c r="B23" s="98"/>
      <c r="C23" s="98"/>
      <c r="D23" s="98"/>
      <c r="E23" s="98"/>
    </row>
    <row r="24" spans="1:5" x14ac:dyDescent="0.3">
      <c r="A24" s="9"/>
      <c r="B24" s="9"/>
      <c r="C24" s="9"/>
      <c r="D24" s="9"/>
      <c r="E24" s="9"/>
    </row>
    <row r="25" spans="1:5" x14ac:dyDescent="0.3">
      <c r="A25" s="9"/>
      <c r="B25" s="9"/>
      <c r="C25" s="9"/>
      <c r="D25" s="9"/>
      <c r="E25" s="9"/>
    </row>
    <row r="26" spans="1:5" x14ac:dyDescent="0.3">
      <c r="A26" s="9"/>
      <c r="B26" s="105"/>
      <c r="C26" s="9"/>
      <c r="D26" s="9"/>
      <c r="E26" s="9"/>
    </row>
    <row r="27" spans="1:5" x14ac:dyDescent="0.3">
      <c r="A27" s="9"/>
      <c r="B27" s="9"/>
      <c r="C27" s="9"/>
      <c r="D27" s="9"/>
      <c r="E27" s="9"/>
    </row>
    <row r="28" spans="1:5" x14ac:dyDescent="0.3">
      <c r="A28" s="9"/>
      <c r="B28" s="9"/>
      <c r="C28" s="9"/>
      <c r="D28" s="9"/>
      <c r="E28" s="9"/>
    </row>
    <row r="29" spans="1:5" x14ac:dyDescent="0.3">
      <c r="A29" s="9"/>
      <c r="B29" s="9"/>
      <c r="C29" s="98"/>
      <c r="D29" s="98"/>
      <c r="E29" s="98"/>
    </row>
    <row r="31" spans="1:5" x14ac:dyDescent="0.3">
      <c r="C31" s="98"/>
      <c r="D31" s="98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122B-92AC-4C93-BFFA-DDF10DA5D1EE}">
  <sheetPr>
    <tabColor rgb="FFFF0000"/>
  </sheetPr>
  <dimension ref="A1:E31"/>
  <sheetViews>
    <sheetView zoomScale="110" zoomScaleNormal="110" workbookViewId="0">
      <selection activeCell="A9" sqref="A9"/>
    </sheetView>
  </sheetViews>
  <sheetFormatPr baseColWidth="10" defaultRowHeight="14.4" x14ac:dyDescent="0.3"/>
  <cols>
    <col min="1" max="1" width="57.2187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2" t="s">
        <v>349</v>
      </c>
      <c r="B1" t="s">
        <v>326</v>
      </c>
    </row>
    <row r="3" spans="1:5" x14ac:dyDescent="0.3">
      <c r="A3" s="32" t="s">
        <v>324</v>
      </c>
      <c r="B3" s="32" t="s">
        <v>82</v>
      </c>
      <c r="C3" s="32" t="s">
        <v>301</v>
      </c>
      <c r="D3" s="32" t="s">
        <v>293</v>
      </c>
      <c r="E3" s="32" t="s">
        <v>300</v>
      </c>
    </row>
    <row r="5" spans="1:5" x14ac:dyDescent="0.3">
      <c r="A5" t="s">
        <v>297</v>
      </c>
      <c r="B5">
        <v>1</v>
      </c>
      <c r="D5">
        <f>'Armado Placa'!H34</f>
        <v>87.043880999999985</v>
      </c>
      <c r="E5">
        <f t="shared" ref="E5:E12" si="0">B5*D5</f>
        <v>87.043880999999985</v>
      </c>
    </row>
    <row r="6" spans="1:5" x14ac:dyDescent="0.3">
      <c r="A6" t="s">
        <v>289</v>
      </c>
      <c r="B6">
        <v>1</v>
      </c>
      <c r="C6">
        <v>10</v>
      </c>
      <c r="D6">
        <f>7.28*C6</f>
        <v>72.8</v>
      </c>
      <c r="E6">
        <f t="shared" si="0"/>
        <v>72.8</v>
      </c>
    </row>
    <row r="7" spans="1:5" x14ac:dyDescent="0.3">
      <c r="A7" t="s">
        <v>296</v>
      </c>
      <c r="B7">
        <v>1</v>
      </c>
      <c r="D7">
        <f>'Armado Gabinete'!H14</f>
        <v>191.42441999999997</v>
      </c>
      <c r="E7">
        <f t="shared" si="0"/>
        <v>191.42441999999997</v>
      </c>
    </row>
    <row r="8" spans="1:5" x14ac:dyDescent="0.3">
      <c r="A8" t="s">
        <v>290</v>
      </c>
      <c r="B8">
        <v>1</v>
      </c>
      <c r="C8">
        <v>6</v>
      </c>
      <c r="D8">
        <f>9.42*C8</f>
        <v>56.519999999999996</v>
      </c>
      <c r="E8">
        <f t="shared" si="0"/>
        <v>56.519999999999996</v>
      </c>
    </row>
    <row r="9" spans="1:5" x14ac:dyDescent="0.3">
      <c r="A9" t="s">
        <v>352</v>
      </c>
      <c r="B9">
        <v>1</v>
      </c>
      <c r="D9">
        <f>Montaje!H24</f>
        <v>370.2690750000001</v>
      </c>
      <c r="E9">
        <f t="shared" si="0"/>
        <v>370.2690750000001</v>
      </c>
    </row>
    <row r="10" spans="1:5" x14ac:dyDescent="0.3">
      <c r="A10" t="s">
        <v>291</v>
      </c>
      <c r="B10">
        <v>1</v>
      </c>
      <c r="C10">
        <v>8</v>
      </c>
      <c r="D10">
        <f>9.42*C10</f>
        <v>75.36</v>
      </c>
      <c r="E10">
        <f t="shared" si="0"/>
        <v>75.36</v>
      </c>
    </row>
    <row r="11" spans="1:5" x14ac:dyDescent="0.3">
      <c r="A11" t="s">
        <v>292</v>
      </c>
      <c r="B11">
        <v>1</v>
      </c>
      <c r="C11">
        <v>1</v>
      </c>
      <c r="D11">
        <v>5.14</v>
      </c>
      <c r="E11">
        <f t="shared" si="0"/>
        <v>5.14</v>
      </c>
    </row>
    <row r="12" spans="1:5" x14ac:dyDescent="0.3">
      <c r="A12" t="s">
        <v>299</v>
      </c>
      <c r="B12">
        <v>1</v>
      </c>
      <c r="C12">
        <v>2</v>
      </c>
      <c r="D12">
        <f>5.14*C12</f>
        <v>10.28</v>
      </c>
      <c r="E12">
        <f t="shared" si="0"/>
        <v>10.28</v>
      </c>
    </row>
    <row r="13" spans="1:5" x14ac:dyDescent="0.3">
      <c r="A13" t="s">
        <v>147</v>
      </c>
      <c r="B13">
        <v>1</v>
      </c>
      <c r="C13" t="s">
        <v>298</v>
      </c>
      <c r="D13">
        <f>1.05*15+('Armado Placa'!H33+'Armado Gabinete'!H14+Montaje!H24)</f>
        <v>606.5381450000001</v>
      </c>
      <c r="E13">
        <f>1.05*15+('Armado Placa'!H33*B13+'Armado Gabinete'!H14*B13+Montaje!H24*B13)</f>
        <v>606.5381450000001</v>
      </c>
    </row>
    <row r="14" spans="1:5" x14ac:dyDescent="0.3">
      <c r="A14" t="s">
        <v>343</v>
      </c>
      <c r="B14">
        <v>4</v>
      </c>
      <c r="C14" t="s">
        <v>298</v>
      </c>
      <c r="D14" s="91" t="s">
        <v>298</v>
      </c>
      <c r="E14">
        <f>15.23*B14</f>
        <v>60.92</v>
      </c>
    </row>
    <row r="15" spans="1:5" x14ac:dyDescent="0.3">
      <c r="A15" t="s">
        <v>151</v>
      </c>
      <c r="B15">
        <v>1</v>
      </c>
      <c r="C15" t="s">
        <v>298</v>
      </c>
      <c r="E15">
        <f>21.25*B15</f>
        <v>21.25</v>
      </c>
    </row>
    <row r="16" spans="1:5" x14ac:dyDescent="0.3">
      <c r="A16" t="s">
        <v>305</v>
      </c>
      <c r="B16">
        <v>2</v>
      </c>
      <c r="C16" t="s">
        <v>298</v>
      </c>
      <c r="D16">
        <v>257.14</v>
      </c>
      <c r="E16">
        <f>B16*D16</f>
        <v>514.28</v>
      </c>
    </row>
    <row r="17" spans="1:5" x14ac:dyDescent="0.3">
      <c r="A17" t="s">
        <v>303</v>
      </c>
      <c r="B17">
        <v>1</v>
      </c>
      <c r="C17">
        <v>6</v>
      </c>
      <c r="D17">
        <f>(10.27 + 9.42)*C17</f>
        <v>118.13999999999999</v>
      </c>
      <c r="E17">
        <f>B17*D17</f>
        <v>118.13999999999999</v>
      </c>
    </row>
    <row r="19" spans="1:5" x14ac:dyDescent="0.3">
      <c r="C19" s="94" t="s">
        <v>308</v>
      </c>
      <c r="D19" s="94">
        <f>E19/B10</f>
        <v>2189.9655209999996</v>
      </c>
      <c r="E19" s="94">
        <f>SUM(E5:E17)</f>
        <v>2189.9655209999996</v>
      </c>
    </row>
    <row r="23" spans="1:5" x14ac:dyDescent="0.3">
      <c r="A23" s="32" t="s">
        <v>325</v>
      </c>
      <c r="B23" s="32" t="s">
        <v>82</v>
      </c>
      <c r="C23" s="32" t="s">
        <v>301</v>
      </c>
      <c r="D23" s="32" t="s">
        <v>293</v>
      </c>
      <c r="E23" s="32" t="s">
        <v>300</v>
      </c>
    </row>
    <row r="25" spans="1:5" x14ac:dyDescent="0.3">
      <c r="A25" t="s">
        <v>306</v>
      </c>
      <c r="B25">
        <v>1</v>
      </c>
      <c r="C25">
        <v>1</v>
      </c>
      <c r="D25">
        <f>7.28*C25</f>
        <v>7.28</v>
      </c>
      <c r="E25">
        <f>B25*D25</f>
        <v>7.28</v>
      </c>
    </row>
    <row r="26" spans="1:5" x14ac:dyDescent="0.3">
      <c r="A26" t="s">
        <v>307</v>
      </c>
      <c r="B26" s="91" t="s">
        <v>298</v>
      </c>
      <c r="C26">
        <v>2</v>
      </c>
      <c r="D26">
        <f>7.7*C26</f>
        <v>15.4</v>
      </c>
      <c r="E26">
        <f>D26</f>
        <v>15.4</v>
      </c>
    </row>
    <row r="27" spans="1:5" x14ac:dyDescent="0.3">
      <c r="A27" t="s">
        <v>310</v>
      </c>
      <c r="B27">
        <v>2</v>
      </c>
      <c r="D27">
        <v>38.090000000000003</v>
      </c>
      <c r="E27">
        <f>B27*D27</f>
        <v>76.180000000000007</v>
      </c>
    </row>
    <row r="29" spans="1:5" x14ac:dyDescent="0.3">
      <c r="C29" s="94" t="s">
        <v>309</v>
      </c>
      <c r="D29" s="94"/>
      <c r="E29" s="94">
        <f>SUM(E25:E28)</f>
        <v>98.860000000000014</v>
      </c>
    </row>
    <row r="31" spans="1:5" x14ac:dyDescent="0.3">
      <c r="C31" s="94" t="s">
        <v>323</v>
      </c>
      <c r="D31" s="94"/>
      <c r="E31" s="94">
        <f>E19+E29</f>
        <v>2288.8255209999998</v>
      </c>
    </row>
  </sheetData>
  <pageMargins left="0.7" right="0.7" top="0.75" bottom="0.75" header="0.3" footer="0.3"/>
  <pageSetup orientation="portrait" verticalDpi="0" r:id="rId1"/>
  <ignoredErrors>
    <ignoredError sqref="D9 E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4</vt:i4>
      </vt:variant>
    </vt:vector>
  </HeadingPairs>
  <TitlesOfParts>
    <vt:vector size="22" baseType="lpstr">
      <vt:lpstr>Armado Placa</vt:lpstr>
      <vt:lpstr>Armado Gabinete</vt:lpstr>
      <vt:lpstr>Montaje</vt:lpstr>
      <vt:lpstr>Inv.Sueldos</vt:lpstr>
      <vt:lpstr>Inv.Materiales</vt:lpstr>
      <vt:lpstr>Inv.Materiales p Stock</vt:lpstr>
      <vt:lpstr>Consideraciones Costos</vt:lpstr>
      <vt:lpstr>Costo de Producto</vt:lpstr>
      <vt:lpstr>Costo de Producto Con PM</vt:lpstr>
      <vt:lpstr>Ejemplo para 10 unidades</vt:lpstr>
      <vt:lpstr>Resumen</vt:lpstr>
      <vt:lpstr>Otros Ingresos</vt:lpstr>
      <vt:lpstr>Inversión Inicial</vt:lpstr>
      <vt:lpstr>COSTOS FIJOS</vt:lpstr>
      <vt:lpstr>COSTOS VARIABLES</vt:lpstr>
      <vt:lpstr>Impuestos</vt:lpstr>
      <vt:lpstr>Auxiliar</vt:lpstr>
      <vt:lpstr>Consumo</vt:lpstr>
      <vt:lpstr>PUNITARIO</vt:lpstr>
      <vt:lpstr>TasaActiva</vt:lpstr>
      <vt:lpstr>TasaAnual</vt:lpstr>
      <vt:lpstr>TasaPAsiva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2021-12-10T19:07:34Z</dcterms:modified>
  <cp:category/>
  <cp:contentStatus/>
</cp:coreProperties>
</file>