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is Quiroga\Desktop\Facu\Proyecto\Software\"/>
    </mc:Choice>
  </mc:AlternateContent>
  <xr:revisionPtr revIDLastSave="0" documentId="13_ncr:1_{3F81AA15-9077-47FC-AA02-5FF1539D817B}" xr6:coauthVersionLast="47" xr6:coauthVersionMax="47" xr10:uidLastSave="{00000000-0000-0000-0000-000000000000}"/>
  <bookViews>
    <workbookView xWindow="-108" yWindow="-108" windowWidth="23256" windowHeight="12576" xr2:uid="{C1CA6C00-D692-4CE3-8072-2B2FF052A726}"/>
  </bookViews>
  <sheets>
    <sheet name="Resumen" sheetId="1" r:id="rId1"/>
    <sheet name="Hoja1" sheetId="8" r:id="rId2"/>
    <sheet name="Otros Ingresos" sheetId="7" r:id="rId3"/>
    <sheet name="Inversión Inicial" sheetId="2" r:id="rId4"/>
    <sheet name="COSTOS FIJOS" sheetId="3" r:id="rId5"/>
    <sheet name="COSTOS VARIABLES" sheetId="4" r:id="rId6"/>
    <sheet name="Impuestos" sheetId="6" r:id="rId7"/>
    <sheet name="Auxiliar" sheetId="5" r:id="rId8"/>
  </sheets>
  <definedNames>
    <definedName name="PUNITARIO">Resumen!$C$6</definedName>
    <definedName name="TasaActiva">Resumen!$H$3</definedName>
    <definedName name="TasaAnual">Resumen!$F$10</definedName>
    <definedName name="TasaImpuestos">Resumen!$H$5</definedName>
    <definedName name="TasaMensual">Resumen!$F$11</definedName>
    <definedName name="TasaPAsiva">Resumen!$H$2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1" i="1" l="1"/>
  <c r="A64" i="5"/>
  <c r="H64" i="5"/>
  <c r="A54" i="5"/>
  <c r="H54" i="5"/>
  <c r="A55" i="5"/>
  <c r="H55" i="5" s="1"/>
  <c r="A56" i="5"/>
  <c r="H56" i="5"/>
  <c r="A57" i="5"/>
  <c r="H57" i="5" s="1"/>
  <c r="A58" i="5"/>
  <c r="H58" i="5"/>
  <c r="A59" i="5"/>
  <c r="H59" i="5" s="1"/>
  <c r="A60" i="5"/>
  <c r="H60" i="5"/>
  <c r="A61" i="5"/>
  <c r="H61" i="5" s="1"/>
  <c r="A62" i="5"/>
  <c r="H62" i="5"/>
  <c r="A63" i="5"/>
  <c r="H63" i="5" s="1"/>
  <c r="A43" i="5"/>
  <c r="H43" i="5"/>
  <c r="A44" i="5"/>
  <c r="H44" i="5" s="1"/>
  <c r="A45" i="5"/>
  <c r="H45" i="5"/>
  <c r="A46" i="5"/>
  <c r="H46" i="5"/>
  <c r="A47" i="5"/>
  <c r="H47" i="5"/>
  <c r="A48" i="5"/>
  <c r="H48" i="5" s="1"/>
  <c r="A49" i="5"/>
  <c r="H49" i="5"/>
  <c r="A50" i="5"/>
  <c r="H50" i="5"/>
  <c r="A51" i="5"/>
  <c r="H51" i="5"/>
  <c r="A52" i="5"/>
  <c r="H52" i="5" s="1"/>
  <c r="A53" i="5"/>
  <c r="H53" i="5"/>
  <c r="A41" i="5"/>
  <c r="H41" i="5"/>
  <c r="A42" i="5"/>
  <c r="H42" i="5" s="1"/>
  <c r="D77" i="1"/>
  <c r="E53" i="1" l="1"/>
  <c r="E54" i="1"/>
  <c r="E55" i="1"/>
  <c r="E56" i="1"/>
  <c r="E57" i="1"/>
  <c r="E59" i="1"/>
  <c r="E60" i="1"/>
  <c r="E61" i="1"/>
  <c r="E62" i="1"/>
  <c r="E63" i="1"/>
  <c r="E66" i="1"/>
  <c r="E68" i="1"/>
  <c r="E69" i="1"/>
  <c r="E70" i="1"/>
  <c r="E72" i="1"/>
  <c r="E74" i="1"/>
  <c r="E76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E63" i="4"/>
  <c r="G63" i="4"/>
  <c r="E75" i="1" s="1"/>
  <c r="E64" i="4"/>
  <c r="G64" i="4" s="1"/>
  <c r="E41" i="4"/>
  <c r="G41" i="4"/>
  <c r="E42" i="4"/>
  <c r="G42" i="4" s="1"/>
  <c r="E43" i="4"/>
  <c r="G43" i="4"/>
  <c r="E44" i="4"/>
  <c r="G44" i="4"/>
  <c r="E45" i="4"/>
  <c r="G45" i="4" s="1"/>
  <c r="E46" i="4"/>
  <c r="G46" i="4"/>
  <c r="E58" i="1" s="1"/>
  <c r="E47" i="4"/>
  <c r="G47" i="4" s="1"/>
  <c r="E48" i="4"/>
  <c r="G48" i="4"/>
  <c r="E49" i="4"/>
  <c r="G49" i="4"/>
  <c r="E50" i="4"/>
  <c r="G50" i="4" s="1"/>
  <c r="E51" i="4"/>
  <c r="G51" i="4"/>
  <c r="E52" i="4"/>
  <c r="G52" i="4"/>
  <c r="E64" i="1" s="1"/>
  <c r="E53" i="4"/>
  <c r="G53" i="4" s="1"/>
  <c r="E65" i="1" s="1"/>
  <c r="E54" i="4"/>
  <c r="G54" i="4"/>
  <c r="E55" i="4"/>
  <c r="G55" i="4" s="1"/>
  <c r="E67" i="1" s="1"/>
  <c r="E56" i="4"/>
  <c r="G56" i="4"/>
  <c r="E57" i="4"/>
  <c r="G57" i="4"/>
  <c r="E58" i="4"/>
  <c r="G58" i="4" s="1"/>
  <c r="E59" i="4"/>
  <c r="G59" i="4"/>
  <c r="E71" i="1" s="1"/>
  <c r="E60" i="4"/>
  <c r="G60" i="4"/>
  <c r="E61" i="4"/>
  <c r="G61" i="4" s="1"/>
  <c r="E73" i="1" s="1"/>
  <c r="E62" i="4"/>
  <c r="G62" i="4"/>
  <c r="B41" i="3"/>
  <c r="C41" i="3"/>
  <c r="H41" i="3" s="1"/>
  <c r="D41" i="3"/>
  <c r="E41" i="3"/>
  <c r="F41" i="3"/>
  <c r="G41" i="3"/>
  <c r="B42" i="3"/>
  <c r="H42" i="3" s="1"/>
  <c r="C42" i="3"/>
  <c r="D42" i="3"/>
  <c r="E42" i="3"/>
  <c r="F42" i="3"/>
  <c r="G42" i="3"/>
  <c r="B43" i="3"/>
  <c r="H43" i="3" s="1"/>
  <c r="C43" i="3"/>
  <c r="D43" i="3"/>
  <c r="E43" i="3"/>
  <c r="F43" i="3"/>
  <c r="G43" i="3"/>
  <c r="B44" i="3"/>
  <c r="C44" i="3"/>
  <c r="D44" i="3"/>
  <c r="E44" i="3"/>
  <c r="F44" i="3"/>
  <c r="G44" i="3"/>
  <c r="H44" i="3"/>
  <c r="B45" i="3"/>
  <c r="C45" i="3"/>
  <c r="H45" i="3" s="1"/>
  <c r="D45" i="3"/>
  <c r="E45" i="3"/>
  <c r="F45" i="3"/>
  <c r="G45" i="3"/>
  <c r="B46" i="3"/>
  <c r="H46" i="3" s="1"/>
  <c r="C46" i="3"/>
  <c r="D46" i="3"/>
  <c r="E46" i="3"/>
  <c r="F46" i="3"/>
  <c r="G46" i="3"/>
  <c r="B47" i="3"/>
  <c r="H47" i="3" s="1"/>
  <c r="C47" i="3"/>
  <c r="D47" i="3"/>
  <c r="E47" i="3"/>
  <c r="F47" i="3"/>
  <c r="G47" i="3"/>
  <c r="B48" i="3"/>
  <c r="C48" i="3"/>
  <c r="D48" i="3"/>
  <c r="E48" i="3"/>
  <c r="F48" i="3"/>
  <c r="G48" i="3"/>
  <c r="H48" i="3"/>
  <c r="B49" i="3"/>
  <c r="C49" i="3"/>
  <c r="H49" i="3" s="1"/>
  <c r="D49" i="3"/>
  <c r="E49" i="3"/>
  <c r="F49" i="3"/>
  <c r="G49" i="3"/>
  <c r="B50" i="3"/>
  <c r="H50" i="3" s="1"/>
  <c r="C50" i="3"/>
  <c r="D50" i="3"/>
  <c r="E50" i="3"/>
  <c r="F50" i="3"/>
  <c r="G50" i="3"/>
  <c r="B51" i="3"/>
  <c r="H51" i="3" s="1"/>
  <c r="C51" i="3"/>
  <c r="D51" i="3"/>
  <c r="E51" i="3"/>
  <c r="F51" i="3"/>
  <c r="G51" i="3"/>
  <c r="B52" i="3"/>
  <c r="C52" i="3"/>
  <c r="D52" i="3"/>
  <c r="E52" i="3"/>
  <c r="F52" i="3"/>
  <c r="G52" i="3"/>
  <c r="H52" i="3"/>
  <c r="B53" i="3"/>
  <c r="C53" i="3"/>
  <c r="H53" i="3" s="1"/>
  <c r="D53" i="3"/>
  <c r="E53" i="3"/>
  <c r="F53" i="3"/>
  <c r="G53" i="3"/>
  <c r="B54" i="3"/>
  <c r="H54" i="3" s="1"/>
  <c r="C54" i="3"/>
  <c r="D54" i="3"/>
  <c r="E54" i="3"/>
  <c r="F54" i="3"/>
  <c r="G54" i="3"/>
  <c r="B55" i="3"/>
  <c r="H55" i="3" s="1"/>
  <c r="C55" i="3"/>
  <c r="D55" i="3"/>
  <c r="E55" i="3"/>
  <c r="F55" i="3"/>
  <c r="G55" i="3"/>
  <c r="B56" i="3"/>
  <c r="C56" i="3"/>
  <c r="D56" i="3"/>
  <c r="E56" i="3"/>
  <c r="F56" i="3"/>
  <c r="G56" i="3"/>
  <c r="H56" i="3"/>
  <c r="B57" i="3"/>
  <c r="C57" i="3"/>
  <c r="H57" i="3" s="1"/>
  <c r="D57" i="3"/>
  <c r="E57" i="3"/>
  <c r="F57" i="3"/>
  <c r="G57" i="3"/>
  <c r="B58" i="3"/>
  <c r="H58" i="3" s="1"/>
  <c r="C58" i="3"/>
  <c r="D58" i="3"/>
  <c r="E58" i="3"/>
  <c r="F58" i="3"/>
  <c r="G58" i="3"/>
  <c r="B59" i="3"/>
  <c r="H59" i="3" s="1"/>
  <c r="C59" i="3"/>
  <c r="D59" i="3"/>
  <c r="E59" i="3"/>
  <c r="F59" i="3"/>
  <c r="G59" i="3"/>
  <c r="B60" i="3"/>
  <c r="C60" i="3"/>
  <c r="D60" i="3"/>
  <c r="E60" i="3"/>
  <c r="F60" i="3"/>
  <c r="G60" i="3"/>
  <c r="H60" i="3"/>
  <c r="B61" i="3"/>
  <c r="C61" i="3"/>
  <c r="H61" i="3" s="1"/>
  <c r="D61" i="3"/>
  <c r="E61" i="3"/>
  <c r="F61" i="3"/>
  <c r="G61" i="3"/>
  <c r="B62" i="3"/>
  <c r="H62" i="3" s="1"/>
  <c r="C62" i="3"/>
  <c r="D62" i="3"/>
  <c r="E62" i="3"/>
  <c r="F62" i="3"/>
  <c r="G62" i="3"/>
  <c r="B63" i="3"/>
  <c r="H63" i="3" s="1"/>
  <c r="C63" i="3"/>
  <c r="D63" i="3"/>
  <c r="E63" i="3"/>
  <c r="F63" i="3"/>
  <c r="G63" i="3"/>
  <c r="B64" i="3"/>
  <c r="C64" i="3"/>
  <c r="D64" i="3"/>
  <c r="E64" i="3"/>
  <c r="F64" i="3"/>
  <c r="G64" i="3"/>
  <c r="H64" i="3"/>
  <c r="E63" i="2"/>
  <c r="E64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A61" i="7"/>
  <c r="A62" i="7"/>
  <c r="A63" i="7"/>
  <c r="A64" i="7"/>
  <c r="A65" i="7"/>
  <c r="A66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43" i="7"/>
  <c r="C53" i="1"/>
  <c r="F53" i="1"/>
  <c r="G53" i="1" s="1"/>
  <c r="N53" i="1"/>
  <c r="N54" i="1" s="1"/>
  <c r="F54" i="1"/>
  <c r="G54" i="1" s="1"/>
  <c r="C55" i="1"/>
  <c r="F55" i="1"/>
  <c r="G55" i="1" s="1"/>
  <c r="C56" i="1"/>
  <c r="F56" i="1"/>
  <c r="G56" i="1" s="1"/>
  <c r="C57" i="1"/>
  <c r="F57" i="1"/>
  <c r="C58" i="1"/>
  <c r="F58" i="1"/>
  <c r="G58" i="1" s="1"/>
  <c r="C59" i="1"/>
  <c r="F59" i="1"/>
  <c r="G59" i="1" s="1"/>
  <c r="C60" i="1"/>
  <c r="F60" i="1"/>
  <c r="G60" i="1" s="1"/>
  <c r="C61" i="1"/>
  <c r="F61" i="1"/>
  <c r="C62" i="1"/>
  <c r="F62" i="1"/>
  <c r="G62" i="1" s="1"/>
  <c r="C63" i="1"/>
  <c r="F63" i="1"/>
  <c r="G63" i="1" s="1"/>
  <c r="C64" i="1"/>
  <c r="F64" i="1"/>
  <c r="G64" i="1" s="1"/>
  <c r="C65" i="1"/>
  <c r="F65" i="1"/>
  <c r="C66" i="1"/>
  <c r="F66" i="1"/>
  <c r="G66" i="1" s="1"/>
  <c r="C67" i="1"/>
  <c r="F67" i="1"/>
  <c r="G67" i="1" s="1"/>
  <c r="C68" i="1"/>
  <c r="F68" i="1"/>
  <c r="G68" i="1" s="1"/>
  <c r="C69" i="1"/>
  <c r="F69" i="1"/>
  <c r="C70" i="1"/>
  <c r="F70" i="1"/>
  <c r="G70" i="1" s="1"/>
  <c r="C71" i="1"/>
  <c r="F71" i="1"/>
  <c r="G71" i="1" s="1"/>
  <c r="C72" i="1"/>
  <c r="F72" i="1"/>
  <c r="C73" i="1"/>
  <c r="F73" i="1"/>
  <c r="C74" i="1"/>
  <c r="F74" i="1"/>
  <c r="G74" i="1" s="1"/>
  <c r="C75" i="1"/>
  <c r="F75" i="1"/>
  <c r="G75" i="1" s="1"/>
  <c r="C76" i="1"/>
  <c r="F76" i="1"/>
  <c r="G76" i="1" s="1"/>
  <c r="G72" i="1" l="1"/>
  <c r="F6" i="6"/>
  <c r="E6" i="6"/>
  <c r="H67" i="1"/>
  <c r="H66" i="1"/>
  <c r="H59" i="1"/>
  <c r="H64" i="1"/>
  <c r="H55" i="1"/>
  <c r="H71" i="1"/>
  <c r="H63" i="1"/>
  <c r="H58" i="1"/>
  <c r="H62" i="1"/>
  <c r="H75" i="1"/>
  <c r="H53" i="1"/>
  <c r="G69" i="1"/>
  <c r="H69" i="1" s="1"/>
  <c r="H68" i="1"/>
  <c r="G65" i="1"/>
  <c r="H65" i="1" s="1"/>
  <c r="H76" i="1"/>
  <c r="H74" i="1"/>
  <c r="G61" i="1"/>
  <c r="H61" i="1" s="1"/>
  <c r="H60" i="1"/>
  <c r="M54" i="1"/>
  <c r="N55" i="1"/>
  <c r="G73" i="1"/>
  <c r="H73" i="1" s="1"/>
  <c r="H72" i="1"/>
  <c r="H70" i="1"/>
  <c r="G57" i="1"/>
  <c r="H57" i="1" s="1"/>
  <c r="H56" i="1"/>
  <c r="M53" i="1"/>
  <c r="I2" i="5"/>
  <c r="I3" i="1"/>
  <c r="P53" i="1" l="1"/>
  <c r="F7" i="6"/>
  <c r="F9" i="6" s="1"/>
  <c r="F11" i="6" s="1"/>
  <c r="I76" i="1" s="1"/>
  <c r="M55" i="1"/>
  <c r="P55" i="1" s="1"/>
  <c r="N56" i="1"/>
  <c r="G13" i="1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5" i="3"/>
  <c r="B6" i="3"/>
  <c r="H6" i="3" s="1"/>
  <c r="B7" i="3"/>
  <c r="H7" i="3" s="1"/>
  <c r="B8" i="3"/>
  <c r="H8" i="3" s="1"/>
  <c r="B9" i="3"/>
  <c r="H9" i="3" s="1"/>
  <c r="B10" i="3"/>
  <c r="H10" i="3" s="1"/>
  <c r="B11" i="3"/>
  <c r="H11" i="3" s="1"/>
  <c r="B12" i="3"/>
  <c r="H12" i="3" s="1"/>
  <c r="B13" i="3"/>
  <c r="H13" i="3" s="1"/>
  <c r="B14" i="3"/>
  <c r="H14" i="3" s="1"/>
  <c r="B15" i="3"/>
  <c r="H15" i="3" s="1"/>
  <c r="B16" i="3"/>
  <c r="H16" i="3" s="1"/>
  <c r="B17" i="3"/>
  <c r="H17" i="3" s="1"/>
  <c r="B18" i="3"/>
  <c r="H18" i="3" s="1"/>
  <c r="B19" i="3"/>
  <c r="H19" i="3" s="1"/>
  <c r="B20" i="3"/>
  <c r="H20" i="3" s="1"/>
  <c r="B21" i="3"/>
  <c r="B22" i="3"/>
  <c r="B23" i="3"/>
  <c r="B24" i="3"/>
  <c r="H24" i="3" s="1"/>
  <c r="B25" i="3"/>
  <c r="H25" i="3" s="1"/>
  <c r="B26" i="3"/>
  <c r="H26" i="3" s="1"/>
  <c r="B27" i="3"/>
  <c r="H27" i="3" s="1"/>
  <c r="B28" i="3"/>
  <c r="B29" i="3"/>
  <c r="H29" i="3" s="1"/>
  <c r="B30" i="3"/>
  <c r="H30" i="3" s="1"/>
  <c r="B31" i="3"/>
  <c r="B32" i="3"/>
  <c r="H32" i="3" s="1"/>
  <c r="B33" i="3"/>
  <c r="B34" i="3"/>
  <c r="H34" i="3" s="1"/>
  <c r="B35" i="3"/>
  <c r="H35" i="3" s="1"/>
  <c r="B36" i="3"/>
  <c r="H36" i="3" s="1"/>
  <c r="B37" i="3"/>
  <c r="H37" i="3" s="1"/>
  <c r="B38" i="3"/>
  <c r="H38" i="3" s="1"/>
  <c r="B39" i="3"/>
  <c r="H39" i="3" s="1"/>
  <c r="B40" i="3"/>
  <c r="H40" i="3" s="1"/>
  <c r="B5" i="3"/>
  <c r="H5" i="3" s="1"/>
  <c r="H31" i="3" l="1"/>
  <c r="H21" i="3"/>
  <c r="H33" i="3"/>
  <c r="H22" i="3"/>
  <c r="H28" i="3"/>
  <c r="H23" i="3"/>
  <c r="M56" i="1"/>
  <c r="P56" i="1" s="1"/>
  <c r="N57" i="1"/>
  <c r="N58" i="1" l="1"/>
  <c r="M57" i="1"/>
  <c r="P57" i="1" s="1"/>
  <c r="N59" i="1" l="1"/>
  <c r="M58" i="1"/>
  <c r="P58" i="1" s="1"/>
  <c r="M59" i="1" l="1"/>
  <c r="P59" i="1" s="1"/>
  <c r="N60" i="1"/>
  <c r="M60" i="1" l="1"/>
  <c r="P60" i="1" s="1"/>
  <c r="N61" i="1"/>
  <c r="N62" i="1" l="1"/>
  <c r="M61" i="1"/>
  <c r="P61" i="1" s="1"/>
  <c r="N63" i="1" l="1"/>
  <c r="M62" i="1"/>
  <c r="P62" i="1" s="1"/>
  <c r="M63" i="1" l="1"/>
  <c r="P63" i="1" s="1"/>
  <c r="N64" i="1"/>
  <c r="M64" i="1" l="1"/>
  <c r="N65" i="1"/>
  <c r="N66" i="1" l="1"/>
  <c r="M65" i="1"/>
  <c r="P65" i="1" s="1"/>
  <c r="N67" i="1" l="1"/>
  <c r="M66" i="1"/>
  <c r="P66" i="1" s="1"/>
  <c r="M67" i="1" l="1"/>
  <c r="P67" i="1" s="1"/>
  <c r="N68" i="1"/>
  <c r="M68" i="1" l="1"/>
  <c r="P68" i="1" s="1"/>
  <c r="N69" i="1"/>
  <c r="N70" i="1" l="1"/>
  <c r="M69" i="1"/>
  <c r="P69" i="1" s="1"/>
  <c r="N71" i="1" l="1"/>
  <c r="M70" i="1"/>
  <c r="P70" i="1" s="1"/>
  <c r="M71" i="1" l="1"/>
  <c r="P71" i="1" s="1"/>
  <c r="N72" i="1"/>
  <c r="M72" i="1" l="1"/>
  <c r="P72" i="1" s="1"/>
  <c r="N73" i="1"/>
  <c r="N74" i="1" l="1"/>
  <c r="M73" i="1"/>
  <c r="P73" i="1" s="1"/>
  <c r="N75" i="1" l="1"/>
  <c r="M74" i="1"/>
  <c r="P74" i="1" s="1"/>
  <c r="M75" i="1" l="1"/>
  <c r="P75" i="1" s="1"/>
  <c r="N76" i="1"/>
  <c r="M76" i="1" s="1"/>
  <c r="B24" i="1" l="1"/>
  <c r="B25" i="1" l="1"/>
  <c r="B26" i="1" s="1"/>
  <c r="B27" i="1" s="1"/>
  <c r="B28" i="1" s="1"/>
  <c r="B29" i="1" s="1"/>
  <c r="B30" i="1" s="1"/>
  <c r="B31" i="1" s="1"/>
  <c r="B32" i="1" s="1"/>
  <c r="B33" i="1" s="1"/>
  <c r="B34" i="1" s="1"/>
  <c r="L6" i="8"/>
  <c r="F24" i="1"/>
  <c r="F26" i="1" l="1"/>
  <c r="F25" i="1"/>
  <c r="J17" i="1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F27" i="1" l="1"/>
  <c r="N18" i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N49" i="1" s="1"/>
  <c r="N50" i="1" s="1"/>
  <c r="N51" i="1" s="1"/>
  <c r="N52" i="1" s="1"/>
  <c r="F23" i="1"/>
  <c r="G23" i="1" s="1"/>
  <c r="F22" i="1"/>
  <c r="F21" i="1"/>
  <c r="G21" i="1" s="1"/>
  <c r="F20" i="1"/>
  <c r="G20" i="1" s="1"/>
  <c r="F19" i="1"/>
  <c r="G19" i="1" s="1"/>
  <c r="F18" i="1"/>
  <c r="D4" i="5"/>
  <c r="C4" i="5"/>
  <c r="B4" i="5"/>
  <c r="A40" i="5"/>
  <c r="H40" i="5" s="1"/>
  <c r="A39" i="5"/>
  <c r="H39" i="5" s="1"/>
  <c r="A38" i="5"/>
  <c r="H38" i="5" s="1"/>
  <c r="A37" i="5"/>
  <c r="H37" i="5" s="1"/>
  <c r="A36" i="5"/>
  <c r="H36" i="5" s="1"/>
  <c r="A35" i="5"/>
  <c r="H35" i="5" s="1"/>
  <c r="A34" i="5"/>
  <c r="H34" i="5" s="1"/>
  <c r="A33" i="5"/>
  <c r="H33" i="5" s="1"/>
  <c r="A32" i="5"/>
  <c r="H32" i="5" s="1"/>
  <c r="A31" i="5"/>
  <c r="H31" i="5" s="1"/>
  <c r="A30" i="5"/>
  <c r="H30" i="5" s="1"/>
  <c r="A29" i="5"/>
  <c r="H29" i="5" s="1"/>
  <c r="A28" i="5"/>
  <c r="H28" i="5" s="1"/>
  <c r="A27" i="5"/>
  <c r="H27" i="5" s="1"/>
  <c r="A26" i="5"/>
  <c r="H26" i="5" s="1"/>
  <c r="A25" i="5"/>
  <c r="H25" i="5" s="1"/>
  <c r="A24" i="5"/>
  <c r="H24" i="5" s="1"/>
  <c r="A23" i="5"/>
  <c r="H23" i="5" s="1"/>
  <c r="A22" i="5"/>
  <c r="H22" i="5" s="1"/>
  <c r="A21" i="5"/>
  <c r="H21" i="5" s="1"/>
  <c r="A20" i="5"/>
  <c r="H20" i="5" s="1"/>
  <c r="A19" i="5"/>
  <c r="H19" i="5" s="1"/>
  <c r="A18" i="5"/>
  <c r="H18" i="5" s="1"/>
  <c r="A17" i="5"/>
  <c r="H17" i="5" s="1"/>
  <c r="A16" i="5"/>
  <c r="H16" i="5" s="1"/>
  <c r="A15" i="5"/>
  <c r="H15" i="5" s="1"/>
  <c r="A14" i="5"/>
  <c r="H14" i="5" s="1"/>
  <c r="A13" i="5"/>
  <c r="H13" i="5" s="1"/>
  <c r="A12" i="5"/>
  <c r="H12" i="5" s="1"/>
  <c r="A11" i="5"/>
  <c r="H11" i="5" s="1"/>
  <c r="A10" i="5"/>
  <c r="H10" i="5" s="1"/>
  <c r="A9" i="5"/>
  <c r="H9" i="5" s="1"/>
  <c r="A8" i="5"/>
  <c r="H8" i="5" s="1"/>
  <c r="A7" i="5"/>
  <c r="H7" i="5" s="1"/>
  <c r="A6" i="5"/>
  <c r="H6" i="5" s="1"/>
  <c r="A5" i="5"/>
  <c r="H5" i="5" s="1"/>
  <c r="A4" i="5"/>
  <c r="B5" i="5"/>
  <c r="E16" i="1"/>
  <c r="E40" i="4"/>
  <c r="G40" i="4" s="1"/>
  <c r="E52" i="1" s="1"/>
  <c r="E39" i="4"/>
  <c r="E38" i="4"/>
  <c r="E37" i="4"/>
  <c r="E36" i="4"/>
  <c r="E35" i="4"/>
  <c r="E34" i="4"/>
  <c r="G34" i="4" s="1"/>
  <c r="E33" i="4"/>
  <c r="E32" i="4"/>
  <c r="E31" i="4"/>
  <c r="E30" i="4"/>
  <c r="E29" i="4"/>
  <c r="E28" i="4"/>
  <c r="G28" i="4" s="1"/>
  <c r="E27" i="4"/>
  <c r="E26" i="4"/>
  <c r="G26" i="4" s="1"/>
  <c r="E25" i="4"/>
  <c r="G25" i="4" s="1"/>
  <c r="E24" i="4"/>
  <c r="G24" i="4" s="1"/>
  <c r="E23" i="4"/>
  <c r="G23" i="4" s="1"/>
  <c r="E22" i="4"/>
  <c r="G22" i="4" s="1"/>
  <c r="E21" i="4"/>
  <c r="E20" i="4"/>
  <c r="E19" i="4"/>
  <c r="E18" i="4"/>
  <c r="E17" i="4"/>
  <c r="E16" i="4"/>
  <c r="G16" i="4" s="1"/>
  <c r="E15" i="4"/>
  <c r="E14" i="4"/>
  <c r="E13" i="4"/>
  <c r="E12" i="4"/>
  <c r="E11" i="4"/>
  <c r="E10" i="4"/>
  <c r="E9" i="4"/>
  <c r="G9" i="4" s="1"/>
  <c r="E8" i="4"/>
  <c r="G8" i="4" s="1"/>
  <c r="E20" i="1" s="1"/>
  <c r="E7" i="4"/>
  <c r="G7" i="4" s="1"/>
  <c r="E19" i="1" s="1"/>
  <c r="E6" i="4"/>
  <c r="G6" i="4" s="1"/>
  <c r="E18" i="1" s="1"/>
  <c r="E5" i="4"/>
  <c r="G5" i="4" s="1"/>
  <c r="E17" i="1" s="1"/>
  <c r="D16" i="1"/>
  <c r="F28" i="1" l="1"/>
  <c r="E6" i="8" s="1"/>
  <c r="K6" i="8"/>
  <c r="J18" i="1"/>
  <c r="J19" i="1" s="1"/>
  <c r="J20" i="1" s="1"/>
  <c r="J21" i="1" s="1"/>
  <c r="J22" i="1" s="1"/>
  <c r="J23" i="1" s="1"/>
  <c r="J24" i="1" s="1"/>
  <c r="G10" i="4"/>
  <c r="E22" i="1" s="1"/>
  <c r="D18" i="1"/>
  <c r="G18" i="1"/>
  <c r="F11" i="4"/>
  <c r="G11" i="4" s="1"/>
  <c r="E23" i="1" s="1"/>
  <c r="G24" i="1"/>
  <c r="G22" i="1"/>
  <c r="E21" i="1"/>
  <c r="G17" i="1"/>
  <c r="D17" i="1"/>
  <c r="C16" i="1"/>
  <c r="E40" i="2"/>
  <c r="C52" i="1" s="1"/>
  <c r="E39" i="2"/>
  <c r="C51" i="1" s="1"/>
  <c r="E38" i="2"/>
  <c r="C50" i="1" s="1"/>
  <c r="E37" i="2"/>
  <c r="C49" i="1" s="1"/>
  <c r="E36" i="2"/>
  <c r="C48" i="1" s="1"/>
  <c r="E35" i="2"/>
  <c r="C47" i="1" s="1"/>
  <c r="E34" i="2"/>
  <c r="C46" i="1" s="1"/>
  <c r="E33" i="2"/>
  <c r="C45" i="1" s="1"/>
  <c r="E32" i="2"/>
  <c r="C44" i="1" s="1"/>
  <c r="E31" i="2"/>
  <c r="C43" i="1" s="1"/>
  <c r="E30" i="2"/>
  <c r="C42" i="1" s="1"/>
  <c r="E29" i="2"/>
  <c r="C41" i="1" s="1"/>
  <c r="E28" i="2"/>
  <c r="C40" i="1" s="1"/>
  <c r="E27" i="2"/>
  <c r="C39" i="1" s="1"/>
  <c r="E26" i="2"/>
  <c r="C38" i="1" s="1"/>
  <c r="E25" i="2"/>
  <c r="C37" i="1" s="1"/>
  <c r="E24" i="2"/>
  <c r="C36" i="1" s="1"/>
  <c r="E23" i="2"/>
  <c r="C35" i="1" s="1"/>
  <c r="E22" i="2"/>
  <c r="C34" i="1" s="1"/>
  <c r="E21" i="2"/>
  <c r="C33" i="1" s="1"/>
  <c r="E20" i="2"/>
  <c r="C32" i="1" s="1"/>
  <c r="E19" i="2"/>
  <c r="C31" i="1" s="1"/>
  <c r="E18" i="2"/>
  <c r="C30" i="1" s="1"/>
  <c r="E17" i="2"/>
  <c r="C29" i="1" s="1"/>
  <c r="E16" i="2"/>
  <c r="C28" i="1" s="1"/>
  <c r="E15" i="2"/>
  <c r="C27" i="1" s="1"/>
  <c r="E14" i="2"/>
  <c r="C26" i="1" s="1"/>
  <c r="E13" i="2"/>
  <c r="C25" i="1" s="1"/>
  <c r="E12" i="2"/>
  <c r="C24" i="1" s="1"/>
  <c r="E11" i="2"/>
  <c r="C23" i="1" s="1"/>
  <c r="E10" i="2"/>
  <c r="C22" i="1" s="1"/>
  <c r="E9" i="2"/>
  <c r="C21" i="1" s="1"/>
  <c r="E8" i="2"/>
  <c r="C20" i="1" s="1"/>
  <c r="E7" i="2"/>
  <c r="C19" i="1" s="1"/>
  <c r="E6" i="2"/>
  <c r="C18" i="1" s="1"/>
  <c r="E5" i="2"/>
  <c r="C17" i="1" s="1"/>
  <c r="B2" i="1"/>
  <c r="B6" i="8" l="1"/>
  <c r="B10" i="8" s="1"/>
  <c r="F29" i="1"/>
  <c r="J25" i="1"/>
  <c r="H18" i="1"/>
  <c r="D19" i="1"/>
  <c r="H19" i="1" s="1"/>
  <c r="F13" i="4"/>
  <c r="G13" i="4" s="1"/>
  <c r="G26" i="1"/>
  <c r="B6" i="5"/>
  <c r="F12" i="4"/>
  <c r="G12" i="4" s="1"/>
  <c r="E24" i="1" s="1"/>
  <c r="G25" i="1"/>
  <c r="B7" i="5"/>
  <c r="C77" i="1"/>
  <c r="E66" i="2"/>
  <c r="C54" i="1" s="1"/>
  <c r="J26" i="1" l="1"/>
  <c r="H17" i="1"/>
  <c r="K17" i="1" s="1"/>
  <c r="D20" i="1"/>
  <c r="H20" i="1" s="1"/>
  <c r="B8" i="5"/>
  <c r="J27" i="1" l="1"/>
  <c r="G27" i="1"/>
  <c r="D21" i="1"/>
  <c r="G28" i="1"/>
  <c r="F14" i="4"/>
  <c r="L17" i="1"/>
  <c r="B7" i="7" s="1"/>
  <c r="C7" i="7" s="1"/>
  <c r="K18" i="1"/>
  <c r="C5" i="5"/>
  <c r="E25" i="1" l="1"/>
  <c r="G14" i="4"/>
  <c r="B46" i="1"/>
  <c r="B77" i="1" s="1"/>
  <c r="F6" i="8"/>
  <c r="J28" i="1"/>
  <c r="B6" i="6"/>
  <c r="D5" i="5"/>
  <c r="I5" i="5"/>
  <c r="D22" i="1"/>
  <c r="H22" i="1" s="1"/>
  <c r="H21" i="1"/>
  <c r="F30" i="1"/>
  <c r="F15" i="4"/>
  <c r="B9" i="5"/>
  <c r="K19" i="1"/>
  <c r="C6" i="5"/>
  <c r="L18" i="1"/>
  <c r="B10" i="5"/>
  <c r="E26" i="1" l="1"/>
  <c r="G15" i="4"/>
  <c r="E27" i="1" s="1"/>
  <c r="K8" i="8"/>
  <c r="K7" i="8"/>
  <c r="J29" i="1"/>
  <c r="I6" i="5"/>
  <c r="B8" i="7"/>
  <c r="C8" i="7" s="1"/>
  <c r="D6" i="5"/>
  <c r="D23" i="1"/>
  <c r="H23" i="1" s="1"/>
  <c r="G29" i="1"/>
  <c r="F31" i="1"/>
  <c r="G30" i="1"/>
  <c r="C7" i="5"/>
  <c r="K20" i="1"/>
  <c r="L19" i="1"/>
  <c r="B9" i="7" s="1"/>
  <c r="C9" i="7" s="1"/>
  <c r="J30" i="1" l="1"/>
  <c r="D7" i="5"/>
  <c r="I7" i="5"/>
  <c r="D24" i="1"/>
  <c r="H24" i="1" s="1"/>
  <c r="F32" i="1"/>
  <c r="F17" i="4"/>
  <c r="B11" i="5"/>
  <c r="C8" i="5"/>
  <c r="K21" i="1"/>
  <c r="L20" i="1"/>
  <c r="B12" i="5"/>
  <c r="E28" i="1" l="1"/>
  <c r="D6" i="8" s="1"/>
  <c r="G17" i="4"/>
  <c r="J31" i="1"/>
  <c r="I8" i="5"/>
  <c r="B10" i="7"/>
  <c r="C10" i="7" s="1"/>
  <c r="D8" i="5"/>
  <c r="D25" i="1"/>
  <c r="H25" i="1" s="1"/>
  <c r="G31" i="1"/>
  <c r="F33" i="1"/>
  <c r="G32" i="1"/>
  <c r="F18" i="4"/>
  <c r="K22" i="1"/>
  <c r="C9" i="5"/>
  <c r="L21" i="1"/>
  <c r="E29" i="1" l="1"/>
  <c r="G18" i="4"/>
  <c r="J32" i="1"/>
  <c r="I9" i="5"/>
  <c r="B11" i="7"/>
  <c r="C11" i="7" s="1"/>
  <c r="D9" i="5"/>
  <c r="D26" i="1"/>
  <c r="H26" i="1" s="1"/>
  <c r="F34" i="1"/>
  <c r="F19" i="4"/>
  <c r="B13" i="5"/>
  <c r="L22" i="1"/>
  <c r="C10" i="5"/>
  <c r="K23" i="1"/>
  <c r="E30" i="1" l="1"/>
  <c r="G19" i="4"/>
  <c r="J33" i="1"/>
  <c r="I10" i="5"/>
  <c r="B12" i="7"/>
  <c r="C12" i="7" s="1"/>
  <c r="G33" i="1"/>
  <c r="B14" i="5"/>
  <c r="D10" i="5"/>
  <c r="D27" i="1"/>
  <c r="H27" i="1" s="1"/>
  <c r="F35" i="1"/>
  <c r="G34" i="1"/>
  <c r="F20" i="4"/>
  <c r="K24" i="1"/>
  <c r="C11" i="5"/>
  <c r="L23" i="1"/>
  <c r="B13" i="7" s="1"/>
  <c r="C13" i="7" s="1"/>
  <c r="E31" i="1" l="1"/>
  <c r="G20" i="4"/>
  <c r="J34" i="1"/>
  <c r="D11" i="5"/>
  <c r="I11" i="5"/>
  <c r="B15" i="5"/>
  <c r="F36" i="1"/>
  <c r="G35" i="1"/>
  <c r="F21" i="4"/>
  <c r="C12" i="5"/>
  <c r="L24" i="1"/>
  <c r="B14" i="7" s="1"/>
  <c r="C14" i="7" s="1"/>
  <c r="K25" i="1"/>
  <c r="E32" i="1" l="1"/>
  <c r="G21" i="4"/>
  <c r="E33" i="1" s="1"/>
  <c r="J35" i="1"/>
  <c r="D12" i="5"/>
  <c r="I12" i="5"/>
  <c r="B16" i="5"/>
  <c r="D29" i="1"/>
  <c r="F37" i="1"/>
  <c r="G36" i="1"/>
  <c r="K26" i="1"/>
  <c r="L25" i="1"/>
  <c r="C13" i="5"/>
  <c r="H29" i="1" l="1"/>
  <c r="I13" i="5"/>
  <c r="B15" i="7"/>
  <c r="C15" i="7" s="1"/>
  <c r="B17" i="5"/>
  <c r="D13" i="5"/>
  <c r="D30" i="1"/>
  <c r="H30" i="1" s="1"/>
  <c r="F38" i="1"/>
  <c r="G37" i="1"/>
  <c r="E34" i="1"/>
  <c r="L26" i="1"/>
  <c r="B16" i="7" s="1"/>
  <c r="C16" i="7" s="1"/>
  <c r="C14" i="5"/>
  <c r="K27" i="1"/>
  <c r="D14" i="5" l="1"/>
  <c r="I14" i="5"/>
  <c r="B18" i="5"/>
  <c r="D31" i="1"/>
  <c r="H31" i="1" s="1"/>
  <c r="F39" i="1"/>
  <c r="G38" i="1"/>
  <c r="L27" i="1"/>
  <c r="B17" i="7" s="1"/>
  <c r="C17" i="7" s="1"/>
  <c r="C15" i="5"/>
  <c r="D15" i="5" l="1"/>
  <c r="I15" i="5"/>
  <c r="B19" i="5"/>
  <c r="D32" i="1"/>
  <c r="H32" i="1" s="1"/>
  <c r="E35" i="1"/>
  <c r="F40" i="1"/>
  <c r="E7" i="8" s="1"/>
  <c r="G39" i="1"/>
  <c r="E36" i="1"/>
  <c r="B20" i="5" l="1"/>
  <c r="D33" i="1"/>
  <c r="H33" i="1" s="1"/>
  <c r="F41" i="1"/>
  <c r="E37" i="1"/>
  <c r="G40" i="1" l="1"/>
  <c r="F7" i="8" s="1"/>
  <c r="C6" i="6"/>
  <c r="B21" i="5"/>
  <c r="D34" i="1"/>
  <c r="H34" i="1" s="1"/>
  <c r="F42" i="1"/>
  <c r="G27" i="4"/>
  <c r="G41" i="1" l="1"/>
  <c r="B22" i="5"/>
  <c r="D35" i="1"/>
  <c r="H35" i="1" s="1"/>
  <c r="E38" i="1"/>
  <c r="F43" i="1"/>
  <c r="G42" i="1"/>
  <c r="E39" i="1"/>
  <c r="B23" i="5" l="1"/>
  <c r="D36" i="1"/>
  <c r="H36" i="1" s="1"/>
  <c r="F44" i="1"/>
  <c r="G43" i="1"/>
  <c r="E40" i="1" l="1"/>
  <c r="D7" i="8" s="1"/>
  <c r="G29" i="4"/>
  <c r="D37" i="1"/>
  <c r="H37" i="1" s="1"/>
  <c r="F45" i="1"/>
  <c r="G44" i="1"/>
  <c r="E41" i="1" l="1"/>
  <c r="G30" i="4"/>
  <c r="D38" i="1"/>
  <c r="H38" i="1" s="1"/>
  <c r="F46" i="1"/>
  <c r="G45" i="1"/>
  <c r="E42" i="1" l="1"/>
  <c r="G31" i="4"/>
  <c r="D39" i="1"/>
  <c r="H39" i="1" s="1"/>
  <c r="F47" i="1"/>
  <c r="G46" i="1"/>
  <c r="E43" i="1" l="1"/>
  <c r="G32" i="4"/>
  <c r="F48" i="1"/>
  <c r="G47" i="1"/>
  <c r="E44" i="1" l="1"/>
  <c r="G33" i="4"/>
  <c r="E45" i="1" s="1"/>
  <c r="D41" i="1"/>
  <c r="F49" i="1"/>
  <c r="G48" i="1"/>
  <c r="H41" i="1" l="1"/>
  <c r="D42" i="1"/>
  <c r="H42" i="1" s="1"/>
  <c r="F50" i="1"/>
  <c r="G49" i="1"/>
  <c r="E46" i="1" l="1"/>
  <c r="G35" i="4"/>
  <c r="D43" i="1"/>
  <c r="H43" i="1" s="1"/>
  <c r="F51" i="1"/>
  <c r="G50" i="1"/>
  <c r="E47" i="1" l="1"/>
  <c r="G36" i="4"/>
  <c r="D44" i="1"/>
  <c r="H44" i="1" s="1"/>
  <c r="F52" i="1"/>
  <c r="G51" i="1"/>
  <c r="E8" i="8" l="1"/>
  <c r="E10" i="8" s="1"/>
  <c r="F77" i="1"/>
  <c r="E48" i="1"/>
  <c r="G37" i="4"/>
  <c r="D45" i="1"/>
  <c r="H45" i="1" s="1"/>
  <c r="D6" i="6"/>
  <c r="E49" i="1" l="1"/>
  <c r="G38" i="4"/>
  <c r="D46" i="1"/>
  <c r="H46" i="1" s="1"/>
  <c r="G52" i="1"/>
  <c r="F39" i="4"/>
  <c r="G39" i="4" s="1"/>
  <c r="E51" i="1" s="1"/>
  <c r="F8" i="8" l="1"/>
  <c r="G77" i="1"/>
  <c r="F10" i="8"/>
  <c r="D47" i="1"/>
  <c r="H47" i="1" s="1"/>
  <c r="E50" i="1"/>
  <c r="D8" i="8" s="1"/>
  <c r="D10" i="8" s="1"/>
  <c r="G66" i="4"/>
  <c r="D48" i="1" l="1"/>
  <c r="H48" i="1" s="1"/>
  <c r="E77" i="1"/>
  <c r="D49" i="1" l="1"/>
  <c r="H49" i="1" s="1"/>
  <c r="D50" i="1" l="1"/>
  <c r="H50" i="1" s="1"/>
  <c r="D51" i="1" l="1"/>
  <c r="H51" i="1" s="1"/>
  <c r="D40" i="1" l="1"/>
  <c r="D52" i="1"/>
  <c r="D28" i="1"/>
  <c r="C6" i="8" s="1"/>
  <c r="H66" i="3"/>
  <c r="H54" i="1" s="1"/>
  <c r="P54" i="1" s="1"/>
  <c r="E7" i="6" l="1"/>
  <c r="G6" i="8"/>
  <c r="H6" i="8" s="1"/>
  <c r="H52" i="1"/>
  <c r="D7" i="6" s="1"/>
  <c r="C8" i="8"/>
  <c r="G8" i="8" s="1"/>
  <c r="H40" i="1"/>
  <c r="C7" i="8"/>
  <c r="G7" i="8" s="1"/>
  <c r="H28" i="1"/>
  <c r="H77" i="1" s="1"/>
  <c r="G10" i="8" l="1"/>
  <c r="H8" i="8"/>
  <c r="I8" i="8" s="1"/>
  <c r="I6" i="8"/>
  <c r="H7" i="8"/>
  <c r="I7" i="8" s="1"/>
  <c r="C10" i="8"/>
  <c r="K28" i="1"/>
  <c r="L28" i="1" s="1"/>
  <c r="B7" i="6"/>
  <c r="B9" i="6" s="1"/>
  <c r="B11" i="6" s="1"/>
  <c r="I29" i="1" s="1"/>
  <c r="H10" i="8" l="1"/>
  <c r="I10" i="8"/>
  <c r="B18" i="7"/>
  <c r="C18" i="7" s="1"/>
  <c r="C16" i="5"/>
  <c r="K29" i="1"/>
  <c r="D16" i="5"/>
  <c r="I16" i="5"/>
  <c r="K30" i="1" l="1"/>
  <c r="C18" i="5" s="1"/>
  <c r="K31" i="1" l="1"/>
  <c r="L31" i="1" s="1"/>
  <c r="L29" i="1"/>
  <c r="B19" i="7" s="1"/>
  <c r="C19" i="7" s="1"/>
  <c r="L30" i="1"/>
  <c r="C17" i="5"/>
  <c r="I19" i="5" l="1"/>
  <c r="B21" i="7"/>
  <c r="C21" i="7" s="1"/>
  <c r="I18" i="5"/>
  <c r="B20" i="7"/>
  <c r="C20" i="7" s="1"/>
  <c r="D18" i="5"/>
  <c r="D19" i="5"/>
  <c r="C19" i="5"/>
  <c r="K32" i="1"/>
  <c r="D17" i="5"/>
  <c r="I17" i="5"/>
  <c r="L32" i="1" l="1"/>
  <c r="B22" i="7" s="1"/>
  <c r="C22" i="7" s="1"/>
  <c r="K33" i="1"/>
  <c r="C20" i="5"/>
  <c r="L33" i="1" l="1"/>
  <c r="B23" i="7" s="1"/>
  <c r="C23" i="7" s="1"/>
  <c r="C21" i="5"/>
  <c r="K34" i="1"/>
  <c r="I20" i="5"/>
  <c r="D20" i="5"/>
  <c r="I21" i="5" l="1"/>
  <c r="D21" i="5"/>
  <c r="K35" i="1"/>
  <c r="L34" i="1"/>
  <c r="B24" i="7" s="1"/>
  <c r="C24" i="7" s="1"/>
  <c r="C22" i="5"/>
  <c r="D22" i="5" l="1"/>
  <c r="I22" i="5"/>
  <c r="C23" i="5"/>
  <c r="K36" i="1"/>
  <c r="L35" i="1"/>
  <c r="B25" i="7" s="1"/>
  <c r="C25" i="7" s="1"/>
  <c r="D26" i="7" s="1"/>
  <c r="J36" i="1" s="1"/>
  <c r="B24" i="5" l="1"/>
  <c r="I23" i="5"/>
  <c r="D23" i="5"/>
  <c r="K37" i="1"/>
  <c r="C24" i="5"/>
  <c r="L36" i="1"/>
  <c r="B26" i="7" s="1"/>
  <c r="C26" i="7" s="1"/>
  <c r="D27" i="7" s="1"/>
  <c r="J37" i="1" s="1"/>
  <c r="B25" i="5" l="1"/>
  <c r="I24" i="5"/>
  <c r="D24" i="5"/>
  <c r="L37" i="1"/>
  <c r="B27" i="7" s="1"/>
  <c r="C27" i="7" s="1"/>
  <c r="D28" i="7" s="1"/>
  <c r="C25" i="5"/>
  <c r="K38" i="1"/>
  <c r="K39" i="1" s="1"/>
  <c r="J38" i="1" l="1"/>
  <c r="B26" i="5" s="1"/>
  <c r="D25" i="5"/>
  <c r="I25" i="5"/>
  <c r="C26" i="5"/>
  <c r="L38" i="1" l="1"/>
  <c r="B28" i="7" s="1"/>
  <c r="C28" i="7" s="1"/>
  <c r="D29" i="7" s="1"/>
  <c r="J39" i="1" s="1"/>
  <c r="B27" i="5" s="1"/>
  <c r="I26" i="5" l="1"/>
  <c r="D26" i="5"/>
  <c r="C7" i="6"/>
  <c r="C9" i="6" s="1"/>
  <c r="C11" i="6" s="1"/>
  <c r="I40" i="1" s="1"/>
  <c r="K40" i="1" l="1"/>
  <c r="C27" i="5"/>
  <c r="L39" i="1"/>
  <c r="B29" i="7" s="1"/>
  <c r="C29" i="7" s="1"/>
  <c r="D30" i="7" s="1"/>
  <c r="J40" i="1" l="1"/>
  <c r="B28" i="5" s="1"/>
  <c r="K41" i="1"/>
  <c r="C28" i="5"/>
  <c r="D27" i="5"/>
  <c r="I27" i="5"/>
  <c r="L40" i="1" l="1"/>
  <c r="B30" i="7" s="1"/>
  <c r="C30" i="7" s="1"/>
  <c r="D31" i="7" s="1"/>
  <c r="J41" i="1" s="1"/>
  <c r="C29" i="5"/>
  <c r="K42" i="1"/>
  <c r="I28" i="5" l="1"/>
  <c r="D28" i="5"/>
  <c r="B29" i="5"/>
  <c r="L41" i="1"/>
  <c r="B31" i="7" s="1"/>
  <c r="C31" i="7" s="1"/>
  <c r="D32" i="7" s="1"/>
  <c r="J42" i="1" s="1"/>
  <c r="C30" i="5"/>
  <c r="K43" i="1"/>
  <c r="D29" i="5" l="1"/>
  <c r="I29" i="5"/>
  <c r="B30" i="5"/>
  <c r="L42" i="1"/>
  <c r="B32" i="7" s="1"/>
  <c r="C32" i="7" s="1"/>
  <c r="D33" i="7" s="1"/>
  <c r="J43" i="1" s="1"/>
  <c r="B31" i="5" s="1"/>
  <c r="C31" i="5"/>
  <c r="K44" i="1"/>
  <c r="I30" i="5" l="1"/>
  <c r="D30" i="5"/>
  <c r="L43" i="1"/>
  <c r="B33" i="7" s="1"/>
  <c r="C33" i="7" s="1"/>
  <c r="D34" i="7" s="1"/>
  <c r="C32" i="5"/>
  <c r="K45" i="1"/>
  <c r="J44" i="1" l="1"/>
  <c r="I31" i="5"/>
  <c r="D31" i="5"/>
  <c r="K46" i="1"/>
  <c r="C33" i="5"/>
  <c r="B32" i="5" l="1"/>
  <c r="L44" i="1"/>
  <c r="C34" i="5"/>
  <c r="K47" i="1"/>
  <c r="B34" i="7" l="1"/>
  <c r="C34" i="7" s="1"/>
  <c r="D35" i="7" s="1"/>
  <c r="I32" i="5"/>
  <c r="D32" i="5"/>
  <c r="K48" i="1"/>
  <c r="C35" i="5"/>
  <c r="D9" i="6"/>
  <c r="D11" i="6" s="1"/>
  <c r="I52" i="1" l="1"/>
  <c r="P76" i="1"/>
  <c r="J45" i="1"/>
  <c r="K49" i="1"/>
  <c r="C36" i="5"/>
  <c r="E9" i="6" l="1"/>
  <c r="E11" i="6" s="1"/>
  <c r="I64" i="1" s="1"/>
  <c r="P64" i="1" s="1"/>
  <c r="B33" i="5"/>
  <c r="L45" i="1"/>
  <c r="K50" i="1"/>
  <c r="C37" i="5"/>
  <c r="I77" i="1" l="1"/>
  <c r="B35" i="7"/>
  <c r="C35" i="7" s="1"/>
  <c r="D36" i="7" s="1"/>
  <c r="I33" i="5"/>
  <c r="D33" i="5"/>
  <c r="C38" i="5"/>
  <c r="K51" i="1"/>
  <c r="J46" i="1" l="1"/>
  <c r="K52" i="1"/>
  <c r="C39" i="5"/>
  <c r="K53" i="1" l="1"/>
  <c r="B34" i="5"/>
  <c r="L46" i="1"/>
  <c r="C40" i="5"/>
  <c r="K54" i="1" l="1"/>
  <c r="C41" i="5"/>
  <c r="B36" i="7"/>
  <c r="C36" i="7" s="1"/>
  <c r="D37" i="7" s="1"/>
  <c r="D34" i="5"/>
  <c r="I34" i="5"/>
  <c r="K55" i="1" l="1"/>
  <c r="C42" i="5"/>
  <c r="J47" i="1"/>
  <c r="K56" i="1" l="1"/>
  <c r="C43" i="5"/>
  <c r="B35" i="5"/>
  <c r="L47" i="1"/>
  <c r="K57" i="1" l="1"/>
  <c r="C44" i="5"/>
  <c r="B37" i="7"/>
  <c r="C37" i="7" s="1"/>
  <c r="D38" i="7" s="1"/>
  <c r="D35" i="5"/>
  <c r="I35" i="5"/>
  <c r="K58" i="1" l="1"/>
  <c r="C45" i="5"/>
  <c r="J48" i="1"/>
  <c r="K59" i="1" l="1"/>
  <c r="C46" i="5"/>
  <c r="L48" i="1"/>
  <c r="B36" i="5"/>
  <c r="K60" i="1" l="1"/>
  <c r="C47" i="5"/>
  <c r="B38" i="7"/>
  <c r="C38" i="7" s="1"/>
  <c r="D39" i="7" s="1"/>
  <c r="D36" i="5"/>
  <c r="I36" i="5"/>
  <c r="K61" i="1" l="1"/>
  <c r="C48" i="5"/>
  <c r="J49" i="1"/>
  <c r="K62" i="1" l="1"/>
  <c r="C49" i="5"/>
  <c r="B37" i="5"/>
  <c r="L49" i="1"/>
  <c r="K63" i="1" l="1"/>
  <c r="C50" i="5"/>
  <c r="B39" i="7"/>
  <c r="C39" i="7" s="1"/>
  <c r="D40" i="7" s="1"/>
  <c r="D37" i="5"/>
  <c r="I37" i="5"/>
  <c r="K64" i="1" l="1"/>
  <c r="C51" i="5"/>
  <c r="J50" i="1"/>
  <c r="C52" i="5" l="1"/>
  <c r="K65" i="1"/>
  <c r="B38" i="5"/>
  <c r="L50" i="1"/>
  <c r="K66" i="1" l="1"/>
  <c r="C53" i="5"/>
  <c r="B40" i="7"/>
  <c r="C40" i="7" s="1"/>
  <c r="D41" i="7" s="1"/>
  <c r="I38" i="5"/>
  <c r="D38" i="5"/>
  <c r="K67" i="1" l="1"/>
  <c r="C54" i="5"/>
  <c r="J51" i="1"/>
  <c r="K68" i="1" l="1"/>
  <c r="C55" i="5"/>
  <c r="B39" i="5"/>
  <c r="L51" i="1"/>
  <c r="K69" i="1" l="1"/>
  <c r="C56" i="5"/>
  <c r="B41" i="7"/>
  <c r="C41" i="7" s="1"/>
  <c r="D42" i="7" s="1"/>
  <c r="D39" i="5"/>
  <c r="I39" i="5"/>
  <c r="K70" i="1" l="1"/>
  <c r="C57" i="5"/>
  <c r="J52" i="1"/>
  <c r="K71" i="1" l="1"/>
  <c r="C58" i="5"/>
  <c r="B40" i="5"/>
  <c r="L52" i="1"/>
  <c r="K72" i="1" l="1"/>
  <c r="C59" i="5"/>
  <c r="B42" i="7"/>
  <c r="C42" i="7" s="1"/>
  <c r="D43" i="7" s="1"/>
  <c r="D40" i="5"/>
  <c r="I40" i="5"/>
  <c r="K73" i="1" l="1"/>
  <c r="C60" i="5"/>
  <c r="O53" i="1"/>
  <c r="J53" i="1"/>
  <c r="B41" i="5" s="1"/>
  <c r="K74" i="1" l="1"/>
  <c r="C61" i="5"/>
  <c r="L53" i="1"/>
  <c r="M19" i="1"/>
  <c r="B43" i="7" l="1"/>
  <c r="C43" i="7" s="1"/>
  <c r="D44" i="7" s="1"/>
  <c r="O54" i="1" s="1"/>
  <c r="I41" i="5"/>
  <c r="D41" i="5"/>
  <c r="K75" i="1"/>
  <c r="C62" i="5"/>
  <c r="M45" i="1"/>
  <c r="O45" i="1" s="1"/>
  <c r="M24" i="1"/>
  <c r="O24" i="1" s="1"/>
  <c r="M51" i="1"/>
  <c r="P51" i="1" s="1"/>
  <c r="M49" i="1"/>
  <c r="O49" i="1" s="1"/>
  <c r="M23" i="1"/>
  <c r="O23" i="1" s="1"/>
  <c r="M40" i="1"/>
  <c r="P40" i="1" s="1"/>
  <c r="M18" i="1"/>
  <c r="O18" i="1" s="1"/>
  <c r="M52" i="1"/>
  <c r="O52" i="1" s="1"/>
  <c r="M37" i="1"/>
  <c r="O37" i="1" s="1"/>
  <c r="M31" i="1"/>
  <c r="P31" i="1" s="1"/>
  <c r="M27" i="1"/>
  <c r="P27" i="1" s="1"/>
  <c r="M22" i="1"/>
  <c r="P22" i="1" s="1"/>
  <c r="M21" i="1"/>
  <c r="O21" i="1" s="1"/>
  <c r="M46" i="1"/>
  <c r="O46" i="1" s="1"/>
  <c r="M29" i="1"/>
  <c r="O29" i="1" s="1"/>
  <c r="M26" i="1"/>
  <c r="O26" i="1" s="1"/>
  <c r="M42" i="1"/>
  <c r="O42" i="1" s="1"/>
  <c r="M38" i="1"/>
  <c r="P38" i="1" s="1"/>
  <c r="M48" i="1"/>
  <c r="P48" i="1" s="1"/>
  <c r="M39" i="1"/>
  <c r="M17" i="1"/>
  <c r="O17" i="1" s="1"/>
  <c r="Q17" i="1" s="1"/>
  <c r="M41" i="1"/>
  <c r="P41" i="1" s="1"/>
  <c r="M34" i="1"/>
  <c r="P34" i="1" s="1"/>
  <c r="M35" i="1"/>
  <c r="O35" i="1" s="1"/>
  <c r="M32" i="1"/>
  <c r="P32" i="1" s="1"/>
  <c r="M30" i="1"/>
  <c r="P30" i="1" s="1"/>
  <c r="M50" i="1"/>
  <c r="P50" i="1" s="1"/>
  <c r="M28" i="1"/>
  <c r="O28" i="1" s="1"/>
  <c r="M20" i="1"/>
  <c r="P20" i="1" s="1"/>
  <c r="M44" i="1"/>
  <c r="P44" i="1" s="1"/>
  <c r="M43" i="1"/>
  <c r="O43" i="1" s="1"/>
  <c r="M36" i="1"/>
  <c r="O36" i="1" s="1"/>
  <c r="M25" i="1"/>
  <c r="P25" i="1" s="1"/>
  <c r="M33" i="1"/>
  <c r="P33" i="1" s="1"/>
  <c r="M47" i="1"/>
  <c r="O47" i="1" s="1"/>
  <c r="O19" i="1"/>
  <c r="P19" i="1"/>
  <c r="J54" i="1" l="1"/>
  <c r="B42" i="5" s="1"/>
  <c r="K76" i="1"/>
  <c r="C63" i="5"/>
  <c r="L54" i="1"/>
  <c r="P23" i="1"/>
  <c r="O40" i="1"/>
  <c r="P24" i="1"/>
  <c r="O22" i="1"/>
  <c r="O25" i="1"/>
  <c r="P45" i="1"/>
  <c r="P18" i="1"/>
  <c r="P52" i="1"/>
  <c r="O51" i="1"/>
  <c r="O38" i="1"/>
  <c r="O32" i="1"/>
  <c r="P42" i="1"/>
  <c r="P49" i="1"/>
  <c r="P37" i="1"/>
  <c r="O39" i="1"/>
  <c r="P39" i="1"/>
  <c r="O27" i="1"/>
  <c r="O48" i="1"/>
  <c r="O50" i="1"/>
  <c r="O31" i="1"/>
  <c r="O33" i="1"/>
  <c r="P28" i="1"/>
  <c r="P47" i="1"/>
  <c r="O30" i="1"/>
  <c r="O20" i="1"/>
  <c r="O34" i="1"/>
  <c r="P17" i="1"/>
  <c r="R17" i="1" s="1"/>
  <c r="S17" i="1" s="1"/>
  <c r="E5" i="5" s="1"/>
  <c r="P29" i="1"/>
  <c r="P21" i="1"/>
  <c r="O44" i="1"/>
  <c r="P43" i="1"/>
  <c r="P46" i="1"/>
  <c r="O41" i="1"/>
  <c r="P35" i="1"/>
  <c r="P26" i="1"/>
  <c r="P36" i="1"/>
  <c r="Q18" i="1"/>
  <c r="B44" i="7" l="1"/>
  <c r="C44" i="7" s="1"/>
  <c r="D45" i="7" s="1"/>
  <c r="O55" i="1" s="1"/>
  <c r="I42" i="5"/>
  <c r="D42" i="5"/>
  <c r="F3" i="1"/>
  <c r="C64" i="5"/>
  <c r="R18" i="1"/>
  <c r="R19" i="1" s="1"/>
  <c r="R20" i="1" s="1"/>
  <c r="R21" i="1" s="1"/>
  <c r="R22" i="1" s="1"/>
  <c r="R23" i="1" s="1"/>
  <c r="R24" i="1" s="1"/>
  <c r="R25" i="1" s="1"/>
  <c r="R26" i="1" s="1"/>
  <c r="R27" i="1" s="1"/>
  <c r="R28" i="1" s="1"/>
  <c r="R29" i="1" s="1"/>
  <c r="R30" i="1" s="1"/>
  <c r="R31" i="1" s="1"/>
  <c r="R32" i="1" s="1"/>
  <c r="R33" i="1" s="1"/>
  <c r="R34" i="1" s="1"/>
  <c r="R35" i="1" s="1"/>
  <c r="R36" i="1" s="1"/>
  <c r="R37" i="1" s="1"/>
  <c r="R38" i="1" s="1"/>
  <c r="R39" i="1" s="1"/>
  <c r="R40" i="1" s="1"/>
  <c r="R41" i="1" s="1"/>
  <c r="R42" i="1" s="1"/>
  <c r="R43" i="1" s="1"/>
  <c r="R44" i="1" s="1"/>
  <c r="R45" i="1" s="1"/>
  <c r="R46" i="1" s="1"/>
  <c r="R47" i="1" s="1"/>
  <c r="R48" i="1" s="1"/>
  <c r="R49" i="1" s="1"/>
  <c r="R50" i="1" s="1"/>
  <c r="R51" i="1" s="1"/>
  <c r="R52" i="1" s="1"/>
  <c r="R53" i="1" s="1"/>
  <c r="R54" i="1" s="1"/>
  <c r="R55" i="1" s="1"/>
  <c r="R56" i="1" s="1"/>
  <c r="R57" i="1" s="1"/>
  <c r="R58" i="1" s="1"/>
  <c r="R59" i="1" s="1"/>
  <c r="R60" i="1" s="1"/>
  <c r="R61" i="1" s="1"/>
  <c r="R62" i="1" s="1"/>
  <c r="R63" i="1" s="1"/>
  <c r="R64" i="1" s="1"/>
  <c r="R65" i="1" s="1"/>
  <c r="R66" i="1" s="1"/>
  <c r="R67" i="1" s="1"/>
  <c r="R68" i="1" s="1"/>
  <c r="R69" i="1" s="1"/>
  <c r="R70" i="1" s="1"/>
  <c r="R71" i="1" s="1"/>
  <c r="R72" i="1" s="1"/>
  <c r="R73" i="1" s="1"/>
  <c r="R74" i="1" s="1"/>
  <c r="R75" i="1" s="1"/>
  <c r="R76" i="1" s="1"/>
  <c r="Q19" i="1"/>
  <c r="J55" i="1" l="1"/>
  <c r="B43" i="5" s="1"/>
  <c r="S18" i="1"/>
  <c r="E6" i="5" s="1"/>
  <c r="S19" i="1"/>
  <c r="E7" i="5" s="1"/>
  <c r="Q20" i="1"/>
  <c r="L55" i="1" l="1"/>
  <c r="S20" i="1"/>
  <c r="E8" i="5" s="1"/>
  <c r="Q21" i="1"/>
  <c r="B45" i="7" l="1"/>
  <c r="C45" i="7" s="1"/>
  <c r="D46" i="7" s="1"/>
  <c r="I43" i="5"/>
  <c r="D43" i="5"/>
  <c r="S21" i="1"/>
  <c r="E9" i="5" s="1"/>
  <c r="Q22" i="1"/>
  <c r="O56" i="1" l="1"/>
  <c r="J56" i="1"/>
  <c r="Q23" i="1"/>
  <c r="S22" i="1"/>
  <c r="E10" i="5" s="1"/>
  <c r="L56" i="1" l="1"/>
  <c r="B44" i="5"/>
  <c r="S23" i="1"/>
  <c r="E11" i="5" s="1"/>
  <c r="Q24" i="1"/>
  <c r="B46" i="7" l="1"/>
  <c r="C46" i="7" s="1"/>
  <c r="D47" i="7" s="1"/>
  <c r="D44" i="5"/>
  <c r="I44" i="5"/>
  <c r="Q25" i="1"/>
  <c r="S24" i="1"/>
  <c r="E12" i="5" s="1"/>
  <c r="O57" i="1" l="1"/>
  <c r="J57" i="1"/>
  <c r="S25" i="1"/>
  <c r="E13" i="5" s="1"/>
  <c r="Q26" i="1"/>
  <c r="B45" i="5" l="1"/>
  <c r="L57" i="1"/>
  <c r="S26" i="1"/>
  <c r="E14" i="5" s="1"/>
  <c r="Q27" i="1"/>
  <c r="B47" i="7" l="1"/>
  <c r="C47" i="7" s="1"/>
  <c r="D48" i="7" s="1"/>
  <c r="I45" i="5"/>
  <c r="D45" i="5"/>
  <c r="Q28" i="1"/>
  <c r="S27" i="1"/>
  <c r="E15" i="5" s="1"/>
  <c r="O58" i="1" l="1"/>
  <c r="J58" i="1"/>
  <c r="Q29" i="1"/>
  <c r="S28" i="1"/>
  <c r="E16" i="5" s="1"/>
  <c r="L58" i="1" l="1"/>
  <c r="B46" i="5"/>
  <c r="S29" i="1"/>
  <c r="E17" i="5" s="1"/>
  <c r="Q30" i="1"/>
  <c r="B48" i="7" l="1"/>
  <c r="C48" i="7" s="1"/>
  <c r="D49" i="7" s="1"/>
  <c r="I46" i="5"/>
  <c r="D46" i="5"/>
  <c r="Q31" i="1"/>
  <c r="S30" i="1"/>
  <c r="E18" i="5" s="1"/>
  <c r="O59" i="1" l="1"/>
  <c r="J59" i="1"/>
  <c r="S31" i="1"/>
  <c r="E19" i="5" s="1"/>
  <c r="Q32" i="1"/>
  <c r="B47" i="5" l="1"/>
  <c r="L59" i="1"/>
  <c r="S32" i="1"/>
  <c r="E20" i="5" s="1"/>
  <c r="Q33" i="1"/>
  <c r="B49" i="7" l="1"/>
  <c r="C49" i="7" s="1"/>
  <c r="D50" i="7" s="1"/>
  <c r="D47" i="5"/>
  <c r="I47" i="5"/>
  <c r="Q34" i="1"/>
  <c r="S33" i="1"/>
  <c r="E21" i="5" s="1"/>
  <c r="O60" i="1" l="1"/>
  <c r="J60" i="1"/>
  <c r="Q35" i="1"/>
  <c r="S34" i="1"/>
  <c r="B48" i="5" l="1"/>
  <c r="L60" i="1"/>
  <c r="E22" i="5"/>
  <c r="Q36" i="1"/>
  <c r="S35" i="1"/>
  <c r="E23" i="5" s="1"/>
  <c r="B50" i="7" l="1"/>
  <c r="C50" i="7" s="1"/>
  <c r="D51" i="7" s="1"/>
  <c r="I48" i="5"/>
  <c r="D48" i="5"/>
  <c r="S36" i="1"/>
  <c r="Q37" i="1"/>
  <c r="O61" i="1" l="1"/>
  <c r="J61" i="1"/>
  <c r="S37" i="1"/>
  <c r="E25" i="5" s="1"/>
  <c r="Q38" i="1"/>
  <c r="E24" i="5"/>
  <c r="B49" i="5" l="1"/>
  <c r="L61" i="1"/>
  <c r="S38" i="1"/>
  <c r="Q39" i="1"/>
  <c r="B51" i="7" l="1"/>
  <c r="C51" i="7" s="1"/>
  <c r="D52" i="7" s="1"/>
  <c r="I49" i="5"/>
  <c r="D49" i="5"/>
  <c r="Q40" i="1"/>
  <c r="S39" i="1"/>
  <c r="E27" i="5" s="1"/>
  <c r="E26" i="5"/>
  <c r="O62" i="1" l="1"/>
  <c r="J62" i="1"/>
  <c r="Q41" i="1"/>
  <c r="S40" i="1"/>
  <c r="L62" i="1" l="1"/>
  <c r="B50" i="5"/>
  <c r="E28" i="5"/>
  <c r="Q42" i="1"/>
  <c r="S41" i="1"/>
  <c r="E29" i="5" s="1"/>
  <c r="B52" i="7" l="1"/>
  <c r="C52" i="7" s="1"/>
  <c r="D53" i="7" s="1"/>
  <c r="D50" i="5"/>
  <c r="I50" i="5"/>
  <c r="Q43" i="1"/>
  <c r="S42" i="1"/>
  <c r="O63" i="1" l="1"/>
  <c r="J63" i="1"/>
  <c r="E30" i="5"/>
  <c r="Q44" i="1"/>
  <c r="S43" i="1"/>
  <c r="E31" i="5" s="1"/>
  <c r="B51" i="5" l="1"/>
  <c r="L63" i="1"/>
  <c r="S44" i="1"/>
  <c r="E32" i="5" s="1"/>
  <c r="Q45" i="1"/>
  <c r="B53" i="7" l="1"/>
  <c r="C53" i="7" s="1"/>
  <c r="D54" i="7" s="1"/>
  <c r="I51" i="5"/>
  <c r="D51" i="5"/>
  <c r="Q46" i="1"/>
  <c r="S45" i="1"/>
  <c r="E33" i="5" s="1"/>
  <c r="O64" i="1" l="1"/>
  <c r="J64" i="1"/>
  <c r="Q47" i="1"/>
  <c r="S46" i="1"/>
  <c r="E34" i="5" s="1"/>
  <c r="L64" i="1" l="1"/>
  <c r="B52" i="5"/>
  <c r="S47" i="1"/>
  <c r="E35" i="5" s="1"/>
  <c r="Q48" i="1"/>
  <c r="B54" i="7" l="1"/>
  <c r="C54" i="7" s="1"/>
  <c r="D55" i="7" s="1"/>
  <c r="I52" i="5"/>
  <c r="D52" i="5"/>
  <c r="S48" i="1"/>
  <c r="E36" i="5" s="1"/>
  <c r="Q49" i="1"/>
  <c r="O65" i="1" l="1"/>
  <c r="J65" i="1"/>
  <c r="Q50" i="1"/>
  <c r="S49" i="1"/>
  <c r="E37" i="5" s="1"/>
  <c r="L65" i="1" l="1"/>
  <c r="B53" i="5"/>
  <c r="S50" i="1"/>
  <c r="E38" i="5" s="1"/>
  <c r="Q51" i="1"/>
  <c r="B55" i="7" l="1"/>
  <c r="C55" i="7" s="1"/>
  <c r="D56" i="7" s="1"/>
  <c r="D53" i="5"/>
  <c r="I53" i="5"/>
  <c r="S51" i="1"/>
  <c r="E39" i="5" s="1"/>
  <c r="Q52" i="1"/>
  <c r="Q53" i="1" s="1"/>
  <c r="O66" i="1" l="1"/>
  <c r="J66" i="1"/>
  <c r="S53" i="1"/>
  <c r="E41" i="5" s="1"/>
  <c r="Q54" i="1"/>
  <c r="S52" i="1"/>
  <c r="E40" i="5" s="1"/>
  <c r="B54" i="5" l="1"/>
  <c r="L66" i="1"/>
  <c r="S54" i="1"/>
  <c r="E42" i="5" s="1"/>
  <c r="Q55" i="1"/>
  <c r="B56" i="7" l="1"/>
  <c r="C56" i="7" s="1"/>
  <c r="D57" i="7" s="1"/>
  <c r="D54" i="5"/>
  <c r="I54" i="5"/>
  <c r="S55" i="1"/>
  <c r="E43" i="5" s="1"/>
  <c r="Q56" i="1"/>
  <c r="O67" i="1" l="1"/>
  <c r="J67" i="1"/>
  <c r="S56" i="1"/>
  <c r="E44" i="5" s="1"/>
  <c r="Q57" i="1"/>
  <c r="L67" i="1" l="1"/>
  <c r="B55" i="5"/>
  <c r="S57" i="1"/>
  <c r="E45" i="5" s="1"/>
  <c r="Q58" i="1"/>
  <c r="B57" i="7" l="1"/>
  <c r="C57" i="7" s="1"/>
  <c r="D58" i="7" s="1"/>
  <c r="I55" i="5"/>
  <c r="D55" i="5"/>
  <c r="S58" i="1"/>
  <c r="E46" i="5" s="1"/>
  <c r="Q59" i="1"/>
  <c r="O68" i="1" l="1"/>
  <c r="J68" i="1"/>
  <c r="S59" i="1"/>
  <c r="E47" i="5" s="1"/>
  <c r="Q60" i="1"/>
  <c r="L68" i="1" l="1"/>
  <c r="B56" i="5"/>
  <c r="S60" i="1"/>
  <c r="E48" i="5" s="1"/>
  <c r="Q61" i="1"/>
  <c r="B58" i="7" l="1"/>
  <c r="C58" i="7" s="1"/>
  <c r="D59" i="7" s="1"/>
  <c r="I56" i="5"/>
  <c r="D56" i="5"/>
  <c r="S61" i="1"/>
  <c r="E49" i="5" s="1"/>
  <c r="Q62" i="1"/>
  <c r="O69" i="1" l="1"/>
  <c r="J69" i="1"/>
  <c r="S62" i="1"/>
  <c r="E50" i="5" s="1"/>
  <c r="Q63" i="1"/>
  <c r="B57" i="5" l="1"/>
  <c r="L69" i="1"/>
  <c r="S63" i="1"/>
  <c r="E51" i="5" s="1"/>
  <c r="Q64" i="1"/>
  <c r="B59" i="7" l="1"/>
  <c r="C59" i="7" s="1"/>
  <c r="D60" i="7" s="1"/>
  <c r="D57" i="5"/>
  <c r="I57" i="5"/>
  <c r="S64" i="1"/>
  <c r="E52" i="5" s="1"/>
  <c r="Q65" i="1"/>
  <c r="O70" i="1" l="1"/>
  <c r="J70" i="1"/>
  <c r="S65" i="1"/>
  <c r="E53" i="5" s="1"/>
  <c r="Q66" i="1"/>
  <c r="B58" i="5" l="1"/>
  <c r="L70" i="1"/>
  <c r="S66" i="1"/>
  <c r="E54" i="5" s="1"/>
  <c r="Q67" i="1"/>
  <c r="B60" i="7" l="1"/>
  <c r="C60" i="7" s="1"/>
  <c r="D61" i="7" s="1"/>
  <c r="I58" i="5"/>
  <c r="D58" i="5"/>
  <c r="S67" i="1"/>
  <c r="E55" i="5" s="1"/>
  <c r="Q68" i="1"/>
  <c r="O71" i="1" l="1"/>
  <c r="J71" i="1"/>
  <c r="S68" i="1"/>
  <c r="E56" i="5" s="1"/>
  <c r="Q69" i="1"/>
  <c r="B59" i="5" l="1"/>
  <c r="L71" i="1"/>
  <c r="S69" i="1"/>
  <c r="E57" i="5" s="1"/>
  <c r="Q70" i="1"/>
  <c r="B61" i="7" l="1"/>
  <c r="C61" i="7" s="1"/>
  <c r="D62" i="7" s="1"/>
  <c r="D59" i="5"/>
  <c r="I59" i="5"/>
  <c r="S70" i="1"/>
  <c r="E58" i="5" s="1"/>
  <c r="Q71" i="1"/>
  <c r="O72" i="1" l="1"/>
  <c r="Q72" i="1" s="1"/>
  <c r="J72" i="1"/>
  <c r="S71" i="1"/>
  <c r="E59" i="5" s="1"/>
  <c r="L72" i="1" l="1"/>
  <c r="B60" i="5"/>
  <c r="S72" i="1"/>
  <c r="E60" i="5" s="1"/>
  <c r="B62" i="7" l="1"/>
  <c r="C62" i="7" s="1"/>
  <c r="D63" i="7" s="1"/>
  <c r="I60" i="5"/>
  <c r="D60" i="5"/>
  <c r="O73" i="1" l="1"/>
  <c r="Q73" i="1" s="1"/>
  <c r="J73" i="1"/>
  <c r="B61" i="5" l="1"/>
  <c r="L73" i="1"/>
  <c r="S73" i="1"/>
  <c r="E61" i="5" s="1"/>
  <c r="B63" i="7" l="1"/>
  <c r="C63" i="7" s="1"/>
  <c r="D64" i="7" s="1"/>
  <c r="I61" i="5"/>
  <c r="D61" i="5"/>
  <c r="O74" i="1" l="1"/>
  <c r="Q74" i="1" s="1"/>
  <c r="J74" i="1"/>
  <c r="L74" i="1" l="1"/>
  <c r="B62" i="5"/>
  <c r="S74" i="1"/>
  <c r="E62" i="5" l="1"/>
  <c r="B64" i="7"/>
  <c r="C64" i="7" s="1"/>
  <c r="D65" i="7" s="1"/>
  <c r="D62" i="5"/>
  <c r="I62" i="5"/>
  <c r="O75" i="1" l="1"/>
  <c r="Q75" i="1" s="1"/>
  <c r="J75" i="1"/>
  <c r="L75" i="1" l="1"/>
  <c r="B63" i="5"/>
  <c r="S75" i="1"/>
  <c r="E63" i="5" l="1"/>
  <c r="B65" i="7"/>
  <c r="C65" i="7" s="1"/>
  <c r="D66" i="7" s="1"/>
  <c r="I63" i="5"/>
  <c r="D63" i="5"/>
  <c r="O76" i="1" l="1"/>
  <c r="Q76" i="1" s="1"/>
  <c r="S76" i="1" s="1"/>
  <c r="J76" i="1"/>
  <c r="L76" i="1" l="1"/>
  <c r="F2" i="1"/>
  <c r="B64" i="5"/>
  <c r="E64" i="5"/>
  <c r="D14" i="1"/>
  <c r="E14" i="1"/>
  <c r="F5" i="1" l="1"/>
  <c r="F8" i="1" s="1"/>
  <c r="G8" i="1" s="1"/>
  <c r="I64" i="5"/>
  <c r="D64" i="5"/>
  <c r="C14" i="1"/>
  <c r="B66" i="7"/>
  <c r="C66" i="7" s="1"/>
  <c r="F7" i="1" l="1"/>
  <c r="G7" i="1" s="1"/>
  <c r="F10" i="1"/>
  <c r="J2" i="5" s="1"/>
</calcChain>
</file>

<file path=xl/sharedStrings.xml><?xml version="1.0" encoding="utf-8"?>
<sst xmlns="http://schemas.openxmlformats.org/spreadsheetml/2006/main" count="105" uniqueCount="93">
  <si>
    <t>PROYECTO:</t>
  </si>
  <si>
    <t>XXX</t>
  </si>
  <si>
    <t>Fecha:</t>
  </si>
  <si>
    <t>PARÁMETROS GLOBALES</t>
  </si>
  <si>
    <t>INVERSIÓN INICIAL</t>
  </si>
  <si>
    <t>MES</t>
  </si>
  <si>
    <t>GASTO1</t>
  </si>
  <si>
    <t>GASTO2</t>
  </si>
  <si>
    <t>GASTO3</t>
  </si>
  <si>
    <t>TOTAL GASTOS</t>
  </si>
  <si>
    <t>a8:96:75:6a:d6:7b</t>
  </si>
  <si>
    <t>a8:a6:68:e3:11:f0</t>
  </si>
  <si>
    <t>COSTOS FIJOS</t>
  </si>
  <si>
    <t>TOTAL</t>
  </si>
  <si>
    <t>COSTOS TOTALES</t>
  </si>
  <si>
    <t>UNIDADES</t>
  </si>
  <si>
    <t>UNIDADES A VENDER</t>
  </si>
  <si>
    <t>Precio de Venta:</t>
  </si>
  <si>
    <t>Crecimiento mensual:</t>
  </si>
  <si>
    <t>COSTOS VARIABLES</t>
  </si>
  <si>
    <t>COSTO UNITARIO TOTAL</t>
  </si>
  <si>
    <t>COSTO TOTAL</t>
  </si>
  <si>
    <t>VENTAS</t>
  </si>
  <si>
    <t>IIBB</t>
  </si>
  <si>
    <t>EGRESOS</t>
  </si>
  <si>
    <t>INGRESOS ACUMULADOS</t>
  </si>
  <si>
    <t>EGRESOS ACUMULADOS</t>
  </si>
  <si>
    <t>ING-EGRESOS</t>
  </si>
  <si>
    <t>GRAFICO</t>
  </si>
  <si>
    <t>UTILIDAD TEÓRICA:</t>
  </si>
  <si>
    <t>TOTALES</t>
  </si>
  <si>
    <t>UNIDADES MENSUALES MÁX.</t>
  </si>
  <si>
    <t>CAPITAL</t>
  </si>
  <si>
    <t>DEUDA</t>
  </si>
  <si>
    <t>C+D</t>
  </si>
  <si>
    <t>Costo Cap</t>
  </si>
  <si>
    <t>Costo Deuda</t>
  </si>
  <si>
    <t>Impuestos</t>
  </si>
  <si>
    <t>WACC=</t>
  </si>
  <si>
    <t>(1+i)^n</t>
  </si>
  <si>
    <t>ING AJUST</t>
  </si>
  <si>
    <t>EGR AJUST</t>
  </si>
  <si>
    <t>I-E AJUST</t>
  </si>
  <si>
    <t>ING ACUM AJ</t>
  </si>
  <si>
    <t>EGR ACUM AJ</t>
  </si>
  <si>
    <t>C/C+D</t>
  </si>
  <si>
    <t>D/C+D</t>
  </si>
  <si>
    <t>PERÍODOS</t>
  </si>
  <si>
    <t>I-E AJUSTADO</t>
  </si>
  <si>
    <t>Tasa mensual</t>
  </si>
  <si>
    <t>VAN AJUST</t>
  </si>
  <si>
    <t>TIR AJUST</t>
  </si>
  <si>
    <t>FLUJO NORMAL</t>
  </si>
  <si>
    <t>Tasa</t>
  </si>
  <si>
    <t>IMP. GAN.</t>
  </si>
  <si>
    <t>IMPUESTOS A LAS GANANCIAS</t>
  </si>
  <si>
    <t>INGRESOS</t>
  </si>
  <si>
    <t>Año 1</t>
  </si>
  <si>
    <t>Año 2</t>
  </si>
  <si>
    <t>Año 3</t>
  </si>
  <si>
    <t>I-E</t>
  </si>
  <si>
    <t>OTROS INGRESOS</t>
  </si>
  <si>
    <t>Flujo de fondos</t>
  </si>
  <si>
    <t>Saldo positivo</t>
  </si>
  <si>
    <t>Inversión</t>
  </si>
  <si>
    <t>Por ejemplo inversiones del excedente del flujo de fondos</t>
  </si>
  <si>
    <t>AÑO 1</t>
  </si>
  <si>
    <t>AÑO 2</t>
  </si>
  <si>
    <t>AÑO 3</t>
  </si>
  <si>
    <t>UNIDADES VENDIDAS</t>
  </si>
  <si>
    <t>Precio Venta</t>
  </si>
  <si>
    <t>IMPUESTOS</t>
  </si>
  <si>
    <t>GANANCIAS</t>
  </si>
  <si>
    <t>RESULTADO DEL EJERCICIO</t>
  </si>
  <si>
    <t>RESULTADO ANUAL BRUTO</t>
  </si>
  <si>
    <t>Encargado de Stock</t>
  </si>
  <si>
    <t>Equipo de Venta (1)</t>
  </si>
  <si>
    <t>Equipo de Ingeniería/ Jefe de Proyecto (1)</t>
  </si>
  <si>
    <t>Equipo de Desarrollo (1)</t>
  </si>
  <si>
    <t>Limpieza</t>
  </si>
  <si>
    <t>Electricidad + Agua + Gas</t>
  </si>
  <si>
    <t>Armado De Placa</t>
  </si>
  <si>
    <t>Armado De Gabinete</t>
  </si>
  <si>
    <t>Técnico de Ensamblado</t>
  </si>
  <si>
    <t>Acá hay que tener cuidado porque si bien yo consideré monto de inversión por una cantidad X</t>
  </si>
  <si>
    <t>de nodos en realidad no se producieron con lo cual no es un costo actual..eso hay que verlo</t>
  </si>
  <si>
    <t>saber si es necesario simular que hay una cantidad X de nodos o simplemente no considerarlos y considerar solamente el total en inversion en la hoja de resumen</t>
  </si>
  <si>
    <t>Creo que no hay que poner nada en inversión inicial ya que como criterio lo consideré como costo fijo + variables</t>
  </si>
  <si>
    <t>como criterio para poder decir cuánto invertir en todo</t>
  </si>
  <si>
    <t>Año 4</t>
  </si>
  <si>
    <t>Año 5</t>
  </si>
  <si>
    <t>Ver de levantar el precio del producto 3/11/2021 a las 2232</t>
  </si>
  <si>
    <t>PLANILLA ES SOLO VENDIENDO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</si>
</sst>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&quot;$&quot;#,##0.00;[Red]\-&quot;$&quot;#,##0.00"/>
    <numFmt numFmtId="165" formatCode="0.00000"/>
    <numFmt numFmtId="166" formatCode="#,##0_ ;\-#,##0\ "/>
    <numFmt numFmtId="167" formatCode="0.000%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u/>
      <sz val="11"/>
      <color rgb="FF0070C0"/>
      <name val="Calibri"/>
      <family val="2"/>
      <scheme val="minor"/>
    </font>
    <font>
      <sz val="11"/>
      <color rgb="FF00206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79">
    <xf numFmtId="0" fontId="0" fillId="0" borderId="0" xfId="0"/>
    <xf numFmtId="0" fontId="1" fillId="0" borderId="0" xfId="0" applyFont="1"/>
    <xf numFmtId="0" fontId="2" fillId="0" borderId="0" xfId="0" applyFont="1"/>
    <xf numFmtId="14" fontId="0" fillId="0" borderId="0" xfId="0" applyNumberFormat="1" applyAlignment="1">
      <alignment horizontal="left"/>
    </xf>
    <xf numFmtId="0" fontId="1" fillId="0" borderId="0" xfId="0" applyFont="1" applyAlignment="1">
      <alignment horizontal="right"/>
    </xf>
    <xf numFmtId="43" fontId="0" fillId="0" borderId="0" xfId="1" applyFont="1"/>
    <xf numFmtId="43" fontId="1" fillId="0" borderId="0" xfId="1" applyFont="1"/>
    <xf numFmtId="43" fontId="0" fillId="0" borderId="0" xfId="0" applyNumberFormat="1"/>
    <xf numFmtId="0" fontId="0" fillId="0" borderId="1" xfId="0" applyBorder="1"/>
    <xf numFmtId="43" fontId="0" fillId="0" borderId="1" xfId="1" applyFont="1" applyBorder="1"/>
    <xf numFmtId="0" fontId="1" fillId="2" borderId="1" xfId="0" applyFont="1" applyFill="1" applyBorder="1"/>
    <xf numFmtId="43" fontId="1" fillId="2" borderId="1" xfId="1" applyFont="1" applyFill="1" applyBorder="1"/>
    <xf numFmtId="43" fontId="5" fillId="2" borderId="1" xfId="1" applyFont="1" applyFill="1" applyBorder="1"/>
    <xf numFmtId="43" fontId="0" fillId="2" borderId="1" xfId="1" applyFont="1" applyFill="1" applyBorder="1"/>
    <xf numFmtId="0" fontId="0" fillId="3" borderId="1" xfId="0" applyFill="1" applyBorder="1"/>
    <xf numFmtId="43" fontId="0" fillId="4" borderId="1" xfId="0" applyNumberFormat="1" applyFill="1" applyBorder="1"/>
    <xf numFmtId="43" fontId="0" fillId="5" borderId="1" xfId="1" applyFont="1" applyFill="1" applyBorder="1"/>
    <xf numFmtId="43" fontId="0" fillId="6" borderId="1" xfId="1" applyFont="1" applyFill="1" applyBorder="1"/>
    <xf numFmtId="0" fontId="5" fillId="0" borderId="0" xfId="0" applyFont="1"/>
    <xf numFmtId="0" fontId="6" fillId="0" borderId="0" xfId="0" applyFont="1"/>
    <xf numFmtId="0" fontId="0" fillId="4" borderId="1" xfId="0" applyFill="1" applyBorder="1"/>
    <xf numFmtId="43" fontId="4" fillId="0" borderId="1" xfId="1" applyFont="1" applyBorder="1"/>
    <xf numFmtId="43" fontId="7" fillId="5" borderId="1" xfId="1" applyFont="1" applyFill="1" applyBorder="1"/>
    <xf numFmtId="43" fontId="8" fillId="2" borderId="1" xfId="1" applyFont="1" applyFill="1" applyBorder="1"/>
    <xf numFmtId="0" fontId="1" fillId="2" borderId="0" xfId="0" applyFont="1" applyFill="1"/>
    <xf numFmtId="164" fontId="0" fillId="0" borderId="0" xfId="0" applyNumberFormat="1"/>
    <xf numFmtId="10" fontId="0" fillId="0" borderId="0" xfId="0" applyNumberFormat="1"/>
    <xf numFmtId="0" fontId="1" fillId="2" borderId="1" xfId="0" quotePrefix="1" applyFont="1" applyFill="1" applyBorder="1"/>
    <xf numFmtId="165" fontId="0" fillId="0" borderId="1" xfId="0" applyNumberFormat="1" applyBorder="1"/>
    <xf numFmtId="0" fontId="1" fillId="8" borderId="1" xfId="0" applyFont="1" applyFill="1" applyBorder="1"/>
    <xf numFmtId="166" fontId="0" fillId="0" borderId="0" xfId="1" applyNumberFormat="1" applyFont="1"/>
    <xf numFmtId="166" fontId="0" fillId="0" borderId="0" xfId="0" applyNumberFormat="1"/>
    <xf numFmtId="43" fontId="0" fillId="7" borderId="0" xfId="0" applyNumberFormat="1" applyFill="1"/>
    <xf numFmtId="0" fontId="0" fillId="0" borderId="0" xfId="0" applyBorder="1"/>
    <xf numFmtId="0" fontId="0" fillId="0" borderId="1" xfId="0" applyBorder="1" applyAlignment="1">
      <alignment horizontal="left"/>
    </xf>
    <xf numFmtId="0" fontId="1" fillId="3" borderId="2" xfId="0" applyFont="1" applyFill="1" applyBorder="1"/>
    <xf numFmtId="43" fontId="0" fillId="0" borderId="3" xfId="0" applyNumberFormat="1" applyBorder="1"/>
    <xf numFmtId="10" fontId="0" fillId="0" borderId="4" xfId="2" applyNumberFormat="1" applyFont="1" applyBorder="1" applyAlignment="1">
      <alignment horizontal="left"/>
    </xf>
    <xf numFmtId="0" fontId="1" fillId="3" borderId="5" xfId="0" applyFont="1" applyFill="1" applyBorder="1"/>
    <xf numFmtId="43" fontId="0" fillId="0" borderId="6" xfId="0" applyNumberFormat="1" applyBorder="1"/>
    <xf numFmtId="10" fontId="0" fillId="0" borderId="7" xfId="2" applyNumberFormat="1" applyFont="1" applyBorder="1" applyAlignment="1">
      <alignment horizontal="left"/>
    </xf>
    <xf numFmtId="43" fontId="0" fillId="0" borderId="4" xfId="0" applyNumberFormat="1" applyBorder="1"/>
    <xf numFmtId="0" fontId="1" fillId="3" borderId="8" xfId="0" applyFont="1" applyFill="1" applyBorder="1"/>
    <xf numFmtId="43" fontId="0" fillId="0" borderId="9" xfId="0" applyNumberFormat="1" applyBorder="1"/>
    <xf numFmtId="0" fontId="0" fillId="0" borderId="9" xfId="0" applyBorder="1"/>
    <xf numFmtId="43" fontId="0" fillId="0" borderId="7" xfId="0" applyNumberFormat="1" applyBorder="1"/>
    <xf numFmtId="0" fontId="0" fillId="0" borderId="4" xfId="0" applyBorder="1"/>
    <xf numFmtId="10" fontId="0" fillId="0" borderId="9" xfId="2" applyNumberFormat="1" applyFont="1" applyBorder="1" applyAlignment="1">
      <alignment horizontal="left"/>
    </xf>
    <xf numFmtId="0" fontId="0" fillId="0" borderId="7" xfId="0" applyBorder="1"/>
    <xf numFmtId="0" fontId="4" fillId="3" borderId="10" xfId="0" applyFont="1" applyFill="1" applyBorder="1"/>
    <xf numFmtId="0" fontId="4" fillId="3" borderId="11" xfId="0" applyFont="1" applyFill="1" applyBorder="1"/>
    <xf numFmtId="9" fontId="4" fillId="3" borderId="12" xfId="0" applyNumberFormat="1" applyFont="1" applyFill="1" applyBorder="1"/>
    <xf numFmtId="0" fontId="5" fillId="7" borderId="2" xfId="0" applyFont="1" applyFill="1" applyBorder="1"/>
    <xf numFmtId="0" fontId="5" fillId="7" borderId="5" xfId="0" applyFont="1" applyFill="1" applyBorder="1"/>
    <xf numFmtId="9" fontId="5" fillId="0" borderId="3" xfId="0" applyNumberFormat="1" applyFont="1" applyBorder="1" applyAlignment="1">
      <alignment horizontal="left"/>
    </xf>
    <xf numFmtId="9" fontId="5" fillId="0" borderId="1" xfId="0" applyNumberFormat="1" applyFont="1" applyBorder="1" applyAlignment="1">
      <alignment horizontal="left"/>
    </xf>
    <xf numFmtId="9" fontId="4" fillId="0" borderId="6" xfId="0" applyNumberFormat="1" applyFont="1" applyBorder="1" applyAlignment="1">
      <alignment horizontal="left"/>
    </xf>
    <xf numFmtId="10" fontId="5" fillId="7" borderId="4" xfId="2" applyNumberFormat="1" applyFont="1" applyFill="1" applyBorder="1"/>
    <xf numFmtId="167" fontId="5" fillId="7" borderId="7" xfId="2" applyNumberFormat="1" applyFont="1" applyFill="1" applyBorder="1"/>
    <xf numFmtId="43" fontId="9" fillId="7" borderId="1" xfId="0" applyNumberFormat="1" applyFont="1" applyFill="1" applyBorder="1"/>
    <xf numFmtId="43" fontId="9" fillId="9" borderId="1" xfId="0" applyNumberFormat="1" applyFont="1" applyFill="1" applyBorder="1"/>
    <xf numFmtId="10" fontId="9" fillId="9" borderId="1" xfId="0" applyNumberFormat="1" applyFont="1" applyFill="1" applyBorder="1"/>
    <xf numFmtId="0" fontId="0" fillId="3" borderId="0" xfId="0" applyFill="1"/>
    <xf numFmtId="0" fontId="1" fillId="3" borderId="0" xfId="0" applyFont="1" applyFill="1"/>
    <xf numFmtId="43" fontId="1" fillId="3" borderId="0" xfId="1" applyFont="1" applyFill="1"/>
    <xf numFmtId="164" fontId="5" fillId="0" borderId="0" xfId="0" applyNumberFormat="1" applyFont="1"/>
    <xf numFmtId="164" fontId="10" fillId="0" borderId="0" xfId="0" applyNumberFormat="1" applyFont="1"/>
    <xf numFmtId="0" fontId="1" fillId="7" borderId="0" xfId="0" applyFont="1" applyFill="1"/>
    <xf numFmtId="0" fontId="4" fillId="0" borderId="0" xfId="0" applyFont="1"/>
    <xf numFmtId="0" fontId="0" fillId="0" borderId="0" xfId="0" applyFill="1"/>
    <xf numFmtId="43" fontId="0" fillId="0" borderId="0" xfId="1" applyFont="1" applyFill="1"/>
    <xf numFmtId="0" fontId="0" fillId="0" borderId="0" xfId="1" applyNumberFormat="1" applyFont="1"/>
    <xf numFmtId="43" fontId="0" fillId="7" borderId="1" xfId="0" applyNumberFormat="1" applyFill="1" applyBorder="1"/>
    <xf numFmtId="43" fontId="4" fillId="7" borderId="1" xfId="0" applyNumberFormat="1" applyFont="1" applyFill="1" applyBorder="1"/>
    <xf numFmtId="43" fontId="0" fillId="0" borderId="0" xfId="0" applyNumberFormat="1" applyFill="1"/>
    <xf numFmtId="43" fontId="12" fillId="4" borderId="1" xfId="0" applyNumberFormat="1" applyFont="1" applyFill="1" applyBorder="1"/>
    <xf numFmtId="43" fontId="12" fillId="0" borderId="1" xfId="1" applyFont="1" applyFill="1" applyBorder="1"/>
    <xf numFmtId="43" fontId="12" fillId="7" borderId="1" xfId="0" applyNumberFormat="1" applyFont="1" applyFill="1" applyBorder="1"/>
    <xf numFmtId="43" fontId="4" fillId="7" borderId="1" xfId="1" applyFont="1" applyFill="1" applyBorder="1"/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021914803356546"/>
          <c:y val="3.7300779925398438E-2"/>
          <c:w val="0.82815538333660987"/>
          <c:h val="0.84782937229489241"/>
        </c:manualLayout>
      </c:layout>
      <c:lineChart>
        <c:grouping val="standard"/>
        <c:varyColors val="0"/>
        <c:ser>
          <c:idx val="2"/>
          <c:order val="2"/>
          <c:tx>
            <c:strRef>
              <c:f>Auxiliar!$D$4</c:f>
              <c:strCache>
                <c:ptCount val="1"/>
                <c:pt idx="0">
                  <c:v> ING-EGRESOS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Auxiliar!$D$5:$D$64</c:f>
              <c:numCache>
                <c:formatCode>_(* #,##0.00_);_(* \(#,##0.00\);_(* "-"??_);_(@_)</c:formatCode>
                <c:ptCount val="60"/>
                <c:pt idx="0">
                  <c:v>-1746.031746031746</c:v>
                </c:pt>
                <c:pt idx="1">
                  <c:v>-3492.063492063492</c:v>
                </c:pt>
                <c:pt idx="2">
                  <c:v>-5238.0952380952385</c:v>
                </c:pt>
                <c:pt idx="3">
                  <c:v>-6984.1269841269841</c:v>
                </c:pt>
                <c:pt idx="4">
                  <c:v>-8730.1587301587297</c:v>
                </c:pt>
                <c:pt idx="5">
                  <c:v>-13691.961676190476</c:v>
                </c:pt>
                <c:pt idx="6">
                  <c:v>-15437.993422222222</c:v>
                </c:pt>
                <c:pt idx="7">
                  <c:v>-17184.025168253967</c:v>
                </c:pt>
                <c:pt idx="8">
                  <c:v>-18930.056914285713</c:v>
                </c:pt>
                <c:pt idx="9">
                  <c:v>-20676.088660317459</c:v>
                </c:pt>
                <c:pt idx="10">
                  <c:v>-22422.120406349204</c:v>
                </c:pt>
                <c:pt idx="11">
                  <c:v>-30599.694552380948</c:v>
                </c:pt>
                <c:pt idx="12">
                  <c:v>-32345.726298412694</c:v>
                </c:pt>
                <c:pt idx="13">
                  <c:v>-34091.758044444439</c:v>
                </c:pt>
                <c:pt idx="14">
                  <c:v>-35837.789790476185</c:v>
                </c:pt>
                <c:pt idx="15">
                  <c:v>-37583.82153650793</c:v>
                </c:pt>
                <c:pt idx="16">
                  <c:v>-39329.853282539676</c:v>
                </c:pt>
                <c:pt idx="17">
                  <c:v>-47507.42742857142</c:v>
                </c:pt>
                <c:pt idx="18">
                  <c:v>-49253.459174603166</c:v>
                </c:pt>
                <c:pt idx="19">
                  <c:v>-10110.062420634909</c:v>
                </c:pt>
                <c:pt idx="20">
                  <c:v>15403.524833333344</c:v>
                </c:pt>
                <c:pt idx="21">
                  <c:v>27325.81139938494</c:v>
                </c:pt>
                <c:pt idx="22">
                  <c:v>39277.903681851662</c:v>
                </c:pt>
                <c:pt idx="23">
                  <c:v>9640.9040333578741</c:v>
                </c:pt>
                <c:pt idx="24">
                  <c:v>7918.9745474095253</c:v>
                </c:pt>
                <c:pt idx="25">
                  <c:v>60711.978237746327</c:v>
                </c:pt>
                <c:pt idx="26">
                  <c:v>72747.53593730896</c:v>
                </c:pt>
                <c:pt idx="27">
                  <c:v>84813.182531120503</c:v>
                </c:pt>
                <c:pt idx="28">
                  <c:v>96908.993241416567</c:v>
                </c:pt>
                <c:pt idx="29">
                  <c:v>85757.920378488358</c:v>
                </c:pt>
                <c:pt idx="30">
                  <c:v>84226.283433402845</c:v>
                </c:pt>
                <c:pt idx="31">
                  <c:v>109950.43639595462</c:v>
                </c:pt>
                <c:pt idx="32">
                  <c:v>122109.09024091276</c:v>
                </c:pt>
                <c:pt idx="33">
                  <c:v>134298.14072048332</c:v>
                </c:pt>
                <c:pt idx="34">
                  <c:v>132887.85432625277</c:v>
                </c:pt>
                <c:pt idx="35">
                  <c:v>85528.666174369981</c:v>
                </c:pt>
                <c:pt idx="36">
                  <c:v>83996.456093774148</c:v>
                </c:pt>
                <c:pt idx="37">
                  <c:v>96090.224987976835</c:v>
                </c:pt>
                <c:pt idx="38">
                  <c:v>108214.22830441498</c:v>
                </c:pt>
                <c:pt idx="39">
                  <c:v>120368.54162914422</c:v>
                </c:pt>
                <c:pt idx="40">
                  <c:v>132553.24073718532</c:v>
                </c:pt>
                <c:pt idx="41">
                  <c:v>124707.04969299652</c:v>
                </c:pt>
                <c:pt idx="42">
                  <c:v>123272.78557119728</c:v>
                </c:pt>
                <c:pt idx="43">
                  <c:v>143642.63098909351</c:v>
                </c:pt>
                <c:pt idx="44">
                  <c:v>147707.62962053451</c:v>
                </c:pt>
                <c:pt idx="45">
                  <c:v>154508.7526485541</c:v>
                </c:pt>
                <c:pt idx="46">
                  <c:v>158600.91658414374</c:v>
                </c:pt>
                <c:pt idx="47">
                  <c:v>131352.4757479057</c:v>
                </c:pt>
                <c:pt idx="48">
                  <c:v>129934.82519124373</c:v>
                </c:pt>
                <c:pt idx="49">
                  <c:v>128513.63050819011</c:v>
                </c:pt>
                <c:pt idx="50">
                  <c:v>140718.69233842881</c:v>
                </c:pt>
                <c:pt idx="51">
                  <c:v>152954.26682324309</c:v>
                </c:pt>
                <c:pt idx="52">
                  <c:v>151590.62074426946</c:v>
                </c:pt>
                <c:pt idx="53">
                  <c:v>150223.5655500984</c:v>
                </c:pt>
                <c:pt idx="54">
                  <c:v>148853.09271794191</c:v>
                </c:pt>
                <c:pt idx="55">
                  <c:v>174738.81270370501</c:v>
                </c:pt>
                <c:pt idx="56">
                  <c:v>181607.51368943253</c:v>
                </c:pt>
                <c:pt idx="57">
                  <c:v>185767.42452762436</c:v>
                </c:pt>
                <c:pt idx="58">
                  <c:v>184485.81134291168</c:v>
                </c:pt>
                <c:pt idx="59">
                  <c:v>166682.16083357052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25-469B-8041-B5E646D6477B}"/>
            </c:ext>
          </c:extLst>
        </c:ser>
        <c:ser>
          <c:idx val="3"/>
          <c:order val="3"/>
          <c:tx>
            <c:strRef>
              <c:f>Auxiliar!$E$4</c:f>
              <c:strCache>
                <c:ptCount val="1"/>
                <c:pt idx="0">
                  <c:v>I-E AJUSTADO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Auxiliar!$E$5:$E$64</c:f>
              <c:numCache>
                <c:formatCode>_(* #,##0.00_);_(* \(#,##0.00\);_(* "-"??_);_(@_)</c:formatCode>
                <c:ptCount val="60"/>
                <c:pt idx="0">
                  <c:v>-1746.031746031746</c:v>
                </c:pt>
                <c:pt idx="1">
                  <c:v>-3489.5214840254976</c:v>
                </c:pt>
                <c:pt idx="2">
                  <c:v>-5230.4729148331317</c:v>
                </c:pt>
                <c:pt idx="3">
                  <c:v>-6968.8897339185387</c:v>
                </c:pt>
                <c:pt idx="4">
                  <c:v>-8704.7756313654681</c:v>
                </c:pt>
                <c:pt idx="5">
                  <c:v>-13630.564711572069</c:v>
                </c:pt>
                <c:pt idx="6">
                  <c:v>-15361.399814511875</c:v>
                </c:pt>
                <c:pt idx="7">
                  <c:v>-17089.715033861867</c:v>
                </c:pt>
                <c:pt idx="8">
                  <c:v>-18815.514038263442</c:v>
                </c:pt>
                <c:pt idx="9">
                  <c:v>-20538.800491016904</c:v>
                </c:pt>
                <c:pt idx="10">
                  <c:v>-22259.57805008924</c:v>
                </c:pt>
                <c:pt idx="11">
                  <c:v>-30307.140367166547</c:v>
                </c:pt>
                <c:pt idx="12">
                  <c:v>-32022.911091483136</c:v>
                </c:pt>
                <c:pt idx="13">
                  <c:v>-33736.183864097256</c:v>
                </c:pt>
                <c:pt idx="14">
                  <c:v>-35446.962321720159</c:v>
                </c:pt>
                <c:pt idx="15">
                  <c:v>-37155.250095768497</c:v>
                </c:pt>
                <c:pt idx="16">
                  <c:v>-38861.050812372028</c:v>
                </c:pt>
                <c:pt idx="17">
                  <c:v>-46838.570913681659</c:v>
                </c:pt>
                <c:pt idx="18">
                  <c:v>-48539.408372675724</c:v>
                </c:pt>
                <c:pt idx="19">
                  <c:v>-10464.712236921587</c:v>
                </c:pt>
                <c:pt idx="20">
                  <c:v>14316.167581374742</c:v>
                </c:pt>
                <c:pt idx="21">
                  <c:v>25879.207161074759</c:v>
                </c:pt>
                <c:pt idx="22">
                  <c:v>37454.277886606193</c:v>
                </c:pt>
                <c:pt idx="23">
                  <c:v>8793.9463165692578</c:v>
                </c:pt>
                <c:pt idx="24">
                  <c:v>7131.1862029310287</c:v>
                </c:pt>
                <c:pt idx="25">
                  <c:v>58035.8844267034</c:v>
                </c:pt>
                <c:pt idx="26">
                  <c:v>69624.05753139728</c:v>
                </c:pt>
                <c:pt idx="27">
                  <c:v>81224.287932927444</c:v>
                </c:pt>
                <c:pt idx="28">
                  <c:v>92836.58817670602</c:v>
                </c:pt>
                <c:pt idx="29">
                  <c:v>82146.847055643841</c:v>
                </c:pt>
                <c:pt idx="30">
                  <c:v>80680.713182833773</c:v>
                </c:pt>
                <c:pt idx="31">
                  <c:v>105268.87922265947</c:v>
                </c:pt>
                <c:pt idx="32">
                  <c:v>116873.68317343915</c:v>
                </c:pt>
                <c:pt idx="33">
                  <c:v>128490.56172516735</c:v>
                </c:pt>
                <c:pt idx="34">
                  <c:v>127148.43306871947</c:v>
                </c:pt>
                <c:pt idx="35">
                  <c:v>82143.684267623117</c:v>
                </c:pt>
                <c:pt idx="36">
                  <c:v>80689.767088401422</c:v>
                </c:pt>
                <c:pt idx="37">
                  <c:v>92148.860978631099</c:v>
                </c:pt>
                <c:pt idx="38">
                  <c:v>103619.87786097187</c:v>
                </c:pt>
                <c:pt idx="39">
                  <c:v>115102.83014109411</c:v>
                </c:pt>
                <c:pt idx="40">
                  <c:v>126597.73023757598</c:v>
                </c:pt>
                <c:pt idx="41">
                  <c:v>119206.50341328516</c:v>
                </c:pt>
                <c:pt idx="42">
                  <c:v>117857.37264696491</c:v>
                </c:pt>
                <c:pt idx="43">
                  <c:v>136990.23313238093</c:v>
                </c:pt>
                <c:pt idx="44">
                  <c:v>140802.82076674153</c:v>
                </c:pt>
                <c:pt idx="45">
                  <c:v>147172.34980795748</c:v>
                </c:pt>
                <c:pt idx="46">
                  <c:v>150999.24857904023</c:v>
                </c:pt>
                <c:pt idx="47">
                  <c:v>125554.22442248595</c:v>
                </c:pt>
                <c:pt idx="48">
                  <c:v>124232.32728176657</c:v>
                </c:pt>
                <c:pt idx="49">
                  <c:v>122909.05472957646</c:v>
                </c:pt>
                <c:pt idx="50">
                  <c:v>134256.6274327891</c:v>
                </c:pt>
                <c:pt idx="51">
                  <c:v>145616.00709221634</c:v>
                </c:pt>
                <c:pt idx="52">
                  <c:v>144351.85543682397</c:v>
                </c:pt>
                <c:pt idx="53">
                  <c:v>143086.38845315535</c:v>
                </c:pt>
                <c:pt idx="54">
                  <c:v>141819.60477263373</c:v>
                </c:pt>
                <c:pt idx="55">
                  <c:v>165711.99162629561</c:v>
                </c:pt>
                <c:pt idx="56">
                  <c:v>172042.53749049566</c:v>
                </c:pt>
                <c:pt idx="57">
                  <c:v>175870.94210382501</c:v>
                </c:pt>
                <c:pt idx="58">
                  <c:v>174693.17875550941</c:v>
                </c:pt>
                <c:pt idx="59">
                  <c:v>158355.98767403772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C25-469B-8041-B5E646D64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9238064"/>
        <c:axId val="48392209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Auxiliar!$B$4</c15:sqref>
                        </c15:formulaRef>
                      </c:ext>
                    </c:extLst>
                    <c:strCache>
                      <c:ptCount val="1"/>
                      <c:pt idx="0">
                        <c:v> INGRESOS ACUMULADOS 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Auxiliar!$B$5:$B$64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6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42154.05</c:v>
                      </c:pt>
                      <c:pt idx="20">
                        <c:v>70256.75</c:v>
                      </c:pt>
                      <c:pt idx="21">
                        <c:v>84346.608812083345</c:v>
                      </c:pt>
                      <c:pt idx="22">
                        <c:v>98466.273340581814</c:v>
                      </c:pt>
                      <c:pt idx="23">
                        <c:v>98564.468099786449</c:v>
                      </c:pt>
                      <c:pt idx="24">
                        <c:v>98588.570359869846</c:v>
                      </c:pt>
                      <c:pt idx="25">
                        <c:v>154813.76779623839</c:v>
                      </c:pt>
                      <c:pt idx="26">
                        <c:v>169016.89774183277</c:v>
                      </c:pt>
                      <c:pt idx="27">
                        <c:v>183250.11658167606</c:v>
                      </c:pt>
                      <c:pt idx="28">
                        <c:v>197513.49953800387</c:v>
                      </c:pt>
                      <c:pt idx="29">
                        <c:v>197755.7720211074</c:v>
                      </c:pt>
                      <c:pt idx="30">
                        <c:v>197970.16682205364</c:v>
                      </c:pt>
                      <c:pt idx="31">
                        <c:v>226283.43253063716</c:v>
                      </c:pt>
                      <c:pt idx="32">
                        <c:v>240609.65862162705</c:v>
                      </c:pt>
                      <c:pt idx="33">
                        <c:v>254966.28134722935</c:v>
                      </c:pt>
                      <c:pt idx="34">
                        <c:v>255302.02669903057</c:v>
                      </c:pt>
                      <c:pt idx="35">
                        <c:v>255634.24633484619</c:v>
                      </c:pt>
                      <c:pt idx="36">
                        <c:v>255848.0680002821</c:v>
                      </c:pt>
                      <c:pt idx="37">
                        <c:v>270109.40914051654</c:v>
                      </c:pt>
                      <c:pt idx="38">
                        <c:v>284400.98470298643</c:v>
                      </c:pt>
                      <c:pt idx="39">
                        <c:v>298722.87027374742</c:v>
                      </c:pt>
                      <c:pt idx="40">
                        <c:v>313075.14162782027</c:v>
                      </c:pt>
                      <c:pt idx="41">
                        <c:v>313406.52472966322</c:v>
                      </c:pt>
                      <c:pt idx="42">
                        <c:v>313718.29235389573</c:v>
                      </c:pt>
                      <c:pt idx="43">
                        <c:v>336508.63431782369</c:v>
                      </c:pt>
                      <c:pt idx="44">
                        <c:v>342488.28089529643</c:v>
                      </c:pt>
                      <c:pt idx="45">
                        <c:v>351288.35996934777</c:v>
                      </c:pt>
                      <c:pt idx="46">
                        <c:v>357295.17185096914</c:v>
                      </c:pt>
                      <c:pt idx="47">
                        <c:v>357691.67414242949</c:v>
                      </c:pt>
                      <c:pt idx="48">
                        <c:v>358020.05533179926</c:v>
                      </c:pt>
                      <c:pt idx="49">
                        <c:v>358344.89239477739</c:v>
                      </c:pt>
                      <c:pt idx="50">
                        <c:v>372717.52647104784</c:v>
                      </c:pt>
                      <c:pt idx="51">
                        <c:v>387120.67320189386</c:v>
                      </c:pt>
                      <c:pt idx="52">
                        <c:v>387503.05886895198</c:v>
                      </c:pt>
                      <c:pt idx="53">
                        <c:v>387882.03542081267</c:v>
                      </c:pt>
                      <c:pt idx="54">
                        <c:v>388257.59433468792</c:v>
                      </c:pt>
                      <c:pt idx="55">
                        <c:v>416732.42706648278</c:v>
                      </c:pt>
                      <c:pt idx="56">
                        <c:v>425600.08409824205</c:v>
                      </c:pt>
                      <c:pt idx="57">
                        <c:v>431674.64288246562</c:v>
                      </c:pt>
                      <c:pt idx="58">
                        <c:v>432139.06144378468</c:v>
                      </c:pt>
                      <c:pt idx="59">
                        <c:v>432600.27597214194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1C25-469B-8041-B5E646D6477B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Auxiliar!$C$4</c15:sqref>
                        </c15:formulaRef>
                      </c:ext>
                    </c:extLst>
                    <c:strCache>
                      <c:ptCount val="1"/>
                      <c:pt idx="0">
                        <c:v> EGRESOS ACUMULADOS 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Auxiliar!$C$5:$C$64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60"/>
                      <c:pt idx="0">
                        <c:v>-1746.031746031746</c:v>
                      </c:pt>
                      <c:pt idx="1">
                        <c:v>-3492.063492063492</c:v>
                      </c:pt>
                      <c:pt idx="2">
                        <c:v>-5238.0952380952385</c:v>
                      </c:pt>
                      <c:pt idx="3">
                        <c:v>-6984.1269841269841</c:v>
                      </c:pt>
                      <c:pt idx="4">
                        <c:v>-8730.1587301587297</c:v>
                      </c:pt>
                      <c:pt idx="5">
                        <c:v>-13691.961676190476</c:v>
                      </c:pt>
                      <c:pt idx="6">
                        <c:v>-15437.993422222222</c:v>
                      </c:pt>
                      <c:pt idx="7">
                        <c:v>-17184.025168253967</c:v>
                      </c:pt>
                      <c:pt idx="8">
                        <c:v>-18930.056914285713</c:v>
                      </c:pt>
                      <c:pt idx="9">
                        <c:v>-20676.088660317459</c:v>
                      </c:pt>
                      <c:pt idx="10">
                        <c:v>-22422.120406349204</c:v>
                      </c:pt>
                      <c:pt idx="11">
                        <c:v>-30599.694552380948</c:v>
                      </c:pt>
                      <c:pt idx="12">
                        <c:v>-32345.726298412694</c:v>
                      </c:pt>
                      <c:pt idx="13">
                        <c:v>-34091.758044444439</c:v>
                      </c:pt>
                      <c:pt idx="14">
                        <c:v>-35837.789790476185</c:v>
                      </c:pt>
                      <c:pt idx="15">
                        <c:v>-37583.82153650793</c:v>
                      </c:pt>
                      <c:pt idx="16">
                        <c:v>-39329.853282539676</c:v>
                      </c:pt>
                      <c:pt idx="17">
                        <c:v>-47507.42742857142</c:v>
                      </c:pt>
                      <c:pt idx="18">
                        <c:v>-49253.459174603166</c:v>
                      </c:pt>
                      <c:pt idx="19">
                        <c:v>-52264.112420634912</c:v>
                      </c:pt>
                      <c:pt idx="20">
                        <c:v>-54853.225166666656</c:v>
                      </c:pt>
                      <c:pt idx="21">
                        <c:v>-57020.797412698405</c:v>
                      </c:pt>
                      <c:pt idx="22">
                        <c:v>-59188.369658730153</c:v>
                      </c:pt>
                      <c:pt idx="23">
                        <c:v>-88923.564066428575</c:v>
                      </c:pt>
                      <c:pt idx="24">
                        <c:v>-90669.59581246032</c:v>
                      </c:pt>
                      <c:pt idx="25">
                        <c:v>-94101.789558492062</c:v>
                      </c:pt>
                      <c:pt idx="26">
                        <c:v>-96269.361804523811</c:v>
                      </c:pt>
                      <c:pt idx="27">
                        <c:v>-98436.934050555559</c:v>
                      </c:pt>
                      <c:pt idx="28">
                        <c:v>-100604.50629658731</c:v>
                      </c:pt>
                      <c:pt idx="29">
                        <c:v>-111997.85164261905</c:v>
                      </c:pt>
                      <c:pt idx="30">
                        <c:v>-113743.88338865079</c:v>
                      </c:pt>
                      <c:pt idx="31">
                        <c:v>-116332.99613468254</c:v>
                      </c:pt>
                      <c:pt idx="32">
                        <c:v>-118500.56838071429</c:v>
                      </c:pt>
                      <c:pt idx="33">
                        <c:v>-120668.14062674604</c:v>
                      </c:pt>
                      <c:pt idx="34">
                        <c:v>-122414.17237277779</c:v>
                      </c:pt>
                      <c:pt idx="35">
                        <c:v>-170105.58016047621</c:v>
                      </c:pt>
                      <c:pt idx="36">
                        <c:v>-171851.61190650795</c:v>
                      </c:pt>
                      <c:pt idx="37">
                        <c:v>-174019.1841525397</c:v>
                      </c:pt>
                      <c:pt idx="38">
                        <c:v>-176186.75639857145</c:v>
                      </c:pt>
                      <c:pt idx="39">
                        <c:v>-178354.3286446032</c:v>
                      </c:pt>
                      <c:pt idx="40">
                        <c:v>-180521.90089063495</c:v>
                      </c:pt>
                      <c:pt idx="41">
                        <c:v>-188699.4750366667</c:v>
                      </c:pt>
                      <c:pt idx="42">
                        <c:v>-190445.50678269845</c:v>
                      </c:pt>
                      <c:pt idx="43">
                        <c:v>-192866.00332873018</c:v>
                      </c:pt>
                      <c:pt idx="44">
                        <c:v>-194780.65127476191</c:v>
                      </c:pt>
                      <c:pt idx="45">
                        <c:v>-196779.60732079367</c:v>
                      </c:pt>
                      <c:pt idx="46">
                        <c:v>-198694.25526682541</c:v>
                      </c:pt>
                      <c:pt idx="47">
                        <c:v>-226339.19839452379</c:v>
                      </c:pt>
                      <c:pt idx="48">
                        <c:v>-228085.23014055553</c:v>
                      </c:pt>
                      <c:pt idx="49">
                        <c:v>-229831.26188658728</c:v>
                      </c:pt>
                      <c:pt idx="50">
                        <c:v>-231998.83413261903</c:v>
                      </c:pt>
                      <c:pt idx="51">
                        <c:v>-234166.40637865078</c:v>
                      </c:pt>
                      <c:pt idx="52">
                        <c:v>-235912.43812468252</c:v>
                      </c:pt>
                      <c:pt idx="53">
                        <c:v>-237658.46987071427</c:v>
                      </c:pt>
                      <c:pt idx="54">
                        <c:v>-239404.50161674601</c:v>
                      </c:pt>
                      <c:pt idx="55">
                        <c:v>-241993.61436277776</c:v>
                      </c:pt>
                      <c:pt idx="56">
                        <c:v>-243992.57040880952</c:v>
                      </c:pt>
                      <c:pt idx="57">
                        <c:v>-245907.21835484126</c:v>
                      </c:pt>
                      <c:pt idx="58">
                        <c:v>-247653.250100873</c:v>
                      </c:pt>
                      <c:pt idx="59">
                        <c:v>-265918.11513857142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1C25-469B-8041-B5E646D6477B}"/>
                  </c:ext>
                </c:extLst>
              </c15:ser>
            </c15:filteredLineSeries>
          </c:ext>
        </c:extLst>
      </c:lineChart>
      <c:catAx>
        <c:axId val="4692380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83922096"/>
        <c:crosses val="autoZero"/>
        <c:auto val="1"/>
        <c:lblAlgn val="ctr"/>
        <c:lblOffset val="100"/>
        <c:noMultiLvlLbl val="0"/>
      </c:catAx>
      <c:valAx>
        <c:axId val="48392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69238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193040</xdr:colOff>
      <xdr:row>6</xdr:row>
      <xdr:rowOff>162560</xdr:rowOff>
    </xdr:from>
    <xdr:to>
      <xdr:col>9</xdr:col>
      <xdr:colOff>1371600</xdr:colOff>
      <xdr:row>11</xdr:row>
      <xdr:rowOff>71120</xdr:rowOff>
    </xdr:to>
    <xdr:sp macro="" textlink="">
      <xdr:nvSpPr>
        <xdr:cNvPr id="3" name="7 Rectángulo">
          <a:extLst>
            <a:ext uri="{FF2B5EF4-FFF2-40B4-BE49-F238E27FC236}">
              <a16:creationId xmlns:a16="http://schemas.microsoft.com/office/drawing/2014/main" id="{3828A474-6A57-48B2-B80B-482B1EFDA664}"/>
            </a:ext>
          </a:extLst>
        </xdr:cNvPr>
        <xdr:cNvSpPr>
          <a:spLocks noChangeArrowheads="1"/>
        </xdr:cNvSpPr>
      </xdr:nvSpPr>
      <xdr:spPr bwMode="auto">
        <a:xfrm>
          <a:off x="7731760" y="1290320"/>
          <a:ext cx="2936240" cy="853440"/>
        </a:xfrm>
        <a:prstGeom prst="rect">
          <a:avLst/>
        </a:prstGeom>
        <a:noFill/>
        <a:ln w="9525">
          <a:solidFill>
            <a:schemeClr val="tx1"/>
          </a:solidFill>
          <a:miter lim="800000"/>
          <a:headEnd/>
          <a:tailEnd/>
        </a:ln>
      </xdr:spPr>
      <xdr:txBody>
        <a:bodyPr wrap="square">
          <a:noAutofit/>
        </a:bodyPr>
        <a:lstStyle>
          <a:defPPr>
            <a:defRPr lang="es-ES"/>
          </a:defPPr>
          <a:lvl1pPr algn="ctr" rtl="0" eaLnBrk="0" fontAlgn="base" hangingPunct="0">
            <a:spcBef>
              <a:spcPct val="0"/>
            </a:spcBef>
            <a:spcAft>
              <a:spcPct val="0"/>
            </a:spcAft>
            <a:defRPr sz="2000" kern="1200">
              <a:solidFill>
                <a:schemeClr val="tx1"/>
              </a:solidFill>
              <a:latin typeface="Arial" pitchFamily="34" charset="0"/>
              <a:ea typeface="+mn-ea"/>
              <a:cs typeface="+mn-cs"/>
            </a:defRPr>
          </a:lvl1pPr>
          <a:lvl2pPr marL="457200" algn="ctr" rtl="0" eaLnBrk="0" fontAlgn="base" hangingPunct="0">
            <a:spcBef>
              <a:spcPct val="0"/>
            </a:spcBef>
            <a:spcAft>
              <a:spcPct val="0"/>
            </a:spcAft>
            <a:defRPr sz="2000" kern="1200">
              <a:solidFill>
                <a:schemeClr val="tx1"/>
              </a:solidFill>
              <a:latin typeface="Arial" pitchFamily="34" charset="0"/>
              <a:ea typeface="+mn-ea"/>
              <a:cs typeface="+mn-cs"/>
            </a:defRPr>
          </a:lvl2pPr>
          <a:lvl3pPr marL="914400" algn="ctr" rtl="0" eaLnBrk="0" fontAlgn="base" hangingPunct="0">
            <a:spcBef>
              <a:spcPct val="0"/>
            </a:spcBef>
            <a:spcAft>
              <a:spcPct val="0"/>
            </a:spcAft>
            <a:defRPr sz="2000" kern="1200">
              <a:solidFill>
                <a:schemeClr val="tx1"/>
              </a:solidFill>
              <a:latin typeface="Arial" pitchFamily="34" charset="0"/>
              <a:ea typeface="+mn-ea"/>
              <a:cs typeface="+mn-cs"/>
            </a:defRPr>
          </a:lvl3pPr>
          <a:lvl4pPr marL="1371600" algn="ctr" rtl="0" eaLnBrk="0" fontAlgn="base" hangingPunct="0">
            <a:spcBef>
              <a:spcPct val="0"/>
            </a:spcBef>
            <a:spcAft>
              <a:spcPct val="0"/>
            </a:spcAft>
            <a:defRPr sz="2000" kern="1200">
              <a:solidFill>
                <a:schemeClr val="tx1"/>
              </a:solidFill>
              <a:latin typeface="Arial" pitchFamily="34" charset="0"/>
              <a:ea typeface="+mn-ea"/>
              <a:cs typeface="+mn-cs"/>
            </a:defRPr>
          </a:lvl4pPr>
          <a:lvl5pPr marL="1828800" algn="ctr" rtl="0" eaLnBrk="0" fontAlgn="base" hangingPunct="0">
            <a:spcBef>
              <a:spcPct val="0"/>
            </a:spcBef>
            <a:spcAft>
              <a:spcPct val="0"/>
            </a:spcAft>
            <a:defRPr sz="2000" kern="1200">
              <a:solidFill>
                <a:schemeClr val="tx1"/>
              </a:solidFill>
              <a:latin typeface="Arial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2000" kern="1200">
              <a:solidFill>
                <a:schemeClr val="tx1"/>
              </a:solidFill>
              <a:latin typeface="Arial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2000" kern="1200">
              <a:solidFill>
                <a:schemeClr val="tx1"/>
              </a:solidFill>
              <a:latin typeface="Arial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2000" kern="1200">
              <a:solidFill>
                <a:schemeClr val="tx1"/>
              </a:solidFill>
              <a:latin typeface="Arial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2000" kern="1200">
              <a:solidFill>
                <a:schemeClr val="tx1"/>
              </a:solidFill>
              <a:latin typeface="Arial" pitchFamily="34" charset="0"/>
              <a:ea typeface="+mn-ea"/>
              <a:cs typeface="+mn-cs"/>
            </a:defRPr>
          </a:lvl9pPr>
        </a:lstStyle>
        <a:p>
          <a:r>
            <a:rPr lang="es-AR" sz="1100"/>
            <a:t>El </a:t>
          </a:r>
          <a:r>
            <a:rPr lang="es-AR" sz="1100" b="1"/>
            <a:t>WACC</a:t>
          </a:r>
          <a:r>
            <a:rPr lang="es-AR" sz="1100"/>
            <a:t> (del inglés </a:t>
          </a:r>
          <a:r>
            <a:rPr lang="es-AR" sz="1100" b="1"/>
            <a:t>Weighted Average Cost of Capital</a:t>
          </a:r>
          <a:r>
            <a:rPr lang="es-AR" sz="1100"/>
            <a:t>) denominado en español Costo Medio Ponderado de Capital (CMPC) o Promedio Ponderado del Costo de Capital.</a:t>
          </a:r>
        </a:p>
      </xdr:txBody>
    </xdr:sp>
    <xdr:clientData/>
  </xdr:twoCellAnchor>
  <xdr:twoCellAnchor>
    <xdr:from>
      <xdr:col>10</xdr:col>
      <xdr:colOff>193040</xdr:colOff>
      <xdr:row>0</xdr:row>
      <xdr:rowOff>92710</xdr:rowOff>
    </xdr:from>
    <xdr:to>
      <xdr:col>18</xdr:col>
      <xdr:colOff>894080</xdr:colOff>
      <xdr:row>14</xdr:row>
      <xdr:rowOff>152400</xdr:rowOff>
    </xdr:to>
    <xdr:graphicFrame macro="">
      <xdr:nvGraphicFramePr>
        <xdr:cNvPr id="4" name="Gráfico 2">
          <a:extLst>
            <a:ext uri="{FF2B5EF4-FFF2-40B4-BE49-F238E27FC236}">
              <a16:creationId xmlns:a16="http://schemas.microsoft.com/office/drawing/2014/main" id="{86422E67-5286-464B-8C94-AD971D9671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3DA6F-9725-4B32-BA0F-667269167230}">
  <sheetPr>
    <tabColor theme="9"/>
  </sheetPr>
  <dimension ref="A1:T142"/>
  <sheetViews>
    <sheetView tabSelected="1" zoomScale="75" zoomScaleNormal="75" workbookViewId="0">
      <selection activeCell="L40" sqref="L40"/>
    </sheetView>
  </sheetViews>
  <sheetFormatPr baseColWidth="10" defaultRowHeight="14.4" x14ac:dyDescent="0.3"/>
  <cols>
    <col min="1" max="1" width="10.6640625" customWidth="1"/>
    <col min="2" max="2" width="21.109375" customWidth="1"/>
    <col min="3" max="3" width="18.21875" customWidth="1"/>
    <col min="4" max="4" width="14.77734375" customWidth="1"/>
    <col min="5" max="5" width="17.88671875" customWidth="1"/>
    <col min="6" max="6" width="13.77734375" customWidth="1"/>
    <col min="7" max="8" width="13.33203125" bestFit="1" customWidth="1"/>
    <col min="9" max="9" width="12.21875" bestFit="1" customWidth="1"/>
    <col min="10" max="10" width="21.88671875" bestFit="1" customWidth="1"/>
    <col min="11" max="11" width="15.21875" customWidth="1"/>
    <col min="12" max="12" width="13.33203125" bestFit="1" customWidth="1"/>
    <col min="13" max="13" width="9.88671875" bestFit="1" customWidth="1"/>
    <col min="14" max="14" width="11.6640625" bestFit="1" customWidth="1"/>
    <col min="15" max="15" width="11.6640625" customWidth="1"/>
    <col min="16" max="17" width="13.33203125" bestFit="1" customWidth="1"/>
    <col min="18" max="18" width="13.109375" bestFit="1" customWidth="1"/>
    <col min="19" max="19" width="13.33203125" bestFit="1" customWidth="1"/>
  </cols>
  <sheetData>
    <row r="1" spans="1:20" ht="15" thickBot="1" x14ac:dyDescent="0.35">
      <c r="A1" s="2" t="s">
        <v>0</v>
      </c>
      <c r="B1" t="s">
        <v>1</v>
      </c>
    </row>
    <row r="2" spans="1:20" x14ac:dyDescent="0.3">
      <c r="A2" s="2" t="s">
        <v>2</v>
      </c>
      <c r="B2" s="3">
        <f ca="1">TODAY()</f>
        <v>44504</v>
      </c>
      <c r="E2" s="35" t="s">
        <v>32</v>
      </c>
      <c r="F2" s="41">
        <f>+J76</f>
        <v>432600.27597214194</v>
      </c>
      <c r="G2" s="35" t="s">
        <v>35</v>
      </c>
      <c r="H2" s="54">
        <v>0.03</v>
      </c>
      <c r="I2" s="46"/>
    </row>
    <row r="3" spans="1:20" x14ac:dyDescent="0.3">
      <c r="A3" s="2"/>
      <c r="B3" s="3"/>
      <c r="E3" s="42" t="s">
        <v>33</v>
      </c>
      <c r="F3" s="43">
        <f>K76</f>
        <v>265918.11513857142</v>
      </c>
      <c r="G3" s="42" t="s">
        <v>36</v>
      </c>
      <c r="H3" s="55">
        <v>0.12</v>
      </c>
      <c r="I3" s="47">
        <f>+H3*(1-H5)</f>
        <v>7.8E-2</v>
      </c>
    </row>
    <row r="4" spans="1:20" x14ac:dyDescent="0.3">
      <c r="A4" s="18" t="s">
        <v>3</v>
      </c>
      <c r="E4" s="42"/>
      <c r="F4" s="44"/>
      <c r="G4" s="42"/>
      <c r="H4" s="34"/>
      <c r="I4" s="44"/>
    </row>
    <row r="5" spans="1:20" ht="15" thickBot="1" x14ac:dyDescent="0.35">
      <c r="E5" s="38" t="s">
        <v>34</v>
      </c>
      <c r="F5" s="45">
        <f>+F2+F3</f>
        <v>698518.39111071336</v>
      </c>
      <c r="G5" s="38" t="s">
        <v>37</v>
      </c>
      <c r="H5" s="56">
        <v>0.35</v>
      </c>
      <c r="I5" s="48"/>
    </row>
    <row r="6" spans="1:20" ht="15" thickBot="1" x14ac:dyDescent="0.35">
      <c r="A6" s="19" t="s">
        <v>17</v>
      </c>
      <c r="C6" s="49">
        <v>2810.27</v>
      </c>
      <c r="F6" s="33"/>
      <c r="G6" s="33"/>
      <c r="H6" s="33"/>
      <c r="I6" s="33"/>
      <c r="K6" s="33"/>
    </row>
    <row r="7" spans="1:20" x14ac:dyDescent="0.3">
      <c r="A7" s="19" t="s">
        <v>31</v>
      </c>
      <c r="C7" s="50">
        <v>15</v>
      </c>
      <c r="E7" s="35" t="s">
        <v>45</v>
      </c>
      <c r="F7" s="36">
        <f>+F2/F5</f>
        <v>0.61931121854109628</v>
      </c>
      <c r="G7" s="37">
        <f>+F7*H2</f>
        <v>1.8579336556232888E-2</v>
      </c>
      <c r="I7" s="33"/>
      <c r="K7" s="33"/>
    </row>
    <row r="8" spans="1:20" ht="15" thickBot="1" x14ac:dyDescent="0.35">
      <c r="A8" s="19" t="s">
        <v>18</v>
      </c>
      <c r="C8" s="51">
        <v>0.3</v>
      </c>
      <c r="E8" s="38" t="s">
        <v>46</v>
      </c>
      <c r="F8" s="39">
        <f>+F3/F5</f>
        <v>0.38068878145890378</v>
      </c>
      <c r="G8" s="40">
        <f>+F8*I3</f>
        <v>2.9693724953794496E-2</v>
      </c>
      <c r="I8" s="33"/>
      <c r="K8" s="33"/>
    </row>
    <row r="9" spans="1:20" ht="15" thickBot="1" x14ac:dyDescent="0.35">
      <c r="E9" s="1"/>
    </row>
    <row r="10" spans="1:20" x14ac:dyDescent="0.3">
      <c r="E10" s="52" t="s">
        <v>38</v>
      </c>
      <c r="F10" s="57">
        <f>+G8+G7</f>
        <v>4.8273061510027387E-2</v>
      </c>
    </row>
    <row r="11" spans="1:20" ht="15" thickBot="1" x14ac:dyDescent="0.35">
      <c r="E11" s="53" t="s">
        <v>49</v>
      </c>
      <c r="F11" s="58">
        <f>0.001458</f>
        <v>1.4580000000000001E-3</v>
      </c>
    </row>
    <row r="13" spans="1:20" x14ac:dyDescent="0.3">
      <c r="D13" s="29" t="s">
        <v>50</v>
      </c>
      <c r="E13" s="29" t="s">
        <v>51</v>
      </c>
      <c r="G13">
        <f>TasaImpuestos</f>
        <v>0.35</v>
      </c>
    </row>
    <row r="14" spans="1:20" x14ac:dyDescent="0.3">
      <c r="A14" s="2" t="s">
        <v>29</v>
      </c>
      <c r="C14" s="59">
        <f>+L76</f>
        <v>166682.16083357052</v>
      </c>
      <c r="D14" s="60">
        <f>S76</f>
        <v>158355.98767403772</v>
      </c>
      <c r="E14" s="61">
        <f>IRR(S17:S76)</f>
        <v>8.57461158692574E-2</v>
      </c>
    </row>
    <row r="15" spans="1:20" x14ac:dyDescent="0.3">
      <c r="T15" s="25"/>
    </row>
    <row r="16" spans="1:20" s="1" customFormat="1" x14ac:dyDescent="0.3">
      <c r="A16" s="10" t="s">
        <v>5</v>
      </c>
      <c r="B16" s="10" t="s">
        <v>16</v>
      </c>
      <c r="C16" s="10" t="str">
        <f>'Inversión Inicial'!A1</f>
        <v>INVERSIÓN INICIAL</v>
      </c>
      <c r="D16" s="10" t="str">
        <f>'COSTOS FIJOS'!A1</f>
        <v>COSTOS FIJOS</v>
      </c>
      <c r="E16" s="10" t="str">
        <f>'COSTOS VARIABLES'!A1</f>
        <v>COSTOS VARIABLES</v>
      </c>
      <c r="F16" s="10" t="s">
        <v>22</v>
      </c>
      <c r="G16" s="10" t="s">
        <v>23</v>
      </c>
      <c r="H16" s="10" t="s">
        <v>24</v>
      </c>
      <c r="I16" s="10" t="s">
        <v>54</v>
      </c>
      <c r="J16" s="10" t="s">
        <v>25</v>
      </c>
      <c r="K16" s="10" t="s">
        <v>26</v>
      </c>
      <c r="L16" s="10" t="s">
        <v>27</v>
      </c>
      <c r="M16" s="27" t="s">
        <v>39</v>
      </c>
      <c r="N16" s="10" t="s">
        <v>47</v>
      </c>
      <c r="O16" s="10" t="s">
        <v>40</v>
      </c>
      <c r="P16" s="10" t="s">
        <v>41</v>
      </c>
      <c r="Q16" s="10" t="s">
        <v>43</v>
      </c>
      <c r="R16" s="10" t="s">
        <v>44</v>
      </c>
      <c r="S16" s="10" t="s">
        <v>42</v>
      </c>
    </row>
    <row r="17" spans="1:20" x14ac:dyDescent="0.3">
      <c r="A17" s="14">
        <v>1</v>
      </c>
      <c r="B17" s="20"/>
      <c r="C17" s="9">
        <f>'Inversión Inicial'!E5</f>
        <v>0</v>
      </c>
      <c r="D17" s="9">
        <f>'COSTOS FIJOS'!H5</f>
        <v>1746.031746031746</v>
      </c>
      <c r="E17" s="9">
        <f>'COSTOS VARIABLES'!G5</f>
        <v>0</v>
      </c>
      <c r="F17" s="22">
        <v>0</v>
      </c>
      <c r="G17" s="9">
        <f>+F17*0.03</f>
        <v>0</v>
      </c>
      <c r="H17" s="21">
        <f>+C17+D17+E17+G17</f>
        <v>1746.031746031746</v>
      </c>
      <c r="J17" s="16">
        <f>+F17+'Otros Ingresos'!D7</f>
        <v>0</v>
      </c>
      <c r="K17" s="17">
        <f>+H17</f>
        <v>1746.031746031746</v>
      </c>
      <c r="L17" s="15">
        <f>+J17-K17</f>
        <v>-1746.031746031746</v>
      </c>
      <c r="M17" s="28">
        <f t="shared" ref="M17:M52" si="0">(1+TasaMensual)^N17</f>
        <v>1</v>
      </c>
      <c r="N17" s="8">
        <v>0</v>
      </c>
      <c r="O17" s="9">
        <f>+(F17+'Otros Ingresos'!D7)/M17</f>
        <v>0</v>
      </c>
      <c r="P17" s="9">
        <f t="shared" ref="P17:P28" si="1">+H17/M17</f>
        <v>1746.031746031746</v>
      </c>
      <c r="Q17" s="9">
        <f>+O17</f>
        <v>0</v>
      </c>
      <c r="R17" s="9">
        <f>+P17</f>
        <v>1746.031746031746</v>
      </c>
      <c r="S17" s="9">
        <f>+Q17-R17</f>
        <v>-1746.031746031746</v>
      </c>
      <c r="T17" s="7"/>
    </row>
    <row r="18" spans="1:20" x14ac:dyDescent="0.3">
      <c r="A18" s="14">
        <v>2</v>
      </c>
      <c r="B18" s="20"/>
      <c r="C18" s="9">
        <f>'Inversión Inicial'!E6</f>
        <v>0</v>
      </c>
      <c r="D18" s="9">
        <f>'COSTOS FIJOS'!H6</f>
        <v>1746.031746031746</v>
      </c>
      <c r="E18" s="9">
        <f>'COSTOS VARIABLES'!G6</f>
        <v>0</v>
      </c>
      <c r="F18" s="22">
        <f>+B17*$C$6</f>
        <v>0</v>
      </c>
      <c r="G18" s="9">
        <f t="shared" ref="G18:G52" si="2">+F18*0.03</f>
        <v>0</v>
      </c>
      <c r="H18" s="21">
        <f t="shared" ref="H18:H51" si="3">+C18+D18+E18+G18</f>
        <v>1746.031746031746</v>
      </c>
      <c r="J18" s="16">
        <f>+J17+F18+'Otros Ingresos'!D8</f>
        <v>0</v>
      </c>
      <c r="K18" s="17">
        <f t="shared" ref="K18:K28" si="4">+K17+H18</f>
        <v>3492.063492063492</v>
      </c>
      <c r="L18" s="15">
        <f t="shared" ref="L18:L52" si="5">+J18-K18</f>
        <v>-3492.063492063492</v>
      </c>
      <c r="M18" s="28">
        <f t="shared" si="0"/>
        <v>1.001458</v>
      </c>
      <c r="N18" s="8">
        <f>+N17+1</f>
        <v>1</v>
      </c>
      <c r="O18" s="9">
        <f>+(F18+'Otros Ingresos'!D8)/M18</f>
        <v>0</v>
      </c>
      <c r="P18" s="9">
        <f t="shared" si="1"/>
        <v>1743.4897379937513</v>
      </c>
      <c r="Q18" s="9">
        <f t="shared" ref="Q18:R51" si="6">+Q17+O18</f>
        <v>0</v>
      </c>
      <c r="R18" s="9">
        <f t="shared" si="6"/>
        <v>3489.5214840254976</v>
      </c>
      <c r="S18" s="9">
        <f t="shared" ref="S18:S52" si="7">+Q18-R18</f>
        <v>-3489.5214840254976</v>
      </c>
      <c r="T18" s="7"/>
    </row>
    <row r="19" spans="1:20" x14ac:dyDescent="0.3">
      <c r="A19" s="14">
        <v>3</v>
      </c>
      <c r="B19" s="20"/>
      <c r="C19" s="9">
        <f>'Inversión Inicial'!E7</f>
        <v>0</v>
      </c>
      <c r="D19" s="9">
        <f>'COSTOS FIJOS'!H7</f>
        <v>1746.031746031746</v>
      </c>
      <c r="E19" s="9">
        <f>'COSTOS VARIABLES'!G7</f>
        <v>0</v>
      </c>
      <c r="F19" s="22">
        <f t="shared" ref="F19:F51" si="8">+B18*$C$6</f>
        <v>0</v>
      </c>
      <c r="G19" s="9">
        <f t="shared" si="2"/>
        <v>0</v>
      </c>
      <c r="H19" s="21">
        <f t="shared" si="3"/>
        <v>1746.031746031746</v>
      </c>
      <c r="J19" s="16">
        <f>+J18+F19+'Otros Ingresos'!D9</f>
        <v>0</v>
      </c>
      <c r="K19" s="17">
        <f t="shared" si="4"/>
        <v>5238.0952380952385</v>
      </c>
      <c r="L19" s="15">
        <f t="shared" si="5"/>
        <v>-5238.0952380952385</v>
      </c>
      <c r="M19" s="28">
        <f t="shared" si="0"/>
        <v>1.0029181257639999</v>
      </c>
      <c r="N19" s="8">
        <f t="shared" ref="N19:N51" si="9">+N18+1</f>
        <v>2</v>
      </c>
      <c r="O19" s="9">
        <f>+(F19+'Otros Ingresos'!D9)/M19</f>
        <v>0</v>
      </c>
      <c r="P19" s="9">
        <f t="shared" si="1"/>
        <v>1740.9514308076339</v>
      </c>
      <c r="Q19" s="9">
        <f t="shared" si="6"/>
        <v>0</v>
      </c>
      <c r="R19" s="9">
        <f t="shared" si="6"/>
        <v>5230.4729148331317</v>
      </c>
      <c r="S19" s="9">
        <f t="shared" si="7"/>
        <v>-5230.4729148331317</v>
      </c>
      <c r="T19" s="7"/>
    </row>
    <row r="20" spans="1:20" x14ac:dyDescent="0.3">
      <c r="A20" s="14">
        <v>4</v>
      </c>
      <c r="B20" s="20"/>
      <c r="C20" s="9">
        <f>'Inversión Inicial'!E8</f>
        <v>0</v>
      </c>
      <c r="D20" s="9">
        <f>'COSTOS FIJOS'!H8</f>
        <v>1746.031746031746</v>
      </c>
      <c r="E20" s="9">
        <f>'COSTOS VARIABLES'!G8</f>
        <v>0</v>
      </c>
      <c r="F20" s="22">
        <f t="shared" si="8"/>
        <v>0</v>
      </c>
      <c r="G20" s="9">
        <f t="shared" si="2"/>
        <v>0</v>
      </c>
      <c r="H20" s="21">
        <f t="shared" si="3"/>
        <v>1746.031746031746</v>
      </c>
      <c r="J20" s="16">
        <f>+J19+F20+'Otros Ingresos'!D10</f>
        <v>0</v>
      </c>
      <c r="K20" s="17">
        <f t="shared" si="4"/>
        <v>6984.1269841269841</v>
      </c>
      <c r="L20" s="15">
        <f t="shared" si="5"/>
        <v>-6984.1269841269841</v>
      </c>
      <c r="M20" s="28">
        <f t="shared" si="0"/>
        <v>1.0043803803913638</v>
      </c>
      <c r="N20" s="8">
        <f t="shared" si="9"/>
        <v>3</v>
      </c>
      <c r="O20" s="9">
        <f>+(F20+'Otros Ingresos'!D10)/M20</f>
        <v>0</v>
      </c>
      <c r="P20" s="9">
        <f t="shared" si="1"/>
        <v>1738.4168190854073</v>
      </c>
      <c r="Q20" s="9">
        <f t="shared" si="6"/>
        <v>0</v>
      </c>
      <c r="R20" s="9">
        <f t="shared" si="6"/>
        <v>6968.8897339185387</v>
      </c>
      <c r="S20" s="9">
        <f t="shared" si="7"/>
        <v>-6968.8897339185387</v>
      </c>
    </row>
    <row r="21" spans="1:20" x14ac:dyDescent="0.3">
      <c r="A21" s="14">
        <v>5</v>
      </c>
      <c r="B21" s="20"/>
      <c r="C21" s="9">
        <f>'Inversión Inicial'!E9</f>
        <v>0</v>
      </c>
      <c r="D21" s="9">
        <f>'COSTOS FIJOS'!H9</f>
        <v>1746.031746031746</v>
      </c>
      <c r="E21" s="9">
        <f>'COSTOS VARIABLES'!G9</f>
        <v>0</v>
      </c>
      <c r="F21" s="22">
        <f t="shared" si="8"/>
        <v>0</v>
      </c>
      <c r="G21" s="9">
        <f t="shared" si="2"/>
        <v>0</v>
      </c>
      <c r="H21" s="21">
        <f t="shared" si="3"/>
        <v>1746.031746031746</v>
      </c>
      <c r="J21" s="16">
        <f>+J20+F21+'Otros Ingresos'!D11</f>
        <v>0</v>
      </c>
      <c r="K21" s="17">
        <f t="shared" si="4"/>
        <v>8730.1587301587297</v>
      </c>
      <c r="L21" s="15">
        <f t="shared" si="5"/>
        <v>-8730.1587301587297</v>
      </c>
      <c r="M21" s="28">
        <f t="shared" si="0"/>
        <v>1.0058447669859742</v>
      </c>
      <c r="N21" s="8">
        <f t="shared" si="9"/>
        <v>4</v>
      </c>
      <c r="O21" s="9">
        <f>+(F21+'Otros Ingresos'!D11)/M21</f>
        <v>0</v>
      </c>
      <c r="P21" s="9">
        <f t="shared" si="1"/>
        <v>1735.8858974469299</v>
      </c>
      <c r="Q21" s="9">
        <f t="shared" si="6"/>
        <v>0</v>
      </c>
      <c r="R21" s="9">
        <f t="shared" si="6"/>
        <v>8704.7756313654681</v>
      </c>
      <c r="S21" s="9">
        <f t="shared" si="7"/>
        <v>-8704.7756313654681</v>
      </c>
    </row>
    <row r="22" spans="1:20" x14ac:dyDescent="0.3">
      <c r="A22" s="14">
        <v>6</v>
      </c>
      <c r="B22" s="20">
        <v>0</v>
      </c>
      <c r="C22" s="9">
        <f>'Inversión Inicial'!E10</f>
        <v>0</v>
      </c>
      <c r="D22" s="9">
        <f>'COSTOS FIJOS'!H10</f>
        <v>1746.031746031746</v>
      </c>
      <c r="E22" s="9">
        <f>'COSTOS VARIABLES'!G10</f>
        <v>3215.7711999999997</v>
      </c>
      <c r="F22" s="22">
        <f t="shared" si="8"/>
        <v>0</v>
      </c>
      <c r="G22" s="9">
        <f t="shared" si="2"/>
        <v>0</v>
      </c>
      <c r="H22" s="21">
        <f t="shared" si="3"/>
        <v>4961.8029460317457</v>
      </c>
      <c r="J22" s="16">
        <f>+J21+F22+'Otros Ingresos'!D12</f>
        <v>0</v>
      </c>
      <c r="K22" s="17">
        <f t="shared" si="4"/>
        <v>13691.961676190476</v>
      </c>
      <c r="L22" s="72">
        <f t="shared" si="5"/>
        <v>-13691.961676190476</v>
      </c>
      <c r="M22" s="28">
        <f t="shared" si="0"/>
        <v>1.0073112886562399</v>
      </c>
      <c r="N22" s="8">
        <f t="shared" si="9"/>
        <v>5</v>
      </c>
      <c r="O22" s="9">
        <f>+(F22+'Otros Ingresos'!D12)/M22</f>
        <v>0</v>
      </c>
      <c r="P22" s="9">
        <f t="shared" si="1"/>
        <v>4925.7890802066013</v>
      </c>
      <c r="Q22" s="9">
        <f t="shared" si="6"/>
        <v>0</v>
      </c>
      <c r="R22" s="9">
        <f t="shared" si="6"/>
        <v>13630.564711572069</v>
      </c>
      <c r="S22" s="9">
        <f t="shared" si="7"/>
        <v>-13630.564711572069</v>
      </c>
    </row>
    <row r="23" spans="1:20" x14ac:dyDescent="0.3">
      <c r="A23" s="14">
        <v>7</v>
      </c>
      <c r="B23" s="20">
        <v>0</v>
      </c>
      <c r="C23" s="9">
        <f>'Inversión Inicial'!E11</f>
        <v>0</v>
      </c>
      <c r="D23" s="9">
        <f>'COSTOS FIJOS'!H11</f>
        <v>1746.031746031746</v>
      </c>
      <c r="E23" s="9">
        <f>'COSTOS VARIABLES'!G11</f>
        <v>0</v>
      </c>
      <c r="F23" s="22">
        <f t="shared" si="8"/>
        <v>0</v>
      </c>
      <c r="G23" s="9">
        <f t="shared" si="2"/>
        <v>0</v>
      </c>
      <c r="H23" s="21">
        <f t="shared" si="3"/>
        <v>1746.031746031746</v>
      </c>
      <c r="J23" s="16">
        <f>+J22+F23+'Otros Ingresos'!D13</f>
        <v>0</v>
      </c>
      <c r="K23" s="17">
        <f t="shared" si="4"/>
        <v>15437.993422222222</v>
      </c>
      <c r="L23" s="15">
        <f t="shared" si="5"/>
        <v>-15437.993422222222</v>
      </c>
      <c r="M23" s="28">
        <f t="shared" si="0"/>
        <v>1.0087799485151006</v>
      </c>
      <c r="N23" s="8">
        <f t="shared" si="9"/>
        <v>6</v>
      </c>
      <c r="O23" s="9">
        <f>+(F23+'Otros Ingresos'!D13)/M23</f>
        <v>0</v>
      </c>
      <c r="P23" s="9">
        <f t="shared" si="1"/>
        <v>1730.8351029398057</v>
      </c>
      <c r="Q23" s="9">
        <f t="shared" si="6"/>
        <v>0</v>
      </c>
      <c r="R23" s="9">
        <f t="shared" si="6"/>
        <v>15361.399814511875</v>
      </c>
      <c r="S23" s="9">
        <f t="shared" si="7"/>
        <v>-15361.399814511875</v>
      </c>
    </row>
    <row r="24" spans="1:20" x14ac:dyDescent="0.3">
      <c r="A24" s="14">
        <v>8</v>
      </c>
      <c r="B24" s="20">
        <f t="shared" ref="B24:B46" si="10">IF(B23&lt;$C$7,INT(B23*$C$8)+B23,$C$7)</f>
        <v>0</v>
      </c>
      <c r="C24" s="9">
        <f>'Inversión Inicial'!E12</f>
        <v>0</v>
      </c>
      <c r="D24" s="9">
        <f>'COSTOS FIJOS'!H12</f>
        <v>1746.031746031746</v>
      </c>
      <c r="E24" s="9">
        <f>'COSTOS VARIABLES'!G12</f>
        <v>0</v>
      </c>
      <c r="F24" s="22">
        <f t="shared" si="8"/>
        <v>0</v>
      </c>
      <c r="G24" s="9">
        <f t="shared" si="2"/>
        <v>0</v>
      </c>
      <c r="H24" s="21">
        <f t="shared" si="3"/>
        <v>1746.031746031746</v>
      </c>
      <c r="J24" s="16">
        <f>+J23+F24+'Otros Ingresos'!D14</f>
        <v>0</v>
      </c>
      <c r="K24" s="17">
        <f t="shared" si="4"/>
        <v>17184.025168253967</v>
      </c>
      <c r="L24" s="15">
        <f t="shared" si="5"/>
        <v>-17184.025168253967</v>
      </c>
      <c r="M24" s="28">
        <f t="shared" si="0"/>
        <v>1.0102507496800355</v>
      </c>
      <c r="N24" s="8">
        <f t="shared" si="9"/>
        <v>7</v>
      </c>
      <c r="O24" s="9">
        <f>+(F24+'Otros Ingresos'!D14)/M24</f>
        <v>0</v>
      </c>
      <c r="P24" s="9">
        <f t="shared" si="1"/>
        <v>1728.3152193499936</v>
      </c>
      <c r="Q24" s="9">
        <f t="shared" si="6"/>
        <v>0</v>
      </c>
      <c r="R24" s="9">
        <f t="shared" si="6"/>
        <v>17089.715033861867</v>
      </c>
      <c r="S24" s="9">
        <f t="shared" si="7"/>
        <v>-17089.715033861867</v>
      </c>
    </row>
    <row r="25" spans="1:20" x14ac:dyDescent="0.3">
      <c r="A25" s="14">
        <v>9</v>
      </c>
      <c r="B25" s="20">
        <f t="shared" si="10"/>
        <v>0</v>
      </c>
      <c r="C25" s="9">
        <f>'Inversión Inicial'!E13</f>
        <v>0</v>
      </c>
      <c r="D25" s="9">
        <f>'COSTOS FIJOS'!H13</f>
        <v>1746.031746031746</v>
      </c>
      <c r="E25" s="9">
        <f>'COSTOS VARIABLES'!G13</f>
        <v>0</v>
      </c>
      <c r="F25" s="22">
        <f t="shared" si="8"/>
        <v>0</v>
      </c>
      <c r="G25" s="9">
        <f t="shared" si="2"/>
        <v>0</v>
      </c>
      <c r="H25" s="21">
        <f t="shared" si="3"/>
        <v>1746.031746031746</v>
      </c>
      <c r="J25" s="16">
        <f>+J24+F25+'Otros Ingresos'!D15</f>
        <v>0</v>
      </c>
      <c r="K25" s="17">
        <f t="shared" si="4"/>
        <v>18930.056914285713</v>
      </c>
      <c r="L25" s="15">
        <f t="shared" si="5"/>
        <v>-18930.056914285713</v>
      </c>
      <c r="M25" s="28">
        <f t="shared" si="0"/>
        <v>1.0117236952730688</v>
      </c>
      <c r="N25" s="8">
        <f t="shared" si="9"/>
        <v>8</v>
      </c>
      <c r="O25" s="9">
        <f>+(F25+'Otros Ingresos'!D15)/M25</f>
        <v>0</v>
      </c>
      <c r="P25" s="9">
        <f t="shared" si="1"/>
        <v>1725.7990044015764</v>
      </c>
      <c r="Q25" s="9">
        <f t="shared" si="6"/>
        <v>0</v>
      </c>
      <c r="R25" s="9">
        <f t="shared" si="6"/>
        <v>18815.514038263442</v>
      </c>
      <c r="S25" s="9">
        <f t="shared" si="7"/>
        <v>-18815.514038263442</v>
      </c>
    </row>
    <row r="26" spans="1:20" x14ac:dyDescent="0.3">
      <c r="A26" s="14">
        <v>10</v>
      </c>
      <c r="B26" s="20">
        <f t="shared" si="10"/>
        <v>0</v>
      </c>
      <c r="C26" s="9">
        <f>'Inversión Inicial'!E14</f>
        <v>0</v>
      </c>
      <c r="D26" s="9">
        <f>'COSTOS FIJOS'!H14</f>
        <v>1746.031746031746</v>
      </c>
      <c r="E26" s="9">
        <f>'COSTOS VARIABLES'!G14</f>
        <v>0</v>
      </c>
      <c r="F26" s="22">
        <f t="shared" si="8"/>
        <v>0</v>
      </c>
      <c r="G26" s="9">
        <f t="shared" si="2"/>
        <v>0</v>
      </c>
      <c r="H26" s="21">
        <f t="shared" si="3"/>
        <v>1746.031746031746</v>
      </c>
      <c r="J26" s="16">
        <f>+J25+F26+'Otros Ingresos'!D16</f>
        <v>0</v>
      </c>
      <c r="K26" s="17">
        <f t="shared" si="4"/>
        <v>20676.088660317459</v>
      </c>
      <c r="L26" s="15">
        <f t="shared" si="5"/>
        <v>-20676.088660317459</v>
      </c>
      <c r="M26" s="28">
        <f t="shared" si="0"/>
        <v>1.0131987884207769</v>
      </c>
      <c r="N26" s="8">
        <f t="shared" si="9"/>
        <v>9</v>
      </c>
      <c r="O26" s="9">
        <f>+(F26+'Otros Ingresos'!D16)/M26</f>
        <v>0</v>
      </c>
      <c r="P26" s="9">
        <f t="shared" si="1"/>
        <v>1723.2864527534618</v>
      </c>
      <c r="Q26" s="9">
        <f t="shared" si="6"/>
        <v>0</v>
      </c>
      <c r="R26" s="9">
        <f t="shared" si="6"/>
        <v>20538.800491016904</v>
      </c>
      <c r="S26" s="9">
        <f t="shared" si="7"/>
        <v>-20538.800491016904</v>
      </c>
    </row>
    <row r="27" spans="1:20" x14ac:dyDescent="0.3">
      <c r="A27" s="14">
        <v>11</v>
      </c>
      <c r="B27" s="20">
        <f t="shared" si="10"/>
        <v>0</v>
      </c>
      <c r="C27" s="9">
        <f>'Inversión Inicial'!E15</f>
        <v>0</v>
      </c>
      <c r="D27" s="9">
        <f>'COSTOS FIJOS'!H15</f>
        <v>1746.031746031746</v>
      </c>
      <c r="E27" s="9">
        <f>'COSTOS VARIABLES'!G15</f>
        <v>0</v>
      </c>
      <c r="F27" s="22">
        <f t="shared" si="8"/>
        <v>0</v>
      </c>
      <c r="G27" s="9">
        <f t="shared" si="2"/>
        <v>0</v>
      </c>
      <c r="H27" s="21">
        <f t="shared" si="3"/>
        <v>1746.031746031746</v>
      </c>
      <c r="J27" s="16">
        <f>+J26+F27+'Otros Ingresos'!D17</f>
        <v>0</v>
      </c>
      <c r="K27" s="17">
        <f t="shared" si="4"/>
        <v>22422.120406349204</v>
      </c>
      <c r="L27" s="15">
        <f t="shared" si="5"/>
        <v>-22422.120406349204</v>
      </c>
      <c r="M27" s="28">
        <f t="shared" si="0"/>
        <v>1.0146760322542943</v>
      </c>
      <c r="N27" s="8">
        <f t="shared" si="9"/>
        <v>10</v>
      </c>
      <c r="O27" s="9">
        <f>+(F27+'Otros Ingresos'!D17)/M27</f>
        <v>0</v>
      </c>
      <c r="P27" s="9">
        <f t="shared" si="1"/>
        <v>1720.7775590723347</v>
      </c>
      <c r="Q27" s="9">
        <f t="shared" si="6"/>
        <v>0</v>
      </c>
      <c r="R27" s="9">
        <f t="shared" si="6"/>
        <v>22259.57805008924</v>
      </c>
      <c r="S27" s="9">
        <f t="shared" si="7"/>
        <v>-22259.57805008924</v>
      </c>
    </row>
    <row r="28" spans="1:20" x14ac:dyDescent="0.3">
      <c r="A28" s="14">
        <v>12</v>
      </c>
      <c r="B28" s="20">
        <f t="shared" si="10"/>
        <v>0</v>
      </c>
      <c r="C28" s="9">
        <f>'Inversión Inicial'!E16</f>
        <v>0</v>
      </c>
      <c r="D28" s="9">
        <f>'COSTOS FIJOS'!H16</f>
        <v>1746.031746031746</v>
      </c>
      <c r="E28" s="9">
        <f>'COSTOS VARIABLES'!G16</f>
        <v>6431.5423999999994</v>
      </c>
      <c r="F28" s="22">
        <f t="shared" si="8"/>
        <v>0</v>
      </c>
      <c r="G28" s="9">
        <f t="shared" si="2"/>
        <v>0</v>
      </c>
      <c r="H28" s="21">
        <f t="shared" si="3"/>
        <v>8177.5741460317458</v>
      </c>
      <c r="J28" s="16">
        <f>+J27+F28+'Otros Ingresos'!D18</f>
        <v>0</v>
      </c>
      <c r="K28" s="17">
        <f t="shared" si="4"/>
        <v>30599.694552380948</v>
      </c>
      <c r="L28" s="72">
        <f t="shared" si="5"/>
        <v>-30599.694552380948</v>
      </c>
      <c r="M28" s="28">
        <f t="shared" si="0"/>
        <v>1.0161554299093212</v>
      </c>
      <c r="N28" s="8">
        <f t="shared" si="9"/>
        <v>11</v>
      </c>
      <c r="O28" s="9">
        <f>+(F28+'Otros Ingresos'!D18)/M28</f>
        <v>0</v>
      </c>
      <c r="P28" s="9">
        <f t="shared" si="1"/>
        <v>8047.5623170773088</v>
      </c>
      <c r="Q28" s="9">
        <f t="shared" si="6"/>
        <v>0</v>
      </c>
      <c r="R28" s="9">
        <f t="shared" si="6"/>
        <v>30307.140367166547</v>
      </c>
      <c r="S28" s="9">
        <f t="shared" si="7"/>
        <v>-30307.140367166547</v>
      </c>
    </row>
    <row r="29" spans="1:20" x14ac:dyDescent="0.3">
      <c r="A29" s="14">
        <v>13</v>
      </c>
      <c r="B29" s="20">
        <f t="shared" si="10"/>
        <v>0</v>
      </c>
      <c r="C29" s="9">
        <f>'Inversión Inicial'!E17</f>
        <v>0</v>
      </c>
      <c r="D29" s="9">
        <f>'COSTOS FIJOS'!H17</f>
        <v>1746.031746031746</v>
      </c>
      <c r="E29" s="9">
        <f>'COSTOS VARIABLES'!G17</f>
        <v>0</v>
      </c>
      <c r="F29" s="22">
        <f t="shared" si="8"/>
        <v>0</v>
      </c>
      <c r="G29" s="9">
        <f t="shared" si="2"/>
        <v>0</v>
      </c>
      <c r="H29" s="21">
        <f>+C29+D29+E29+G29</f>
        <v>1746.031746031746</v>
      </c>
      <c r="I29" s="32">
        <f>Impuestos!B11</f>
        <v>0</v>
      </c>
      <c r="J29" s="16">
        <f>+J28+F29+'Otros Ingresos'!D19</f>
        <v>0</v>
      </c>
      <c r="K29" s="17">
        <f>+K28+H29+I29</f>
        <v>32345.726298412694</v>
      </c>
      <c r="L29" s="15">
        <f t="shared" si="5"/>
        <v>-32345.726298412694</v>
      </c>
      <c r="M29" s="28">
        <f t="shared" si="0"/>
        <v>1.0176369845261288</v>
      </c>
      <c r="N29" s="8">
        <f t="shared" si="9"/>
        <v>12</v>
      </c>
      <c r="O29" s="9">
        <f>+(F29+'Otros Ingresos'!D19)/M29</f>
        <v>0</v>
      </c>
      <c r="P29" s="9">
        <f>+(H29+I29)/M29</f>
        <v>1715.7707243165894</v>
      </c>
      <c r="Q29" s="9">
        <f t="shared" si="6"/>
        <v>0</v>
      </c>
      <c r="R29" s="9">
        <f t="shared" si="6"/>
        <v>32022.911091483136</v>
      </c>
      <c r="S29" s="9">
        <f t="shared" si="7"/>
        <v>-32022.911091483136</v>
      </c>
    </row>
    <row r="30" spans="1:20" x14ac:dyDescent="0.3">
      <c r="A30" s="14">
        <v>14</v>
      </c>
      <c r="B30" s="20">
        <f t="shared" si="10"/>
        <v>0</v>
      </c>
      <c r="C30" s="9">
        <f>'Inversión Inicial'!E18</f>
        <v>0</v>
      </c>
      <c r="D30" s="9">
        <f>'COSTOS FIJOS'!H18</f>
        <v>1746.031746031746</v>
      </c>
      <c r="E30" s="9">
        <f>'COSTOS VARIABLES'!G18</f>
        <v>0</v>
      </c>
      <c r="F30" s="22">
        <f t="shared" si="8"/>
        <v>0</v>
      </c>
      <c r="G30" s="9">
        <f t="shared" si="2"/>
        <v>0</v>
      </c>
      <c r="H30" s="21">
        <f t="shared" si="3"/>
        <v>1746.031746031746</v>
      </c>
      <c r="J30" s="16">
        <f>+J29+F30+'Otros Ingresos'!D20</f>
        <v>0</v>
      </c>
      <c r="K30" s="17">
        <f t="shared" ref="K30:K39" si="11">+K29+H30</f>
        <v>34091.758044444439</v>
      </c>
      <c r="L30" s="15">
        <f t="shared" si="5"/>
        <v>-34091.758044444439</v>
      </c>
      <c r="M30" s="28">
        <f t="shared" si="0"/>
        <v>1.0191206992495678</v>
      </c>
      <c r="N30" s="8">
        <f t="shared" si="9"/>
        <v>13</v>
      </c>
      <c r="O30" s="9">
        <f>+(F30+'Otros Ingresos'!D20)/M30</f>
        <v>0</v>
      </c>
      <c r="P30" s="9">
        <f t="shared" ref="P30:P38" si="12">+H30/M30</f>
        <v>1713.2727726141184</v>
      </c>
      <c r="Q30" s="9">
        <f t="shared" si="6"/>
        <v>0</v>
      </c>
      <c r="R30" s="9">
        <f t="shared" si="6"/>
        <v>33736.183864097256</v>
      </c>
      <c r="S30" s="9">
        <f t="shared" si="7"/>
        <v>-33736.183864097256</v>
      </c>
    </row>
    <row r="31" spans="1:20" x14ac:dyDescent="0.3">
      <c r="A31" s="14">
        <v>15</v>
      </c>
      <c r="B31" s="20">
        <f t="shared" si="10"/>
        <v>0</v>
      </c>
      <c r="C31" s="9">
        <f>'Inversión Inicial'!E19</f>
        <v>0</v>
      </c>
      <c r="D31" s="9">
        <f>'COSTOS FIJOS'!H19</f>
        <v>1746.031746031746</v>
      </c>
      <c r="E31" s="9">
        <f>'COSTOS VARIABLES'!G19</f>
        <v>0</v>
      </c>
      <c r="F31" s="22">
        <f t="shared" si="8"/>
        <v>0</v>
      </c>
      <c r="G31" s="9">
        <f t="shared" si="2"/>
        <v>0</v>
      </c>
      <c r="H31" s="21">
        <f t="shared" si="3"/>
        <v>1746.031746031746</v>
      </c>
      <c r="J31" s="16">
        <f>+J30+F31+'Otros Ingresos'!D21</f>
        <v>0</v>
      </c>
      <c r="K31" s="17">
        <f t="shared" si="11"/>
        <v>35837.789790476185</v>
      </c>
      <c r="L31" s="15">
        <f t="shared" si="5"/>
        <v>-35837.789790476185</v>
      </c>
      <c r="M31" s="28">
        <f t="shared" si="0"/>
        <v>1.0206065772290736</v>
      </c>
      <c r="N31" s="8">
        <f t="shared" si="9"/>
        <v>14</v>
      </c>
      <c r="O31" s="9">
        <f>+(F31+'Otros Ingresos'!D21)/M31</f>
        <v>0</v>
      </c>
      <c r="P31" s="9">
        <f t="shared" si="12"/>
        <v>1710.7784576229044</v>
      </c>
      <c r="Q31" s="9">
        <f t="shared" si="6"/>
        <v>0</v>
      </c>
      <c r="R31" s="9">
        <f t="shared" si="6"/>
        <v>35446.962321720159</v>
      </c>
      <c r="S31" s="9">
        <f t="shared" si="7"/>
        <v>-35446.962321720159</v>
      </c>
    </row>
    <row r="32" spans="1:20" x14ac:dyDescent="0.3">
      <c r="A32" s="14">
        <v>16</v>
      </c>
      <c r="B32" s="20">
        <f t="shared" si="10"/>
        <v>0</v>
      </c>
      <c r="C32" s="9">
        <f>'Inversión Inicial'!E20</f>
        <v>0</v>
      </c>
      <c r="D32" s="9">
        <f>'COSTOS FIJOS'!H20</f>
        <v>1746.031746031746</v>
      </c>
      <c r="E32" s="9">
        <f>'COSTOS VARIABLES'!G20</f>
        <v>0</v>
      </c>
      <c r="F32" s="22">
        <f t="shared" si="8"/>
        <v>0</v>
      </c>
      <c r="G32" s="9">
        <f t="shared" si="2"/>
        <v>0</v>
      </c>
      <c r="H32" s="21">
        <f t="shared" si="3"/>
        <v>1746.031746031746</v>
      </c>
      <c r="J32" s="16">
        <f>+J31+F32+'Otros Ingresos'!D22</f>
        <v>0</v>
      </c>
      <c r="K32" s="17">
        <f t="shared" si="11"/>
        <v>37583.82153650793</v>
      </c>
      <c r="L32" s="15">
        <f t="shared" si="5"/>
        <v>-37583.82153650793</v>
      </c>
      <c r="M32" s="28">
        <f t="shared" si="0"/>
        <v>1.0220946216186735</v>
      </c>
      <c r="N32" s="8">
        <f t="shared" si="9"/>
        <v>15</v>
      </c>
      <c r="O32" s="9">
        <f>+(F32+'Otros Ingresos'!D22)/M32</f>
        <v>0</v>
      </c>
      <c r="P32" s="9">
        <f t="shared" si="12"/>
        <v>1708.2877740483418</v>
      </c>
      <c r="Q32" s="9">
        <f t="shared" si="6"/>
        <v>0</v>
      </c>
      <c r="R32" s="9">
        <f t="shared" si="6"/>
        <v>37155.250095768497</v>
      </c>
      <c r="S32" s="9">
        <f t="shared" si="7"/>
        <v>-37155.250095768497</v>
      </c>
    </row>
    <row r="33" spans="1:19" x14ac:dyDescent="0.3">
      <c r="A33" s="14">
        <v>17</v>
      </c>
      <c r="B33" s="20">
        <f t="shared" si="10"/>
        <v>0</v>
      </c>
      <c r="C33" s="9">
        <f>'Inversión Inicial'!E21</f>
        <v>0</v>
      </c>
      <c r="D33" s="9">
        <f>'COSTOS FIJOS'!H21</f>
        <v>1746.031746031746</v>
      </c>
      <c r="E33" s="9">
        <f>'COSTOS VARIABLES'!G21</f>
        <v>0</v>
      </c>
      <c r="F33" s="22">
        <f t="shared" si="8"/>
        <v>0</v>
      </c>
      <c r="G33" s="9">
        <f t="shared" si="2"/>
        <v>0</v>
      </c>
      <c r="H33" s="21">
        <f t="shared" si="3"/>
        <v>1746.031746031746</v>
      </c>
      <c r="J33" s="16">
        <f>+J32+F33+'Otros Ingresos'!D23</f>
        <v>0</v>
      </c>
      <c r="K33" s="17">
        <f t="shared" si="11"/>
        <v>39329.853282539676</v>
      </c>
      <c r="L33" s="15">
        <f t="shared" si="5"/>
        <v>-39329.853282539676</v>
      </c>
      <c r="M33" s="28">
        <f t="shared" si="0"/>
        <v>1.0235848355769934</v>
      </c>
      <c r="N33" s="8">
        <f t="shared" si="9"/>
        <v>16</v>
      </c>
      <c r="O33" s="9">
        <f>+(F33+'Otros Ingresos'!D23)/M33</f>
        <v>0</v>
      </c>
      <c r="P33" s="9">
        <f t="shared" si="12"/>
        <v>1705.8007166035341</v>
      </c>
      <c r="Q33" s="9">
        <f t="shared" si="6"/>
        <v>0</v>
      </c>
      <c r="R33" s="9">
        <f t="shared" si="6"/>
        <v>38861.050812372028</v>
      </c>
      <c r="S33" s="9">
        <f t="shared" si="7"/>
        <v>-38861.050812372028</v>
      </c>
    </row>
    <row r="34" spans="1:19" x14ac:dyDescent="0.3">
      <c r="A34" s="14">
        <v>18</v>
      </c>
      <c r="B34" s="20">
        <f t="shared" si="10"/>
        <v>0</v>
      </c>
      <c r="C34" s="9">
        <f>'Inversión Inicial'!E22</f>
        <v>0</v>
      </c>
      <c r="D34" s="9">
        <f>'COSTOS FIJOS'!H22</f>
        <v>1746.031746031746</v>
      </c>
      <c r="E34" s="9">
        <f>'COSTOS VARIABLES'!G22</f>
        <v>6431.5423999999994</v>
      </c>
      <c r="F34" s="22">
        <f t="shared" si="8"/>
        <v>0</v>
      </c>
      <c r="G34" s="9">
        <f t="shared" si="2"/>
        <v>0</v>
      </c>
      <c r="H34" s="21">
        <f t="shared" si="3"/>
        <v>8177.5741460317458</v>
      </c>
      <c r="J34" s="16">
        <f>+J33+F34+'Otros Ingresos'!D24</f>
        <v>0</v>
      </c>
      <c r="K34" s="17">
        <f t="shared" si="11"/>
        <v>47507.42742857142</v>
      </c>
      <c r="L34" s="72">
        <f t="shared" si="5"/>
        <v>-47507.42742857142</v>
      </c>
      <c r="M34" s="28">
        <f t="shared" si="0"/>
        <v>1.0250772222672646</v>
      </c>
      <c r="N34" s="8">
        <f t="shared" si="9"/>
        <v>17</v>
      </c>
      <c r="O34" s="9">
        <f>+(F34+'Otros Ingresos'!D24)/M34</f>
        <v>0</v>
      </c>
      <c r="P34" s="9">
        <f t="shared" si="12"/>
        <v>7977.520101309633</v>
      </c>
      <c r="Q34" s="9">
        <f t="shared" si="6"/>
        <v>0</v>
      </c>
      <c r="R34" s="9">
        <f t="shared" si="6"/>
        <v>46838.570913681659</v>
      </c>
      <c r="S34" s="9">
        <f t="shared" si="7"/>
        <v>-46838.570913681659</v>
      </c>
    </row>
    <row r="35" spans="1:19" x14ac:dyDescent="0.3">
      <c r="A35" s="14">
        <v>19</v>
      </c>
      <c r="B35" s="20">
        <v>15</v>
      </c>
      <c r="C35" s="9">
        <f>'Inversión Inicial'!E23</f>
        <v>0</v>
      </c>
      <c r="D35" s="9">
        <f>'COSTOS FIJOS'!H23</f>
        <v>1746.031746031746</v>
      </c>
      <c r="E35" s="9">
        <f>'COSTOS VARIABLES'!G23</f>
        <v>0</v>
      </c>
      <c r="F35" s="22">
        <f t="shared" si="8"/>
        <v>0</v>
      </c>
      <c r="G35" s="9">
        <f t="shared" si="2"/>
        <v>0</v>
      </c>
      <c r="H35" s="21">
        <f t="shared" si="3"/>
        <v>1746.031746031746</v>
      </c>
      <c r="J35" s="16">
        <f>+J34+F35+'Otros Ingresos'!D25</f>
        <v>0</v>
      </c>
      <c r="K35" s="17">
        <f t="shared" si="11"/>
        <v>49253.459174603166</v>
      </c>
      <c r="L35" s="15">
        <f t="shared" si="5"/>
        <v>-49253.459174603166</v>
      </c>
      <c r="M35" s="28">
        <f t="shared" si="0"/>
        <v>1.0265717848573301</v>
      </c>
      <c r="N35" s="8">
        <f t="shared" si="9"/>
        <v>18</v>
      </c>
      <c r="O35" s="9">
        <f>+(F35+'Otros Ingresos'!D25)/M35</f>
        <v>0</v>
      </c>
      <c r="P35" s="9">
        <f t="shared" si="12"/>
        <v>1700.8374589940677</v>
      </c>
      <c r="Q35" s="9">
        <f t="shared" si="6"/>
        <v>0</v>
      </c>
      <c r="R35" s="9">
        <f t="shared" si="6"/>
        <v>48539.408372675724</v>
      </c>
      <c r="S35" s="9">
        <f t="shared" si="7"/>
        <v>-48539.408372675724</v>
      </c>
    </row>
    <row r="36" spans="1:19" x14ac:dyDescent="0.3">
      <c r="A36" s="14">
        <v>20</v>
      </c>
      <c r="B36" s="20">
        <v>10</v>
      </c>
      <c r="C36" s="9">
        <f>'Inversión Inicial'!E24</f>
        <v>0</v>
      </c>
      <c r="D36" s="9">
        <f>'COSTOS FIJOS'!H24</f>
        <v>1746.031746031746</v>
      </c>
      <c r="E36" s="9">
        <f>'COSTOS VARIABLES'!G24</f>
        <v>0</v>
      </c>
      <c r="F36" s="22">
        <f t="shared" si="8"/>
        <v>42154.05</v>
      </c>
      <c r="G36" s="9">
        <f t="shared" si="2"/>
        <v>1264.6215</v>
      </c>
      <c r="H36" s="21">
        <f t="shared" si="3"/>
        <v>3010.6532460317458</v>
      </c>
      <c r="J36" s="16">
        <f>+J35+F36+'Otros Ingresos'!D26</f>
        <v>42154.05</v>
      </c>
      <c r="K36" s="17">
        <f t="shared" si="11"/>
        <v>52264.112420634912</v>
      </c>
      <c r="L36" s="15">
        <f t="shared" si="5"/>
        <v>-10110.062420634909</v>
      </c>
      <c r="M36" s="28">
        <f t="shared" si="0"/>
        <v>1.0280685265196523</v>
      </c>
      <c r="N36" s="8">
        <f t="shared" si="9"/>
        <v>19</v>
      </c>
      <c r="O36" s="9">
        <f>+(F36+'Otros Ingresos'!D26)/M36</f>
        <v>41003.151942317723</v>
      </c>
      <c r="P36" s="9">
        <f t="shared" si="12"/>
        <v>2928.4558065635861</v>
      </c>
      <c r="Q36" s="9">
        <f t="shared" si="6"/>
        <v>41003.151942317723</v>
      </c>
      <c r="R36" s="9">
        <f t="shared" si="6"/>
        <v>51467.86417923931</v>
      </c>
      <c r="S36" s="9">
        <f t="shared" si="7"/>
        <v>-10464.712236921587</v>
      </c>
    </row>
    <row r="37" spans="1:19" x14ac:dyDescent="0.3">
      <c r="A37" s="14">
        <v>21</v>
      </c>
      <c r="B37" s="20">
        <v>5</v>
      </c>
      <c r="C37" s="9">
        <f>'Inversión Inicial'!E25</f>
        <v>0</v>
      </c>
      <c r="D37" s="9">
        <f>'COSTOS FIJOS'!H25</f>
        <v>1746.031746031746</v>
      </c>
      <c r="E37" s="9">
        <f>'COSTOS VARIABLES'!G25</f>
        <v>0</v>
      </c>
      <c r="F37" s="22">
        <f t="shared" si="8"/>
        <v>28102.7</v>
      </c>
      <c r="G37" s="9">
        <f t="shared" si="2"/>
        <v>843.08100000000002</v>
      </c>
      <c r="H37" s="21">
        <f t="shared" si="3"/>
        <v>2589.1127460317462</v>
      </c>
      <c r="J37" s="16">
        <f>+J36+F37+'Otros Ingresos'!D27</f>
        <v>70256.75</v>
      </c>
      <c r="K37" s="17">
        <f t="shared" si="11"/>
        <v>54853.225166666656</v>
      </c>
      <c r="L37" s="15">
        <f t="shared" si="5"/>
        <v>15403.524833333344</v>
      </c>
      <c r="M37" s="28">
        <f t="shared" si="0"/>
        <v>1.0295674504313177</v>
      </c>
      <c r="N37" s="8">
        <f t="shared" si="9"/>
        <v>20</v>
      </c>
      <c r="O37" s="9">
        <f>+(F37+'Otros Ingresos'!D27)/M37</f>
        <v>27295.637588607631</v>
      </c>
      <c r="P37" s="9">
        <f t="shared" si="12"/>
        <v>2514.7577703112961</v>
      </c>
      <c r="Q37" s="9">
        <f t="shared" si="6"/>
        <v>68298.789530925351</v>
      </c>
      <c r="R37" s="9">
        <f t="shared" si="6"/>
        <v>53982.621949550608</v>
      </c>
      <c r="S37" s="9">
        <f t="shared" si="7"/>
        <v>14316.167581374742</v>
      </c>
    </row>
    <row r="38" spans="1:19" x14ac:dyDescent="0.3">
      <c r="A38" s="14">
        <v>22</v>
      </c>
      <c r="B38" s="20">
        <v>5</v>
      </c>
      <c r="C38" s="9">
        <f>'Inversión Inicial'!E26</f>
        <v>0</v>
      </c>
      <c r="D38" s="9">
        <f>'COSTOS FIJOS'!H26</f>
        <v>1746.031746031746</v>
      </c>
      <c r="E38" s="9">
        <f>'COSTOS VARIABLES'!G26</f>
        <v>0</v>
      </c>
      <c r="F38" s="22">
        <f t="shared" si="8"/>
        <v>14051.35</v>
      </c>
      <c r="G38" s="9">
        <f t="shared" si="2"/>
        <v>421.54050000000001</v>
      </c>
      <c r="H38" s="21">
        <f t="shared" si="3"/>
        <v>2167.5722460317461</v>
      </c>
      <c r="J38" s="16">
        <f>+J37+F38+'Otros Ingresos'!D28</f>
        <v>84346.608812083345</v>
      </c>
      <c r="K38" s="17">
        <f t="shared" si="11"/>
        <v>57020.797412698405</v>
      </c>
      <c r="L38" s="15">
        <f t="shared" si="5"/>
        <v>27325.81139938494</v>
      </c>
      <c r="M38" s="28">
        <f t="shared" si="0"/>
        <v>1.0310685597740465</v>
      </c>
      <c r="N38" s="8">
        <f t="shared" si="9"/>
        <v>21</v>
      </c>
      <c r="O38" s="9">
        <f>+(F38+'Otros Ingresos'!D28)/M38</f>
        <v>13665.29769385176</v>
      </c>
      <c r="P38" s="9">
        <f t="shared" si="12"/>
        <v>2102.258114151748</v>
      </c>
      <c r="Q38" s="9">
        <f t="shared" si="6"/>
        <v>81964.087224777119</v>
      </c>
      <c r="R38" s="9">
        <f t="shared" si="6"/>
        <v>56084.88006370236</v>
      </c>
      <c r="S38" s="9">
        <f t="shared" si="7"/>
        <v>25879.207161074759</v>
      </c>
    </row>
    <row r="39" spans="1:19" x14ac:dyDescent="0.3">
      <c r="A39" s="14">
        <v>23</v>
      </c>
      <c r="B39" s="20">
        <v>0</v>
      </c>
      <c r="C39" s="9">
        <f>'Inversión Inicial'!E27</f>
        <v>0</v>
      </c>
      <c r="D39" s="9">
        <f>'COSTOS FIJOS'!H27</f>
        <v>1746.031746031746</v>
      </c>
      <c r="E39" s="9">
        <f>'COSTOS VARIABLES'!G27</f>
        <v>0</v>
      </c>
      <c r="F39" s="22">
        <f t="shared" si="8"/>
        <v>14051.35</v>
      </c>
      <c r="G39" s="9">
        <f t="shared" si="2"/>
        <v>421.54050000000001</v>
      </c>
      <c r="H39" s="21">
        <f t="shared" si="3"/>
        <v>2167.5722460317461</v>
      </c>
      <c r="J39" s="16">
        <f>+J38+F39+'Otros Ingresos'!D29</f>
        <v>98466.273340581814</v>
      </c>
      <c r="K39" s="17">
        <f t="shared" si="11"/>
        <v>59188.369658730153</v>
      </c>
      <c r="L39" s="15">
        <f t="shared" si="5"/>
        <v>39277.903681851662</v>
      </c>
      <c r="M39" s="28">
        <f t="shared" si="0"/>
        <v>1.0325718577341971</v>
      </c>
      <c r="N39" s="8">
        <f t="shared" si="9"/>
        <v>22</v>
      </c>
      <c r="O39" s="9">
        <f>+(F39+'Otros Ingresos'!D29)/M39</f>
        <v>13674.268209751192</v>
      </c>
      <c r="P39" s="9">
        <f>+(H39)/M39</f>
        <v>2099.1974842197556</v>
      </c>
      <c r="Q39" s="9">
        <f t="shared" si="6"/>
        <v>95638.355434528305</v>
      </c>
      <c r="R39" s="9">
        <f t="shared" si="6"/>
        <v>58184.077547922112</v>
      </c>
      <c r="S39" s="9">
        <f t="shared" si="7"/>
        <v>37454.277886606193</v>
      </c>
    </row>
    <row r="40" spans="1:19" x14ac:dyDescent="0.3">
      <c r="A40" s="14">
        <v>24</v>
      </c>
      <c r="B40" s="20">
        <v>0</v>
      </c>
      <c r="C40" s="9">
        <f>'Inversión Inicial'!E28</f>
        <v>0</v>
      </c>
      <c r="D40" s="9">
        <f>'COSTOS FIJOS'!H28</f>
        <v>1746.031746031746</v>
      </c>
      <c r="E40" s="9">
        <f>'COSTOS VARIABLES'!G28</f>
        <v>6431.5423999999994</v>
      </c>
      <c r="F40" s="22">
        <f t="shared" si="8"/>
        <v>0</v>
      </c>
      <c r="G40" s="9">
        <f t="shared" si="2"/>
        <v>0</v>
      </c>
      <c r="H40" s="21">
        <f>+C40+D40+E40+G40</f>
        <v>8177.5741460317458</v>
      </c>
      <c r="I40" s="32">
        <f>Impuestos!C11</f>
        <v>21557.620261666671</v>
      </c>
      <c r="J40" s="16">
        <f>+J39+F40+'Otros Ingresos'!D30</f>
        <v>98564.468099786449</v>
      </c>
      <c r="K40" s="17">
        <f>+K39+H40+I40</f>
        <v>88923.564066428575</v>
      </c>
      <c r="L40" s="72">
        <f t="shared" si="5"/>
        <v>9640.9040333578741</v>
      </c>
      <c r="M40" s="28">
        <f t="shared" si="0"/>
        <v>1.0340773475027734</v>
      </c>
      <c r="N40" s="8">
        <f t="shared" si="9"/>
        <v>23</v>
      </c>
      <c r="O40" s="9">
        <f>+(F40+'Otros Ingresos'!D30)/M40</f>
        <v>94.958814678382439</v>
      </c>
      <c r="P40" s="9">
        <f>+(H40+I40)/M40</f>
        <v>28755.290384715314</v>
      </c>
      <c r="Q40" s="9">
        <f t="shared" si="6"/>
        <v>95733.314249206684</v>
      </c>
      <c r="R40" s="9">
        <f t="shared" si="6"/>
        <v>86939.367932637426</v>
      </c>
      <c r="S40" s="9">
        <f t="shared" si="7"/>
        <v>8793.9463165692578</v>
      </c>
    </row>
    <row r="41" spans="1:19" x14ac:dyDescent="0.3">
      <c r="A41" s="14">
        <v>25</v>
      </c>
      <c r="B41" s="20">
        <v>20</v>
      </c>
      <c r="C41" s="9">
        <f>'Inversión Inicial'!E29</f>
        <v>0</v>
      </c>
      <c r="D41" s="9">
        <f>'COSTOS FIJOS'!H29</f>
        <v>1746.031746031746</v>
      </c>
      <c r="E41" s="9">
        <f>'COSTOS VARIABLES'!G29</f>
        <v>0</v>
      </c>
      <c r="F41" s="22">
        <f t="shared" si="8"/>
        <v>0</v>
      </c>
      <c r="G41" s="9">
        <f t="shared" si="2"/>
        <v>0</v>
      </c>
      <c r="H41" s="21">
        <f t="shared" si="3"/>
        <v>1746.031746031746</v>
      </c>
      <c r="J41" s="16">
        <f>+J40+F41+'Otros Ingresos'!D31</f>
        <v>98588.570359869846</v>
      </c>
      <c r="K41" s="17">
        <f t="shared" ref="K41:K51" si="13">+K40+H41</f>
        <v>90669.59581246032</v>
      </c>
      <c r="L41" s="15">
        <f t="shared" si="5"/>
        <v>7918.9745474095253</v>
      </c>
      <c r="M41" s="28">
        <f t="shared" si="0"/>
        <v>1.0355850322754323</v>
      </c>
      <c r="N41" s="8">
        <f t="shared" si="9"/>
        <v>24</v>
      </c>
      <c r="O41" s="9">
        <f>+(F41+'Otros Ingresos'!D31)/M41</f>
        <v>23.274052185204098</v>
      </c>
      <c r="P41" s="9">
        <f t="shared" ref="P41:P51" si="14">+H41/M41</f>
        <v>1686.0341658234374</v>
      </c>
      <c r="Q41" s="9">
        <f t="shared" si="6"/>
        <v>95756.588301391894</v>
      </c>
      <c r="R41" s="9">
        <f t="shared" si="6"/>
        <v>88625.402098460865</v>
      </c>
      <c r="S41" s="9">
        <f t="shared" si="7"/>
        <v>7131.1862029310287</v>
      </c>
    </row>
    <row r="42" spans="1:19" x14ac:dyDescent="0.3">
      <c r="A42" s="14">
        <v>26</v>
      </c>
      <c r="B42" s="20">
        <v>5</v>
      </c>
      <c r="C42" s="9">
        <f>'Inversión Inicial'!E30</f>
        <v>0</v>
      </c>
      <c r="D42" s="9">
        <f>'COSTOS FIJOS'!H30</f>
        <v>1746.031746031746</v>
      </c>
      <c r="E42" s="9">
        <f>'COSTOS VARIABLES'!G30</f>
        <v>0</v>
      </c>
      <c r="F42" s="22">
        <f t="shared" si="8"/>
        <v>56205.4</v>
      </c>
      <c r="G42" s="9">
        <f t="shared" si="2"/>
        <v>1686.162</v>
      </c>
      <c r="H42" s="21">
        <f t="shared" si="3"/>
        <v>3432.1937460317458</v>
      </c>
      <c r="J42" s="16">
        <f>+J41+F42+'Otros Ingresos'!D32</f>
        <v>154813.76779623839</v>
      </c>
      <c r="K42" s="17">
        <f t="shared" si="13"/>
        <v>94101.789558492062</v>
      </c>
      <c r="L42" s="15">
        <f t="shared" si="5"/>
        <v>60711.978237746327</v>
      </c>
      <c r="M42" s="28">
        <f t="shared" si="0"/>
        <v>1.03709491525249</v>
      </c>
      <c r="N42" s="8">
        <f t="shared" si="9"/>
        <v>25</v>
      </c>
      <c r="O42" s="9">
        <f>+(F42+'Otros Ingresos'!D32)/M42</f>
        <v>54214.128918643859</v>
      </c>
      <c r="P42" s="9">
        <f t="shared" si="14"/>
        <v>3309.4306948714984</v>
      </c>
      <c r="Q42" s="9">
        <f t="shared" si="6"/>
        <v>149970.71722003576</v>
      </c>
      <c r="R42" s="9">
        <f t="shared" si="6"/>
        <v>91934.83279333236</v>
      </c>
      <c r="S42" s="9">
        <f t="shared" si="7"/>
        <v>58035.8844267034</v>
      </c>
    </row>
    <row r="43" spans="1:19" x14ac:dyDescent="0.3">
      <c r="A43" s="14">
        <v>27</v>
      </c>
      <c r="B43" s="20">
        <v>5</v>
      </c>
      <c r="C43" s="9">
        <f>'Inversión Inicial'!E31</f>
        <v>0</v>
      </c>
      <c r="D43" s="9">
        <f>'COSTOS FIJOS'!H31</f>
        <v>1746.031746031746</v>
      </c>
      <c r="E43" s="9">
        <f>'COSTOS VARIABLES'!G31</f>
        <v>0</v>
      </c>
      <c r="F43" s="22">
        <f t="shared" si="8"/>
        <v>14051.35</v>
      </c>
      <c r="G43" s="9">
        <f t="shared" si="2"/>
        <v>421.54050000000001</v>
      </c>
      <c r="H43" s="21">
        <f t="shared" si="3"/>
        <v>2167.5722460317461</v>
      </c>
      <c r="J43" s="16">
        <f>+J42+F43+'Otros Ingresos'!D33</f>
        <v>169016.89774183277</v>
      </c>
      <c r="K43" s="17">
        <f t="shared" si="13"/>
        <v>96269.361804523811</v>
      </c>
      <c r="L43" s="15">
        <f t="shared" si="5"/>
        <v>72747.53593730896</v>
      </c>
      <c r="M43" s="28">
        <f t="shared" si="0"/>
        <v>1.0386069996389278</v>
      </c>
      <c r="N43" s="8">
        <f t="shared" si="9"/>
        <v>26</v>
      </c>
      <c r="O43" s="9">
        <f>+(F43+'Otros Ingresos'!D33)/M43</f>
        <v>13675.172563377766</v>
      </c>
      <c r="P43" s="9">
        <f t="shared" si="14"/>
        <v>2086.9994586838943</v>
      </c>
      <c r="Q43" s="9">
        <f t="shared" si="6"/>
        <v>163645.88978341353</v>
      </c>
      <c r="R43" s="9">
        <f t="shared" si="6"/>
        <v>94021.832252016247</v>
      </c>
      <c r="S43" s="9">
        <f t="shared" si="7"/>
        <v>69624.05753139728</v>
      </c>
    </row>
    <row r="44" spans="1:19" x14ac:dyDescent="0.3">
      <c r="A44" s="14">
        <v>28</v>
      </c>
      <c r="B44" s="20">
        <v>5</v>
      </c>
      <c r="C44" s="9">
        <f>'Inversión Inicial'!E32</f>
        <v>0</v>
      </c>
      <c r="D44" s="9">
        <f>'COSTOS FIJOS'!H32</f>
        <v>1746.031746031746</v>
      </c>
      <c r="E44" s="9">
        <f>'COSTOS VARIABLES'!G32</f>
        <v>0</v>
      </c>
      <c r="F44" s="22">
        <f t="shared" si="8"/>
        <v>14051.35</v>
      </c>
      <c r="G44" s="9">
        <f t="shared" si="2"/>
        <v>421.54050000000001</v>
      </c>
      <c r="H44" s="21">
        <f t="shared" si="3"/>
        <v>2167.5722460317461</v>
      </c>
      <c r="J44" s="16">
        <f>+J43+F44+'Otros Ingresos'!D34</f>
        <v>183250.11658167606</v>
      </c>
      <c r="K44" s="17">
        <f t="shared" si="13"/>
        <v>98436.934050555559</v>
      </c>
      <c r="L44" s="15">
        <f t="shared" si="5"/>
        <v>84813.182531120503</v>
      </c>
      <c r="M44" s="28">
        <f t="shared" si="0"/>
        <v>1.0401212886444016</v>
      </c>
      <c r="N44" s="8">
        <f t="shared" si="9"/>
        <v>27</v>
      </c>
      <c r="O44" s="9">
        <f>+(F44+'Otros Ingresos'!D34)/M44</f>
        <v>13684.19144501267</v>
      </c>
      <c r="P44" s="9">
        <f t="shared" si="14"/>
        <v>2083.9610434824967</v>
      </c>
      <c r="Q44" s="9">
        <f t="shared" si="6"/>
        <v>177330.08122842619</v>
      </c>
      <c r="R44" s="9">
        <f t="shared" si="6"/>
        <v>96105.793295498748</v>
      </c>
      <c r="S44" s="9">
        <f t="shared" si="7"/>
        <v>81224.287932927444</v>
      </c>
    </row>
    <row r="45" spans="1:19" x14ac:dyDescent="0.3">
      <c r="A45" s="14">
        <v>29</v>
      </c>
      <c r="B45" s="20">
        <v>0</v>
      </c>
      <c r="C45" s="9">
        <f>'Inversión Inicial'!E33</f>
        <v>0</v>
      </c>
      <c r="D45" s="9">
        <f>'COSTOS FIJOS'!H33</f>
        <v>1746.031746031746</v>
      </c>
      <c r="E45" s="9">
        <f>'COSTOS VARIABLES'!G33</f>
        <v>0</v>
      </c>
      <c r="F45" s="22">
        <f t="shared" si="8"/>
        <v>14051.35</v>
      </c>
      <c r="G45" s="9">
        <f t="shared" si="2"/>
        <v>421.54050000000001</v>
      </c>
      <c r="H45" s="21">
        <f t="shared" si="3"/>
        <v>2167.5722460317461</v>
      </c>
      <c r="J45" s="16">
        <f>+J44+F45+'Otros Ingresos'!D35</f>
        <v>197513.49953800387</v>
      </c>
      <c r="K45" s="17">
        <f t="shared" si="13"/>
        <v>100604.50629658731</v>
      </c>
      <c r="L45" s="15">
        <f t="shared" si="5"/>
        <v>96908.993241416567</v>
      </c>
      <c r="M45" s="28">
        <f t="shared" si="0"/>
        <v>1.041637785483245</v>
      </c>
      <c r="N45" s="8">
        <f t="shared" si="9"/>
        <v>28</v>
      </c>
      <c r="O45" s="9">
        <f>+(F45+'Otros Ingresos'!D35)/M45</f>
        <v>13693.227295619481</v>
      </c>
      <c r="P45" s="9">
        <f t="shared" si="14"/>
        <v>2080.9270518409126</v>
      </c>
      <c r="Q45" s="9">
        <f t="shared" si="6"/>
        <v>191023.30852404569</v>
      </c>
      <c r="R45" s="9">
        <f t="shared" si="6"/>
        <v>98186.720347339666</v>
      </c>
      <c r="S45" s="9">
        <f t="shared" si="7"/>
        <v>92836.58817670602</v>
      </c>
    </row>
    <row r="46" spans="1:19" x14ac:dyDescent="0.3">
      <c r="A46" s="14">
        <v>30</v>
      </c>
      <c r="B46" s="20">
        <f t="shared" si="10"/>
        <v>0</v>
      </c>
      <c r="C46" s="9">
        <f>'Inversión Inicial'!E34</f>
        <v>0</v>
      </c>
      <c r="D46" s="9">
        <f>'COSTOS FIJOS'!H34</f>
        <v>1746.031746031746</v>
      </c>
      <c r="E46" s="9">
        <f>'COSTOS VARIABLES'!G34</f>
        <v>9647.3135999999995</v>
      </c>
      <c r="F46" s="22">
        <f t="shared" si="8"/>
        <v>0</v>
      </c>
      <c r="G46" s="9">
        <f t="shared" si="2"/>
        <v>0</v>
      </c>
      <c r="H46" s="21">
        <f t="shared" si="3"/>
        <v>11393.345346031745</v>
      </c>
      <c r="J46" s="16">
        <f>+J45+F46+'Otros Ingresos'!D36</f>
        <v>197755.7720211074</v>
      </c>
      <c r="K46" s="17">
        <f t="shared" si="13"/>
        <v>111997.85164261905</v>
      </c>
      <c r="L46" s="72">
        <f t="shared" si="5"/>
        <v>85757.920378488358</v>
      </c>
      <c r="M46" s="28">
        <f t="shared" si="0"/>
        <v>1.0431564933744795</v>
      </c>
      <c r="N46" s="8">
        <f t="shared" si="9"/>
        <v>29</v>
      </c>
      <c r="O46" s="9">
        <f>+(F46+'Otros Ingresos'!D36)/M46</f>
        <v>232.24941285637834</v>
      </c>
      <c r="P46" s="9">
        <f t="shared" si="14"/>
        <v>10921.990533918561</v>
      </c>
      <c r="Q46" s="9">
        <f t="shared" si="6"/>
        <v>191255.55793690207</v>
      </c>
      <c r="R46" s="9">
        <f t="shared" si="6"/>
        <v>109108.71088125823</v>
      </c>
      <c r="S46" s="9">
        <f t="shared" si="7"/>
        <v>82146.847055643841</v>
      </c>
    </row>
    <row r="47" spans="1:19" x14ac:dyDescent="0.3">
      <c r="A47" s="14">
        <v>31</v>
      </c>
      <c r="B47" s="20">
        <v>10</v>
      </c>
      <c r="C47" s="9">
        <f>'Inversión Inicial'!E35</f>
        <v>0</v>
      </c>
      <c r="D47" s="9">
        <f>'COSTOS FIJOS'!H35</f>
        <v>1746.031746031746</v>
      </c>
      <c r="E47" s="9">
        <f>'COSTOS VARIABLES'!G35</f>
        <v>0</v>
      </c>
      <c r="F47" s="22">
        <f t="shared" si="8"/>
        <v>0</v>
      </c>
      <c r="G47" s="9">
        <f t="shared" si="2"/>
        <v>0</v>
      </c>
      <c r="H47" s="21">
        <f t="shared" si="3"/>
        <v>1746.031746031746</v>
      </c>
      <c r="J47" s="16">
        <f>+J46+F47+'Otros Ingresos'!D37</f>
        <v>197970.16682205364</v>
      </c>
      <c r="K47" s="17">
        <f t="shared" si="13"/>
        <v>113743.88338865079</v>
      </c>
      <c r="L47" s="15">
        <f t="shared" si="5"/>
        <v>84226.283433402845</v>
      </c>
      <c r="M47" s="28">
        <f t="shared" si="0"/>
        <v>1.0446774155418193</v>
      </c>
      <c r="N47" s="8">
        <f t="shared" si="9"/>
        <v>30</v>
      </c>
      <c r="O47" s="9">
        <f>+(F47+'Otros Ingresos'!D37)/M47</f>
        <v>205.22584077786883</v>
      </c>
      <c r="P47" s="9">
        <f t="shared" si="14"/>
        <v>1671.3597135879224</v>
      </c>
      <c r="Q47" s="9">
        <f t="shared" si="6"/>
        <v>191460.78377767993</v>
      </c>
      <c r="R47" s="9">
        <f t="shared" si="6"/>
        <v>110780.07059484615</v>
      </c>
      <c r="S47" s="9">
        <f t="shared" si="7"/>
        <v>80680.713182833773</v>
      </c>
    </row>
    <row r="48" spans="1:19" x14ac:dyDescent="0.3">
      <c r="A48" s="14">
        <v>32</v>
      </c>
      <c r="B48" s="20">
        <v>5</v>
      </c>
      <c r="C48" s="9">
        <f>'Inversión Inicial'!E36</f>
        <v>0</v>
      </c>
      <c r="D48" s="9">
        <f>'COSTOS FIJOS'!H36</f>
        <v>1746.031746031746</v>
      </c>
      <c r="E48" s="9">
        <f>'COSTOS VARIABLES'!G36</f>
        <v>0</v>
      </c>
      <c r="F48" s="22">
        <f t="shared" si="8"/>
        <v>28102.7</v>
      </c>
      <c r="G48" s="9">
        <f t="shared" si="2"/>
        <v>843.08100000000002</v>
      </c>
      <c r="H48" s="21">
        <f t="shared" si="3"/>
        <v>2589.1127460317462</v>
      </c>
      <c r="J48" s="16">
        <f>+J47+F48+'Otros Ingresos'!D38</f>
        <v>226283.43253063716</v>
      </c>
      <c r="K48" s="17">
        <f t="shared" si="13"/>
        <v>116332.99613468254</v>
      </c>
      <c r="L48" s="15">
        <f t="shared" si="5"/>
        <v>109950.43639595462</v>
      </c>
      <c r="M48" s="28">
        <f t="shared" si="0"/>
        <v>1.0462005552136793</v>
      </c>
      <c r="N48" s="8">
        <f t="shared" si="9"/>
        <v>31</v>
      </c>
      <c r="O48" s="9">
        <f>+(F48+'Otros Ingresos'!D38)/M48</f>
        <v>27062.942728797079</v>
      </c>
      <c r="P48" s="9">
        <f t="shared" si="14"/>
        <v>2474.7766889713967</v>
      </c>
      <c r="Q48" s="9">
        <f t="shared" si="6"/>
        <v>218523.72650647702</v>
      </c>
      <c r="R48" s="9">
        <f t="shared" si="6"/>
        <v>113254.84728381755</v>
      </c>
      <c r="S48" s="9">
        <f t="shared" si="7"/>
        <v>105268.87922265947</v>
      </c>
    </row>
    <row r="49" spans="1:19" x14ac:dyDescent="0.3">
      <c r="A49" s="14">
        <v>33</v>
      </c>
      <c r="B49" s="20">
        <v>5</v>
      </c>
      <c r="C49" s="9">
        <f>'Inversión Inicial'!E37</f>
        <v>0</v>
      </c>
      <c r="D49" s="9">
        <f>'COSTOS FIJOS'!H37</f>
        <v>1746.031746031746</v>
      </c>
      <c r="E49" s="9">
        <f>'COSTOS VARIABLES'!G37</f>
        <v>0</v>
      </c>
      <c r="F49" s="22">
        <f t="shared" si="8"/>
        <v>14051.35</v>
      </c>
      <c r="G49" s="9">
        <f t="shared" si="2"/>
        <v>421.54050000000001</v>
      </c>
      <c r="H49" s="21">
        <f t="shared" si="3"/>
        <v>2167.5722460317461</v>
      </c>
      <c r="J49" s="16">
        <f>+J48+F49+'Otros Ingresos'!D39</f>
        <v>240609.65862162705</v>
      </c>
      <c r="K49" s="17">
        <f t="shared" si="13"/>
        <v>118500.56838071429</v>
      </c>
      <c r="L49" s="15">
        <f t="shared" si="5"/>
        <v>122109.09024091276</v>
      </c>
      <c r="M49" s="28">
        <f t="shared" si="0"/>
        <v>1.0477259156231806</v>
      </c>
      <c r="N49" s="8">
        <f t="shared" si="9"/>
        <v>32</v>
      </c>
      <c r="O49" s="9">
        <f>+(F49+'Otros Ingresos'!D39)/M49</f>
        <v>13673.639142989739</v>
      </c>
      <c r="P49" s="9">
        <f t="shared" si="14"/>
        <v>2068.8351922100619</v>
      </c>
      <c r="Q49" s="9">
        <f t="shared" si="6"/>
        <v>232197.36564946675</v>
      </c>
      <c r="R49" s="9">
        <f t="shared" si="6"/>
        <v>115323.68247602761</v>
      </c>
      <c r="S49" s="9">
        <f t="shared" si="7"/>
        <v>116873.68317343915</v>
      </c>
    </row>
    <row r="50" spans="1:19" x14ac:dyDescent="0.3">
      <c r="A50" s="14">
        <v>34</v>
      </c>
      <c r="B50" s="20">
        <v>0</v>
      </c>
      <c r="C50" s="9">
        <f>'Inversión Inicial'!E38</f>
        <v>0</v>
      </c>
      <c r="D50" s="9">
        <f>'COSTOS FIJOS'!H38</f>
        <v>1746.031746031746</v>
      </c>
      <c r="E50" s="9">
        <f>'COSTOS VARIABLES'!G38</f>
        <v>0</v>
      </c>
      <c r="F50" s="22">
        <f t="shared" si="8"/>
        <v>14051.35</v>
      </c>
      <c r="G50" s="9">
        <f t="shared" si="2"/>
        <v>421.54050000000001</v>
      </c>
      <c r="H50" s="21">
        <f t="shared" si="3"/>
        <v>2167.5722460317461</v>
      </c>
      <c r="J50" s="16">
        <f>+J49+F50+'Otros Ingresos'!D40</f>
        <v>254966.28134722935</v>
      </c>
      <c r="K50" s="17">
        <f t="shared" si="13"/>
        <v>120668.14062674604</v>
      </c>
      <c r="L50" s="15">
        <f t="shared" si="5"/>
        <v>134298.14072048332</v>
      </c>
      <c r="M50" s="28">
        <f t="shared" si="0"/>
        <v>1.0492535000081591</v>
      </c>
      <c r="N50" s="8">
        <f t="shared" si="9"/>
        <v>33</v>
      </c>
      <c r="O50" s="9">
        <f>+(F50+'Otros Ingresos'!D40)/M50</f>
        <v>13682.701773680665</v>
      </c>
      <c r="P50" s="9">
        <f t="shared" si="14"/>
        <v>2065.8232219524557</v>
      </c>
      <c r="Q50" s="9">
        <f t="shared" si="6"/>
        <v>245880.06742314741</v>
      </c>
      <c r="R50" s="9">
        <f t="shared" si="6"/>
        <v>117389.50569798006</v>
      </c>
      <c r="S50" s="9">
        <f t="shared" si="7"/>
        <v>128490.56172516735</v>
      </c>
    </row>
    <row r="51" spans="1:19" x14ac:dyDescent="0.3">
      <c r="A51" s="14">
        <v>35</v>
      </c>
      <c r="B51" s="20">
        <v>0</v>
      </c>
      <c r="C51" s="9">
        <f>'Inversión Inicial'!E39</f>
        <v>0</v>
      </c>
      <c r="D51" s="9">
        <f>'COSTOS FIJOS'!H39</f>
        <v>1746.031746031746</v>
      </c>
      <c r="E51" s="9">
        <f>'COSTOS VARIABLES'!G39</f>
        <v>0</v>
      </c>
      <c r="F51" s="22">
        <f t="shared" si="8"/>
        <v>0</v>
      </c>
      <c r="G51" s="9">
        <f t="shared" si="2"/>
        <v>0</v>
      </c>
      <c r="H51" s="21">
        <f t="shared" si="3"/>
        <v>1746.031746031746</v>
      </c>
      <c r="J51" s="16">
        <f>+J50+F51+'Otros Ingresos'!D41</f>
        <v>255302.02669903057</v>
      </c>
      <c r="K51" s="17">
        <f t="shared" si="13"/>
        <v>122414.17237277779</v>
      </c>
      <c r="L51" s="15">
        <f t="shared" si="5"/>
        <v>132887.85432625277</v>
      </c>
      <c r="M51" s="28">
        <f t="shared" si="0"/>
        <v>1.0507833116111709</v>
      </c>
      <c r="N51" s="8">
        <f t="shared" si="9"/>
        <v>34</v>
      </c>
      <c r="O51" s="9">
        <f>+(F51+'Otros Ingresos'!D41)/M51</f>
        <v>319.51911311420469</v>
      </c>
      <c r="P51" s="9">
        <f t="shared" si="14"/>
        <v>1661.6477695620683</v>
      </c>
      <c r="Q51" s="9">
        <f t="shared" si="6"/>
        <v>246199.5865362616</v>
      </c>
      <c r="R51" s="9">
        <f t="shared" si="6"/>
        <v>119051.15346754213</v>
      </c>
      <c r="S51" s="9">
        <f t="shared" si="7"/>
        <v>127148.43306871947</v>
      </c>
    </row>
    <row r="52" spans="1:19" x14ac:dyDescent="0.3">
      <c r="A52" s="14">
        <v>36</v>
      </c>
      <c r="B52" s="20">
        <v>0</v>
      </c>
      <c r="C52" s="9">
        <f>'Inversión Inicial'!E40</f>
        <v>0</v>
      </c>
      <c r="D52" s="9">
        <f>'COSTOS FIJOS'!H40</f>
        <v>1746.031746031746</v>
      </c>
      <c r="E52" s="9">
        <f>'COSTOS VARIABLES'!G40</f>
        <v>6431.5423999999994</v>
      </c>
      <c r="F52" s="22">
        <f>+B51*$C$6</f>
        <v>0</v>
      </c>
      <c r="G52" s="9">
        <f t="shared" si="2"/>
        <v>0</v>
      </c>
      <c r="H52" s="21">
        <f>+C52+D52+E52+G52</f>
        <v>8177.5741460317458</v>
      </c>
      <c r="I52" s="32">
        <f>Impuestos!D11</f>
        <v>39513.833641666664</v>
      </c>
      <c r="J52" s="16">
        <f>+J51+F52+'Otros Ingresos'!D42</f>
        <v>255634.24633484619</v>
      </c>
      <c r="K52" s="17">
        <f>+K51+H52+I52</f>
        <v>170105.58016047621</v>
      </c>
      <c r="L52" s="77">
        <f t="shared" si="5"/>
        <v>85528.666174369981</v>
      </c>
      <c r="M52" s="28">
        <f t="shared" si="0"/>
        <v>1.0523153536795</v>
      </c>
      <c r="N52" s="8">
        <f>+N51+1</f>
        <v>35</v>
      </c>
      <c r="O52" s="9">
        <f>+(F52+'Otros Ingresos'!D42)/M52</f>
        <v>315.70349577624319</v>
      </c>
      <c r="P52" s="9">
        <f>+(H52+I52)/M52</f>
        <v>45320.452296872609</v>
      </c>
      <c r="Q52" s="9">
        <f>+Q51+O52</f>
        <v>246515.29003203785</v>
      </c>
      <c r="R52" s="9">
        <f>+R51+P52</f>
        <v>164371.60576441474</v>
      </c>
      <c r="S52" s="76">
        <f t="shared" si="7"/>
        <v>82143.684267623117</v>
      </c>
    </row>
    <row r="53" spans="1:19" x14ac:dyDescent="0.3">
      <c r="A53" s="14">
        <v>37</v>
      </c>
      <c r="B53" s="20">
        <v>5</v>
      </c>
      <c r="C53" s="9">
        <f>'Inversión Inicial'!E65</f>
        <v>0</v>
      </c>
      <c r="D53" s="9">
        <f>'COSTOS FIJOS'!H41</f>
        <v>1746.031746031746</v>
      </c>
      <c r="E53" s="9">
        <f>'COSTOS VARIABLES'!G41</f>
        <v>0</v>
      </c>
      <c r="F53" s="22">
        <f t="shared" ref="F53:F76" si="15">+B52*$C$6</f>
        <v>0</v>
      </c>
      <c r="G53" s="9">
        <f t="shared" ref="G53:G76" si="16">+F53*0.03</f>
        <v>0</v>
      </c>
      <c r="H53" s="21">
        <f t="shared" ref="H53:H76" si="17">+C53+D53+E53+G53</f>
        <v>1746.031746031746</v>
      </c>
      <c r="I53" s="74"/>
      <c r="J53" s="16">
        <f>+J52+F53+'Otros Ingresos'!D43</f>
        <v>255848.0680002821</v>
      </c>
      <c r="K53" s="17">
        <f>+K52+H53</f>
        <v>171851.61190650795</v>
      </c>
      <c r="L53" s="75">
        <f t="shared" ref="L53:L76" si="18">+J53-K53</f>
        <v>83996.456093774148</v>
      </c>
      <c r="M53" s="28">
        <f t="shared" ref="M53:M76" si="19">(1+TasaMensual)^N53</f>
        <v>1.0538496294651647</v>
      </c>
      <c r="N53" s="8">
        <f t="shared" ref="N53:N76" si="20">+N52+1</f>
        <v>36</v>
      </c>
      <c r="O53" s="9">
        <f>+(F53+'Otros Ingresos'!D43)/M53</f>
        <v>202.8958016946315</v>
      </c>
      <c r="P53" s="9">
        <f>+(H53)/M53</f>
        <v>1656.8129809163268</v>
      </c>
      <c r="Q53" s="9">
        <f t="shared" ref="Q53:Q76" si="21">+Q52+O53</f>
        <v>246718.18583373248</v>
      </c>
      <c r="R53" s="9">
        <f t="shared" ref="R53:R76" si="22">+R52+P53</f>
        <v>166028.41874533106</v>
      </c>
      <c r="S53" s="76">
        <f t="shared" ref="S53:S76" si="23">+Q53-R53</f>
        <v>80689.767088401422</v>
      </c>
    </row>
    <row r="54" spans="1:19" x14ac:dyDescent="0.3">
      <c r="A54" s="14">
        <v>38</v>
      </c>
      <c r="B54" s="20">
        <v>5</v>
      </c>
      <c r="C54" s="9">
        <f>'Inversión Inicial'!E66</f>
        <v>0</v>
      </c>
      <c r="D54" s="9">
        <f>'COSTOS FIJOS'!H42</f>
        <v>1746.031746031746</v>
      </c>
      <c r="E54" s="9">
        <f>'COSTOS VARIABLES'!G42</f>
        <v>0</v>
      </c>
      <c r="F54" s="22">
        <f t="shared" si="15"/>
        <v>14051.35</v>
      </c>
      <c r="G54" s="9">
        <f t="shared" si="16"/>
        <v>421.54050000000001</v>
      </c>
      <c r="H54" s="21">
        <f t="shared" si="17"/>
        <v>2167.5722460317461</v>
      </c>
      <c r="I54" s="74"/>
      <c r="J54" s="16">
        <f>+J53+F54+'Otros Ingresos'!D44</f>
        <v>270109.40914051654</v>
      </c>
      <c r="K54" s="17">
        <f>+K53+H54</f>
        <v>174019.1841525397</v>
      </c>
      <c r="L54" s="75">
        <f t="shared" si="18"/>
        <v>96090.224987976835</v>
      </c>
      <c r="M54" s="28">
        <f t="shared" si="19"/>
        <v>1.0553861422249249</v>
      </c>
      <c r="N54" s="8">
        <f t="shared" si="20"/>
        <v>37</v>
      </c>
      <c r="O54" s="9">
        <f>+(F54+'Otros Ingresos'!D44)/M54</f>
        <v>13512.913017949259</v>
      </c>
      <c r="P54" s="9">
        <f>+(H54)/M54</f>
        <v>2053.8191277195974</v>
      </c>
      <c r="Q54" s="9">
        <f t="shared" si="21"/>
        <v>260231.09885168175</v>
      </c>
      <c r="R54" s="9">
        <f t="shared" si="22"/>
        <v>168082.23787305065</v>
      </c>
      <c r="S54" s="76">
        <f t="shared" si="23"/>
        <v>92148.860978631099</v>
      </c>
    </row>
    <row r="55" spans="1:19" x14ac:dyDescent="0.3">
      <c r="A55" s="14">
        <v>39</v>
      </c>
      <c r="B55" s="20">
        <v>5</v>
      </c>
      <c r="C55" s="9">
        <f>'Inversión Inicial'!E67</f>
        <v>0</v>
      </c>
      <c r="D55" s="9">
        <f>'COSTOS FIJOS'!H43</f>
        <v>1746.031746031746</v>
      </c>
      <c r="E55" s="9">
        <f>'COSTOS VARIABLES'!G43</f>
        <v>0</v>
      </c>
      <c r="F55" s="22">
        <f t="shared" si="15"/>
        <v>14051.35</v>
      </c>
      <c r="G55" s="9">
        <f t="shared" si="16"/>
        <v>421.54050000000001</v>
      </c>
      <c r="H55" s="21">
        <f t="shared" si="17"/>
        <v>2167.5722460317461</v>
      </c>
      <c r="I55" s="74"/>
      <c r="J55" s="16">
        <f>+J54+F55+'Otros Ingresos'!D45</f>
        <v>284400.98470298643</v>
      </c>
      <c r="K55" s="17">
        <f t="shared" ref="K55:K63" si="24">+K54+H55</f>
        <v>176186.75639857145</v>
      </c>
      <c r="L55" s="75">
        <f t="shared" si="18"/>
        <v>108214.22830441498</v>
      </c>
      <c r="M55" s="28">
        <f t="shared" si="19"/>
        <v>1.0569248952202888</v>
      </c>
      <c r="N55" s="8">
        <f t="shared" si="20"/>
        <v>38</v>
      </c>
      <c r="O55" s="9">
        <f>+(F55+'Otros Ingresos'!D45)/M55</f>
        <v>13521.845901350665</v>
      </c>
      <c r="P55" s="9">
        <f t="shared" ref="P55:P63" si="25">+(H55)/M55</f>
        <v>2050.829019009881</v>
      </c>
      <c r="Q55" s="9">
        <f t="shared" si="21"/>
        <v>273752.94475303241</v>
      </c>
      <c r="R55" s="9">
        <f t="shared" si="22"/>
        <v>170133.06689206054</v>
      </c>
      <c r="S55" s="76">
        <f t="shared" si="23"/>
        <v>103619.87786097187</v>
      </c>
    </row>
    <row r="56" spans="1:19" x14ac:dyDescent="0.3">
      <c r="A56" s="14">
        <v>40</v>
      </c>
      <c r="B56" s="20">
        <v>5</v>
      </c>
      <c r="C56" s="9">
        <f>'Inversión Inicial'!E68</f>
        <v>0</v>
      </c>
      <c r="D56" s="9">
        <f>'COSTOS FIJOS'!H44</f>
        <v>1746.031746031746</v>
      </c>
      <c r="E56" s="9">
        <f>'COSTOS VARIABLES'!G44</f>
        <v>0</v>
      </c>
      <c r="F56" s="22">
        <f t="shared" si="15"/>
        <v>14051.35</v>
      </c>
      <c r="G56" s="9">
        <f t="shared" si="16"/>
        <v>421.54050000000001</v>
      </c>
      <c r="H56" s="21">
        <f t="shared" si="17"/>
        <v>2167.5722460317461</v>
      </c>
      <c r="I56" s="74"/>
      <c r="J56" s="16">
        <f>+J55+F56+'Otros Ingresos'!D46</f>
        <v>298722.87027374742</v>
      </c>
      <c r="K56" s="17">
        <f t="shared" si="24"/>
        <v>178354.3286446032</v>
      </c>
      <c r="L56" s="75">
        <f t="shared" si="18"/>
        <v>120368.54162914422</v>
      </c>
      <c r="M56" s="28">
        <f t="shared" si="19"/>
        <v>1.0584658917175198</v>
      </c>
      <c r="N56" s="8">
        <f t="shared" si="20"/>
        <v>39</v>
      </c>
      <c r="O56" s="9">
        <f>+(F56+'Otros Ingresos'!D46)/M56</f>
        <v>13530.79554365387</v>
      </c>
      <c r="P56" s="9">
        <f t="shared" si="25"/>
        <v>2047.8432635316522</v>
      </c>
      <c r="Q56" s="9">
        <f t="shared" si="21"/>
        <v>287283.7402966863</v>
      </c>
      <c r="R56" s="9">
        <f t="shared" si="22"/>
        <v>172180.9101555922</v>
      </c>
      <c r="S56" s="76">
        <f t="shared" si="23"/>
        <v>115102.83014109411</v>
      </c>
    </row>
    <row r="57" spans="1:19" x14ac:dyDescent="0.3">
      <c r="A57" s="14">
        <v>41</v>
      </c>
      <c r="B57" s="20">
        <v>0</v>
      </c>
      <c r="C57" s="9">
        <f>'Inversión Inicial'!E69</f>
        <v>0</v>
      </c>
      <c r="D57" s="9">
        <f>'COSTOS FIJOS'!H45</f>
        <v>1746.031746031746</v>
      </c>
      <c r="E57" s="9">
        <f>'COSTOS VARIABLES'!G45</f>
        <v>0</v>
      </c>
      <c r="F57" s="22">
        <f t="shared" si="15"/>
        <v>14051.35</v>
      </c>
      <c r="G57" s="9">
        <f t="shared" si="16"/>
        <v>421.54050000000001</v>
      </c>
      <c r="H57" s="21">
        <f t="shared" si="17"/>
        <v>2167.5722460317461</v>
      </c>
      <c r="I57" s="74"/>
      <c r="J57" s="16">
        <f>+J56+F57+'Otros Ingresos'!D47</f>
        <v>313075.14162782027</v>
      </c>
      <c r="K57" s="17">
        <f t="shared" si="24"/>
        <v>180521.90089063495</v>
      </c>
      <c r="L57" s="75">
        <f t="shared" si="18"/>
        <v>132553.24073718532</v>
      </c>
      <c r="M57" s="28">
        <f t="shared" si="19"/>
        <v>1.0600091349876437</v>
      </c>
      <c r="N57" s="8">
        <f t="shared" si="20"/>
        <v>40</v>
      </c>
      <c r="O57" s="9">
        <f>+(F57+'Otros Ingresos'!D47)/M57</f>
        <v>13539.761951428995</v>
      </c>
      <c r="P57" s="9">
        <f t="shared" si="25"/>
        <v>2044.8618549471396</v>
      </c>
      <c r="Q57" s="9">
        <f t="shared" si="21"/>
        <v>300823.50224811531</v>
      </c>
      <c r="R57" s="9">
        <f t="shared" si="22"/>
        <v>174225.77201053934</v>
      </c>
      <c r="S57" s="76">
        <f t="shared" si="23"/>
        <v>126597.73023757598</v>
      </c>
    </row>
    <row r="58" spans="1:19" x14ac:dyDescent="0.3">
      <c r="A58" s="14">
        <v>42</v>
      </c>
      <c r="B58" s="20">
        <v>0</v>
      </c>
      <c r="C58" s="9">
        <f>'Inversión Inicial'!E70</f>
        <v>0</v>
      </c>
      <c r="D58" s="9">
        <f>'COSTOS FIJOS'!H46</f>
        <v>1746.031746031746</v>
      </c>
      <c r="E58" s="9">
        <f>'COSTOS VARIABLES'!G46</f>
        <v>6431.5423999999994</v>
      </c>
      <c r="F58" s="22">
        <f t="shared" si="15"/>
        <v>0</v>
      </c>
      <c r="G58" s="9">
        <f t="shared" si="16"/>
        <v>0</v>
      </c>
      <c r="H58" s="21">
        <f t="shared" si="17"/>
        <v>8177.5741460317458</v>
      </c>
      <c r="I58" s="74"/>
      <c r="J58" s="16">
        <f>+J57+F58+'Otros Ingresos'!D48</f>
        <v>313406.52472966322</v>
      </c>
      <c r="K58" s="17">
        <f t="shared" si="24"/>
        <v>188699.4750366667</v>
      </c>
      <c r="L58" s="77">
        <f t="shared" si="18"/>
        <v>124707.04969299652</v>
      </c>
      <c r="M58" s="28">
        <f t="shared" si="19"/>
        <v>1.0615546283064559</v>
      </c>
      <c r="N58" s="8">
        <f t="shared" si="20"/>
        <v>41</v>
      </c>
      <c r="O58" s="9">
        <f>+(F58+'Otros Ingresos'!D48)/M58</f>
        <v>312.16773306488534</v>
      </c>
      <c r="P58" s="9">
        <f t="shared" si="25"/>
        <v>7703.3945573557385</v>
      </c>
      <c r="Q58" s="9">
        <f t="shared" si="21"/>
        <v>301135.66998118022</v>
      </c>
      <c r="R58" s="9">
        <f t="shared" si="22"/>
        <v>181929.16656789507</v>
      </c>
      <c r="S58" s="76">
        <f t="shared" si="23"/>
        <v>119206.50341328516</v>
      </c>
    </row>
    <row r="59" spans="1:19" x14ac:dyDescent="0.3">
      <c r="A59" s="14">
        <v>43</v>
      </c>
      <c r="B59" s="20">
        <v>8</v>
      </c>
      <c r="C59" s="9">
        <f>'Inversión Inicial'!E71</f>
        <v>0</v>
      </c>
      <c r="D59" s="9">
        <f>'COSTOS FIJOS'!H47</f>
        <v>1746.031746031746</v>
      </c>
      <c r="E59" s="9">
        <f>'COSTOS VARIABLES'!G47</f>
        <v>0</v>
      </c>
      <c r="F59" s="22">
        <f t="shared" si="15"/>
        <v>0</v>
      </c>
      <c r="G59" s="9">
        <f t="shared" si="16"/>
        <v>0</v>
      </c>
      <c r="H59" s="21">
        <f t="shared" si="17"/>
        <v>1746.031746031746</v>
      </c>
      <c r="I59" s="74"/>
      <c r="J59" s="16">
        <f>+J58+F59+'Otros Ingresos'!D49</f>
        <v>313718.29235389573</v>
      </c>
      <c r="K59" s="17">
        <f t="shared" si="24"/>
        <v>190445.50678269845</v>
      </c>
      <c r="L59" s="75">
        <f t="shared" si="18"/>
        <v>123272.78557119728</v>
      </c>
      <c r="M59" s="28">
        <f t="shared" si="19"/>
        <v>1.0631023749545263</v>
      </c>
      <c r="N59" s="8">
        <f t="shared" si="20"/>
        <v>42</v>
      </c>
      <c r="O59" s="9">
        <f>+(F59+'Otros Ingresos'!D49)/M59</f>
        <v>293.26208987711743</v>
      </c>
      <c r="P59" s="9">
        <f t="shared" si="25"/>
        <v>1642.3928561973457</v>
      </c>
      <c r="Q59" s="9">
        <f t="shared" si="21"/>
        <v>301428.93207105732</v>
      </c>
      <c r="R59" s="9">
        <f t="shared" si="22"/>
        <v>183571.55942409241</v>
      </c>
      <c r="S59" s="76">
        <f t="shared" si="23"/>
        <v>117857.37264696491</v>
      </c>
    </row>
    <row r="60" spans="1:19" x14ac:dyDescent="0.3">
      <c r="A60" s="14">
        <v>44</v>
      </c>
      <c r="B60" s="20">
        <v>2</v>
      </c>
      <c r="C60" s="9">
        <f>'Inversión Inicial'!E72</f>
        <v>0</v>
      </c>
      <c r="D60" s="9">
        <f>'COSTOS FIJOS'!H48</f>
        <v>1746.031746031746</v>
      </c>
      <c r="E60" s="9">
        <f>'COSTOS VARIABLES'!G48</f>
        <v>0</v>
      </c>
      <c r="F60" s="22">
        <f t="shared" si="15"/>
        <v>22482.16</v>
      </c>
      <c r="G60" s="9">
        <f t="shared" si="16"/>
        <v>674.46479999999997</v>
      </c>
      <c r="H60" s="21">
        <f t="shared" si="17"/>
        <v>2420.4965460317462</v>
      </c>
      <c r="I60" s="74"/>
      <c r="J60" s="16">
        <f>+J59+F60+'Otros Ingresos'!D50</f>
        <v>336508.63431782369</v>
      </c>
      <c r="K60" s="17">
        <f t="shared" si="24"/>
        <v>192866.00332873018</v>
      </c>
      <c r="L60" s="75">
        <f t="shared" si="18"/>
        <v>143642.63098909351</v>
      </c>
      <c r="M60" s="28">
        <f t="shared" si="19"/>
        <v>1.0646523782172104</v>
      </c>
      <c r="N60" s="8">
        <f t="shared" si="20"/>
        <v>43</v>
      </c>
      <c r="O60" s="9">
        <f>+(F60+'Otros Ingresos'!D50)/M60</f>
        <v>21406.369280920637</v>
      </c>
      <c r="P60" s="9">
        <f t="shared" si="25"/>
        <v>2273.5087955046265</v>
      </c>
      <c r="Q60" s="9">
        <f t="shared" si="21"/>
        <v>322835.30135197798</v>
      </c>
      <c r="R60" s="9">
        <f t="shared" si="22"/>
        <v>185845.06821959704</v>
      </c>
      <c r="S60" s="76">
        <f t="shared" si="23"/>
        <v>136990.23313238093</v>
      </c>
    </row>
    <row r="61" spans="1:19" x14ac:dyDescent="0.3">
      <c r="A61" s="14">
        <v>45</v>
      </c>
      <c r="B61" s="20">
        <v>3</v>
      </c>
      <c r="C61" s="9">
        <f>'Inversión Inicial'!E73</f>
        <v>0</v>
      </c>
      <c r="D61" s="9">
        <f>'COSTOS FIJOS'!H49</f>
        <v>1746.031746031746</v>
      </c>
      <c r="E61" s="9">
        <f>'COSTOS VARIABLES'!G49</f>
        <v>0</v>
      </c>
      <c r="F61" s="22">
        <f t="shared" si="15"/>
        <v>5620.54</v>
      </c>
      <c r="G61" s="9">
        <f t="shared" si="16"/>
        <v>168.61619999999999</v>
      </c>
      <c r="H61" s="21">
        <f t="shared" si="17"/>
        <v>1914.647946031746</v>
      </c>
      <c r="I61" s="74"/>
      <c r="J61" s="16">
        <f>+J60+F61+'Otros Ingresos'!D51</f>
        <v>342488.28089529643</v>
      </c>
      <c r="K61" s="17">
        <f t="shared" si="24"/>
        <v>194780.65127476191</v>
      </c>
      <c r="L61" s="75">
        <f t="shared" si="18"/>
        <v>147707.62962053451</v>
      </c>
      <c r="M61" s="28">
        <f t="shared" si="19"/>
        <v>1.0662046413846509</v>
      </c>
      <c r="N61" s="8">
        <f t="shared" si="20"/>
        <v>44</v>
      </c>
      <c r="O61" s="9">
        <f>+(F61+'Otros Ingresos'!D51)/M61</f>
        <v>5608.3479149998166</v>
      </c>
      <c r="P61" s="9">
        <f t="shared" si="25"/>
        <v>1795.760280639226</v>
      </c>
      <c r="Q61" s="9">
        <f t="shared" si="21"/>
        <v>328443.64926697779</v>
      </c>
      <c r="R61" s="9">
        <f t="shared" si="22"/>
        <v>187640.82850023627</v>
      </c>
      <c r="S61" s="76">
        <f t="shared" si="23"/>
        <v>140802.82076674153</v>
      </c>
    </row>
    <row r="62" spans="1:19" x14ac:dyDescent="0.3">
      <c r="A62" s="14">
        <v>46</v>
      </c>
      <c r="B62" s="20">
        <v>2</v>
      </c>
      <c r="C62" s="9">
        <f>'Inversión Inicial'!E74</f>
        <v>0</v>
      </c>
      <c r="D62" s="9">
        <f>'COSTOS FIJOS'!H50</f>
        <v>1746.031746031746</v>
      </c>
      <c r="E62" s="9">
        <f>'COSTOS VARIABLES'!G50</f>
        <v>0</v>
      </c>
      <c r="F62" s="22">
        <f t="shared" si="15"/>
        <v>8430.81</v>
      </c>
      <c r="G62" s="9">
        <f t="shared" si="16"/>
        <v>252.92429999999999</v>
      </c>
      <c r="H62" s="21">
        <f t="shared" si="17"/>
        <v>1998.9560460317459</v>
      </c>
      <c r="I62" s="74"/>
      <c r="J62" s="16">
        <f>+J61+F62+'Otros Ingresos'!D52</f>
        <v>351288.35996934777</v>
      </c>
      <c r="K62" s="17">
        <f t="shared" si="24"/>
        <v>196779.60732079367</v>
      </c>
      <c r="L62" s="75">
        <f t="shared" si="18"/>
        <v>154508.7526485541</v>
      </c>
      <c r="M62" s="28">
        <f t="shared" si="19"/>
        <v>1.0677591677517895</v>
      </c>
      <c r="N62" s="8">
        <f t="shared" si="20"/>
        <v>45</v>
      </c>
      <c r="O62" s="9">
        <f>+(F62+'Otros Ingresos'!D52)/M62</f>
        <v>8241.6328886037682</v>
      </c>
      <c r="P62" s="9">
        <f t="shared" si="25"/>
        <v>1872.1038473878239</v>
      </c>
      <c r="Q62" s="9">
        <f t="shared" si="21"/>
        <v>336685.28215558158</v>
      </c>
      <c r="R62" s="9">
        <f t="shared" si="22"/>
        <v>189512.9323476241</v>
      </c>
      <c r="S62" s="76">
        <f t="shared" si="23"/>
        <v>147172.34980795748</v>
      </c>
    </row>
    <row r="63" spans="1:19" x14ac:dyDescent="0.3">
      <c r="A63" s="14">
        <v>47</v>
      </c>
      <c r="B63" s="20">
        <v>0</v>
      </c>
      <c r="C63" s="9">
        <f>'Inversión Inicial'!E75</f>
        <v>0</v>
      </c>
      <c r="D63" s="9">
        <f>'COSTOS FIJOS'!H51</f>
        <v>1746.031746031746</v>
      </c>
      <c r="E63" s="9">
        <f>'COSTOS VARIABLES'!G51</f>
        <v>0</v>
      </c>
      <c r="F63" s="22">
        <f t="shared" si="15"/>
        <v>5620.54</v>
      </c>
      <c r="G63" s="9">
        <f t="shared" si="16"/>
        <v>168.61619999999999</v>
      </c>
      <c r="H63" s="21">
        <f t="shared" si="17"/>
        <v>1914.647946031746</v>
      </c>
      <c r="I63" s="74"/>
      <c r="J63" s="16">
        <f>+J62+F63+'Otros Ingresos'!D53</f>
        <v>357295.17185096914</v>
      </c>
      <c r="K63" s="17">
        <f t="shared" si="24"/>
        <v>198694.25526682541</v>
      </c>
      <c r="L63" s="75">
        <f t="shared" si="18"/>
        <v>158600.91658414374</v>
      </c>
      <c r="M63" s="28">
        <f t="shared" si="19"/>
        <v>1.0693159606183715</v>
      </c>
      <c r="N63" s="8">
        <f t="shared" si="20"/>
        <v>46</v>
      </c>
      <c r="O63" s="9">
        <f>+(F63+'Otros Ingresos'!D53)/M63</f>
        <v>5617.4340446089709</v>
      </c>
      <c r="P63" s="9">
        <f t="shared" si="25"/>
        <v>1790.5352735261988</v>
      </c>
      <c r="Q63" s="9">
        <f t="shared" si="21"/>
        <v>342302.71620019054</v>
      </c>
      <c r="R63" s="9">
        <f t="shared" si="22"/>
        <v>191303.46762115031</v>
      </c>
      <c r="S63" s="76">
        <f t="shared" si="23"/>
        <v>150999.24857904023</v>
      </c>
    </row>
    <row r="64" spans="1:19" x14ac:dyDescent="0.3">
      <c r="A64" s="14">
        <v>48</v>
      </c>
      <c r="B64" s="20">
        <v>0</v>
      </c>
      <c r="C64" s="9">
        <f>'Inversión Inicial'!E76</f>
        <v>0</v>
      </c>
      <c r="D64" s="9">
        <f>'COSTOS FIJOS'!H52</f>
        <v>1746.031746031746</v>
      </c>
      <c r="E64" s="9">
        <f>'COSTOS VARIABLES'!G52</f>
        <v>3215.7711999999997</v>
      </c>
      <c r="F64" s="22">
        <f t="shared" si="15"/>
        <v>0</v>
      </c>
      <c r="G64" s="9">
        <f t="shared" si="16"/>
        <v>0</v>
      </c>
      <c r="H64" s="21">
        <f t="shared" si="17"/>
        <v>4961.8029460317457</v>
      </c>
      <c r="I64" s="32">
        <f>Impuestos!E11</f>
        <v>22683.140181666658</v>
      </c>
      <c r="J64" s="16">
        <f>+J63+F64+'Otros Ingresos'!D54</f>
        <v>357691.67414242949</v>
      </c>
      <c r="K64" s="17">
        <f t="shared" ref="K64:K76" si="26">+K63+H64+I64</f>
        <v>226339.19839452379</v>
      </c>
      <c r="L64" s="77">
        <f t="shared" si="18"/>
        <v>131352.4757479057</v>
      </c>
      <c r="M64" s="28">
        <f t="shared" si="19"/>
        <v>1.070875023288953</v>
      </c>
      <c r="N64" s="8">
        <f t="shared" si="20"/>
        <v>47</v>
      </c>
      <c r="O64" s="9">
        <f>+(F64+'Otros Ingresos'!D54)/M64</f>
        <v>370.26009836571899</v>
      </c>
      <c r="P64" s="9">
        <f t="shared" ref="P64:P76" si="27">+(H64+I64)/M64</f>
        <v>25815.284254920007</v>
      </c>
      <c r="Q64" s="9">
        <f t="shared" si="21"/>
        <v>342672.97629855626</v>
      </c>
      <c r="R64" s="9">
        <f t="shared" si="22"/>
        <v>217118.75187607031</v>
      </c>
      <c r="S64" s="76">
        <f t="shared" si="23"/>
        <v>125554.22442248595</v>
      </c>
    </row>
    <row r="65" spans="1:19" x14ac:dyDescent="0.3">
      <c r="A65" s="14">
        <v>49</v>
      </c>
      <c r="B65" s="20">
        <v>0</v>
      </c>
      <c r="C65" s="9">
        <f>'Inversión Inicial'!E77</f>
        <v>0</v>
      </c>
      <c r="D65" s="9">
        <f>'COSTOS FIJOS'!H53</f>
        <v>1746.031746031746</v>
      </c>
      <c r="E65" s="9">
        <f>'COSTOS VARIABLES'!G53</f>
        <v>0</v>
      </c>
      <c r="F65" s="22">
        <f t="shared" si="15"/>
        <v>0</v>
      </c>
      <c r="G65" s="9">
        <f t="shared" si="16"/>
        <v>0</v>
      </c>
      <c r="H65" s="21">
        <f t="shared" si="17"/>
        <v>1746.031746031746</v>
      </c>
      <c r="I65" s="74"/>
      <c r="J65" s="16">
        <f>+J64+F65+'Otros Ingresos'!D55</f>
        <v>358020.05533179926</v>
      </c>
      <c r="K65" s="17">
        <f>+K64+H65</f>
        <v>228085.23014055553</v>
      </c>
      <c r="L65" s="75">
        <f t="shared" si="18"/>
        <v>129934.82519124373</v>
      </c>
      <c r="M65" s="28">
        <f t="shared" si="19"/>
        <v>1.0724363590729082</v>
      </c>
      <c r="N65" s="8">
        <f t="shared" si="20"/>
        <v>48</v>
      </c>
      <c r="O65" s="9">
        <f>+(F65+'Otros Ingresos'!D55)/M65</f>
        <v>306.20109677523499</v>
      </c>
      <c r="P65" s="9">
        <f>+(H65)/M65</f>
        <v>1628.098237494617</v>
      </c>
      <c r="Q65" s="9">
        <f t="shared" si="21"/>
        <v>342979.1773953315</v>
      </c>
      <c r="R65" s="9">
        <f t="shared" si="22"/>
        <v>218746.85011356493</v>
      </c>
      <c r="S65" s="76">
        <f t="shared" si="23"/>
        <v>124232.32728176657</v>
      </c>
    </row>
    <row r="66" spans="1:19" x14ac:dyDescent="0.3">
      <c r="A66" s="14">
        <v>50</v>
      </c>
      <c r="B66" s="20">
        <v>5</v>
      </c>
      <c r="C66" s="9">
        <f>'Inversión Inicial'!E78</f>
        <v>0</v>
      </c>
      <c r="D66" s="9">
        <f>'COSTOS FIJOS'!H54</f>
        <v>1746.031746031746</v>
      </c>
      <c r="E66" s="9">
        <f>'COSTOS VARIABLES'!G54</f>
        <v>0</v>
      </c>
      <c r="F66" s="22">
        <f t="shared" si="15"/>
        <v>0</v>
      </c>
      <c r="G66" s="9">
        <f t="shared" si="16"/>
        <v>0</v>
      </c>
      <c r="H66" s="21">
        <f t="shared" si="17"/>
        <v>1746.031746031746</v>
      </c>
      <c r="I66" s="74"/>
      <c r="J66" s="16">
        <f>+J65+F66+'Otros Ingresos'!D56</f>
        <v>358344.89239477739</v>
      </c>
      <c r="K66" s="17">
        <f>+K65+H66</f>
        <v>229831.26188658728</v>
      </c>
      <c r="L66" s="75">
        <f t="shared" si="18"/>
        <v>128513.63050819011</v>
      </c>
      <c r="M66" s="28">
        <f t="shared" si="19"/>
        <v>1.0739999712844364</v>
      </c>
      <c r="N66" s="8">
        <f t="shared" si="20"/>
        <v>49</v>
      </c>
      <c r="O66" s="9">
        <f>+(F66+'Otros Ingresos'!D56)/M66</f>
        <v>302.45537398816185</v>
      </c>
      <c r="P66" s="9">
        <f>+(H66)/M66</f>
        <v>1625.7279261782494</v>
      </c>
      <c r="Q66" s="9">
        <f t="shared" si="21"/>
        <v>343281.63276931964</v>
      </c>
      <c r="R66" s="9">
        <f t="shared" si="22"/>
        <v>220372.57803974318</v>
      </c>
      <c r="S66" s="76">
        <f t="shared" si="23"/>
        <v>122909.05472957646</v>
      </c>
    </row>
    <row r="67" spans="1:19" x14ac:dyDescent="0.3">
      <c r="A67" s="14">
        <v>51</v>
      </c>
      <c r="B67" s="20">
        <v>5</v>
      </c>
      <c r="C67" s="9">
        <f>'Inversión Inicial'!E79</f>
        <v>0</v>
      </c>
      <c r="D67" s="9">
        <f>'COSTOS FIJOS'!H55</f>
        <v>1746.031746031746</v>
      </c>
      <c r="E67" s="9">
        <f>'COSTOS VARIABLES'!G55</f>
        <v>0</v>
      </c>
      <c r="F67" s="22">
        <f t="shared" si="15"/>
        <v>14051.35</v>
      </c>
      <c r="G67" s="9">
        <f t="shared" si="16"/>
        <v>421.54050000000001</v>
      </c>
      <c r="H67" s="21">
        <f t="shared" si="17"/>
        <v>2167.5722460317461</v>
      </c>
      <c r="I67" s="74"/>
      <c r="J67" s="16">
        <f>+J66+F67+'Otros Ingresos'!D57</f>
        <v>372717.52647104784</v>
      </c>
      <c r="K67" s="17">
        <f t="shared" ref="K67:K75" si="28">+K66+H67</f>
        <v>231998.83413261903</v>
      </c>
      <c r="L67" s="75">
        <f t="shared" si="18"/>
        <v>140718.69233842881</v>
      </c>
      <c r="M67" s="28">
        <f t="shared" si="19"/>
        <v>1.0755658632425691</v>
      </c>
      <c r="N67" s="8">
        <f t="shared" si="20"/>
        <v>50</v>
      </c>
      <c r="O67" s="9">
        <f>+(F67+'Otros Ingresos'!D57)/M67</f>
        <v>13362.858163739489</v>
      </c>
      <c r="P67" s="9">
        <f t="shared" ref="P67:P75" si="29">+(H67)/M67</f>
        <v>2015.2854605268371</v>
      </c>
      <c r="Q67" s="9">
        <f t="shared" si="21"/>
        <v>356644.49093305913</v>
      </c>
      <c r="R67" s="9">
        <f t="shared" si="22"/>
        <v>222387.86350027003</v>
      </c>
      <c r="S67" s="76">
        <f t="shared" si="23"/>
        <v>134256.6274327891</v>
      </c>
    </row>
    <row r="68" spans="1:19" x14ac:dyDescent="0.3">
      <c r="A68" s="14">
        <v>52</v>
      </c>
      <c r="B68" s="20">
        <v>0</v>
      </c>
      <c r="C68" s="9">
        <f>'Inversión Inicial'!E80</f>
        <v>0</v>
      </c>
      <c r="D68" s="9">
        <f>'COSTOS FIJOS'!H56</f>
        <v>1746.031746031746</v>
      </c>
      <c r="E68" s="9">
        <f>'COSTOS VARIABLES'!G56</f>
        <v>0</v>
      </c>
      <c r="F68" s="22">
        <f t="shared" si="15"/>
        <v>14051.35</v>
      </c>
      <c r="G68" s="9">
        <f t="shared" si="16"/>
        <v>421.54050000000001</v>
      </c>
      <c r="H68" s="21">
        <f t="shared" si="17"/>
        <v>2167.5722460317461</v>
      </c>
      <c r="I68" s="74"/>
      <c r="J68" s="16">
        <f>+J67+F68+'Otros Ingresos'!D58</f>
        <v>387120.67320189386</v>
      </c>
      <c r="K68" s="17">
        <f t="shared" si="28"/>
        <v>234166.40637865078</v>
      </c>
      <c r="L68" s="75">
        <f t="shared" si="18"/>
        <v>152954.26682324309</v>
      </c>
      <c r="M68" s="28">
        <f t="shared" si="19"/>
        <v>1.0771340382711769</v>
      </c>
      <c r="N68" s="8">
        <f t="shared" si="20"/>
        <v>51</v>
      </c>
      <c r="O68" s="9">
        <f>+(F68+'Otros Ingresos'!D58)/M68</f>
        <v>13371.731111536898</v>
      </c>
      <c r="P68" s="9">
        <f t="shared" si="29"/>
        <v>2012.3514521096611</v>
      </c>
      <c r="Q68" s="9">
        <f t="shared" si="21"/>
        <v>370016.22204459604</v>
      </c>
      <c r="R68" s="9">
        <f t="shared" si="22"/>
        <v>224400.2149523797</v>
      </c>
      <c r="S68" s="76">
        <f t="shared" si="23"/>
        <v>145616.00709221634</v>
      </c>
    </row>
    <row r="69" spans="1:19" x14ac:dyDescent="0.3">
      <c r="A69" s="14">
        <v>53</v>
      </c>
      <c r="B69" s="20">
        <v>0</v>
      </c>
      <c r="C69" s="9">
        <f>'Inversión Inicial'!E81</f>
        <v>0</v>
      </c>
      <c r="D69" s="9">
        <f>'COSTOS FIJOS'!H57</f>
        <v>1746.031746031746</v>
      </c>
      <c r="E69" s="9">
        <f>'COSTOS VARIABLES'!G57</f>
        <v>0</v>
      </c>
      <c r="F69" s="22">
        <f t="shared" si="15"/>
        <v>0</v>
      </c>
      <c r="G69" s="9">
        <f t="shared" si="16"/>
        <v>0</v>
      </c>
      <c r="H69" s="21">
        <f t="shared" si="17"/>
        <v>1746.031746031746</v>
      </c>
      <c r="I69" s="74"/>
      <c r="J69" s="16">
        <f>+J68+F69+'Otros Ingresos'!D59</f>
        <v>387503.05886895198</v>
      </c>
      <c r="K69" s="17">
        <f t="shared" si="28"/>
        <v>235912.43812468252</v>
      </c>
      <c r="L69" s="75">
        <f t="shared" si="18"/>
        <v>151590.62074426946</v>
      </c>
      <c r="M69" s="28">
        <f t="shared" si="19"/>
        <v>1.0787044996989759</v>
      </c>
      <c r="N69" s="8">
        <f t="shared" si="20"/>
        <v>52</v>
      </c>
      <c r="O69" s="9">
        <f>+(F69+'Otros Ingresos'!D59)/M69</f>
        <v>354.48602204293809</v>
      </c>
      <c r="P69" s="9">
        <f t="shared" si="29"/>
        <v>1618.6376774352893</v>
      </c>
      <c r="Q69" s="9">
        <f t="shared" si="21"/>
        <v>370370.70806663897</v>
      </c>
      <c r="R69" s="9">
        <f t="shared" si="22"/>
        <v>226018.852629815</v>
      </c>
      <c r="S69" s="76">
        <f t="shared" si="23"/>
        <v>144351.85543682397</v>
      </c>
    </row>
    <row r="70" spans="1:19" x14ac:dyDescent="0.3">
      <c r="A70" s="14">
        <v>54</v>
      </c>
      <c r="B70" s="20">
        <v>0</v>
      </c>
      <c r="C70" s="9">
        <f>'Inversión Inicial'!E82</f>
        <v>0</v>
      </c>
      <c r="D70" s="9">
        <f>'COSTOS FIJOS'!H58</f>
        <v>1746.031746031746</v>
      </c>
      <c r="E70" s="9">
        <f>'COSTOS VARIABLES'!G58</f>
        <v>0</v>
      </c>
      <c r="F70" s="22">
        <f t="shared" si="15"/>
        <v>0</v>
      </c>
      <c r="G70" s="9">
        <f t="shared" si="16"/>
        <v>0</v>
      </c>
      <c r="H70" s="21">
        <f t="shared" si="17"/>
        <v>1746.031746031746</v>
      </c>
      <c r="I70" s="74"/>
      <c r="J70" s="16">
        <f>+J69+F70+'Otros Ingresos'!D60</f>
        <v>387882.03542081267</v>
      </c>
      <c r="K70" s="17">
        <f t="shared" si="28"/>
        <v>237658.46987071427</v>
      </c>
      <c r="L70" s="77">
        <f t="shared" si="18"/>
        <v>150223.5655500984</v>
      </c>
      <c r="M70" s="28">
        <f t="shared" si="19"/>
        <v>1.0802772508595371</v>
      </c>
      <c r="N70" s="8">
        <f t="shared" si="20"/>
        <v>53</v>
      </c>
      <c r="O70" s="9">
        <f>+(F70+'Otros Ingresos'!D60)/M70</f>
        <v>350.81415586520575</v>
      </c>
      <c r="P70" s="9">
        <f t="shared" si="29"/>
        <v>1616.2811395338488</v>
      </c>
      <c r="Q70" s="9">
        <f t="shared" si="21"/>
        <v>370721.52222250419</v>
      </c>
      <c r="R70" s="9">
        <f t="shared" si="22"/>
        <v>227635.13376934885</v>
      </c>
      <c r="S70" s="76">
        <f t="shared" si="23"/>
        <v>143086.38845315535</v>
      </c>
    </row>
    <row r="71" spans="1:19" x14ac:dyDescent="0.3">
      <c r="A71" s="14">
        <v>55</v>
      </c>
      <c r="B71" s="20">
        <v>10</v>
      </c>
      <c r="C71" s="9">
        <f>'Inversión Inicial'!E83</f>
        <v>0</v>
      </c>
      <c r="D71" s="9">
        <f>'COSTOS FIJOS'!H59</f>
        <v>1746.031746031746</v>
      </c>
      <c r="E71" s="9">
        <f>'COSTOS VARIABLES'!G59</f>
        <v>0</v>
      </c>
      <c r="F71" s="22">
        <f t="shared" si="15"/>
        <v>0</v>
      </c>
      <c r="G71" s="9">
        <f t="shared" si="16"/>
        <v>0</v>
      </c>
      <c r="H71" s="21">
        <f t="shared" si="17"/>
        <v>1746.031746031746</v>
      </c>
      <c r="I71" s="74"/>
      <c r="J71" s="16">
        <f>+J70+F71+'Otros Ingresos'!D61</f>
        <v>388257.59433468792</v>
      </c>
      <c r="K71" s="17">
        <f t="shared" si="28"/>
        <v>239404.50161674601</v>
      </c>
      <c r="L71" s="75">
        <f t="shared" si="18"/>
        <v>148853.09271794191</v>
      </c>
      <c r="M71" s="28">
        <f t="shared" si="19"/>
        <v>1.0818522950912903</v>
      </c>
      <c r="N71" s="8">
        <f t="shared" si="20"/>
        <v>54</v>
      </c>
      <c r="O71" s="9">
        <f>+(F71+'Otros Ingresos'!D61)/M71</f>
        <v>347.14435194090436</v>
      </c>
      <c r="P71" s="9">
        <f t="shared" si="29"/>
        <v>1613.9280324625183</v>
      </c>
      <c r="Q71" s="9">
        <f t="shared" si="21"/>
        <v>371068.66657444509</v>
      </c>
      <c r="R71" s="9">
        <f t="shared" si="22"/>
        <v>229249.06180181136</v>
      </c>
      <c r="S71" s="76">
        <f t="shared" si="23"/>
        <v>141819.60477263373</v>
      </c>
    </row>
    <row r="72" spans="1:19" x14ac:dyDescent="0.3">
      <c r="A72" s="14">
        <v>56</v>
      </c>
      <c r="B72" s="20">
        <v>3</v>
      </c>
      <c r="C72" s="9">
        <f>'Inversión Inicial'!E84</f>
        <v>0</v>
      </c>
      <c r="D72" s="9">
        <f>'COSTOS FIJOS'!H60</f>
        <v>1746.031746031746</v>
      </c>
      <c r="E72" s="9">
        <f>'COSTOS VARIABLES'!G60</f>
        <v>0</v>
      </c>
      <c r="F72" s="22">
        <f t="shared" si="15"/>
        <v>28102.7</v>
      </c>
      <c r="G72" s="9">
        <f t="shared" si="16"/>
        <v>843.08100000000002</v>
      </c>
      <c r="H72" s="21">
        <f t="shared" si="17"/>
        <v>2589.1127460317462</v>
      </c>
      <c r="I72" s="74"/>
      <c r="J72" s="16">
        <f>+J71+F72+'Otros Ingresos'!D62</f>
        <v>416732.42706648278</v>
      </c>
      <c r="K72" s="17">
        <f t="shared" si="28"/>
        <v>241993.61436277776</v>
      </c>
      <c r="L72" s="75">
        <f t="shared" si="18"/>
        <v>174738.81270370501</v>
      </c>
      <c r="M72" s="28">
        <f t="shared" si="19"/>
        <v>1.0834296357375333</v>
      </c>
      <c r="N72" s="8">
        <f t="shared" si="20"/>
        <v>55</v>
      </c>
      <c r="O72" s="9">
        <f>+(F72+'Otros Ingresos'!D62)/M72</f>
        <v>26282.124646157492</v>
      </c>
      <c r="P72" s="9">
        <f t="shared" si="29"/>
        <v>2389.7377924956199</v>
      </c>
      <c r="Q72" s="9">
        <f t="shared" si="21"/>
        <v>397350.79122060258</v>
      </c>
      <c r="R72" s="9">
        <f t="shared" si="22"/>
        <v>231638.79959430697</v>
      </c>
      <c r="S72" s="76">
        <f t="shared" si="23"/>
        <v>165711.99162629561</v>
      </c>
    </row>
    <row r="73" spans="1:19" x14ac:dyDescent="0.3">
      <c r="A73" s="14">
        <v>57</v>
      </c>
      <c r="B73" s="20">
        <v>2</v>
      </c>
      <c r="C73" s="9">
        <f>'Inversión Inicial'!E85</f>
        <v>0</v>
      </c>
      <c r="D73" s="9">
        <f>'COSTOS FIJOS'!H61</f>
        <v>1746.031746031746</v>
      </c>
      <c r="E73" s="9">
        <f>'COSTOS VARIABLES'!G61</f>
        <v>0</v>
      </c>
      <c r="F73" s="22">
        <f t="shared" si="15"/>
        <v>8430.81</v>
      </c>
      <c r="G73" s="9">
        <f t="shared" si="16"/>
        <v>252.92429999999999</v>
      </c>
      <c r="H73" s="21">
        <f t="shared" si="17"/>
        <v>1998.9560460317459</v>
      </c>
      <c r="I73" s="74"/>
      <c r="J73" s="16">
        <f>+J72+F73+'Otros Ingresos'!D63</f>
        <v>425600.08409824205</v>
      </c>
      <c r="K73" s="17">
        <f t="shared" si="28"/>
        <v>243992.57040880952</v>
      </c>
      <c r="L73" s="75">
        <f t="shared" si="18"/>
        <v>181607.51368943253</v>
      </c>
      <c r="M73" s="28">
        <f t="shared" si="19"/>
        <v>1.0850092761464383</v>
      </c>
      <c r="N73" s="8">
        <f t="shared" si="20"/>
        <v>56</v>
      </c>
      <c r="O73" s="9">
        <f>+(F73+'Otros Ingresos'!D63)/M73</f>
        <v>8172.8859160116881</v>
      </c>
      <c r="P73" s="9">
        <f t="shared" si="29"/>
        <v>1842.3400518116464</v>
      </c>
      <c r="Q73" s="9">
        <f t="shared" si="21"/>
        <v>405523.67713661428</v>
      </c>
      <c r="R73" s="9">
        <f t="shared" si="22"/>
        <v>233481.13964611862</v>
      </c>
      <c r="S73" s="76">
        <f t="shared" si="23"/>
        <v>172042.53749049566</v>
      </c>
    </row>
    <row r="74" spans="1:19" x14ac:dyDescent="0.3">
      <c r="A74" s="14">
        <v>58</v>
      </c>
      <c r="B74" s="20">
        <v>0</v>
      </c>
      <c r="C74" s="9">
        <f>'Inversión Inicial'!E86</f>
        <v>0</v>
      </c>
      <c r="D74" s="9">
        <f>'COSTOS FIJOS'!H62</f>
        <v>1746.031746031746</v>
      </c>
      <c r="E74" s="9">
        <f>'COSTOS VARIABLES'!G62</f>
        <v>0</v>
      </c>
      <c r="F74" s="22">
        <f t="shared" si="15"/>
        <v>5620.54</v>
      </c>
      <c r="G74" s="9">
        <f t="shared" si="16"/>
        <v>168.61619999999999</v>
      </c>
      <c r="H74" s="21">
        <f t="shared" si="17"/>
        <v>1914.647946031746</v>
      </c>
      <c r="I74" s="74"/>
      <c r="J74" s="16">
        <f>+J73+F74+'Otros Ingresos'!D64</f>
        <v>431674.64288246562</v>
      </c>
      <c r="K74" s="17">
        <f t="shared" si="28"/>
        <v>245907.21835484126</v>
      </c>
      <c r="L74" s="75">
        <f t="shared" si="18"/>
        <v>185767.42452762436</v>
      </c>
      <c r="M74" s="28">
        <f t="shared" si="19"/>
        <v>1.0865912196710599</v>
      </c>
      <c r="N74" s="8">
        <f t="shared" si="20"/>
        <v>57</v>
      </c>
      <c r="O74" s="9">
        <f>+(F74+'Otros Ingresos'!D64)/M74</f>
        <v>5590.4729158979508</v>
      </c>
      <c r="P74" s="9">
        <f t="shared" si="29"/>
        <v>1762.0683025686153</v>
      </c>
      <c r="Q74" s="9">
        <f t="shared" si="21"/>
        <v>411114.15005251224</v>
      </c>
      <c r="R74" s="9">
        <f t="shared" si="22"/>
        <v>235243.20794868722</v>
      </c>
      <c r="S74" s="76">
        <f t="shared" si="23"/>
        <v>175870.94210382501</v>
      </c>
    </row>
    <row r="75" spans="1:19" x14ac:dyDescent="0.3">
      <c r="A75" s="14">
        <v>59</v>
      </c>
      <c r="B75" s="20">
        <v>0</v>
      </c>
      <c r="C75" s="9">
        <f>'Inversión Inicial'!E87</f>
        <v>0</v>
      </c>
      <c r="D75" s="9">
        <f>'COSTOS FIJOS'!H63</f>
        <v>1746.031746031746</v>
      </c>
      <c r="E75" s="9">
        <f>'COSTOS VARIABLES'!G63</f>
        <v>0</v>
      </c>
      <c r="F75" s="22">
        <f t="shared" si="15"/>
        <v>0</v>
      </c>
      <c r="G75" s="9">
        <f t="shared" si="16"/>
        <v>0</v>
      </c>
      <c r="H75" s="21">
        <f t="shared" si="17"/>
        <v>1746.031746031746</v>
      </c>
      <c r="I75" s="74"/>
      <c r="J75" s="16">
        <f>+J74+F75+'Otros Ingresos'!D65</f>
        <v>432139.06144378468</v>
      </c>
      <c r="K75" s="17">
        <f t="shared" si="28"/>
        <v>247653.250100873</v>
      </c>
      <c r="L75" s="75">
        <f t="shared" si="18"/>
        <v>184485.81134291168</v>
      </c>
      <c r="M75" s="28">
        <f t="shared" si="19"/>
        <v>1.08817546966934</v>
      </c>
      <c r="N75" s="8">
        <f t="shared" si="20"/>
        <v>58</v>
      </c>
      <c r="O75" s="9">
        <f>+(F75+'Otros Ingresos'!D65)/M75</f>
        <v>426.78646437433667</v>
      </c>
      <c r="P75" s="9">
        <f t="shared" si="29"/>
        <v>1604.5498126899574</v>
      </c>
      <c r="Q75" s="9">
        <f t="shared" si="21"/>
        <v>411540.93651688658</v>
      </c>
      <c r="R75" s="9">
        <f t="shared" si="22"/>
        <v>236847.75776137717</v>
      </c>
      <c r="S75" s="76">
        <f t="shared" si="23"/>
        <v>174693.17875550941</v>
      </c>
    </row>
    <row r="76" spans="1:19" x14ac:dyDescent="0.3">
      <c r="A76" s="14">
        <v>60</v>
      </c>
      <c r="B76" s="20">
        <v>0</v>
      </c>
      <c r="C76" s="9">
        <f>'Inversión Inicial'!E88</f>
        <v>0</v>
      </c>
      <c r="D76" s="9">
        <f>'COSTOS FIJOS'!H64</f>
        <v>1746.031746031746</v>
      </c>
      <c r="E76" s="9">
        <f>'COSTOS VARIABLES'!G64</f>
        <v>0</v>
      </c>
      <c r="F76" s="22">
        <f t="shared" si="15"/>
        <v>0</v>
      </c>
      <c r="G76" s="9">
        <f t="shared" si="16"/>
        <v>0</v>
      </c>
      <c r="H76" s="21">
        <f t="shared" si="17"/>
        <v>1746.031746031746</v>
      </c>
      <c r="I76" s="32">
        <f>Impuestos!F11</f>
        <v>16518.83329166667</v>
      </c>
      <c r="J76" s="16">
        <f>+J75+F76+'Otros Ingresos'!D66</f>
        <v>432600.27597214194</v>
      </c>
      <c r="K76" s="17">
        <f t="shared" si="26"/>
        <v>265918.11513857142</v>
      </c>
      <c r="L76" s="73">
        <f t="shared" si="18"/>
        <v>166682.16083357052</v>
      </c>
      <c r="M76" s="28">
        <f t="shared" si="19"/>
        <v>1.0897620295041182</v>
      </c>
      <c r="N76" s="8">
        <f t="shared" si="20"/>
        <v>59</v>
      </c>
      <c r="O76" s="9">
        <f>+(F76+'Otros Ingresos'!D66)/M76</f>
        <v>423.22499396235048</v>
      </c>
      <c r="P76" s="9">
        <f t="shared" si="27"/>
        <v>16760.416075434012</v>
      </c>
      <c r="Q76" s="9">
        <f t="shared" si="21"/>
        <v>411964.16151084891</v>
      </c>
      <c r="R76" s="9">
        <f t="shared" si="22"/>
        <v>253608.17383681118</v>
      </c>
      <c r="S76" s="78">
        <f t="shared" si="23"/>
        <v>158355.98767403772</v>
      </c>
    </row>
    <row r="77" spans="1:19" x14ac:dyDescent="0.3">
      <c r="A77" s="10" t="s">
        <v>30</v>
      </c>
      <c r="B77" s="10">
        <f>SUM(B23:B76)</f>
        <v>150</v>
      </c>
      <c r="C77" s="11">
        <f t="shared" ref="C77:E77" si="30">SUM(C17:C52)</f>
        <v>0</v>
      </c>
      <c r="D77" s="11">
        <f>SUM(D17:D76)</f>
        <v>104761.90476190475</v>
      </c>
      <c r="E77" s="11">
        <f t="shared" si="30"/>
        <v>38589.254399999998</v>
      </c>
      <c r="F77" s="23">
        <f>SUM(F17:F76)</f>
        <v>421540.49999999983</v>
      </c>
      <c r="G77" s="11">
        <f>SUM(G17:G76)</f>
        <v>12646.214999999998</v>
      </c>
      <c r="H77" s="12">
        <f>SUM(H17:H76)</f>
        <v>165644.68776190476</v>
      </c>
      <c r="I77" s="12">
        <f>SUM(I17:I76)</f>
        <v>100273.42737666666</v>
      </c>
      <c r="J77" s="12"/>
      <c r="K77" s="12"/>
      <c r="L77" s="13"/>
    </row>
    <row r="78" spans="1:19" x14ac:dyDescent="0.3">
      <c r="P78" s="7"/>
      <c r="Q78" s="7"/>
    </row>
    <row r="81" spans="1:19" x14ac:dyDescent="0.3">
      <c r="A81" t="s">
        <v>91</v>
      </c>
    </row>
    <row r="85" spans="1:19" x14ac:dyDescent="0.3">
      <c r="S85" t="s">
        <v>92</v>
      </c>
    </row>
    <row r="141" spans="2:2" x14ac:dyDescent="0.3">
      <c r="B141" t="s">
        <v>10</v>
      </c>
    </row>
    <row r="142" spans="2:2" x14ac:dyDescent="0.3">
      <c r="B142" t="s">
        <v>11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5E248-A52F-4A1B-8A9E-4C22CB066B82}">
  <dimension ref="A4:L13"/>
  <sheetViews>
    <sheetView workbookViewId="0">
      <selection activeCell="L6" sqref="L6"/>
    </sheetView>
  </sheetViews>
  <sheetFormatPr baseColWidth="10" defaultRowHeight="14.4" x14ac:dyDescent="0.3"/>
  <cols>
    <col min="1" max="1" width="6.33203125" bestFit="1" customWidth="1"/>
    <col min="2" max="2" width="17.21875" bestFit="1" customWidth="1"/>
    <col min="3" max="3" width="12.6640625" bestFit="1" customWidth="1"/>
    <col min="4" max="4" width="17.6640625" bestFit="1" customWidth="1"/>
    <col min="5" max="5" width="12.88671875" bestFit="1" customWidth="1"/>
    <col min="6" max="6" width="11.77734375" bestFit="1" customWidth="1"/>
    <col min="7" max="7" width="26" customWidth="1"/>
    <col min="8" max="8" width="14.33203125" customWidth="1"/>
    <col min="9" max="9" width="24.88671875" customWidth="1"/>
    <col min="11" max="11" width="19.21875" bestFit="1" customWidth="1"/>
    <col min="12" max="12" width="11.6640625" bestFit="1" customWidth="1"/>
  </cols>
  <sheetData>
    <row r="4" spans="1:12" x14ac:dyDescent="0.3">
      <c r="B4" s="1" t="s">
        <v>4</v>
      </c>
      <c r="C4" s="1" t="s">
        <v>12</v>
      </c>
      <c r="D4" s="1" t="s">
        <v>19</v>
      </c>
      <c r="E4" s="1" t="s">
        <v>56</v>
      </c>
      <c r="F4" s="1" t="s">
        <v>71</v>
      </c>
      <c r="G4" s="1" t="s">
        <v>74</v>
      </c>
      <c r="H4" s="1" t="s">
        <v>72</v>
      </c>
      <c r="I4" s="1" t="s">
        <v>73</v>
      </c>
      <c r="J4" s="1"/>
      <c r="K4" s="1" t="s">
        <v>69</v>
      </c>
      <c r="L4" s="1" t="s">
        <v>70</v>
      </c>
    </row>
    <row r="6" spans="1:12" x14ac:dyDescent="0.3">
      <c r="A6" s="1" t="s">
        <v>66</v>
      </c>
      <c r="B6" s="7">
        <f>-SUM(Resumen!C17:C28)</f>
        <v>0</v>
      </c>
      <c r="C6" s="7">
        <f>-SUM(Resumen!D17:D28)</f>
        <v>-20952.38095238095</v>
      </c>
      <c r="D6" s="7">
        <f>-SUM(Resumen!E17:E28)</f>
        <v>-9647.3135999999995</v>
      </c>
      <c r="E6" s="32">
        <f>SUM(Resumen!F17:F28)</f>
        <v>0</v>
      </c>
      <c r="F6" s="7">
        <f>-SUM(Resumen!G17:G28)</f>
        <v>0</v>
      </c>
      <c r="G6" s="65">
        <f>+E6+D6+C6+B6+F6</f>
        <v>-30599.694552380948</v>
      </c>
      <c r="H6" s="65">
        <f>IF(G6&gt;0,-G6*0.35,0)</f>
        <v>0</v>
      </c>
      <c r="I6" s="65">
        <f t="shared" ref="I6:I7" si="0">+G6+H6</f>
        <v>-30599.694552380948</v>
      </c>
      <c r="K6" s="67">
        <f>SUM(Resumen!B17:B28)</f>
        <v>0</v>
      </c>
      <c r="L6">
        <f>Resumen!C6</f>
        <v>2810.27</v>
      </c>
    </row>
    <row r="7" spans="1:12" x14ac:dyDescent="0.3">
      <c r="A7" s="1" t="s">
        <v>67</v>
      </c>
      <c r="C7" s="7">
        <f>-SUM(Resumen!D29:D40)</f>
        <v>-20952.38095238095</v>
      </c>
      <c r="D7" s="7">
        <f>-SUM(Resumen!E29:E40)</f>
        <v>-12863.084799999999</v>
      </c>
      <c r="E7" s="32">
        <f>SUM(Resumen!F29:F40)</f>
        <v>98359.450000000012</v>
      </c>
      <c r="F7" s="7">
        <f>-SUM(Resumen!G29:G40)</f>
        <v>-2950.7835</v>
      </c>
      <c r="G7" s="66">
        <f t="shared" ref="G7:G8" si="1">+E7+D7+C7+B7+F7</f>
        <v>61593.20074761907</v>
      </c>
      <c r="H7" s="65">
        <f>IF(G7&gt;0,-G7*0.35,0)</f>
        <v>-21557.620261666674</v>
      </c>
      <c r="I7" s="66">
        <f t="shared" si="0"/>
        <v>40035.580485952392</v>
      </c>
      <c r="K7" s="67">
        <f>SUM(Resumen!B29:B40)</f>
        <v>35</v>
      </c>
    </row>
    <row r="8" spans="1:12" x14ac:dyDescent="0.3">
      <c r="A8" s="1" t="s">
        <v>68</v>
      </c>
      <c r="C8" s="7">
        <f>-SUM(Resumen!D41:D52)</f>
        <v>-20952.38095238095</v>
      </c>
      <c r="D8" s="7">
        <f>-SUM(Resumen!E41:E52)</f>
        <v>-16078.856</v>
      </c>
      <c r="E8" s="32">
        <f>SUM(Resumen!F41:F52)</f>
        <v>154564.85</v>
      </c>
      <c r="F8" s="7">
        <f>-SUM(Resumen!G41:G52)</f>
        <v>-4636.9454999999998</v>
      </c>
      <c r="G8" s="66">
        <f t="shared" si="1"/>
        <v>112896.66754761906</v>
      </c>
      <c r="H8" s="65">
        <f>IF(G8&gt;0,-G8*0.35,0)</f>
        <v>-39513.833641666664</v>
      </c>
      <c r="I8" s="66">
        <f>+G8+H8</f>
        <v>73382.833905952401</v>
      </c>
      <c r="K8" s="67">
        <f>SUM(Resumen!B41:B52)</f>
        <v>55</v>
      </c>
    </row>
    <row r="10" spans="1:12" x14ac:dyDescent="0.3">
      <c r="B10" s="66">
        <f t="shared" ref="B10:D10" si="2">SUM(B6:B9)</f>
        <v>0</v>
      </c>
      <c r="C10" s="66">
        <f t="shared" si="2"/>
        <v>-62857.142857142855</v>
      </c>
      <c r="D10" s="66">
        <f t="shared" si="2"/>
        <v>-38589.254399999998</v>
      </c>
      <c r="E10" s="66">
        <f>SUM(E6:E9)</f>
        <v>252924.30000000002</v>
      </c>
      <c r="F10" s="66">
        <f>SUM(F6:F9)</f>
        <v>-7587.7289999999994</v>
      </c>
      <c r="G10" s="66">
        <f t="shared" ref="G10:I10" si="3">SUM(G6:G9)</f>
        <v>143890.17374285718</v>
      </c>
      <c r="H10" s="66">
        <f t="shared" si="3"/>
        <v>-61071.453903333342</v>
      </c>
      <c r="I10" s="66">
        <f t="shared" si="3"/>
        <v>82818.719839523837</v>
      </c>
    </row>
    <row r="13" spans="1:12" x14ac:dyDescent="0.3">
      <c r="C13" s="68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B1E22-8D6C-4B0F-8B71-1E43662FC3A8}">
  <sheetPr>
    <tabColor theme="8" tint="0.59999389629810485"/>
  </sheetPr>
  <dimension ref="A1:D66"/>
  <sheetViews>
    <sheetView workbookViewId="0">
      <selection activeCell="B26" sqref="B26"/>
    </sheetView>
  </sheetViews>
  <sheetFormatPr baseColWidth="10" defaultRowHeight="14.4" x14ac:dyDescent="0.3"/>
  <cols>
    <col min="2" max="2" width="13.44140625" bestFit="1" customWidth="1"/>
    <col min="3" max="3" width="12.33203125" bestFit="1" customWidth="1"/>
  </cols>
  <sheetData>
    <row r="1" spans="1:4" x14ac:dyDescent="0.3">
      <c r="A1" t="s">
        <v>61</v>
      </c>
    </row>
    <row r="3" spans="1:4" x14ac:dyDescent="0.3">
      <c r="A3" t="s">
        <v>65</v>
      </c>
    </row>
    <row r="6" spans="1:4" x14ac:dyDescent="0.3">
      <c r="A6" t="str">
        <f>Resumen!A16</f>
        <v>MES</v>
      </c>
      <c r="B6" t="s">
        <v>62</v>
      </c>
      <c r="C6" t="s">
        <v>63</v>
      </c>
      <c r="D6" t="s">
        <v>64</v>
      </c>
    </row>
    <row r="7" spans="1:4" x14ac:dyDescent="0.3">
      <c r="A7">
        <f>Resumen!A17</f>
        <v>1</v>
      </c>
      <c r="B7" s="7">
        <f>Resumen!L17</f>
        <v>-1746.031746031746</v>
      </c>
      <c r="C7" s="5">
        <f>IF(B7&gt;0,B7,0)</f>
        <v>0</v>
      </c>
      <c r="D7" s="5">
        <v>0</v>
      </c>
    </row>
    <row r="8" spans="1:4" x14ac:dyDescent="0.3">
      <c r="A8">
        <f>Resumen!A18</f>
        <v>2</v>
      </c>
      <c r="B8" s="7">
        <f>Resumen!L18</f>
        <v>-3492.063492063492</v>
      </c>
      <c r="C8" s="5">
        <f t="shared" ref="C8:C42" si="0">IF(B8&gt;0,B8,0)</f>
        <v>0</v>
      </c>
      <c r="D8" s="5">
        <v>0</v>
      </c>
    </row>
    <row r="9" spans="1:4" x14ac:dyDescent="0.3">
      <c r="A9">
        <f>Resumen!A19</f>
        <v>3</v>
      </c>
      <c r="B9" s="7">
        <f>Resumen!L19</f>
        <v>-5238.0952380952385</v>
      </c>
      <c r="C9" s="5">
        <f t="shared" si="0"/>
        <v>0</v>
      </c>
      <c r="D9" s="5">
        <v>0</v>
      </c>
    </row>
    <row r="10" spans="1:4" x14ac:dyDescent="0.3">
      <c r="A10">
        <f>Resumen!A20</f>
        <v>4</v>
      </c>
      <c r="B10" s="7">
        <f>Resumen!L20</f>
        <v>-6984.1269841269841</v>
      </c>
      <c r="C10" s="5">
        <f t="shared" si="0"/>
        <v>0</v>
      </c>
      <c r="D10" s="5">
        <v>0</v>
      </c>
    </row>
    <row r="11" spans="1:4" x14ac:dyDescent="0.3">
      <c r="A11">
        <f>Resumen!A21</f>
        <v>5</v>
      </c>
      <c r="B11" s="7">
        <f>Resumen!L21</f>
        <v>-8730.1587301587297</v>
      </c>
      <c r="C11" s="5">
        <f t="shared" si="0"/>
        <v>0</v>
      </c>
      <c r="D11" s="5">
        <v>0</v>
      </c>
    </row>
    <row r="12" spans="1:4" x14ac:dyDescent="0.3">
      <c r="A12">
        <f>Resumen!A22</f>
        <v>6</v>
      </c>
      <c r="B12" s="7">
        <f>Resumen!L22</f>
        <v>-13691.961676190476</v>
      </c>
      <c r="C12" s="5">
        <f t="shared" si="0"/>
        <v>0</v>
      </c>
      <c r="D12" s="5">
        <v>0</v>
      </c>
    </row>
    <row r="13" spans="1:4" x14ac:dyDescent="0.3">
      <c r="A13">
        <f>Resumen!A23</f>
        <v>7</v>
      </c>
      <c r="B13" s="7">
        <f>Resumen!L23</f>
        <v>-15437.993422222222</v>
      </c>
      <c r="C13" s="5">
        <f t="shared" si="0"/>
        <v>0</v>
      </c>
      <c r="D13" s="5">
        <v>0</v>
      </c>
    </row>
    <row r="14" spans="1:4" x14ac:dyDescent="0.3">
      <c r="A14">
        <f>Resumen!A24</f>
        <v>8</v>
      </c>
      <c r="B14" s="7">
        <f>Resumen!L24</f>
        <v>-17184.025168253967</v>
      </c>
      <c r="C14" s="5">
        <f t="shared" si="0"/>
        <v>0</v>
      </c>
      <c r="D14" s="5">
        <v>0</v>
      </c>
    </row>
    <row r="15" spans="1:4" x14ac:dyDescent="0.3">
      <c r="A15">
        <f>Resumen!A25</f>
        <v>9</v>
      </c>
      <c r="B15" s="7">
        <f>Resumen!L25</f>
        <v>-18930.056914285713</v>
      </c>
      <c r="C15" s="5">
        <f t="shared" si="0"/>
        <v>0</v>
      </c>
      <c r="D15" s="5">
        <v>0</v>
      </c>
    </row>
    <row r="16" spans="1:4" x14ac:dyDescent="0.3">
      <c r="A16">
        <f>Resumen!A26</f>
        <v>10</v>
      </c>
      <c r="B16" s="7">
        <f>Resumen!L26</f>
        <v>-20676.088660317459</v>
      </c>
      <c r="C16" s="5">
        <f t="shared" si="0"/>
        <v>0</v>
      </c>
      <c r="D16" s="5">
        <v>0</v>
      </c>
    </row>
    <row r="17" spans="1:4" x14ac:dyDescent="0.3">
      <c r="A17">
        <f>Resumen!A27</f>
        <v>11</v>
      </c>
      <c r="B17" s="7">
        <f>Resumen!L27</f>
        <v>-22422.120406349204</v>
      </c>
      <c r="C17" s="5">
        <f t="shared" si="0"/>
        <v>0</v>
      </c>
      <c r="D17" s="5">
        <v>0</v>
      </c>
    </row>
    <row r="18" spans="1:4" x14ac:dyDescent="0.3">
      <c r="A18">
        <f>Resumen!A28</f>
        <v>12</v>
      </c>
      <c r="B18" s="7">
        <f>Resumen!L28</f>
        <v>-30599.694552380948</v>
      </c>
      <c r="C18" s="5">
        <f t="shared" si="0"/>
        <v>0</v>
      </c>
      <c r="D18" s="5">
        <v>0</v>
      </c>
    </row>
    <row r="19" spans="1:4" x14ac:dyDescent="0.3">
      <c r="A19">
        <f>Resumen!A29</f>
        <v>13</v>
      </c>
      <c r="B19" s="7">
        <f>Resumen!L29</f>
        <v>-32345.726298412694</v>
      </c>
      <c r="C19" s="5">
        <f t="shared" si="0"/>
        <v>0</v>
      </c>
      <c r="D19" s="5">
        <v>0</v>
      </c>
    </row>
    <row r="20" spans="1:4" x14ac:dyDescent="0.3">
      <c r="A20">
        <f>Resumen!A30</f>
        <v>14</v>
      </c>
      <c r="B20" s="7">
        <f>Resumen!L30</f>
        <v>-34091.758044444439</v>
      </c>
      <c r="C20" s="5">
        <f t="shared" si="0"/>
        <v>0</v>
      </c>
      <c r="D20" s="5">
        <v>0</v>
      </c>
    </row>
    <row r="21" spans="1:4" x14ac:dyDescent="0.3">
      <c r="A21">
        <f>Resumen!A31</f>
        <v>15</v>
      </c>
      <c r="B21" s="7">
        <f>Resumen!L31</f>
        <v>-35837.789790476185</v>
      </c>
      <c r="C21" s="5">
        <f t="shared" si="0"/>
        <v>0</v>
      </c>
      <c r="D21" s="5">
        <v>0</v>
      </c>
    </row>
    <row r="22" spans="1:4" x14ac:dyDescent="0.3">
      <c r="A22">
        <f>Resumen!A32</f>
        <v>16</v>
      </c>
      <c r="B22" s="7">
        <f>Resumen!L32</f>
        <v>-37583.82153650793</v>
      </c>
      <c r="C22" s="5">
        <f t="shared" si="0"/>
        <v>0</v>
      </c>
      <c r="D22" s="5">
        <v>0</v>
      </c>
    </row>
    <row r="23" spans="1:4" x14ac:dyDescent="0.3">
      <c r="A23">
        <f>Resumen!A33</f>
        <v>17</v>
      </c>
      <c r="B23" s="7">
        <f>Resumen!L33</f>
        <v>-39329.853282539676</v>
      </c>
      <c r="C23" s="5">
        <f t="shared" si="0"/>
        <v>0</v>
      </c>
      <c r="D23" s="5">
        <v>0</v>
      </c>
    </row>
    <row r="24" spans="1:4" x14ac:dyDescent="0.3">
      <c r="A24">
        <f>Resumen!A34</f>
        <v>18</v>
      </c>
      <c r="B24" s="7">
        <f>Resumen!L34</f>
        <v>-47507.42742857142</v>
      </c>
      <c r="C24" s="5">
        <f t="shared" si="0"/>
        <v>0</v>
      </c>
      <c r="D24" s="5">
        <v>0</v>
      </c>
    </row>
    <row r="25" spans="1:4" x14ac:dyDescent="0.3">
      <c r="A25">
        <f>Resumen!A35</f>
        <v>19</v>
      </c>
      <c r="B25" s="7">
        <f>Resumen!L35</f>
        <v>-49253.459174603166</v>
      </c>
      <c r="C25" s="5">
        <f t="shared" si="0"/>
        <v>0</v>
      </c>
      <c r="D25" s="5">
        <v>0</v>
      </c>
    </row>
    <row r="26" spans="1:4" x14ac:dyDescent="0.3">
      <c r="A26">
        <f>Resumen!A36</f>
        <v>20</v>
      </c>
      <c r="B26" s="7">
        <f>Resumen!L36</f>
        <v>-10110.062420634909</v>
      </c>
      <c r="C26" s="5">
        <f t="shared" si="0"/>
        <v>0</v>
      </c>
      <c r="D26" s="5">
        <f t="shared" ref="D26:D42" si="1">+C25*TasaPAsiva/12</f>
        <v>0</v>
      </c>
    </row>
    <row r="27" spans="1:4" x14ac:dyDescent="0.3">
      <c r="A27">
        <f>Resumen!A37</f>
        <v>21</v>
      </c>
      <c r="B27" s="7">
        <f>Resumen!L37</f>
        <v>15403.524833333344</v>
      </c>
      <c r="C27" s="5">
        <f t="shared" si="0"/>
        <v>15403.524833333344</v>
      </c>
      <c r="D27" s="5">
        <f t="shared" si="1"/>
        <v>0</v>
      </c>
    </row>
    <row r="28" spans="1:4" x14ac:dyDescent="0.3">
      <c r="A28">
        <f>Resumen!A38</f>
        <v>22</v>
      </c>
      <c r="B28" s="7">
        <f>Resumen!L38</f>
        <v>27325.81139938494</v>
      </c>
      <c r="C28" s="5">
        <f t="shared" si="0"/>
        <v>27325.81139938494</v>
      </c>
      <c r="D28" s="5">
        <f t="shared" si="1"/>
        <v>38.50881208333336</v>
      </c>
    </row>
    <row r="29" spans="1:4" x14ac:dyDescent="0.3">
      <c r="A29">
        <f>Resumen!A39</f>
        <v>23</v>
      </c>
      <c r="B29" s="7">
        <f>Resumen!L39</f>
        <v>39277.903681851662</v>
      </c>
      <c r="C29" s="5">
        <f t="shared" si="0"/>
        <v>39277.903681851662</v>
      </c>
      <c r="D29" s="5">
        <f t="shared" si="1"/>
        <v>68.314528498462352</v>
      </c>
    </row>
    <row r="30" spans="1:4" x14ac:dyDescent="0.3">
      <c r="A30">
        <f>Resumen!A40</f>
        <v>24</v>
      </c>
      <c r="B30" s="7">
        <f>Resumen!L40</f>
        <v>9640.9040333578741</v>
      </c>
      <c r="C30" s="5">
        <f t="shared" si="0"/>
        <v>9640.9040333578741</v>
      </c>
      <c r="D30" s="5">
        <f t="shared" si="1"/>
        <v>98.194759204629136</v>
      </c>
    </row>
    <row r="31" spans="1:4" x14ac:dyDescent="0.3">
      <c r="A31">
        <f>Resumen!A41</f>
        <v>25</v>
      </c>
      <c r="B31" s="7">
        <f>Resumen!L41</f>
        <v>7918.9745474095253</v>
      </c>
      <c r="C31" s="5">
        <f t="shared" si="0"/>
        <v>7918.9745474095253</v>
      </c>
      <c r="D31" s="5">
        <f t="shared" si="1"/>
        <v>24.102260083394683</v>
      </c>
    </row>
    <row r="32" spans="1:4" x14ac:dyDescent="0.3">
      <c r="A32">
        <f>Resumen!A42</f>
        <v>26</v>
      </c>
      <c r="B32" s="7">
        <f>Resumen!L42</f>
        <v>60711.978237746327</v>
      </c>
      <c r="C32" s="5">
        <f t="shared" si="0"/>
        <v>60711.978237746327</v>
      </c>
      <c r="D32" s="5">
        <f t="shared" si="1"/>
        <v>19.797436368523812</v>
      </c>
    </row>
    <row r="33" spans="1:4" x14ac:dyDescent="0.3">
      <c r="A33">
        <f>Resumen!A43</f>
        <v>27</v>
      </c>
      <c r="B33" s="7">
        <f>Resumen!L43</f>
        <v>72747.53593730896</v>
      </c>
      <c r="C33" s="5">
        <f t="shared" si="0"/>
        <v>72747.53593730896</v>
      </c>
      <c r="D33" s="5">
        <f t="shared" si="1"/>
        <v>151.77994559436581</v>
      </c>
    </row>
    <row r="34" spans="1:4" x14ac:dyDescent="0.3">
      <c r="A34">
        <f>Resumen!A44</f>
        <v>28</v>
      </c>
      <c r="B34" s="7">
        <f>Resumen!L44</f>
        <v>84813.182531120503</v>
      </c>
      <c r="C34" s="5">
        <f t="shared" si="0"/>
        <v>84813.182531120503</v>
      </c>
      <c r="D34" s="5">
        <f t="shared" si="1"/>
        <v>181.86883984327241</v>
      </c>
    </row>
    <row r="35" spans="1:4" x14ac:dyDescent="0.3">
      <c r="A35">
        <f>Resumen!A45</f>
        <v>29</v>
      </c>
      <c r="B35" s="7">
        <f>Resumen!L45</f>
        <v>96908.993241416567</v>
      </c>
      <c r="C35" s="5">
        <f t="shared" si="0"/>
        <v>96908.993241416567</v>
      </c>
      <c r="D35" s="5">
        <f t="shared" si="1"/>
        <v>212.03295632780126</v>
      </c>
    </row>
    <row r="36" spans="1:4" x14ac:dyDescent="0.3">
      <c r="A36">
        <f>Resumen!A46</f>
        <v>30</v>
      </c>
      <c r="B36" s="7">
        <f>Resumen!L46</f>
        <v>85757.920378488358</v>
      </c>
      <c r="C36" s="5">
        <f t="shared" si="0"/>
        <v>85757.920378488358</v>
      </c>
      <c r="D36" s="5">
        <f t="shared" si="1"/>
        <v>242.27248310354139</v>
      </c>
    </row>
    <row r="37" spans="1:4" x14ac:dyDescent="0.3">
      <c r="A37">
        <f>Resumen!A47</f>
        <v>31</v>
      </c>
      <c r="B37" s="7">
        <f>Resumen!L47</f>
        <v>84226.283433402845</v>
      </c>
      <c r="C37" s="5">
        <f t="shared" si="0"/>
        <v>84226.283433402845</v>
      </c>
      <c r="D37" s="5">
        <f t="shared" si="1"/>
        <v>214.3948009462209</v>
      </c>
    </row>
    <row r="38" spans="1:4" x14ac:dyDescent="0.3">
      <c r="A38">
        <f>Resumen!A48</f>
        <v>32</v>
      </c>
      <c r="B38" s="7">
        <f>Resumen!L48</f>
        <v>109950.43639595462</v>
      </c>
      <c r="C38" s="5">
        <f t="shared" si="0"/>
        <v>109950.43639595462</v>
      </c>
      <c r="D38" s="5">
        <f t="shared" si="1"/>
        <v>210.5657085835071</v>
      </c>
    </row>
    <row r="39" spans="1:4" x14ac:dyDescent="0.3">
      <c r="A39">
        <f>Resumen!A49</f>
        <v>33</v>
      </c>
      <c r="B39" s="7">
        <f>Resumen!L49</f>
        <v>122109.09024091276</v>
      </c>
      <c r="C39" s="5">
        <f t="shared" si="0"/>
        <v>122109.09024091276</v>
      </c>
      <c r="D39" s="5">
        <f t="shared" si="1"/>
        <v>274.87609098988656</v>
      </c>
    </row>
    <row r="40" spans="1:4" x14ac:dyDescent="0.3">
      <c r="A40">
        <f>Resumen!A50</f>
        <v>34</v>
      </c>
      <c r="B40" s="7">
        <f>Resumen!L50</f>
        <v>134298.14072048332</v>
      </c>
      <c r="C40" s="5">
        <f t="shared" si="0"/>
        <v>134298.14072048332</v>
      </c>
      <c r="D40" s="5">
        <f t="shared" si="1"/>
        <v>305.27272560228192</v>
      </c>
    </row>
    <row r="41" spans="1:4" x14ac:dyDescent="0.3">
      <c r="A41">
        <f>Resumen!A51</f>
        <v>35</v>
      </c>
      <c r="B41" s="7">
        <f>Resumen!L51</f>
        <v>132887.85432625277</v>
      </c>
      <c r="C41" s="5">
        <f t="shared" si="0"/>
        <v>132887.85432625277</v>
      </c>
      <c r="D41" s="5">
        <f t="shared" si="1"/>
        <v>335.7453518012083</v>
      </c>
    </row>
    <row r="42" spans="1:4" x14ac:dyDescent="0.3">
      <c r="A42">
        <f>Resumen!A52</f>
        <v>36</v>
      </c>
      <c r="B42" s="7">
        <f>Resumen!L52</f>
        <v>85528.666174369981</v>
      </c>
      <c r="C42" s="5">
        <f t="shared" si="0"/>
        <v>85528.666174369981</v>
      </c>
      <c r="D42" s="5">
        <f t="shared" si="1"/>
        <v>332.21963581563188</v>
      </c>
    </row>
    <row r="43" spans="1:4" x14ac:dyDescent="0.3">
      <c r="A43">
        <f>Resumen!A53</f>
        <v>37</v>
      </c>
      <c r="B43" s="7">
        <f>Resumen!L53</f>
        <v>83996.456093774148</v>
      </c>
      <c r="C43" s="5">
        <f t="shared" ref="C43:C45" si="2">IF(B43&gt;0,B43,0)</f>
        <v>83996.456093774148</v>
      </c>
      <c r="D43" s="5">
        <f t="shared" ref="D43:D45" si="3">+C42*TasaPAsiva/12</f>
        <v>213.82166543592496</v>
      </c>
    </row>
    <row r="44" spans="1:4" x14ac:dyDescent="0.3">
      <c r="A44">
        <f>Resumen!A54</f>
        <v>38</v>
      </c>
      <c r="B44" s="7">
        <f>Resumen!L54</f>
        <v>96090.224987976835</v>
      </c>
      <c r="C44" s="5">
        <f t="shared" si="2"/>
        <v>96090.224987976835</v>
      </c>
      <c r="D44" s="5">
        <f t="shared" si="3"/>
        <v>209.99114023443533</v>
      </c>
    </row>
    <row r="45" spans="1:4" x14ac:dyDescent="0.3">
      <c r="A45">
        <f>Resumen!A55</f>
        <v>39</v>
      </c>
      <c r="B45" s="7">
        <f>Resumen!L55</f>
        <v>108214.22830441498</v>
      </c>
      <c r="C45" s="5">
        <f t="shared" si="2"/>
        <v>108214.22830441498</v>
      </c>
      <c r="D45" s="5">
        <f t="shared" si="3"/>
        <v>240.2255624699421</v>
      </c>
    </row>
    <row r="46" spans="1:4" x14ac:dyDescent="0.3">
      <c r="A46">
        <f>Resumen!A56</f>
        <v>40</v>
      </c>
      <c r="B46" s="7">
        <f>Resumen!L56</f>
        <v>120368.54162914422</v>
      </c>
      <c r="C46" s="5">
        <f t="shared" ref="C46:C65" si="4">IF(B46&gt;0,B46,0)</f>
        <v>120368.54162914422</v>
      </c>
      <c r="D46" s="5">
        <f t="shared" ref="D46:D65" si="5">+C45*TasaPAsiva/12</f>
        <v>270.53557076103743</v>
      </c>
    </row>
    <row r="47" spans="1:4" x14ac:dyDescent="0.3">
      <c r="A47">
        <f>Resumen!A57</f>
        <v>41</v>
      </c>
      <c r="B47" s="7">
        <f>Resumen!L57</f>
        <v>132553.24073718532</v>
      </c>
      <c r="C47" s="5">
        <f t="shared" si="4"/>
        <v>132553.24073718532</v>
      </c>
      <c r="D47" s="5">
        <f t="shared" si="5"/>
        <v>300.92135407286054</v>
      </c>
    </row>
    <row r="48" spans="1:4" x14ac:dyDescent="0.3">
      <c r="A48">
        <f>Resumen!A58</f>
        <v>42</v>
      </c>
      <c r="B48" s="7">
        <f>Resumen!L58</f>
        <v>124707.04969299652</v>
      </c>
      <c r="C48" s="5">
        <f t="shared" si="4"/>
        <v>124707.04969299652</v>
      </c>
      <c r="D48" s="5">
        <f t="shared" si="5"/>
        <v>331.3831018429633</v>
      </c>
    </row>
    <row r="49" spans="1:4" x14ac:dyDescent="0.3">
      <c r="A49">
        <f>Resumen!A59</f>
        <v>43</v>
      </c>
      <c r="B49" s="7">
        <f>Resumen!L59</f>
        <v>123272.78557119728</v>
      </c>
      <c r="C49" s="5">
        <f t="shared" si="4"/>
        <v>123272.78557119728</v>
      </c>
      <c r="D49" s="5">
        <f t="shared" si="5"/>
        <v>311.7676242324913</v>
      </c>
    </row>
    <row r="50" spans="1:4" x14ac:dyDescent="0.3">
      <c r="A50">
        <f>Resumen!A60</f>
        <v>44</v>
      </c>
      <c r="B50" s="7">
        <f>Resumen!L60</f>
        <v>143642.63098909351</v>
      </c>
      <c r="C50" s="5">
        <f t="shared" si="4"/>
        <v>143642.63098909351</v>
      </c>
      <c r="D50" s="5">
        <f t="shared" si="5"/>
        <v>308.18196392799319</v>
      </c>
    </row>
    <row r="51" spans="1:4" x14ac:dyDescent="0.3">
      <c r="A51">
        <f>Resumen!A61</f>
        <v>45</v>
      </c>
      <c r="B51" s="7">
        <f>Resumen!L61</f>
        <v>147707.62962053451</v>
      </c>
      <c r="C51" s="5">
        <f t="shared" si="4"/>
        <v>147707.62962053451</v>
      </c>
      <c r="D51" s="5">
        <f t="shared" si="5"/>
        <v>359.10657747273376</v>
      </c>
    </row>
    <row r="52" spans="1:4" x14ac:dyDescent="0.3">
      <c r="A52">
        <f>Resumen!A62</f>
        <v>46</v>
      </c>
      <c r="B52" s="7">
        <f>Resumen!L62</f>
        <v>154508.7526485541</v>
      </c>
      <c r="C52" s="5">
        <f t="shared" si="4"/>
        <v>154508.7526485541</v>
      </c>
      <c r="D52" s="5">
        <f t="shared" si="5"/>
        <v>369.26907405133625</v>
      </c>
    </row>
    <row r="53" spans="1:4" x14ac:dyDescent="0.3">
      <c r="A53">
        <f>Resumen!A63</f>
        <v>47</v>
      </c>
      <c r="B53" s="7">
        <f>Resumen!L63</f>
        <v>158600.91658414374</v>
      </c>
      <c r="C53" s="5">
        <f t="shared" si="4"/>
        <v>158600.91658414374</v>
      </c>
      <c r="D53" s="5">
        <f t="shared" si="5"/>
        <v>386.27188162138526</v>
      </c>
    </row>
    <row r="54" spans="1:4" x14ac:dyDescent="0.3">
      <c r="A54">
        <f>Resumen!A64</f>
        <v>48</v>
      </c>
      <c r="B54" s="7">
        <f>Resumen!L64</f>
        <v>131352.4757479057</v>
      </c>
      <c r="C54" s="5">
        <f t="shared" si="4"/>
        <v>131352.4757479057</v>
      </c>
      <c r="D54" s="5">
        <f t="shared" si="5"/>
        <v>396.50229146035934</v>
      </c>
    </row>
    <row r="55" spans="1:4" x14ac:dyDescent="0.3">
      <c r="A55">
        <f>Resumen!A65</f>
        <v>49</v>
      </c>
      <c r="B55" s="7">
        <f>Resumen!L65</f>
        <v>129934.82519124373</v>
      </c>
      <c r="C55" s="5">
        <f t="shared" si="4"/>
        <v>129934.82519124373</v>
      </c>
      <c r="D55" s="5">
        <f t="shared" si="5"/>
        <v>328.38118936976423</v>
      </c>
    </row>
    <row r="56" spans="1:4" x14ac:dyDescent="0.3">
      <c r="A56">
        <f>Resumen!A66</f>
        <v>50</v>
      </c>
      <c r="B56" s="7">
        <f>Resumen!L66</f>
        <v>128513.63050819011</v>
      </c>
      <c r="C56" s="5">
        <f t="shared" si="4"/>
        <v>128513.63050819011</v>
      </c>
      <c r="D56" s="5">
        <f t="shared" si="5"/>
        <v>324.83706297810932</v>
      </c>
    </row>
    <row r="57" spans="1:4" x14ac:dyDescent="0.3">
      <c r="A57">
        <f>Resumen!A67</f>
        <v>51</v>
      </c>
      <c r="B57" s="7">
        <f>Resumen!L67</f>
        <v>140718.69233842881</v>
      </c>
      <c r="C57" s="5">
        <f t="shared" si="4"/>
        <v>140718.69233842881</v>
      </c>
      <c r="D57" s="5">
        <f t="shared" si="5"/>
        <v>321.28407627047528</v>
      </c>
    </row>
    <row r="58" spans="1:4" x14ac:dyDescent="0.3">
      <c r="A58">
        <f>Resumen!A68</f>
        <v>52</v>
      </c>
      <c r="B58" s="7">
        <f>Resumen!L68</f>
        <v>152954.26682324309</v>
      </c>
      <c r="C58" s="5">
        <f t="shared" si="4"/>
        <v>152954.26682324309</v>
      </c>
      <c r="D58" s="5">
        <f t="shared" si="5"/>
        <v>351.79673084607202</v>
      </c>
    </row>
    <row r="59" spans="1:4" x14ac:dyDescent="0.3">
      <c r="A59">
        <f>Resumen!A69</f>
        <v>53</v>
      </c>
      <c r="B59" s="7">
        <f>Resumen!L69</f>
        <v>151590.62074426946</v>
      </c>
      <c r="C59" s="5">
        <f t="shared" si="4"/>
        <v>151590.62074426946</v>
      </c>
      <c r="D59" s="5">
        <f t="shared" si="5"/>
        <v>382.38566705810769</v>
      </c>
    </row>
    <row r="60" spans="1:4" x14ac:dyDescent="0.3">
      <c r="A60">
        <f>Resumen!A70</f>
        <v>54</v>
      </c>
      <c r="B60" s="7">
        <f>Resumen!L70</f>
        <v>150223.5655500984</v>
      </c>
      <c r="C60" s="5">
        <f t="shared" si="4"/>
        <v>150223.5655500984</v>
      </c>
      <c r="D60" s="5">
        <f t="shared" si="5"/>
        <v>378.97655186067362</v>
      </c>
    </row>
    <row r="61" spans="1:4" x14ac:dyDescent="0.3">
      <c r="A61">
        <f>Resumen!A71</f>
        <v>55</v>
      </c>
      <c r="B61" s="7">
        <f>Resumen!L71</f>
        <v>148853.09271794191</v>
      </c>
      <c r="C61" s="5">
        <f t="shared" si="4"/>
        <v>148853.09271794191</v>
      </c>
      <c r="D61" s="5">
        <f t="shared" si="5"/>
        <v>375.55891387524599</v>
      </c>
    </row>
    <row r="62" spans="1:4" x14ac:dyDescent="0.3">
      <c r="A62">
        <f>Resumen!A72</f>
        <v>56</v>
      </c>
      <c r="B62" s="7">
        <f>Resumen!L72</f>
        <v>174738.81270370501</v>
      </c>
      <c r="C62" s="5">
        <f t="shared" si="4"/>
        <v>174738.81270370501</v>
      </c>
      <c r="D62" s="5">
        <f t="shared" si="5"/>
        <v>372.13273179485481</v>
      </c>
    </row>
    <row r="63" spans="1:4" x14ac:dyDescent="0.3">
      <c r="A63">
        <f>Resumen!A73</f>
        <v>57</v>
      </c>
      <c r="B63" s="7">
        <f>Resumen!L73</f>
        <v>181607.51368943253</v>
      </c>
      <c r="C63" s="5">
        <f t="shared" si="4"/>
        <v>181607.51368943253</v>
      </c>
      <c r="D63" s="5">
        <f t="shared" si="5"/>
        <v>436.84703175926251</v>
      </c>
    </row>
    <row r="64" spans="1:4" x14ac:dyDescent="0.3">
      <c r="A64">
        <f>Resumen!A74</f>
        <v>58</v>
      </c>
      <c r="B64" s="7">
        <f>Resumen!L74</f>
        <v>185767.42452762436</v>
      </c>
      <c r="C64" s="5">
        <f t="shared" si="4"/>
        <v>185767.42452762436</v>
      </c>
      <c r="D64" s="5">
        <f t="shared" si="5"/>
        <v>454.01878422358135</v>
      </c>
    </row>
    <row r="65" spans="1:4" x14ac:dyDescent="0.3">
      <c r="A65">
        <f>Resumen!A75</f>
        <v>59</v>
      </c>
      <c r="B65" s="7">
        <f>Resumen!L75</f>
        <v>184485.81134291168</v>
      </c>
      <c r="C65" s="5">
        <f t="shared" si="4"/>
        <v>184485.81134291168</v>
      </c>
      <c r="D65" s="5">
        <f t="shared" si="5"/>
        <v>464.41856131906087</v>
      </c>
    </row>
    <row r="66" spans="1:4" x14ac:dyDescent="0.3">
      <c r="A66">
        <f>Resumen!A76</f>
        <v>60</v>
      </c>
      <c r="B66" s="7">
        <f>Resumen!L76</f>
        <v>166682.16083357052</v>
      </c>
      <c r="C66" s="5">
        <f t="shared" ref="C66" si="6">IF(B66&gt;0,B66,0)</f>
        <v>166682.16083357052</v>
      </c>
      <c r="D66" s="5">
        <f t="shared" ref="D66" si="7">+C65*TasaPAsiva/12</f>
        <v>461.21452835727922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F0D7F-BAF5-48F6-8DB7-DFF2268AB00D}">
  <sheetPr>
    <tabColor theme="5"/>
  </sheetPr>
  <dimension ref="A1:J66"/>
  <sheetViews>
    <sheetView topLeftCell="A29" workbookViewId="0">
      <selection activeCell="G55" sqref="G55"/>
    </sheetView>
  </sheetViews>
  <sheetFormatPr baseColWidth="10" defaultRowHeight="14.4" x14ac:dyDescent="0.3"/>
  <cols>
    <col min="5" max="5" width="13.21875" bestFit="1" customWidth="1"/>
  </cols>
  <sheetData>
    <row r="1" spans="1:10" x14ac:dyDescent="0.3">
      <c r="A1" s="1" t="s">
        <v>4</v>
      </c>
    </row>
    <row r="4" spans="1:10" x14ac:dyDescent="0.3">
      <c r="A4" s="24" t="s">
        <v>5</v>
      </c>
      <c r="B4" s="24" t="s">
        <v>6</v>
      </c>
      <c r="C4" s="24" t="s">
        <v>7</v>
      </c>
      <c r="D4" s="24" t="s">
        <v>8</v>
      </c>
      <c r="E4" s="24" t="s">
        <v>9</v>
      </c>
    </row>
    <row r="5" spans="1:10" x14ac:dyDescent="0.3">
      <c r="A5">
        <v>1</v>
      </c>
      <c r="E5">
        <f>SUM(B5:D5)</f>
        <v>0</v>
      </c>
      <c r="H5">
        <v>2281.83</v>
      </c>
      <c r="J5" t="s">
        <v>87</v>
      </c>
    </row>
    <row r="6" spans="1:10" x14ac:dyDescent="0.3">
      <c r="A6">
        <v>2</v>
      </c>
      <c r="E6">
        <f t="shared" ref="E6:E40" si="0">SUM(B6:D6)</f>
        <v>0</v>
      </c>
      <c r="H6">
        <v>2281.83</v>
      </c>
      <c r="J6" t="s">
        <v>88</v>
      </c>
    </row>
    <row r="7" spans="1:10" x14ac:dyDescent="0.3">
      <c r="A7">
        <v>3</v>
      </c>
      <c r="E7">
        <f t="shared" si="0"/>
        <v>0</v>
      </c>
      <c r="H7">
        <v>2281.83</v>
      </c>
    </row>
    <row r="8" spans="1:10" x14ac:dyDescent="0.3">
      <c r="A8">
        <v>4</v>
      </c>
      <c r="E8">
        <f t="shared" si="0"/>
        <v>0</v>
      </c>
      <c r="H8">
        <v>2281.83</v>
      </c>
    </row>
    <row r="9" spans="1:10" x14ac:dyDescent="0.3">
      <c r="A9">
        <v>5</v>
      </c>
      <c r="E9">
        <f t="shared" si="0"/>
        <v>0</v>
      </c>
      <c r="H9">
        <v>2281.83</v>
      </c>
    </row>
    <row r="10" spans="1:10" x14ac:dyDescent="0.3">
      <c r="A10">
        <v>6</v>
      </c>
      <c r="E10">
        <f t="shared" si="0"/>
        <v>0</v>
      </c>
      <c r="H10">
        <v>2281.83</v>
      </c>
    </row>
    <row r="11" spans="1:10" x14ac:dyDescent="0.3">
      <c r="A11">
        <v>7</v>
      </c>
      <c r="E11">
        <f t="shared" si="0"/>
        <v>0</v>
      </c>
      <c r="H11">
        <v>2817.83</v>
      </c>
    </row>
    <row r="12" spans="1:10" x14ac:dyDescent="0.3">
      <c r="A12">
        <v>8</v>
      </c>
      <c r="E12">
        <f t="shared" si="0"/>
        <v>0</v>
      </c>
      <c r="H12">
        <v>2817.83</v>
      </c>
    </row>
    <row r="13" spans="1:10" x14ac:dyDescent="0.3">
      <c r="A13">
        <v>9</v>
      </c>
      <c r="E13">
        <f t="shared" si="0"/>
        <v>0</v>
      </c>
      <c r="H13">
        <v>2817.83</v>
      </c>
    </row>
    <row r="14" spans="1:10" x14ac:dyDescent="0.3">
      <c r="A14">
        <v>10</v>
      </c>
      <c r="E14">
        <f t="shared" si="0"/>
        <v>0</v>
      </c>
      <c r="H14">
        <v>2817.83</v>
      </c>
    </row>
    <row r="15" spans="1:10" x14ac:dyDescent="0.3">
      <c r="A15">
        <v>11</v>
      </c>
      <c r="E15">
        <f t="shared" si="0"/>
        <v>0</v>
      </c>
      <c r="H15">
        <v>2817.83</v>
      </c>
    </row>
    <row r="16" spans="1:10" x14ac:dyDescent="0.3">
      <c r="A16">
        <v>12</v>
      </c>
      <c r="E16">
        <f t="shared" si="0"/>
        <v>0</v>
      </c>
      <c r="H16">
        <v>2817.83</v>
      </c>
    </row>
    <row r="17" spans="1:8" x14ac:dyDescent="0.3">
      <c r="A17">
        <v>13</v>
      </c>
      <c r="E17">
        <f t="shared" si="0"/>
        <v>0</v>
      </c>
      <c r="H17">
        <v>2817.83</v>
      </c>
    </row>
    <row r="18" spans="1:8" x14ac:dyDescent="0.3">
      <c r="A18">
        <v>14</v>
      </c>
      <c r="E18">
        <f t="shared" si="0"/>
        <v>0</v>
      </c>
      <c r="H18">
        <v>2817.83</v>
      </c>
    </row>
    <row r="19" spans="1:8" x14ac:dyDescent="0.3">
      <c r="A19">
        <v>15</v>
      </c>
      <c r="E19">
        <f t="shared" si="0"/>
        <v>0</v>
      </c>
      <c r="H19">
        <v>2817.83</v>
      </c>
    </row>
    <row r="20" spans="1:8" x14ac:dyDescent="0.3">
      <c r="A20">
        <v>16</v>
      </c>
      <c r="E20">
        <f t="shared" si="0"/>
        <v>0</v>
      </c>
      <c r="H20">
        <v>2817.83</v>
      </c>
    </row>
    <row r="21" spans="1:8" x14ac:dyDescent="0.3">
      <c r="A21">
        <v>17</v>
      </c>
      <c r="E21">
        <f t="shared" si="0"/>
        <v>0</v>
      </c>
      <c r="H21">
        <v>2817.83</v>
      </c>
    </row>
    <row r="22" spans="1:8" x14ac:dyDescent="0.3">
      <c r="A22">
        <v>18</v>
      </c>
      <c r="E22">
        <f t="shared" si="0"/>
        <v>0</v>
      </c>
      <c r="H22">
        <v>2817.83</v>
      </c>
    </row>
    <row r="23" spans="1:8" x14ac:dyDescent="0.3">
      <c r="A23">
        <v>19</v>
      </c>
      <c r="E23">
        <f t="shared" si="0"/>
        <v>0</v>
      </c>
    </row>
    <row r="24" spans="1:8" x14ac:dyDescent="0.3">
      <c r="A24">
        <v>20</v>
      </c>
      <c r="E24">
        <f t="shared" si="0"/>
        <v>0</v>
      </c>
    </row>
    <row r="25" spans="1:8" x14ac:dyDescent="0.3">
      <c r="A25">
        <v>21</v>
      </c>
      <c r="E25">
        <f t="shared" si="0"/>
        <v>0</v>
      </c>
    </row>
    <row r="26" spans="1:8" x14ac:dyDescent="0.3">
      <c r="A26">
        <v>22</v>
      </c>
      <c r="E26">
        <f t="shared" si="0"/>
        <v>0</v>
      </c>
    </row>
    <row r="27" spans="1:8" x14ac:dyDescent="0.3">
      <c r="A27">
        <v>23</v>
      </c>
      <c r="E27">
        <f t="shared" si="0"/>
        <v>0</v>
      </c>
    </row>
    <row r="28" spans="1:8" x14ac:dyDescent="0.3">
      <c r="A28">
        <v>24</v>
      </c>
      <c r="E28">
        <f t="shared" si="0"/>
        <v>0</v>
      </c>
    </row>
    <row r="29" spans="1:8" x14ac:dyDescent="0.3">
      <c r="A29">
        <v>25</v>
      </c>
      <c r="E29">
        <f t="shared" si="0"/>
        <v>0</v>
      </c>
    </row>
    <row r="30" spans="1:8" x14ac:dyDescent="0.3">
      <c r="A30">
        <v>26</v>
      </c>
      <c r="E30">
        <f t="shared" si="0"/>
        <v>0</v>
      </c>
    </row>
    <row r="31" spans="1:8" x14ac:dyDescent="0.3">
      <c r="A31">
        <v>27</v>
      </c>
      <c r="E31">
        <f t="shared" si="0"/>
        <v>0</v>
      </c>
    </row>
    <row r="32" spans="1:8" x14ac:dyDescent="0.3">
      <c r="A32">
        <v>28</v>
      </c>
      <c r="E32">
        <f t="shared" si="0"/>
        <v>0</v>
      </c>
    </row>
    <row r="33" spans="1:5" x14ac:dyDescent="0.3">
      <c r="A33">
        <v>29</v>
      </c>
      <c r="E33">
        <f t="shared" si="0"/>
        <v>0</v>
      </c>
    </row>
    <row r="34" spans="1:5" x14ac:dyDescent="0.3">
      <c r="A34">
        <v>30</v>
      </c>
      <c r="E34">
        <f t="shared" si="0"/>
        <v>0</v>
      </c>
    </row>
    <row r="35" spans="1:5" x14ac:dyDescent="0.3">
      <c r="A35">
        <v>31</v>
      </c>
      <c r="E35">
        <f t="shared" si="0"/>
        <v>0</v>
      </c>
    </row>
    <row r="36" spans="1:5" x14ac:dyDescent="0.3">
      <c r="A36">
        <v>32</v>
      </c>
      <c r="E36">
        <f t="shared" si="0"/>
        <v>0</v>
      </c>
    </row>
    <row r="37" spans="1:5" x14ac:dyDescent="0.3">
      <c r="A37">
        <v>33</v>
      </c>
      <c r="E37">
        <f t="shared" si="0"/>
        <v>0</v>
      </c>
    </row>
    <row r="38" spans="1:5" x14ac:dyDescent="0.3">
      <c r="A38">
        <v>34</v>
      </c>
      <c r="E38">
        <f t="shared" si="0"/>
        <v>0</v>
      </c>
    </row>
    <row r="39" spans="1:5" x14ac:dyDescent="0.3">
      <c r="A39">
        <v>35</v>
      </c>
      <c r="E39">
        <f t="shared" si="0"/>
        <v>0</v>
      </c>
    </row>
    <row r="40" spans="1:5" x14ac:dyDescent="0.3">
      <c r="A40">
        <v>36</v>
      </c>
      <c r="E40">
        <f t="shared" si="0"/>
        <v>0</v>
      </c>
    </row>
    <row r="41" spans="1:5" x14ac:dyDescent="0.3">
      <c r="A41">
        <v>37</v>
      </c>
      <c r="E41">
        <f t="shared" ref="E41:E62" si="1">SUM(B41:D41)</f>
        <v>0</v>
      </c>
    </row>
    <row r="42" spans="1:5" x14ac:dyDescent="0.3">
      <c r="A42">
        <v>38</v>
      </c>
      <c r="E42">
        <f t="shared" si="1"/>
        <v>0</v>
      </c>
    </row>
    <row r="43" spans="1:5" x14ac:dyDescent="0.3">
      <c r="A43">
        <v>39</v>
      </c>
      <c r="E43">
        <f t="shared" si="1"/>
        <v>0</v>
      </c>
    </row>
    <row r="44" spans="1:5" x14ac:dyDescent="0.3">
      <c r="A44">
        <v>40</v>
      </c>
      <c r="E44">
        <f t="shared" si="1"/>
        <v>0</v>
      </c>
    </row>
    <row r="45" spans="1:5" x14ac:dyDescent="0.3">
      <c r="A45">
        <v>41</v>
      </c>
      <c r="E45">
        <f t="shared" si="1"/>
        <v>0</v>
      </c>
    </row>
    <row r="46" spans="1:5" x14ac:dyDescent="0.3">
      <c r="A46">
        <v>42</v>
      </c>
      <c r="E46">
        <f t="shared" si="1"/>
        <v>0</v>
      </c>
    </row>
    <row r="47" spans="1:5" x14ac:dyDescent="0.3">
      <c r="A47">
        <v>43</v>
      </c>
      <c r="E47">
        <f t="shared" si="1"/>
        <v>0</v>
      </c>
    </row>
    <row r="48" spans="1:5" x14ac:dyDescent="0.3">
      <c r="A48">
        <v>44</v>
      </c>
      <c r="E48">
        <f t="shared" si="1"/>
        <v>0</v>
      </c>
    </row>
    <row r="49" spans="1:5" x14ac:dyDescent="0.3">
      <c r="A49">
        <v>45</v>
      </c>
      <c r="E49">
        <f t="shared" si="1"/>
        <v>0</v>
      </c>
    </row>
    <row r="50" spans="1:5" x14ac:dyDescent="0.3">
      <c r="A50">
        <v>46</v>
      </c>
      <c r="E50">
        <f t="shared" si="1"/>
        <v>0</v>
      </c>
    </row>
    <row r="51" spans="1:5" x14ac:dyDescent="0.3">
      <c r="A51">
        <v>47</v>
      </c>
      <c r="E51">
        <f t="shared" si="1"/>
        <v>0</v>
      </c>
    </row>
    <row r="52" spans="1:5" x14ac:dyDescent="0.3">
      <c r="A52">
        <v>48</v>
      </c>
      <c r="E52">
        <f t="shared" si="1"/>
        <v>0</v>
      </c>
    </row>
    <row r="53" spans="1:5" x14ac:dyDescent="0.3">
      <c r="A53">
        <v>49</v>
      </c>
      <c r="E53">
        <f t="shared" si="1"/>
        <v>0</v>
      </c>
    </row>
    <row r="54" spans="1:5" x14ac:dyDescent="0.3">
      <c r="A54">
        <v>50</v>
      </c>
      <c r="E54">
        <f t="shared" si="1"/>
        <v>0</v>
      </c>
    </row>
    <row r="55" spans="1:5" x14ac:dyDescent="0.3">
      <c r="A55">
        <v>51</v>
      </c>
      <c r="E55">
        <f t="shared" si="1"/>
        <v>0</v>
      </c>
    </row>
    <row r="56" spans="1:5" x14ac:dyDescent="0.3">
      <c r="A56">
        <v>52</v>
      </c>
      <c r="E56">
        <f t="shared" si="1"/>
        <v>0</v>
      </c>
    </row>
    <row r="57" spans="1:5" x14ac:dyDescent="0.3">
      <c r="A57">
        <v>53</v>
      </c>
      <c r="E57">
        <f t="shared" si="1"/>
        <v>0</v>
      </c>
    </row>
    <row r="58" spans="1:5" x14ac:dyDescent="0.3">
      <c r="A58">
        <v>54</v>
      </c>
      <c r="E58">
        <f t="shared" si="1"/>
        <v>0</v>
      </c>
    </row>
    <row r="59" spans="1:5" x14ac:dyDescent="0.3">
      <c r="A59">
        <v>55</v>
      </c>
      <c r="E59">
        <f t="shared" si="1"/>
        <v>0</v>
      </c>
    </row>
    <row r="60" spans="1:5" x14ac:dyDescent="0.3">
      <c r="A60">
        <v>56</v>
      </c>
      <c r="E60">
        <f t="shared" si="1"/>
        <v>0</v>
      </c>
    </row>
    <row r="61" spans="1:5" x14ac:dyDescent="0.3">
      <c r="A61">
        <v>57</v>
      </c>
      <c r="E61">
        <f t="shared" si="1"/>
        <v>0</v>
      </c>
    </row>
    <row r="62" spans="1:5" x14ac:dyDescent="0.3">
      <c r="A62">
        <v>58</v>
      </c>
      <c r="E62">
        <f t="shared" si="1"/>
        <v>0</v>
      </c>
    </row>
    <row r="63" spans="1:5" x14ac:dyDescent="0.3">
      <c r="A63">
        <v>59</v>
      </c>
      <c r="E63">
        <f t="shared" ref="E63:E64" si="2">SUM(B63:D63)</f>
        <v>0</v>
      </c>
    </row>
    <row r="64" spans="1:5" x14ac:dyDescent="0.3">
      <c r="A64">
        <v>60</v>
      </c>
      <c r="E64">
        <f t="shared" si="2"/>
        <v>0</v>
      </c>
    </row>
    <row r="66" spans="1:5" x14ac:dyDescent="0.3">
      <c r="A66" s="4" t="s">
        <v>13</v>
      </c>
      <c r="E66">
        <f>SUM(E5:E65)</f>
        <v>0</v>
      </c>
    </row>
  </sheetData>
  <pageMargins left="0.7" right="0.7" top="0.75" bottom="0.75" header="0.3" footer="0.3"/>
  <pageSetup paperSize="9" orientation="portrait" r:id="rId1"/>
  <ignoredErrors>
    <ignoredError sqref="E5:E40 E62:E64 E41:E61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625DF-B323-4E76-865C-BDF95EF5A937}">
  <sheetPr>
    <tabColor theme="5" tint="0.39997558519241921"/>
  </sheetPr>
  <dimension ref="A1:H66"/>
  <sheetViews>
    <sheetView workbookViewId="0">
      <selection activeCell="H40" sqref="H40"/>
    </sheetView>
  </sheetViews>
  <sheetFormatPr baseColWidth="10" defaultRowHeight="14.4" x14ac:dyDescent="0.3"/>
  <cols>
    <col min="2" max="3" width="17.6640625" customWidth="1"/>
    <col min="4" max="4" width="38.88671875" customWidth="1"/>
    <col min="5" max="5" width="22.88671875" customWidth="1"/>
    <col min="6" max="6" width="13.109375" customWidth="1"/>
    <col min="7" max="7" width="22.21875" customWidth="1"/>
    <col min="8" max="8" width="15.6640625" bestFit="1" customWidth="1"/>
  </cols>
  <sheetData>
    <row r="1" spans="1:8" x14ac:dyDescent="0.3">
      <c r="A1" s="1" t="s">
        <v>12</v>
      </c>
    </row>
    <row r="4" spans="1:8" x14ac:dyDescent="0.3">
      <c r="A4" s="24" t="s">
        <v>5</v>
      </c>
      <c r="B4" s="24" t="s">
        <v>75</v>
      </c>
      <c r="C4" s="24" t="s">
        <v>76</v>
      </c>
      <c r="D4" s="24" t="s">
        <v>77</v>
      </c>
      <c r="E4" s="24" t="s">
        <v>78</v>
      </c>
      <c r="F4" s="24" t="s">
        <v>79</v>
      </c>
      <c r="G4" s="24" t="s">
        <v>80</v>
      </c>
      <c r="H4" s="24" t="s">
        <v>14</v>
      </c>
    </row>
    <row r="5" spans="1:8" x14ac:dyDescent="0.3">
      <c r="A5">
        <v>1</v>
      </c>
      <c r="B5" s="5">
        <f>70000/(105*3)</f>
        <v>222.22222222222223</v>
      </c>
      <c r="C5" s="5">
        <f xml:space="preserve"> 80000/(105*3)</f>
        <v>253.96825396825398</v>
      </c>
      <c r="D5" s="5">
        <f xml:space="preserve"> 120000/(105*2)</f>
        <v>571.42857142857144</v>
      </c>
      <c r="E5" s="5">
        <f xml:space="preserve"> 90000/(105*2)</f>
        <v>428.57142857142856</v>
      </c>
      <c r="F5" s="5">
        <f>55000/(105*3)</f>
        <v>174.60317460317461</v>
      </c>
      <c r="G5" s="5">
        <f>10000/105</f>
        <v>95.238095238095241</v>
      </c>
      <c r="H5" s="5">
        <f>SUM(B5:G5)</f>
        <v>1746.031746031746</v>
      </c>
    </row>
    <row r="6" spans="1:8" x14ac:dyDescent="0.3">
      <c r="A6">
        <v>2</v>
      </c>
      <c r="B6" s="5">
        <f t="shared" ref="B6:B64" si="0">70000/(105*3)</f>
        <v>222.22222222222223</v>
      </c>
      <c r="C6" s="5">
        <f t="shared" ref="C6:C64" si="1" xml:space="preserve"> 80000/(105*3)</f>
        <v>253.96825396825398</v>
      </c>
      <c r="D6" s="5">
        <f t="shared" ref="D6:D64" si="2" xml:space="preserve"> 120000/(105*2)</f>
        <v>571.42857142857144</v>
      </c>
      <c r="E6" s="5">
        <f t="shared" ref="E6:E64" si="3" xml:space="preserve"> 90000/(105*2)</f>
        <v>428.57142857142856</v>
      </c>
      <c r="F6" s="5">
        <f t="shared" ref="F6:F64" si="4">55000/(105*3)</f>
        <v>174.60317460317461</v>
      </c>
      <c r="G6" s="5">
        <f t="shared" ref="G6:G64" si="5">10000/105</f>
        <v>95.238095238095241</v>
      </c>
      <c r="H6" s="5">
        <f t="shared" ref="H6:H40" si="6">SUM(B6:G6)</f>
        <v>1746.031746031746</v>
      </c>
    </row>
    <row r="7" spans="1:8" x14ac:dyDescent="0.3">
      <c r="A7">
        <v>3</v>
      </c>
      <c r="B7" s="5">
        <f t="shared" si="0"/>
        <v>222.22222222222223</v>
      </c>
      <c r="C7" s="5">
        <f t="shared" si="1"/>
        <v>253.96825396825398</v>
      </c>
      <c r="D7" s="5">
        <f t="shared" si="2"/>
        <v>571.42857142857144</v>
      </c>
      <c r="E7" s="5">
        <f t="shared" si="3"/>
        <v>428.57142857142856</v>
      </c>
      <c r="F7" s="5">
        <f t="shared" si="4"/>
        <v>174.60317460317461</v>
      </c>
      <c r="G7" s="5">
        <f t="shared" si="5"/>
        <v>95.238095238095241</v>
      </c>
      <c r="H7" s="5">
        <f t="shared" si="6"/>
        <v>1746.031746031746</v>
      </c>
    </row>
    <row r="8" spans="1:8" x14ac:dyDescent="0.3">
      <c r="A8">
        <v>4</v>
      </c>
      <c r="B8" s="5">
        <f t="shared" si="0"/>
        <v>222.22222222222223</v>
      </c>
      <c r="C8" s="5">
        <f t="shared" si="1"/>
        <v>253.96825396825398</v>
      </c>
      <c r="D8" s="5">
        <f t="shared" si="2"/>
        <v>571.42857142857144</v>
      </c>
      <c r="E8" s="5">
        <f t="shared" si="3"/>
        <v>428.57142857142856</v>
      </c>
      <c r="F8" s="5">
        <f t="shared" si="4"/>
        <v>174.60317460317461</v>
      </c>
      <c r="G8" s="5">
        <f t="shared" si="5"/>
        <v>95.238095238095241</v>
      </c>
      <c r="H8" s="5">
        <f t="shared" si="6"/>
        <v>1746.031746031746</v>
      </c>
    </row>
    <row r="9" spans="1:8" x14ac:dyDescent="0.3">
      <c r="A9">
        <v>5</v>
      </c>
      <c r="B9" s="5">
        <f t="shared" si="0"/>
        <v>222.22222222222223</v>
      </c>
      <c r="C9" s="5">
        <f t="shared" si="1"/>
        <v>253.96825396825398</v>
      </c>
      <c r="D9" s="5">
        <f t="shared" si="2"/>
        <v>571.42857142857144</v>
      </c>
      <c r="E9" s="5">
        <f t="shared" si="3"/>
        <v>428.57142857142856</v>
      </c>
      <c r="F9" s="5">
        <f t="shared" si="4"/>
        <v>174.60317460317461</v>
      </c>
      <c r="G9" s="5">
        <f t="shared" si="5"/>
        <v>95.238095238095241</v>
      </c>
      <c r="H9" s="5">
        <f t="shared" si="6"/>
        <v>1746.031746031746</v>
      </c>
    </row>
    <row r="10" spans="1:8" x14ac:dyDescent="0.3">
      <c r="A10">
        <v>6</v>
      </c>
      <c r="B10" s="5">
        <f t="shared" si="0"/>
        <v>222.22222222222223</v>
      </c>
      <c r="C10" s="5">
        <f t="shared" si="1"/>
        <v>253.96825396825398</v>
      </c>
      <c r="D10" s="5">
        <f t="shared" si="2"/>
        <v>571.42857142857144</v>
      </c>
      <c r="E10" s="5">
        <f t="shared" si="3"/>
        <v>428.57142857142856</v>
      </c>
      <c r="F10" s="5">
        <f t="shared" si="4"/>
        <v>174.60317460317461</v>
      </c>
      <c r="G10" s="5">
        <f t="shared" si="5"/>
        <v>95.238095238095241</v>
      </c>
      <c r="H10" s="5">
        <f t="shared" si="6"/>
        <v>1746.031746031746</v>
      </c>
    </row>
    <row r="11" spans="1:8" x14ac:dyDescent="0.3">
      <c r="A11">
        <v>7</v>
      </c>
      <c r="B11" s="5">
        <f t="shared" si="0"/>
        <v>222.22222222222223</v>
      </c>
      <c r="C11" s="5">
        <f t="shared" si="1"/>
        <v>253.96825396825398</v>
      </c>
      <c r="D11" s="5">
        <f t="shared" si="2"/>
        <v>571.42857142857144</v>
      </c>
      <c r="E11" s="5">
        <f t="shared" si="3"/>
        <v>428.57142857142856</v>
      </c>
      <c r="F11" s="5">
        <f t="shared" si="4"/>
        <v>174.60317460317461</v>
      </c>
      <c r="G11" s="5">
        <f t="shared" si="5"/>
        <v>95.238095238095241</v>
      </c>
      <c r="H11" s="5">
        <f t="shared" si="6"/>
        <v>1746.031746031746</v>
      </c>
    </row>
    <row r="12" spans="1:8" x14ac:dyDescent="0.3">
      <c r="A12">
        <v>8</v>
      </c>
      <c r="B12" s="5">
        <f t="shared" si="0"/>
        <v>222.22222222222223</v>
      </c>
      <c r="C12" s="5">
        <f t="shared" si="1"/>
        <v>253.96825396825398</v>
      </c>
      <c r="D12" s="5">
        <f t="shared" si="2"/>
        <v>571.42857142857144</v>
      </c>
      <c r="E12" s="5">
        <f t="shared" si="3"/>
        <v>428.57142857142856</v>
      </c>
      <c r="F12" s="5">
        <f t="shared" si="4"/>
        <v>174.60317460317461</v>
      </c>
      <c r="G12" s="5">
        <f t="shared" si="5"/>
        <v>95.238095238095241</v>
      </c>
      <c r="H12" s="5">
        <f t="shared" si="6"/>
        <v>1746.031746031746</v>
      </c>
    </row>
    <row r="13" spans="1:8" x14ac:dyDescent="0.3">
      <c r="A13">
        <v>9</v>
      </c>
      <c r="B13" s="5">
        <f t="shared" si="0"/>
        <v>222.22222222222223</v>
      </c>
      <c r="C13" s="5">
        <f t="shared" si="1"/>
        <v>253.96825396825398</v>
      </c>
      <c r="D13" s="5">
        <f t="shared" si="2"/>
        <v>571.42857142857144</v>
      </c>
      <c r="E13" s="5">
        <f t="shared" si="3"/>
        <v>428.57142857142856</v>
      </c>
      <c r="F13" s="5">
        <f t="shared" si="4"/>
        <v>174.60317460317461</v>
      </c>
      <c r="G13" s="5">
        <f t="shared" si="5"/>
        <v>95.238095238095241</v>
      </c>
      <c r="H13" s="5">
        <f t="shared" si="6"/>
        <v>1746.031746031746</v>
      </c>
    </row>
    <row r="14" spans="1:8" x14ac:dyDescent="0.3">
      <c r="A14">
        <v>10</v>
      </c>
      <c r="B14" s="5">
        <f t="shared" si="0"/>
        <v>222.22222222222223</v>
      </c>
      <c r="C14" s="5">
        <f t="shared" si="1"/>
        <v>253.96825396825398</v>
      </c>
      <c r="D14" s="5">
        <f t="shared" si="2"/>
        <v>571.42857142857144</v>
      </c>
      <c r="E14" s="5">
        <f t="shared" si="3"/>
        <v>428.57142857142856</v>
      </c>
      <c r="F14" s="5">
        <f t="shared" si="4"/>
        <v>174.60317460317461</v>
      </c>
      <c r="G14" s="5">
        <f t="shared" si="5"/>
        <v>95.238095238095241</v>
      </c>
      <c r="H14" s="5">
        <f t="shared" si="6"/>
        <v>1746.031746031746</v>
      </c>
    </row>
    <row r="15" spans="1:8" x14ac:dyDescent="0.3">
      <c r="A15">
        <v>11</v>
      </c>
      <c r="B15" s="5">
        <f t="shared" si="0"/>
        <v>222.22222222222223</v>
      </c>
      <c r="C15" s="5">
        <f t="shared" si="1"/>
        <v>253.96825396825398</v>
      </c>
      <c r="D15" s="5">
        <f t="shared" si="2"/>
        <v>571.42857142857144</v>
      </c>
      <c r="E15" s="5">
        <f t="shared" si="3"/>
        <v>428.57142857142856</v>
      </c>
      <c r="F15" s="5">
        <f t="shared" si="4"/>
        <v>174.60317460317461</v>
      </c>
      <c r="G15" s="5">
        <f t="shared" si="5"/>
        <v>95.238095238095241</v>
      </c>
      <c r="H15" s="5">
        <f t="shared" si="6"/>
        <v>1746.031746031746</v>
      </c>
    </row>
    <row r="16" spans="1:8" x14ac:dyDescent="0.3">
      <c r="A16">
        <v>12</v>
      </c>
      <c r="B16" s="5">
        <f t="shared" si="0"/>
        <v>222.22222222222223</v>
      </c>
      <c r="C16" s="5">
        <f t="shared" si="1"/>
        <v>253.96825396825398</v>
      </c>
      <c r="D16" s="5">
        <f t="shared" si="2"/>
        <v>571.42857142857144</v>
      </c>
      <c r="E16" s="5">
        <f t="shared" si="3"/>
        <v>428.57142857142856</v>
      </c>
      <c r="F16" s="5">
        <f t="shared" si="4"/>
        <v>174.60317460317461</v>
      </c>
      <c r="G16" s="5">
        <f t="shared" si="5"/>
        <v>95.238095238095241</v>
      </c>
      <c r="H16" s="5">
        <f t="shared" si="6"/>
        <v>1746.031746031746</v>
      </c>
    </row>
    <row r="17" spans="1:8" x14ac:dyDescent="0.3">
      <c r="A17">
        <v>13</v>
      </c>
      <c r="B17" s="5">
        <f t="shared" si="0"/>
        <v>222.22222222222223</v>
      </c>
      <c r="C17" s="5">
        <f t="shared" si="1"/>
        <v>253.96825396825398</v>
      </c>
      <c r="D17" s="5">
        <f t="shared" si="2"/>
        <v>571.42857142857144</v>
      </c>
      <c r="E17" s="5">
        <f t="shared" si="3"/>
        <v>428.57142857142856</v>
      </c>
      <c r="F17" s="5">
        <f t="shared" si="4"/>
        <v>174.60317460317461</v>
      </c>
      <c r="G17" s="5">
        <f t="shared" si="5"/>
        <v>95.238095238095241</v>
      </c>
      <c r="H17" s="5">
        <f t="shared" si="6"/>
        <v>1746.031746031746</v>
      </c>
    </row>
    <row r="18" spans="1:8" x14ac:dyDescent="0.3">
      <c r="A18">
        <v>14</v>
      </c>
      <c r="B18" s="5">
        <f t="shared" si="0"/>
        <v>222.22222222222223</v>
      </c>
      <c r="C18" s="5">
        <f t="shared" si="1"/>
        <v>253.96825396825398</v>
      </c>
      <c r="D18" s="5">
        <f t="shared" si="2"/>
        <v>571.42857142857144</v>
      </c>
      <c r="E18" s="5">
        <f t="shared" si="3"/>
        <v>428.57142857142856</v>
      </c>
      <c r="F18" s="5">
        <f t="shared" si="4"/>
        <v>174.60317460317461</v>
      </c>
      <c r="G18" s="5">
        <f t="shared" si="5"/>
        <v>95.238095238095241</v>
      </c>
      <c r="H18" s="5">
        <f t="shared" si="6"/>
        <v>1746.031746031746</v>
      </c>
    </row>
    <row r="19" spans="1:8" x14ac:dyDescent="0.3">
      <c r="A19">
        <v>15</v>
      </c>
      <c r="B19" s="5">
        <f t="shared" si="0"/>
        <v>222.22222222222223</v>
      </c>
      <c r="C19" s="5">
        <f t="shared" si="1"/>
        <v>253.96825396825398</v>
      </c>
      <c r="D19" s="5">
        <f t="shared" si="2"/>
        <v>571.42857142857144</v>
      </c>
      <c r="E19" s="5">
        <f t="shared" si="3"/>
        <v>428.57142857142856</v>
      </c>
      <c r="F19" s="5">
        <f t="shared" si="4"/>
        <v>174.60317460317461</v>
      </c>
      <c r="G19" s="5">
        <f t="shared" si="5"/>
        <v>95.238095238095241</v>
      </c>
      <c r="H19" s="5">
        <f t="shared" si="6"/>
        <v>1746.031746031746</v>
      </c>
    </row>
    <row r="20" spans="1:8" x14ac:dyDescent="0.3">
      <c r="A20">
        <v>16</v>
      </c>
      <c r="B20" s="5">
        <f t="shared" si="0"/>
        <v>222.22222222222223</v>
      </c>
      <c r="C20" s="5">
        <f t="shared" si="1"/>
        <v>253.96825396825398</v>
      </c>
      <c r="D20" s="5">
        <f t="shared" si="2"/>
        <v>571.42857142857144</v>
      </c>
      <c r="E20" s="5">
        <f t="shared" si="3"/>
        <v>428.57142857142856</v>
      </c>
      <c r="F20" s="5">
        <f t="shared" si="4"/>
        <v>174.60317460317461</v>
      </c>
      <c r="G20" s="5">
        <f t="shared" si="5"/>
        <v>95.238095238095241</v>
      </c>
      <c r="H20" s="5">
        <f t="shared" si="6"/>
        <v>1746.031746031746</v>
      </c>
    </row>
    <row r="21" spans="1:8" x14ac:dyDescent="0.3">
      <c r="A21">
        <v>17</v>
      </c>
      <c r="B21" s="5">
        <f t="shared" si="0"/>
        <v>222.22222222222223</v>
      </c>
      <c r="C21" s="5">
        <f t="shared" si="1"/>
        <v>253.96825396825398</v>
      </c>
      <c r="D21" s="5">
        <f t="shared" si="2"/>
        <v>571.42857142857144</v>
      </c>
      <c r="E21" s="5">
        <f t="shared" si="3"/>
        <v>428.57142857142856</v>
      </c>
      <c r="F21" s="5">
        <f t="shared" si="4"/>
        <v>174.60317460317461</v>
      </c>
      <c r="G21" s="5">
        <f t="shared" si="5"/>
        <v>95.238095238095241</v>
      </c>
      <c r="H21" s="5">
        <f t="shared" si="6"/>
        <v>1746.031746031746</v>
      </c>
    </row>
    <row r="22" spans="1:8" x14ac:dyDescent="0.3">
      <c r="A22">
        <v>18</v>
      </c>
      <c r="B22" s="5">
        <f t="shared" si="0"/>
        <v>222.22222222222223</v>
      </c>
      <c r="C22" s="5">
        <f t="shared" si="1"/>
        <v>253.96825396825398</v>
      </c>
      <c r="D22" s="5">
        <f t="shared" si="2"/>
        <v>571.42857142857144</v>
      </c>
      <c r="E22" s="5">
        <f t="shared" si="3"/>
        <v>428.57142857142856</v>
      </c>
      <c r="F22" s="5">
        <f t="shared" si="4"/>
        <v>174.60317460317461</v>
      </c>
      <c r="G22" s="5">
        <f t="shared" si="5"/>
        <v>95.238095238095241</v>
      </c>
      <c r="H22" s="5">
        <f t="shared" si="6"/>
        <v>1746.031746031746</v>
      </c>
    </row>
    <row r="23" spans="1:8" x14ac:dyDescent="0.3">
      <c r="A23">
        <v>19</v>
      </c>
      <c r="B23" s="5">
        <f t="shared" si="0"/>
        <v>222.22222222222223</v>
      </c>
      <c r="C23" s="5">
        <f t="shared" si="1"/>
        <v>253.96825396825398</v>
      </c>
      <c r="D23" s="5">
        <f t="shared" si="2"/>
        <v>571.42857142857144</v>
      </c>
      <c r="E23" s="5">
        <f t="shared" si="3"/>
        <v>428.57142857142856</v>
      </c>
      <c r="F23" s="5">
        <f t="shared" si="4"/>
        <v>174.60317460317461</v>
      </c>
      <c r="G23" s="5">
        <f t="shared" si="5"/>
        <v>95.238095238095241</v>
      </c>
      <c r="H23" s="5">
        <f t="shared" si="6"/>
        <v>1746.031746031746</v>
      </c>
    </row>
    <row r="24" spans="1:8" x14ac:dyDescent="0.3">
      <c r="A24">
        <v>20</v>
      </c>
      <c r="B24" s="5">
        <f t="shared" si="0"/>
        <v>222.22222222222223</v>
      </c>
      <c r="C24" s="5">
        <f t="shared" si="1"/>
        <v>253.96825396825398</v>
      </c>
      <c r="D24" s="5">
        <f t="shared" si="2"/>
        <v>571.42857142857144</v>
      </c>
      <c r="E24" s="5">
        <f t="shared" si="3"/>
        <v>428.57142857142856</v>
      </c>
      <c r="F24" s="5">
        <f t="shared" si="4"/>
        <v>174.60317460317461</v>
      </c>
      <c r="G24" s="5">
        <f t="shared" si="5"/>
        <v>95.238095238095241</v>
      </c>
      <c r="H24" s="5">
        <f t="shared" si="6"/>
        <v>1746.031746031746</v>
      </c>
    </row>
    <row r="25" spans="1:8" x14ac:dyDescent="0.3">
      <c r="A25">
        <v>21</v>
      </c>
      <c r="B25" s="5">
        <f t="shared" si="0"/>
        <v>222.22222222222223</v>
      </c>
      <c r="C25" s="5">
        <f t="shared" si="1"/>
        <v>253.96825396825398</v>
      </c>
      <c r="D25" s="5">
        <f t="shared" si="2"/>
        <v>571.42857142857144</v>
      </c>
      <c r="E25" s="5">
        <f t="shared" si="3"/>
        <v>428.57142857142856</v>
      </c>
      <c r="F25" s="5">
        <f t="shared" si="4"/>
        <v>174.60317460317461</v>
      </c>
      <c r="G25" s="5">
        <f t="shared" si="5"/>
        <v>95.238095238095241</v>
      </c>
      <c r="H25" s="5">
        <f t="shared" si="6"/>
        <v>1746.031746031746</v>
      </c>
    </row>
    <row r="26" spans="1:8" x14ac:dyDescent="0.3">
      <c r="A26">
        <v>22</v>
      </c>
      <c r="B26" s="5">
        <f t="shared" si="0"/>
        <v>222.22222222222223</v>
      </c>
      <c r="C26" s="5">
        <f t="shared" si="1"/>
        <v>253.96825396825398</v>
      </c>
      <c r="D26" s="5">
        <f t="shared" si="2"/>
        <v>571.42857142857144</v>
      </c>
      <c r="E26" s="5">
        <f t="shared" si="3"/>
        <v>428.57142857142856</v>
      </c>
      <c r="F26" s="5">
        <f t="shared" si="4"/>
        <v>174.60317460317461</v>
      </c>
      <c r="G26" s="5">
        <f t="shared" si="5"/>
        <v>95.238095238095241</v>
      </c>
      <c r="H26" s="5">
        <f t="shared" si="6"/>
        <v>1746.031746031746</v>
      </c>
    </row>
    <row r="27" spans="1:8" x14ac:dyDescent="0.3">
      <c r="A27">
        <v>23</v>
      </c>
      <c r="B27" s="5">
        <f t="shared" si="0"/>
        <v>222.22222222222223</v>
      </c>
      <c r="C27" s="5">
        <f t="shared" si="1"/>
        <v>253.96825396825398</v>
      </c>
      <c r="D27" s="5">
        <f t="shared" si="2"/>
        <v>571.42857142857144</v>
      </c>
      <c r="E27" s="5">
        <f t="shared" si="3"/>
        <v>428.57142857142856</v>
      </c>
      <c r="F27" s="5">
        <f t="shared" si="4"/>
        <v>174.60317460317461</v>
      </c>
      <c r="G27" s="5">
        <f t="shared" si="5"/>
        <v>95.238095238095241</v>
      </c>
      <c r="H27" s="5">
        <f t="shared" si="6"/>
        <v>1746.031746031746</v>
      </c>
    </row>
    <row r="28" spans="1:8" x14ac:dyDescent="0.3">
      <c r="A28">
        <v>24</v>
      </c>
      <c r="B28" s="5">
        <f t="shared" si="0"/>
        <v>222.22222222222223</v>
      </c>
      <c r="C28" s="5">
        <f t="shared" si="1"/>
        <v>253.96825396825398</v>
      </c>
      <c r="D28" s="5">
        <f t="shared" si="2"/>
        <v>571.42857142857144</v>
      </c>
      <c r="E28" s="5">
        <f t="shared" si="3"/>
        <v>428.57142857142856</v>
      </c>
      <c r="F28" s="5">
        <f t="shared" si="4"/>
        <v>174.60317460317461</v>
      </c>
      <c r="G28" s="5">
        <f t="shared" si="5"/>
        <v>95.238095238095241</v>
      </c>
      <c r="H28" s="5">
        <f t="shared" si="6"/>
        <v>1746.031746031746</v>
      </c>
    </row>
    <row r="29" spans="1:8" x14ac:dyDescent="0.3">
      <c r="A29">
        <v>25</v>
      </c>
      <c r="B29" s="5">
        <f t="shared" si="0"/>
        <v>222.22222222222223</v>
      </c>
      <c r="C29" s="5">
        <f t="shared" si="1"/>
        <v>253.96825396825398</v>
      </c>
      <c r="D29" s="5">
        <f t="shared" si="2"/>
        <v>571.42857142857144</v>
      </c>
      <c r="E29" s="5">
        <f t="shared" si="3"/>
        <v>428.57142857142856</v>
      </c>
      <c r="F29" s="5">
        <f t="shared" si="4"/>
        <v>174.60317460317461</v>
      </c>
      <c r="G29" s="5">
        <f t="shared" si="5"/>
        <v>95.238095238095241</v>
      </c>
      <c r="H29" s="5">
        <f t="shared" si="6"/>
        <v>1746.031746031746</v>
      </c>
    </row>
    <row r="30" spans="1:8" x14ac:dyDescent="0.3">
      <c r="A30">
        <v>26</v>
      </c>
      <c r="B30" s="5">
        <f t="shared" si="0"/>
        <v>222.22222222222223</v>
      </c>
      <c r="C30" s="5">
        <f t="shared" si="1"/>
        <v>253.96825396825398</v>
      </c>
      <c r="D30" s="5">
        <f t="shared" si="2"/>
        <v>571.42857142857144</v>
      </c>
      <c r="E30" s="5">
        <f t="shared" si="3"/>
        <v>428.57142857142856</v>
      </c>
      <c r="F30" s="5">
        <f t="shared" si="4"/>
        <v>174.60317460317461</v>
      </c>
      <c r="G30" s="5">
        <f t="shared" si="5"/>
        <v>95.238095238095241</v>
      </c>
      <c r="H30" s="5">
        <f t="shared" si="6"/>
        <v>1746.031746031746</v>
      </c>
    </row>
    <row r="31" spans="1:8" x14ac:dyDescent="0.3">
      <c r="A31">
        <v>27</v>
      </c>
      <c r="B31" s="5">
        <f t="shared" si="0"/>
        <v>222.22222222222223</v>
      </c>
      <c r="C31" s="5">
        <f t="shared" si="1"/>
        <v>253.96825396825398</v>
      </c>
      <c r="D31" s="5">
        <f t="shared" si="2"/>
        <v>571.42857142857144</v>
      </c>
      <c r="E31" s="5">
        <f t="shared" si="3"/>
        <v>428.57142857142856</v>
      </c>
      <c r="F31" s="5">
        <f t="shared" si="4"/>
        <v>174.60317460317461</v>
      </c>
      <c r="G31" s="5">
        <f t="shared" si="5"/>
        <v>95.238095238095241</v>
      </c>
      <c r="H31" s="5">
        <f t="shared" si="6"/>
        <v>1746.031746031746</v>
      </c>
    </row>
    <row r="32" spans="1:8" x14ac:dyDescent="0.3">
      <c r="A32">
        <v>28</v>
      </c>
      <c r="B32" s="5">
        <f t="shared" si="0"/>
        <v>222.22222222222223</v>
      </c>
      <c r="C32" s="5">
        <f t="shared" si="1"/>
        <v>253.96825396825398</v>
      </c>
      <c r="D32" s="5">
        <f t="shared" si="2"/>
        <v>571.42857142857144</v>
      </c>
      <c r="E32" s="5">
        <f t="shared" si="3"/>
        <v>428.57142857142856</v>
      </c>
      <c r="F32" s="5">
        <f t="shared" si="4"/>
        <v>174.60317460317461</v>
      </c>
      <c r="G32" s="5">
        <f t="shared" si="5"/>
        <v>95.238095238095241</v>
      </c>
      <c r="H32" s="5">
        <f t="shared" si="6"/>
        <v>1746.031746031746</v>
      </c>
    </row>
    <row r="33" spans="1:8" x14ac:dyDescent="0.3">
      <c r="A33">
        <v>29</v>
      </c>
      <c r="B33" s="5">
        <f t="shared" si="0"/>
        <v>222.22222222222223</v>
      </c>
      <c r="C33" s="5">
        <f t="shared" si="1"/>
        <v>253.96825396825398</v>
      </c>
      <c r="D33" s="5">
        <f t="shared" si="2"/>
        <v>571.42857142857144</v>
      </c>
      <c r="E33" s="5">
        <f t="shared" si="3"/>
        <v>428.57142857142856</v>
      </c>
      <c r="F33" s="5">
        <f t="shared" si="4"/>
        <v>174.60317460317461</v>
      </c>
      <c r="G33" s="5">
        <f t="shared" si="5"/>
        <v>95.238095238095241</v>
      </c>
      <c r="H33" s="5">
        <f t="shared" si="6"/>
        <v>1746.031746031746</v>
      </c>
    </row>
    <row r="34" spans="1:8" x14ac:dyDescent="0.3">
      <c r="A34">
        <v>30</v>
      </c>
      <c r="B34" s="5">
        <f t="shared" si="0"/>
        <v>222.22222222222223</v>
      </c>
      <c r="C34" s="5">
        <f t="shared" si="1"/>
        <v>253.96825396825398</v>
      </c>
      <c r="D34" s="5">
        <f t="shared" si="2"/>
        <v>571.42857142857144</v>
      </c>
      <c r="E34" s="5">
        <f t="shared" si="3"/>
        <v>428.57142857142856</v>
      </c>
      <c r="F34" s="5">
        <f t="shared" si="4"/>
        <v>174.60317460317461</v>
      </c>
      <c r="G34" s="5">
        <f t="shared" si="5"/>
        <v>95.238095238095241</v>
      </c>
      <c r="H34" s="5">
        <f t="shared" si="6"/>
        <v>1746.031746031746</v>
      </c>
    </row>
    <row r="35" spans="1:8" x14ac:dyDescent="0.3">
      <c r="A35">
        <v>31</v>
      </c>
      <c r="B35" s="5">
        <f t="shared" si="0"/>
        <v>222.22222222222223</v>
      </c>
      <c r="C35" s="5">
        <f t="shared" si="1"/>
        <v>253.96825396825398</v>
      </c>
      <c r="D35" s="5">
        <f t="shared" si="2"/>
        <v>571.42857142857144</v>
      </c>
      <c r="E35" s="5">
        <f t="shared" si="3"/>
        <v>428.57142857142856</v>
      </c>
      <c r="F35" s="5">
        <f t="shared" si="4"/>
        <v>174.60317460317461</v>
      </c>
      <c r="G35" s="5">
        <f t="shared" si="5"/>
        <v>95.238095238095241</v>
      </c>
      <c r="H35" s="5">
        <f t="shared" si="6"/>
        <v>1746.031746031746</v>
      </c>
    </row>
    <row r="36" spans="1:8" x14ac:dyDescent="0.3">
      <c r="A36">
        <v>32</v>
      </c>
      <c r="B36" s="5">
        <f t="shared" si="0"/>
        <v>222.22222222222223</v>
      </c>
      <c r="C36" s="5">
        <f t="shared" si="1"/>
        <v>253.96825396825398</v>
      </c>
      <c r="D36" s="5">
        <f t="shared" si="2"/>
        <v>571.42857142857144</v>
      </c>
      <c r="E36" s="5">
        <f t="shared" si="3"/>
        <v>428.57142857142856</v>
      </c>
      <c r="F36" s="5">
        <f t="shared" si="4"/>
        <v>174.60317460317461</v>
      </c>
      <c r="G36" s="5">
        <f t="shared" si="5"/>
        <v>95.238095238095241</v>
      </c>
      <c r="H36" s="5">
        <f t="shared" si="6"/>
        <v>1746.031746031746</v>
      </c>
    </row>
    <row r="37" spans="1:8" x14ac:dyDescent="0.3">
      <c r="A37">
        <v>33</v>
      </c>
      <c r="B37" s="5">
        <f t="shared" si="0"/>
        <v>222.22222222222223</v>
      </c>
      <c r="C37" s="5">
        <f t="shared" si="1"/>
        <v>253.96825396825398</v>
      </c>
      <c r="D37" s="5">
        <f t="shared" si="2"/>
        <v>571.42857142857144</v>
      </c>
      <c r="E37" s="5">
        <f t="shared" si="3"/>
        <v>428.57142857142856</v>
      </c>
      <c r="F37" s="5">
        <f t="shared" si="4"/>
        <v>174.60317460317461</v>
      </c>
      <c r="G37" s="5">
        <f t="shared" si="5"/>
        <v>95.238095238095241</v>
      </c>
      <c r="H37" s="5">
        <f t="shared" si="6"/>
        <v>1746.031746031746</v>
      </c>
    </row>
    <row r="38" spans="1:8" x14ac:dyDescent="0.3">
      <c r="A38">
        <v>34</v>
      </c>
      <c r="B38" s="5">
        <f t="shared" si="0"/>
        <v>222.22222222222223</v>
      </c>
      <c r="C38" s="5">
        <f t="shared" si="1"/>
        <v>253.96825396825398</v>
      </c>
      <c r="D38" s="5">
        <f t="shared" si="2"/>
        <v>571.42857142857144</v>
      </c>
      <c r="E38" s="5">
        <f t="shared" si="3"/>
        <v>428.57142857142856</v>
      </c>
      <c r="F38" s="5">
        <f t="shared" si="4"/>
        <v>174.60317460317461</v>
      </c>
      <c r="G38" s="5">
        <f t="shared" si="5"/>
        <v>95.238095238095241</v>
      </c>
      <c r="H38" s="5">
        <f t="shared" si="6"/>
        <v>1746.031746031746</v>
      </c>
    </row>
    <row r="39" spans="1:8" x14ac:dyDescent="0.3">
      <c r="A39">
        <v>35</v>
      </c>
      <c r="B39" s="5">
        <f t="shared" si="0"/>
        <v>222.22222222222223</v>
      </c>
      <c r="C39" s="5">
        <f t="shared" si="1"/>
        <v>253.96825396825398</v>
      </c>
      <c r="D39" s="5">
        <f t="shared" si="2"/>
        <v>571.42857142857144</v>
      </c>
      <c r="E39" s="5">
        <f t="shared" si="3"/>
        <v>428.57142857142856</v>
      </c>
      <c r="F39" s="5">
        <f t="shared" si="4"/>
        <v>174.60317460317461</v>
      </c>
      <c r="G39" s="5">
        <f t="shared" si="5"/>
        <v>95.238095238095241</v>
      </c>
      <c r="H39" s="5">
        <f t="shared" si="6"/>
        <v>1746.031746031746</v>
      </c>
    </row>
    <row r="40" spans="1:8" x14ac:dyDescent="0.3">
      <c r="A40">
        <v>36</v>
      </c>
      <c r="B40" s="5">
        <f t="shared" si="0"/>
        <v>222.22222222222223</v>
      </c>
      <c r="C40" s="5">
        <f t="shared" si="1"/>
        <v>253.96825396825398</v>
      </c>
      <c r="D40" s="5">
        <f t="shared" si="2"/>
        <v>571.42857142857144</v>
      </c>
      <c r="E40" s="5">
        <f t="shared" si="3"/>
        <v>428.57142857142856</v>
      </c>
      <c r="F40" s="5">
        <f t="shared" si="4"/>
        <v>174.60317460317461</v>
      </c>
      <c r="G40" s="5">
        <f t="shared" si="5"/>
        <v>95.238095238095241</v>
      </c>
      <c r="H40" s="5">
        <f t="shared" si="6"/>
        <v>1746.031746031746</v>
      </c>
    </row>
    <row r="41" spans="1:8" x14ac:dyDescent="0.3">
      <c r="A41">
        <v>37</v>
      </c>
      <c r="B41" s="5">
        <f t="shared" si="0"/>
        <v>222.22222222222223</v>
      </c>
      <c r="C41" s="5">
        <f t="shared" si="1"/>
        <v>253.96825396825398</v>
      </c>
      <c r="D41" s="5">
        <f t="shared" si="2"/>
        <v>571.42857142857144</v>
      </c>
      <c r="E41" s="5">
        <f t="shared" si="3"/>
        <v>428.57142857142856</v>
      </c>
      <c r="F41" s="5">
        <f t="shared" si="4"/>
        <v>174.60317460317461</v>
      </c>
      <c r="G41" s="5">
        <f t="shared" si="5"/>
        <v>95.238095238095241</v>
      </c>
      <c r="H41" s="5">
        <f t="shared" ref="H41:H64" si="7">SUM(B41:G41)</f>
        <v>1746.031746031746</v>
      </c>
    </row>
    <row r="42" spans="1:8" x14ac:dyDescent="0.3">
      <c r="A42">
        <v>38</v>
      </c>
      <c r="B42" s="5">
        <f t="shared" si="0"/>
        <v>222.22222222222223</v>
      </c>
      <c r="C42" s="5">
        <f t="shared" si="1"/>
        <v>253.96825396825398</v>
      </c>
      <c r="D42" s="5">
        <f t="shared" si="2"/>
        <v>571.42857142857144</v>
      </c>
      <c r="E42" s="5">
        <f t="shared" si="3"/>
        <v>428.57142857142856</v>
      </c>
      <c r="F42" s="5">
        <f t="shared" si="4"/>
        <v>174.60317460317461</v>
      </c>
      <c r="G42" s="5">
        <f t="shared" si="5"/>
        <v>95.238095238095241</v>
      </c>
      <c r="H42" s="5">
        <f t="shared" si="7"/>
        <v>1746.031746031746</v>
      </c>
    </row>
    <row r="43" spans="1:8" x14ac:dyDescent="0.3">
      <c r="A43">
        <v>39</v>
      </c>
      <c r="B43" s="5">
        <f t="shared" si="0"/>
        <v>222.22222222222223</v>
      </c>
      <c r="C43" s="5">
        <f t="shared" si="1"/>
        <v>253.96825396825398</v>
      </c>
      <c r="D43" s="5">
        <f t="shared" si="2"/>
        <v>571.42857142857144</v>
      </c>
      <c r="E43" s="5">
        <f t="shared" si="3"/>
        <v>428.57142857142856</v>
      </c>
      <c r="F43" s="5">
        <f t="shared" si="4"/>
        <v>174.60317460317461</v>
      </c>
      <c r="G43" s="5">
        <f t="shared" si="5"/>
        <v>95.238095238095241</v>
      </c>
      <c r="H43" s="5">
        <f t="shared" si="7"/>
        <v>1746.031746031746</v>
      </c>
    </row>
    <row r="44" spans="1:8" x14ac:dyDescent="0.3">
      <c r="A44">
        <v>40</v>
      </c>
      <c r="B44" s="5">
        <f t="shared" si="0"/>
        <v>222.22222222222223</v>
      </c>
      <c r="C44" s="5">
        <f t="shared" si="1"/>
        <v>253.96825396825398</v>
      </c>
      <c r="D44" s="5">
        <f t="shared" si="2"/>
        <v>571.42857142857144</v>
      </c>
      <c r="E44" s="5">
        <f t="shared" si="3"/>
        <v>428.57142857142856</v>
      </c>
      <c r="F44" s="5">
        <f t="shared" si="4"/>
        <v>174.60317460317461</v>
      </c>
      <c r="G44" s="5">
        <f t="shared" si="5"/>
        <v>95.238095238095241</v>
      </c>
      <c r="H44" s="5">
        <f t="shared" si="7"/>
        <v>1746.031746031746</v>
      </c>
    </row>
    <row r="45" spans="1:8" x14ac:dyDescent="0.3">
      <c r="A45">
        <v>41</v>
      </c>
      <c r="B45" s="5">
        <f t="shared" si="0"/>
        <v>222.22222222222223</v>
      </c>
      <c r="C45" s="5">
        <f t="shared" si="1"/>
        <v>253.96825396825398</v>
      </c>
      <c r="D45" s="5">
        <f t="shared" si="2"/>
        <v>571.42857142857144</v>
      </c>
      <c r="E45" s="5">
        <f t="shared" si="3"/>
        <v>428.57142857142856</v>
      </c>
      <c r="F45" s="5">
        <f t="shared" si="4"/>
        <v>174.60317460317461</v>
      </c>
      <c r="G45" s="5">
        <f t="shared" si="5"/>
        <v>95.238095238095241</v>
      </c>
      <c r="H45" s="5">
        <f t="shared" si="7"/>
        <v>1746.031746031746</v>
      </c>
    </row>
    <row r="46" spans="1:8" x14ac:dyDescent="0.3">
      <c r="A46">
        <v>42</v>
      </c>
      <c r="B46" s="5">
        <f t="shared" si="0"/>
        <v>222.22222222222223</v>
      </c>
      <c r="C46" s="5">
        <f t="shared" si="1"/>
        <v>253.96825396825398</v>
      </c>
      <c r="D46" s="5">
        <f t="shared" si="2"/>
        <v>571.42857142857144</v>
      </c>
      <c r="E46" s="5">
        <f t="shared" si="3"/>
        <v>428.57142857142856</v>
      </c>
      <c r="F46" s="5">
        <f t="shared" si="4"/>
        <v>174.60317460317461</v>
      </c>
      <c r="G46" s="5">
        <f t="shared" si="5"/>
        <v>95.238095238095241</v>
      </c>
      <c r="H46" s="5">
        <f t="shared" si="7"/>
        <v>1746.031746031746</v>
      </c>
    </row>
    <row r="47" spans="1:8" x14ac:dyDescent="0.3">
      <c r="A47">
        <v>43</v>
      </c>
      <c r="B47" s="5">
        <f t="shared" si="0"/>
        <v>222.22222222222223</v>
      </c>
      <c r="C47" s="5">
        <f t="shared" si="1"/>
        <v>253.96825396825398</v>
      </c>
      <c r="D47" s="5">
        <f t="shared" si="2"/>
        <v>571.42857142857144</v>
      </c>
      <c r="E47" s="5">
        <f t="shared" si="3"/>
        <v>428.57142857142856</v>
      </c>
      <c r="F47" s="5">
        <f t="shared" si="4"/>
        <v>174.60317460317461</v>
      </c>
      <c r="G47" s="5">
        <f t="shared" si="5"/>
        <v>95.238095238095241</v>
      </c>
      <c r="H47" s="5">
        <f t="shared" si="7"/>
        <v>1746.031746031746</v>
      </c>
    </row>
    <row r="48" spans="1:8" x14ac:dyDescent="0.3">
      <c r="A48">
        <v>44</v>
      </c>
      <c r="B48" s="5">
        <f t="shared" si="0"/>
        <v>222.22222222222223</v>
      </c>
      <c r="C48" s="5">
        <f t="shared" si="1"/>
        <v>253.96825396825398</v>
      </c>
      <c r="D48" s="5">
        <f t="shared" si="2"/>
        <v>571.42857142857144</v>
      </c>
      <c r="E48" s="5">
        <f t="shared" si="3"/>
        <v>428.57142857142856</v>
      </c>
      <c r="F48" s="5">
        <f t="shared" si="4"/>
        <v>174.60317460317461</v>
      </c>
      <c r="G48" s="5">
        <f t="shared" si="5"/>
        <v>95.238095238095241</v>
      </c>
      <c r="H48" s="5">
        <f t="shared" si="7"/>
        <v>1746.031746031746</v>
      </c>
    </row>
    <row r="49" spans="1:8" x14ac:dyDescent="0.3">
      <c r="A49">
        <v>45</v>
      </c>
      <c r="B49" s="5">
        <f t="shared" si="0"/>
        <v>222.22222222222223</v>
      </c>
      <c r="C49" s="5">
        <f t="shared" si="1"/>
        <v>253.96825396825398</v>
      </c>
      <c r="D49" s="5">
        <f t="shared" si="2"/>
        <v>571.42857142857144</v>
      </c>
      <c r="E49" s="5">
        <f t="shared" si="3"/>
        <v>428.57142857142856</v>
      </c>
      <c r="F49" s="5">
        <f t="shared" si="4"/>
        <v>174.60317460317461</v>
      </c>
      <c r="G49" s="5">
        <f t="shared" si="5"/>
        <v>95.238095238095241</v>
      </c>
      <c r="H49" s="5">
        <f t="shared" si="7"/>
        <v>1746.031746031746</v>
      </c>
    </row>
    <row r="50" spans="1:8" x14ac:dyDescent="0.3">
      <c r="A50">
        <v>46</v>
      </c>
      <c r="B50" s="5">
        <f t="shared" si="0"/>
        <v>222.22222222222223</v>
      </c>
      <c r="C50" s="5">
        <f t="shared" si="1"/>
        <v>253.96825396825398</v>
      </c>
      <c r="D50" s="5">
        <f t="shared" si="2"/>
        <v>571.42857142857144</v>
      </c>
      <c r="E50" s="5">
        <f t="shared" si="3"/>
        <v>428.57142857142856</v>
      </c>
      <c r="F50" s="5">
        <f t="shared" si="4"/>
        <v>174.60317460317461</v>
      </c>
      <c r="G50" s="5">
        <f t="shared" si="5"/>
        <v>95.238095238095241</v>
      </c>
      <c r="H50" s="5">
        <f t="shared" si="7"/>
        <v>1746.031746031746</v>
      </c>
    </row>
    <row r="51" spans="1:8" x14ac:dyDescent="0.3">
      <c r="A51">
        <v>47</v>
      </c>
      <c r="B51" s="5">
        <f t="shared" si="0"/>
        <v>222.22222222222223</v>
      </c>
      <c r="C51" s="5">
        <f t="shared" si="1"/>
        <v>253.96825396825398</v>
      </c>
      <c r="D51" s="5">
        <f t="shared" si="2"/>
        <v>571.42857142857144</v>
      </c>
      <c r="E51" s="5">
        <f t="shared" si="3"/>
        <v>428.57142857142856</v>
      </c>
      <c r="F51" s="5">
        <f t="shared" si="4"/>
        <v>174.60317460317461</v>
      </c>
      <c r="G51" s="5">
        <f t="shared" si="5"/>
        <v>95.238095238095241</v>
      </c>
      <c r="H51" s="5">
        <f t="shared" si="7"/>
        <v>1746.031746031746</v>
      </c>
    </row>
    <row r="52" spans="1:8" x14ac:dyDescent="0.3">
      <c r="A52">
        <v>48</v>
      </c>
      <c r="B52" s="5">
        <f t="shared" si="0"/>
        <v>222.22222222222223</v>
      </c>
      <c r="C52" s="5">
        <f t="shared" si="1"/>
        <v>253.96825396825398</v>
      </c>
      <c r="D52" s="5">
        <f t="shared" si="2"/>
        <v>571.42857142857144</v>
      </c>
      <c r="E52" s="5">
        <f t="shared" si="3"/>
        <v>428.57142857142856</v>
      </c>
      <c r="F52" s="5">
        <f t="shared" si="4"/>
        <v>174.60317460317461</v>
      </c>
      <c r="G52" s="5">
        <f t="shared" si="5"/>
        <v>95.238095238095241</v>
      </c>
      <c r="H52" s="5">
        <f t="shared" si="7"/>
        <v>1746.031746031746</v>
      </c>
    </row>
    <row r="53" spans="1:8" x14ac:dyDescent="0.3">
      <c r="A53">
        <v>49</v>
      </c>
      <c r="B53" s="5">
        <f t="shared" si="0"/>
        <v>222.22222222222223</v>
      </c>
      <c r="C53" s="5">
        <f t="shared" si="1"/>
        <v>253.96825396825398</v>
      </c>
      <c r="D53" s="5">
        <f t="shared" si="2"/>
        <v>571.42857142857144</v>
      </c>
      <c r="E53" s="5">
        <f t="shared" si="3"/>
        <v>428.57142857142856</v>
      </c>
      <c r="F53" s="5">
        <f t="shared" si="4"/>
        <v>174.60317460317461</v>
      </c>
      <c r="G53" s="5">
        <f t="shared" si="5"/>
        <v>95.238095238095241</v>
      </c>
      <c r="H53" s="5">
        <f t="shared" si="7"/>
        <v>1746.031746031746</v>
      </c>
    </row>
    <row r="54" spans="1:8" x14ac:dyDescent="0.3">
      <c r="A54">
        <v>50</v>
      </c>
      <c r="B54" s="5">
        <f t="shared" si="0"/>
        <v>222.22222222222223</v>
      </c>
      <c r="C54" s="5">
        <f t="shared" si="1"/>
        <v>253.96825396825398</v>
      </c>
      <c r="D54" s="5">
        <f t="shared" si="2"/>
        <v>571.42857142857144</v>
      </c>
      <c r="E54" s="5">
        <f t="shared" si="3"/>
        <v>428.57142857142856</v>
      </c>
      <c r="F54" s="5">
        <f t="shared" si="4"/>
        <v>174.60317460317461</v>
      </c>
      <c r="G54" s="5">
        <f t="shared" si="5"/>
        <v>95.238095238095241</v>
      </c>
      <c r="H54" s="5">
        <f t="shared" si="7"/>
        <v>1746.031746031746</v>
      </c>
    </row>
    <row r="55" spans="1:8" x14ac:dyDescent="0.3">
      <c r="A55">
        <v>51</v>
      </c>
      <c r="B55" s="5">
        <f t="shared" si="0"/>
        <v>222.22222222222223</v>
      </c>
      <c r="C55" s="5">
        <f t="shared" si="1"/>
        <v>253.96825396825398</v>
      </c>
      <c r="D55" s="5">
        <f t="shared" si="2"/>
        <v>571.42857142857144</v>
      </c>
      <c r="E55" s="5">
        <f t="shared" si="3"/>
        <v>428.57142857142856</v>
      </c>
      <c r="F55" s="5">
        <f t="shared" si="4"/>
        <v>174.60317460317461</v>
      </c>
      <c r="G55" s="5">
        <f t="shared" si="5"/>
        <v>95.238095238095241</v>
      </c>
      <c r="H55" s="5">
        <f t="shared" si="7"/>
        <v>1746.031746031746</v>
      </c>
    </row>
    <row r="56" spans="1:8" x14ac:dyDescent="0.3">
      <c r="A56">
        <v>52</v>
      </c>
      <c r="B56" s="5">
        <f t="shared" si="0"/>
        <v>222.22222222222223</v>
      </c>
      <c r="C56" s="5">
        <f t="shared" si="1"/>
        <v>253.96825396825398</v>
      </c>
      <c r="D56" s="5">
        <f t="shared" si="2"/>
        <v>571.42857142857144</v>
      </c>
      <c r="E56" s="5">
        <f t="shared" si="3"/>
        <v>428.57142857142856</v>
      </c>
      <c r="F56" s="5">
        <f t="shared" si="4"/>
        <v>174.60317460317461</v>
      </c>
      <c r="G56" s="5">
        <f t="shared" si="5"/>
        <v>95.238095238095241</v>
      </c>
      <c r="H56" s="5">
        <f t="shared" si="7"/>
        <v>1746.031746031746</v>
      </c>
    </row>
    <row r="57" spans="1:8" x14ac:dyDescent="0.3">
      <c r="A57">
        <v>53</v>
      </c>
      <c r="B57" s="5">
        <f t="shared" si="0"/>
        <v>222.22222222222223</v>
      </c>
      <c r="C57" s="5">
        <f t="shared" si="1"/>
        <v>253.96825396825398</v>
      </c>
      <c r="D57" s="5">
        <f t="shared" si="2"/>
        <v>571.42857142857144</v>
      </c>
      <c r="E57" s="5">
        <f t="shared" si="3"/>
        <v>428.57142857142856</v>
      </c>
      <c r="F57" s="5">
        <f t="shared" si="4"/>
        <v>174.60317460317461</v>
      </c>
      <c r="G57" s="5">
        <f t="shared" si="5"/>
        <v>95.238095238095241</v>
      </c>
      <c r="H57" s="5">
        <f t="shared" si="7"/>
        <v>1746.031746031746</v>
      </c>
    </row>
    <row r="58" spans="1:8" x14ac:dyDescent="0.3">
      <c r="A58">
        <v>54</v>
      </c>
      <c r="B58" s="5">
        <f t="shared" si="0"/>
        <v>222.22222222222223</v>
      </c>
      <c r="C58" s="5">
        <f t="shared" si="1"/>
        <v>253.96825396825398</v>
      </c>
      <c r="D58" s="5">
        <f t="shared" si="2"/>
        <v>571.42857142857144</v>
      </c>
      <c r="E58" s="5">
        <f t="shared" si="3"/>
        <v>428.57142857142856</v>
      </c>
      <c r="F58" s="5">
        <f t="shared" si="4"/>
        <v>174.60317460317461</v>
      </c>
      <c r="G58" s="5">
        <f t="shared" si="5"/>
        <v>95.238095238095241</v>
      </c>
      <c r="H58" s="5">
        <f t="shared" si="7"/>
        <v>1746.031746031746</v>
      </c>
    </row>
    <row r="59" spans="1:8" x14ac:dyDescent="0.3">
      <c r="A59">
        <v>55</v>
      </c>
      <c r="B59" s="5">
        <f t="shared" si="0"/>
        <v>222.22222222222223</v>
      </c>
      <c r="C59" s="5">
        <f t="shared" si="1"/>
        <v>253.96825396825398</v>
      </c>
      <c r="D59" s="5">
        <f t="shared" si="2"/>
        <v>571.42857142857144</v>
      </c>
      <c r="E59" s="5">
        <f t="shared" si="3"/>
        <v>428.57142857142856</v>
      </c>
      <c r="F59" s="5">
        <f t="shared" si="4"/>
        <v>174.60317460317461</v>
      </c>
      <c r="G59" s="5">
        <f t="shared" si="5"/>
        <v>95.238095238095241</v>
      </c>
      <c r="H59" s="5">
        <f t="shared" si="7"/>
        <v>1746.031746031746</v>
      </c>
    </row>
    <row r="60" spans="1:8" x14ac:dyDescent="0.3">
      <c r="A60">
        <v>56</v>
      </c>
      <c r="B60" s="5">
        <f t="shared" si="0"/>
        <v>222.22222222222223</v>
      </c>
      <c r="C60" s="5">
        <f t="shared" si="1"/>
        <v>253.96825396825398</v>
      </c>
      <c r="D60" s="5">
        <f t="shared" si="2"/>
        <v>571.42857142857144</v>
      </c>
      <c r="E60" s="5">
        <f t="shared" si="3"/>
        <v>428.57142857142856</v>
      </c>
      <c r="F60" s="5">
        <f t="shared" si="4"/>
        <v>174.60317460317461</v>
      </c>
      <c r="G60" s="5">
        <f t="shared" si="5"/>
        <v>95.238095238095241</v>
      </c>
      <c r="H60" s="5">
        <f t="shared" si="7"/>
        <v>1746.031746031746</v>
      </c>
    </row>
    <row r="61" spans="1:8" x14ac:dyDescent="0.3">
      <c r="A61">
        <v>57</v>
      </c>
      <c r="B61" s="5">
        <f t="shared" si="0"/>
        <v>222.22222222222223</v>
      </c>
      <c r="C61" s="5">
        <f t="shared" si="1"/>
        <v>253.96825396825398</v>
      </c>
      <c r="D61" s="5">
        <f t="shared" si="2"/>
        <v>571.42857142857144</v>
      </c>
      <c r="E61" s="5">
        <f t="shared" si="3"/>
        <v>428.57142857142856</v>
      </c>
      <c r="F61" s="5">
        <f t="shared" si="4"/>
        <v>174.60317460317461</v>
      </c>
      <c r="G61" s="5">
        <f t="shared" si="5"/>
        <v>95.238095238095241</v>
      </c>
      <c r="H61" s="5">
        <f t="shared" si="7"/>
        <v>1746.031746031746</v>
      </c>
    </row>
    <row r="62" spans="1:8" x14ac:dyDescent="0.3">
      <c r="A62">
        <v>58</v>
      </c>
      <c r="B62" s="5">
        <f t="shared" si="0"/>
        <v>222.22222222222223</v>
      </c>
      <c r="C62" s="5">
        <f t="shared" si="1"/>
        <v>253.96825396825398</v>
      </c>
      <c r="D62" s="5">
        <f t="shared" si="2"/>
        <v>571.42857142857144</v>
      </c>
      <c r="E62" s="5">
        <f t="shared" si="3"/>
        <v>428.57142857142856</v>
      </c>
      <c r="F62" s="5">
        <f t="shared" si="4"/>
        <v>174.60317460317461</v>
      </c>
      <c r="G62" s="5">
        <f t="shared" si="5"/>
        <v>95.238095238095241</v>
      </c>
      <c r="H62" s="5">
        <f t="shared" si="7"/>
        <v>1746.031746031746</v>
      </c>
    </row>
    <row r="63" spans="1:8" x14ac:dyDescent="0.3">
      <c r="A63">
        <v>59</v>
      </c>
      <c r="B63" s="5">
        <f t="shared" si="0"/>
        <v>222.22222222222223</v>
      </c>
      <c r="C63" s="5">
        <f t="shared" si="1"/>
        <v>253.96825396825398</v>
      </c>
      <c r="D63" s="5">
        <f t="shared" si="2"/>
        <v>571.42857142857144</v>
      </c>
      <c r="E63" s="5">
        <f t="shared" si="3"/>
        <v>428.57142857142856</v>
      </c>
      <c r="F63" s="5">
        <f t="shared" si="4"/>
        <v>174.60317460317461</v>
      </c>
      <c r="G63" s="5">
        <f t="shared" si="5"/>
        <v>95.238095238095241</v>
      </c>
      <c r="H63" s="5">
        <f t="shared" si="7"/>
        <v>1746.031746031746</v>
      </c>
    </row>
    <row r="64" spans="1:8" x14ac:dyDescent="0.3">
      <c r="A64">
        <v>60</v>
      </c>
      <c r="B64" s="5">
        <f t="shared" si="0"/>
        <v>222.22222222222223</v>
      </c>
      <c r="C64" s="5">
        <f t="shared" si="1"/>
        <v>253.96825396825398</v>
      </c>
      <c r="D64" s="5">
        <f t="shared" si="2"/>
        <v>571.42857142857144</v>
      </c>
      <c r="E64" s="5">
        <f t="shared" si="3"/>
        <v>428.57142857142856</v>
      </c>
      <c r="F64" s="5">
        <f t="shared" si="4"/>
        <v>174.60317460317461</v>
      </c>
      <c r="G64" s="5">
        <f t="shared" si="5"/>
        <v>95.238095238095241</v>
      </c>
      <c r="H64" s="5">
        <f t="shared" si="7"/>
        <v>1746.031746031746</v>
      </c>
    </row>
    <row r="65" spans="1:8" x14ac:dyDescent="0.3">
      <c r="B65" s="5"/>
      <c r="C65" s="5"/>
      <c r="D65" s="5"/>
      <c r="E65" s="5"/>
      <c r="F65" s="5"/>
      <c r="G65" s="5"/>
      <c r="H65" s="5"/>
    </row>
    <row r="66" spans="1:8" x14ac:dyDescent="0.3">
      <c r="A66" s="4" t="s">
        <v>13</v>
      </c>
      <c r="B66" s="5"/>
      <c r="C66" s="5"/>
      <c r="D66" s="5"/>
      <c r="E66" s="5"/>
      <c r="F66" s="5"/>
      <c r="G66" s="5"/>
      <c r="H66" s="6">
        <f>SUM(H5:H65)</f>
        <v>104761.90476190475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69463-172B-4341-9942-F852B568A6C8}">
  <sheetPr>
    <tabColor theme="5" tint="0.39997558519241921"/>
  </sheetPr>
  <dimension ref="A1:H66"/>
  <sheetViews>
    <sheetView topLeftCell="A29" workbookViewId="0">
      <selection activeCell="F28" sqref="F28"/>
    </sheetView>
  </sheetViews>
  <sheetFormatPr baseColWidth="10" defaultRowHeight="14.4" x14ac:dyDescent="0.3"/>
  <cols>
    <col min="2" max="2" width="16.6640625" customWidth="1"/>
    <col min="3" max="3" width="19.6640625" customWidth="1"/>
    <col min="4" max="4" width="23.44140625" customWidth="1"/>
    <col min="5" max="5" width="21.77734375" bestFit="1" customWidth="1"/>
    <col min="7" max="7" width="13" bestFit="1" customWidth="1"/>
  </cols>
  <sheetData>
    <row r="1" spans="1:8" x14ac:dyDescent="0.3">
      <c r="A1" t="s">
        <v>19</v>
      </c>
    </row>
    <row r="4" spans="1:8" x14ac:dyDescent="0.3">
      <c r="A4" s="24" t="s">
        <v>5</v>
      </c>
      <c r="B4" s="24" t="s">
        <v>81</v>
      </c>
      <c r="C4" s="24" t="s">
        <v>82</v>
      </c>
      <c r="D4" s="24" t="s">
        <v>83</v>
      </c>
      <c r="E4" s="24" t="s">
        <v>20</v>
      </c>
      <c r="F4" s="24" t="s">
        <v>15</v>
      </c>
      <c r="G4" s="24" t="s">
        <v>21</v>
      </c>
    </row>
    <row r="5" spans="1:8" x14ac:dyDescent="0.3">
      <c r="A5">
        <v>1</v>
      </c>
      <c r="B5" s="5">
        <v>87.14</v>
      </c>
      <c r="C5" s="5">
        <v>174.43711999999999</v>
      </c>
      <c r="D5" s="5">
        <v>60</v>
      </c>
      <c r="E5" s="5">
        <f>SUM(B5:D5)</f>
        <v>321.57711999999998</v>
      </c>
      <c r="F5" s="71">
        <v>0</v>
      </c>
      <c r="G5" s="5">
        <f>+E5*F5</f>
        <v>0</v>
      </c>
      <c r="H5" t="s">
        <v>84</v>
      </c>
    </row>
    <row r="6" spans="1:8" x14ac:dyDescent="0.3">
      <c r="A6">
        <v>2</v>
      </c>
      <c r="B6" s="5">
        <v>87.14</v>
      </c>
      <c r="C6" s="5">
        <v>174.43711999999999</v>
      </c>
      <c r="D6" s="5">
        <v>60</v>
      </c>
      <c r="E6" s="5">
        <f t="shared" ref="E6:E40" si="0">SUM(B6:D6)</f>
        <v>321.57711999999998</v>
      </c>
      <c r="F6" s="71">
        <v>0</v>
      </c>
      <c r="G6" s="5">
        <f t="shared" ref="G6:G12" si="1">+E6*F6</f>
        <v>0</v>
      </c>
      <c r="H6" t="s">
        <v>85</v>
      </c>
    </row>
    <row r="7" spans="1:8" x14ac:dyDescent="0.3">
      <c r="A7">
        <v>3</v>
      </c>
      <c r="B7" s="5">
        <v>87.14</v>
      </c>
      <c r="C7" s="5">
        <v>174.43711999999999</v>
      </c>
      <c r="D7" s="5">
        <v>60</v>
      </c>
      <c r="E7" s="5">
        <f t="shared" si="0"/>
        <v>321.57711999999998</v>
      </c>
      <c r="F7" s="71">
        <v>0</v>
      </c>
      <c r="G7" s="5">
        <f t="shared" si="1"/>
        <v>0</v>
      </c>
      <c r="H7" t="s">
        <v>86</v>
      </c>
    </row>
    <row r="8" spans="1:8" x14ac:dyDescent="0.3">
      <c r="A8">
        <v>4</v>
      </c>
      <c r="B8" s="5">
        <v>87.14</v>
      </c>
      <c r="C8" s="5">
        <v>174.43711999999999</v>
      </c>
      <c r="D8" s="5">
        <v>60</v>
      </c>
      <c r="E8" s="5">
        <f t="shared" si="0"/>
        <v>321.57711999999998</v>
      </c>
      <c r="F8" s="71">
        <v>0</v>
      </c>
      <c r="G8" s="5">
        <f t="shared" si="1"/>
        <v>0</v>
      </c>
    </row>
    <row r="9" spans="1:8" x14ac:dyDescent="0.3">
      <c r="A9">
        <v>5</v>
      </c>
      <c r="B9" s="5">
        <v>87.14</v>
      </c>
      <c r="C9" s="5">
        <v>174.43711999999999</v>
      </c>
      <c r="D9" s="5">
        <v>60</v>
      </c>
      <c r="E9" s="5">
        <f t="shared" si="0"/>
        <v>321.57711999999998</v>
      </c>
      <c r="F9" s="71">
        <v>0</v>
      </c>
      <c r="G9" s="5">
        <f t="shared" si="1"/>
        <v>0</v>
      </c>
    </row>
    <row r="10" spans="1:8" x14ac:dyDescent="0.3">
      <c r="A10" s="69">
        <v>6</v>
      </c>
      <c r="B10" s="5">
        <v>87.14</v>
      </c>
      <c r="C10" s="5">
        <v>174.43711999999999</v>
      </c>
      <c r="D10" s="5">
        <v>60</v>
      </c>
      <c r="E10" s="70">
        <f t="shared" si="0"/>
        <v>321.57711999999998</v>
      </c>
      <c r="F10" s="69">
        <v>10</v>
      </c>
      <c r="G10" s="70">
        <f t="shared" si="1"/>
        <v>3215.7711999999997</v>
      </c>
    </row>
    <row r="11" spans="1:8" x14ac:dyDescent="0.3">
      <c r="A11">
        <v>7</v>
      </c>
      <c r="B11" s="5">
        <v>87.14</v>
      </c>
      <c r="C11" s="5">
        <v>174.43711999999999</v>
      </c>
      <c r="D11" s="5">
        <v>60</v>
      </c>
      <c r="E11" s="5">
        <f t="shared" si="0"/>
        <v>321.57711999999998</v>
      </c>
      <c r="F11">
        <f>Resumen!B24</f>
        <v>0</v>
      </c>
      <c r="G11" s="5">
        <f t="shared" si="1"/>
        <v>0</v>
      </c>
    </row>
    <row r="12" spans="1:8" x14ac:dyDescent="0.3">
      <c r="A12">
        <v>8</v>
      </c>
      <c r="B12" s="5">
        <v>87.14</v>
      </c>
      <c r="C12" s="5">
        <v>174.43711999999999</v>
      </c>
      <c r="D12" s="5">
        <v>60</v>
      </c>
      <c r="E12" s="5">
        <f t="shared" si="0"/>
        <v>321.57711999999998</v>
      </c>
      <c r="F12">
        <f>Resumen!B25</f>
        <v>0</v>
      </c>
      <c r="G12" s="5">
        <f t="shared" si="1"/>
        <v>0</v>
      </c>
    </row>
    <row r="13" spans="1:8" x14ac:dyDescent="0.3">
      <c r="A13">
        <v>9</v>
      </c>
      <c r="B13" s="5">
        <v>87.14</v>
      </c>
      <c r="C13" s="5">
        <v>174.43711999999999</v>
      </c>
      <c r="D13" s="5">
        <v>60</v>
      </c>
      <c r="E13" s="5">
        <f t="shared" si="0"/>
        <v>321.57711999999998</v>
      </c>
      <c r="F13">
        <f>Resumen!B26</f>
        <v>0</v>
      </c>
      <c r="G13" s="5">
        <f>+E13*F13</f>
        <v>0</v>
      </c>
    </row>
    <row r="14" spans="1:8" x14ac:dyDescent="0.3">
      <c r="A14">
        <v>10</v>
      </c>
      <c r="B14" s="5">
        <v>87.14</v>
      </c>
      <c r="C14" s="5">
        <v>174.43711999999999</v>
      </c>
      <c r="D14" s="5">
        <v>60</v>
      </c>
      <c r="E14" s="5">
        <f t="shared" si="0"/>
        <v>321.57711999999998</v>
      </c>
      <c r="F14">
        <f>Resumen!B27</f>
        <v>0</v>
      </c>
      <c r="G14" s="5">
        <f t="shared" ref="G14:G40" si="2">+E14*F14</f>
        <v>0</v>
      </c>
    </row>
    <row r="15" spans="1:8" x14ac:dyDescent="0.3">
      <c r="A15">
        <v>11</v>
      </c>
      <c r="B15" s="5">
        <v>87.14</v>
      </c>
      <c r="C15" s="5">
        <v>174.43711999999999</v>
      </c>
      <c r="D15" s="5">
        <v>60</v>
      </c>
      <c r="E15" s="5">
        <f t="shared" si="0"/>
        <v>321.57711999999998</v>
      </c>
      <c r="F15">
        <f>Resumen!B28</f>
        <v>0</v>
      </c>
      <c r="G15" s="5">
        <f t="shared" si="2"/>
        <v>0</v>
      </c>
    </row>
    <row r="16" spans="1:8" x14ac:dyDescent="0.3">
      <c r="A16">
        <v>12</v>
      </c>
      <c r="B16" s="5">
        <v>87.14</v>
      </c>
      <c r="C16" s="5">
        <v>174.43711999999999</v>
      </c>
      <c r="D16" s="5">
        <v>60</v>
      </c>
      <c r="E16" s="5">
        <f t="shared" si="0"/>
        <v>321.57711999999998</v>
      </c>
      <c r="F16">
        <v>20</v>
      </c>
      <c r="G16" s="5">
        <f t="shared" si="2"/>
        <v>6431.5423999999994</v>
      </c>
    </row>
    <row r="17" spans="1:7" x14ac:dyDescent="0.3">
      <c r="A17">
        <v>13</v>
      </c>
      <c r="B17" s="5">
        <v>87.14</v>
      </c>
      <c r="C17" s="5">
        <v>174.43711999999999</v>
      </c>
      <c r="D17" s="5">
        <v>60</v>
      </c>
      <c r="E17" s="5">
        <f t="shared" si="0"/>
        <v>321.57711999999998</v>
      </c>
      <c r="F17">
        <f>Resumen!B30</f>
        <v>0</v>
      </c>
      <c r="G17" s="5">
        <f t="shared" si="2"/>
        <v>0</v>
      </c>
    </row>
    <row r="18" spans="1:7" x14ac:dyDescent="0.3">
      <c r="A18">
        <v>14</v>
      </c>
      <c r="B18" s="5">
        <v>87.14</v>
      </c>
      <c r="C18" s="5">
        <v>174.43711999999999</v>
      </c>
      <c r="D18" s="5">
        <v>60</v>
      </c>
      <c r="E18" s="5">
        <f t="shared" si="0"/>
        <v>321.57711999999998</v>
      </c>
      <c r="F18">
        <f>Resumen!B31</f>
        <v>0</v>
      </c>
      <c r="G18" s="5">
        <f t="shared" si="2"/>
        <v>0</v>
      </c>
    </row>
    <row r="19" spans="1:7" x14ac:dyDescent="0.3">
      <c r="A19">
        <v>15</v>
      </c>
      <c r="B19" s="5">
        <v>87.14</v>
      </c>
      <c r="C19" s="5">
        <v>174.43711999999999</v>
      </c>
      <c r="D19" s="5">
        <v>60</v>
      </c>
      <c r="E19" s="5">
        <f t="shared" si="0"/>
        <v>321.57711999999998</v>
      </c>
      <c r="F19">
        <f>Resumen!B32</f>
        <v>0</v>
      </c>
      <c r="G19" s="5">
        <f t="shared" si="2"/>
        <v>0</v>
      </c>
    </row>
    <row r="20" spans="1:7" x14ac:dyDescent="0.3">
      <c r="A20">
        <v>16</v>
      </c>
      <c r="B20" s="5">
        <v>87.14</v>
      </c>
      <c r="C20" s="5">
        <v>174.43711999999999</v>
      </c>
      <c r="D20" s="5">
        <v>60</v>
      </c>
      <c r="E20" s="5">
        <f t="shared" si="0"/>
        <v>321.57711999999998</v>
      </c>
      <c r="F20">
        <f>Resumen!B33</f>
        <v>0</v>
      </c>
      <c r="G20" s="5">
        <f t="shared" si="2"/>
        <v>0</v>
      </c>
    </row>
    <row r="21" spans="1:7" x14ac:dyDescent="0.3">
      <c r="A21">
        <v>17</v>
      </c>
      <c r="B21" s="5">
        <v>87.14</v>
      </c>
      <c r="C21" s="5">
        <v>174.43711999999999</v>
      </c>
      <c r="D21" s="5">
        <v>60</v>
      </c>
      <c r="E21" s="5">
        <f t="shared" si="0"/>
        <v>321.57711999999998</v>
      </c>
      <c r="F21">
        <f>Resumen!B34</f>
        <v>0</v>
      </c>
      <c r="G21" s="5">
        <f t="shared" si="2"/>
        <v>0</v>
      </c>
    </row>
    <row r="22" spans="1:7" x14ac:dyDescent="0.3">
      <c r="A22">
        <v>18</v>
      </c>
      <c r="B22" s="5">
        <v>87.14</v>
      </c>
      <c r="C22" s="5">
        <v>174.43711999999999</v>
      </c>
      <c r="D22" s="5">
        <v>60</v>
      </c>
      <c r="E22" s="5">
        <f t="shared" si="0"/>
        <v>321.57711999999998</v>
      </c>
      <c r="F22">
        <v>20</v>
      </c>
      <c r="G22" s="5">
        <f t="shared" si="2"/>
        <v>6431.5423999999994</v>
      </c>
    </row>
    <row r="23" spans="1:7" x14ac:dyDescent="0.3">
      <c r="A23">
        <v>19</v>
      </c>
      <c r="B23" s="5">
        <v>87.14</v>
      </c>
      <c r="C23" s="5">
        <v>174.43711999999999</v>
      </c>
      <c r="D23" s="5">
        <v>60</v>
      </c>
      <c r="E23" s="5">
        <f t="shared" si="0"/>
        <v>321.57711999999998</v>
      </c>
      <c r="F23">
        <v>0</v>
      </c>
      <c r="G23" s="5">
        <f t="shared" si="2"/>
        <v>0</v>
      </c>
    </row>
    <row r="24" spans="1:7" x14ac:dyDescent="0.3">
      <c r="A24">
        <v>20</v>
      </c>
      <c r="B24" s="5">
        <v>87.14</v>
      </c>
      <c r="C24" s="5">
        <v>174.43711999999999</v>
      </c>
      <c r="D24" s="5">
        <v>60</v>
      </c>
      <c r="E24" s="5">
        <f t="shared" si="0"/>
        <v>321.57711999999998</v>
      </c>
      <c r="F24">
        <v>0</v>
      </c>
      <c r="G24" s="5">
        <f t="shared" si="2"/>
        <v>0</v>
      </c>
    </row>
    <row r="25" spans="1:7" x14ac:dyDescent="0.3">
      <c r="A25">
        <v>21</v>
      </c>
      <c r="B25" s="5">
        <v>87.14</v>
      </c>
      <c r="C25" s="5">
        <v>174.43711999999999</v>
      </c>
      <c r="D25" s="5">
        <v>60</v>
      </c>
      <c r="E25" s="5">
        <f t="shared" si="0"/>
        <v>321.57711999999998</v>
      </c>
      <c r="F25">
        <v>0</v>
      </c>
      <c r="G25" s="5">
        <f t="shared" si="2"/>
        <v>0</v>
      </c>
    </row>
    <row r="26" spans="1:7" x14ac:dyDescent="0.3">
      <c r="A26">
        <v>22</v>
      </c>
      <c r="B26" s="5">
        <v>87.14</v>
      </c>
      <c r="C26" s="5">
        <v>174.43711999999999</v>
      </c>
      <c r="D26" s="5">
        <v>60</v>
      </c>
      <c r="E26" s="5">
        <f t="shared" si="0"/>
        <v>321.57711999999998</v>
      </c>
      <c r="F26">
        <v>0</v>
      </c>
      <c r="G26" s="5">
        <f t="shared" si="2"/>
        <v>0</v>
      </c>
    </row>
    <row r="27" spans="1:7" x14ac:dyDescent="0.3">
      <c r="A27">
        <v>23</v>
      </c>
      <c r="B27" s="5">
        <v>87.14</v>
      </c>
      <c r="C27" s="5">
        <v>174.43711999999999</v>
      </c>
      <c r="D27" s="5">
        <v>60</v>
      </c>
      <c r="E27" s="5">
        <f t="shared" si="0"/>
        <v>321.57711999999998</v>
      </c>
      <c r="F27">
        <v>0</v>
      </c>
      <c r="G27" s="5">
        <f t="shared" si="2"/>
        <v>0</v>
      </c>
    </row>
    <row r="28" spans="1:7" x14ac:dyDescent="0.3">
      <c r="A28">
        <v>24</v>
      </c>
      <c r="B28" s="5">
        <v>87.14</v>
      </c>
      <c r="C28" s="5">
        <v>174.43711999999999</v>
      </c>
      <c r="D28" s="5">
        <v>60</v>
      </c>
      <c r="E28" s="5">
        <f t="shared" si="0"/>
        <v>321.57711999999998</v>
      </c>
      <c r="F28">
        <v>20</v>
      </c>
      <c r="G28" s="5">
        <f t="shared" si="2"/>
        <v>6431.5423999999994</v>
      </c>
    </row>
    <row r="29" spans="1:7" x14ac:dyDescent="0.3">
      <c r="A29">
        <v>25</v>
      </c>
      <c r="B29" s="5">
        <v>87.14</v>
      </c>
      <c r="C29" s="5">
        <v>174.43711999999999</v>
      </c>
      <c r="D29" s="5">
        <v>60</v>
      </c>
      <c r="E29" s="5">
        <f t="shared" si="0"/>
        <v>321.57711999999998</v>
      </c>
      <c r="F29" s="71">
        <v>0</v>
      </c>
      <c r="G29" s="5">
        <f t="shared" si="2"/>
        <v>0</v>
      </c>
    </row>
    <row r="30" spans="1:7" x14ac:dyDescent="0.3">
      <c r="A30">
        <v>26</v>
      </c>
      <c r="B30" s="5">
        <v>87.14</v>
      </c>
      <c r="C30" s="5">
        <v>174.43711999999999</v>
      </c>
      <c r="D30" s="5">
        <v>60</v>
      </c>
      <c r="E30" s="5">
        <f t="shared" si="0"/>
        <v>321.57711999999998</v>
      </c>
      <c r="F30">
        <v>0</v>
      </c>
      <c r="G30" s="5">
        <f t="shared" si="2"/>
        <v>0</v>
      </c>
    </row>
    <row r="31" spans="1:7" x14ac:dyDescent="0.3">
      <c r="A31">
        <v>27</v>
      </c>
      <c r="B31" s="5">
        <v>87.14</v>
      </c>
      <c r="C31" s="5">
        <v>174.43711999999999</v>
      </c>
      <c r="D31" s="5">
        <v>60</v>
      </c>
      <c r="E31" s="5">
        <f t="shared" si="0"/>
        <v>321.57711999999998</v>
      </c>
      <c r="F31">
        <v>0</v>
      </c>
      <c r="G31" s="5">
        <f t="shared" si="2"/>
        <v>0</v>
      </c>
    </row>
    <row r="32" spans="1:7" x14ac:dyDescent="0.3">
      <c r="A32">
        <v>28</v>
      </c>
      <c r="B32" s="5">
        <v>87.14</v>
      </c>
      <c r="C32" s="5">
        <v>174.43711999999999</v>
      </c>
      <c r="D32" s="5">
        <v>60</v>
      </c>
      <c r="E32" s="5">
        <f t="shared" si="0"/>
        <v>321.57711999999998</v>
      </c>
      <c r="F32">
        <v>0</v>
      </c>
      <c r="G32" s="5">
        <f t="shared" si="2"/>
        <v>0</v>
      </c>
    </row>
    <row r="33" spans="1:7" x14ac:dyDescent="0.3">
      <c r="A33">
        <v>29</v>
      </c>
      <c r="B33" s="5">
        <v>87.14</v>
      </c>
      <c r="C33" s="5">
        <v>174.43711999999999</v>
      </c>
      <c r="D33" s="5">
        <v>60</v>
      </c>
      <c r="E33" s="5">
        <f t="shared" si="0"/>
        <v>321.57711999999998</v>
      </c>
      <c r="F33">
        <v>0</v>
      </c>
      <c r="G33" s="5">
        <f t="shared" si="2"/>
        <v>0</v>
      </c>
    </row>
    <row r="34" spans="1:7" x14ac:dyDescent="0.3">
      <c r="A34">
        <v>30</v>
      </c>
      <c r="B34" s="5">
        <v>87.14</v>
      </c>
      <c r="C34" s="5">
        <v>174.43711999999999</v>
      </c>
      <c r="D34" s="5">
        <v>60</v>
      </c>
      <c r="E34" s="5">
        <f t="shared" si="0"/>
        <v>321.57711999999998</v>
      </c>
      <c r="F34">
        <v>30</v>
      </c>
      <c r="G34" s="5">
        <f t="shared" si="2"/>
        <v>9647.3135999999995</v>
      </c>
    </row>
    <row r="35" spans="1:7" x14ac:dyDescent="0.3">
      <c r="A35">
        <v>31</v>
      </c>
      <c r="B35" s="5">
        <v>87.14</v>
      </c>
      <c r="C35" s="5">
        <v>174.43711999999999</v>
      </c>
      <c r="D35" s="5">
        <v>60</v>
      </c>
      <c r="E35" s="5">
        <f t="shared" si="0"/>
        <v>321.57711999999998</v>
      </c>
      <c r="F35">
        <v>0</v>
      </c>
      <c r="G35" s="5">
        <f t="shared" si="2"/>
        <v>0</v>
      </c>
    </row>
    <row r="36" spans="1:7" x14ac:dyDescent="0.3">
      <c r="A36">
        <v>32</v>
      </c>
      <c r="B36" s="5">
        <v>87.14</v>
      </c>
      <c r="C36" s="5">
        <v>174.43711999999999</v>
      </c>
      <c r="D36" s="5">
        <v>60</v>
      </c>
      <c r="E36" s="5">
        <f t="shared" si="0"/>
        <v>321.57711999999998</v>
      </c>
      <c r="F36">
        <v>0</v>
      </c>
      <c r="G36" s="5">
        <f t="shared" si="2"/>
        <v>0</v>
      </c>
    </row>
    <row r="37" spans="1:7" x14ac:dyDescent="0.3">
      <c r="A37">
        <v>33</v>
      </c>
      <c r="B37" s="5">
        <v>87.14</v>
      </c>
      <c r="C37" s="5">
        <v>174.43711999999999</v>
      </c>
      <c r="D37" s="5">
        <v>60</v>
      </c>
      <c r="E37" s="5">
        <f t="shared" si="0"/>
        <v>321.57711999999998</v>
      </c>
      <c r="F37">
        <v>0</v>
      </c>
      <c r="G37" s="5">
        <f t="shared" si="2"/>
        <v>0</v>
      </c>
    </row>
    <row r="38" spans="1:7" x14ac:dyDescent="0.3">
      <c r="A38">
        <v>34</v>
      </c>
      <c r="B38" s="5">
        <v>87.14</v>
      </c>
      <c r="C38" s="5">
        <v>174.43711999999999</v>
      </c>
      <c r="D38" s="5">
        <v>60</v>
      </c>
      <c r="E38" s="5">
        <f t="shared" si="0"/>
        <v>321.57711999999998</v>
      </c>
      <c r="F38">
        <v>0</v>
      </c>
      <c r="G38" s="5">
        <f t="shared" si="2"/>
        <v>0</v>
      </c>
    </row>
    <row r="39" spans="1:7" x14ac:dyDescent="0.3">
      <c r="A39">
        <v>35</v>
      </c>
      <c r="B39" s="5">
        <v>87.14</v>
      </c>
      <c r="C39" s="5">
        <v>174.43711999999999</v>
      </c>
      <c r="D39" s="5">
        <v>60</v>
      </c>
      <c r="E39" s="5">
        <f t="shared" si="0"/>
        <v>321.57711999999998</v>
      </c>
      <c r="F39">
        <f>Resumen!B52</f>
        <v>0</v>
      </c>
      <c r="G39" s="5">
        <f t="shared" si="2"/>
        <v>0</v>
      </c>
    </row>
    <row r="40" spans="1:7" x14ac:dyDescent="0.3">
      <c r="A40">
        <v>36</v>
      </c>
      <c r="B40" s="5">
        <v>87.14</v>
      </c>
      <c r="C40" s="5">
        <v>174.43711999999999</v>
      </c>
      <c r="D40" s="5">
        <v>60</v>
      </c>
      <c r="E40" s="5">
        <f t="shared" si="0"/>
        <v>321.57711999999998</v>
      </c>
      <c r="F40">
        <v>20</v>
      </c>
      <c r="G40" s="5">
        <f t="shared" si="2"/>
        <v>6431.5423999999994</v>
      </c>
    </row>
    <row r="41" spans="1:7" x14ac:dyDescent="0.3">
      <c r="A41">
        <v>37</v>
      </c>
      <c r="B41" s="5">
        <v>87.14</v>
      </c>
      <c r="C41" s="5">
        <v>174.43711999999999</v>
      </c>
      <c r="D41" s="5">
        <v>60</v>
      </c>
      <c r="E41" s="5">
        <f t="shared" ref="E41:E64" si="3">SUM(B41:D41)</f>
        <v>321.57711999999998</v>
      </c>
      <c r="F41">
        <v>0</v>
      </c>
      <c r="G41" s="5">
        <f t="shared" ref="G41:G64" si="4">+E41*F41</f>
        <v>0</v>
      </c>
    </row>
    <row r="42" spans="1:7" x14ac:dyDescent="0.3">
      <c r="A42">
        <v>38</v>
      </c>
      <c r="B42" s="5">
        <v>87.14</v>
      </c>
      <c r="C42" s="5">
        <v>174.43711999999999</v>
      </c>
      <c r="D42" s="5">
        <v>60</v>
      </c>
      <c r="E42" s="5">
        <f t="shared" si="3"/>
        <v>321.57711999999998</v>
      </c>
      <c r="F42">
        <v>0</v>
      </c>
      <c r="G42" s="5">
        <f t="shared" si="4"/>
        <v>0</v>
      </c>
    </row>
    <row r="43" spans="1:7" x14ac:dyDescent="0.3">
      <c r="A43">
        <v>39</v>
      </c>
      <c r="B43" s="5">
        <v>87.14</v>
      </c>
      <c r="C43" s="5">
        <v>174.43711999999999</v>
      </c>
      <c r="D43" s="5">
        <v>60</v>
      </c>
      <c r="E43" s="5">
        <f t="shared" si="3"/>
        <v>321.57711999999998</v>
      </c>
      <c r="F43">
        <v>0</v>
      </c>
      <c r="G43" s="5">
        <f t="shared" si="4"/>
        <v>0</v>
      </c>
    </row>
    <row r="44" spans="1:7" x14ac:dyDescent="0.3">
      <c r="A44">
        <v>40</v>
      </c>
      <c r="B44" s="5">
        <v>87.14</v>
      </c>
      <c r="C44" s="5">
        <v>174.43711999999999</v>
      </c>
      <c r="D44" s="5">
        <v>60</v>
      </c>
      <c r="E44" s="5">
        <f t="shared" si="3"/>
        <v>321.57711999999998</v>
      </c>
      <c r="F44">
        <v>0</v>
      </c>
      <c r="G44" s="5">
        <f t="shared" si="4"/>
        <v>0</v>
      </c>
    </row>
    <row r="45" spans="1:7" x14ac:dyDescent="0.3">
      <c r="A45">
        <v>41</v>
      </c>
      <c r="B45" s="5">
        <v>87.14</v>
      </c>
      <c r="C45" s="5">
        <v>174.43711999999999</v>
      </c>
      <c r="D45" s="5">
        <v>60</v>
      </c>
      <c r="E45" s="5">
        <f t="shared" si="3"/>
        <v>321.57711999999998</v>
      </c>
      <c r="F45">
        <v>0</v>
      </c>
      <c r="G45" s="5">
        <f t="shared" si="4"/>
        <v>0</v>
      </c>
    </row>
    <row r="46" spans="1:7" x14ac:dyDescent="0.3">
      <c r="A46">
        <v>42</v>
      </c>
      <c r="B46" s="5">
        <v>87.14</v>
      </c>
      <c r="C46" s="5">
        <v>174.43711999999999</v>
      </c>
      <c r="D46" s="5">
        <v>60</v>
      </c>
      <c r="E46" s="5">
        <f t="shared" si="3"/>
        <v>321.57711999999998</v>
      </c>
      <c r="F46">
        <v>20</v>
      </c>
      <c r="G46" s="5">
        <f t="shared" si="4"/>
        <v>6431.5423999999994</v>
      </c>
    </row>
    <row r="47" spans="1:7" x14ac:dyDescent="0.3">
      <c r="A47">
        <v>43</v>
      </c>
      <c r="B47" s="5">
        <v>87.14</v>
      </c>
      <c r="C47" s="5">
        <v>174.43711999999999</v>
      </c>
      <c r="D47" s="5">
        <v>60</v>
      </c>
      <c r="E47" s="5">
        <f t="shared" si="3"/>
        <v>321.57711999999998</v>
      </c>
      <c r="F47">
        <v>0</v>
      </c>
      <c r="G47" s="5">
        <f t="shared" si="4"/>
        <v>0</v>
      </c>
    </row>
    <row r="48" spans="1:7" x14ac:dyDescent="0.3">
      <c r="A48">
        <v>44</v>
      </c>
      <c r="B48" s="5">
        <v>87.14</v>
      </c>
      <c r="C48" s="5">
        <v>174.43711999999999</v>
      </c>
      <c r="D48" s="5">
        <v>60</v>
      </c>
      <c r="E48" s="5">
        <f t="shared" si="3"/>
        <v>321.57711999999998</v>
      </c>
      <c r="F48">
        <v>0</v>
      </c>
      <c r="G48" s="5">
        <f t="shared" si="4"/>
        <v>0</v>
      </c>
    </row>
    <row r="49" spans="1:7" x14ac:dyDescent="0.3">
      <c r="A49">
        <v>45</v>
      </c>
      <c r="B49" s="5">
        <v>87.14</v>
      </c>
      <c r="C49" s="5">
        <v>174.43711999999999</v>
      </c>
      <c r="D49" s="5">
        <v>60</v>
      </c>
      <c r="E49" s="5">
        <f t="shared" si="3"/>
        <v>321.57711999999998</v>
      </c>
      <c r="F49">
        <v>0</v>
      </c>
      <c r="G49" s="5">
        <f t="shared" si="4"/>
        <v>0</v>
      </c>
    </row>
    <row r="50" spans="1:7" x14ac:dyDescent="0.3">
      <c r="A50">
        <v>46</v>
      </c>
      <c r="B50" s="5">
        <v>87.14</v>
      </c>
      <c r="C50" s="5">
        <v>174.43711999999999</v>
      </c>
      <c r="D50" s="5">
        <v>60</v>
      </c>
      <c r="E50" s="5">
        <f t="shared" si="3"/>
        <v>321.57711999999998</v>
      </c>
      <c r="F50">
        <v>0</v>
      </c>
      <c r="G50" s="5">
        <f t="shared" si="4"/>
        <v>0</v>
      </c>
    </row>
    <row r="51" spans="1:7" x14ac:dyDescent="0.3">
      <c r="A51">
        <v>47</v>
      </c>
      <c r="B51" s="5">
        <v>87.14</v>
      </c>
      <c r="C51" s="5">
        <v>174.43711999999999</v>
      </c>
      <c r="D51" s="5">
        <v>60</v>
      </c>
      <c r="E51" s="5">
        <f t="shared" si="3"/>
        <v>321.57711999999998</v>
      </c>
      <c r="F51">
        <v>0</v>
      </c>
      <c r="G51" s="5">
        <f t="shared" si="4"/>
        <v>0</v>
      </c>
    </row>
    <row r="52" spans="1:7" x14ac:dyDescent="0.3">
      <c r="A52">
        <v>48</v>
      </c>
      <c r="B52" s="5">
        <v>87.14</v>
      </c>
      <c r="C52" s="5">
        <v>174.43711999999999</v>
      </c>
      <c r="D52" s="5">
        <v>60</v>
      </c>
      <c r="E52" s="5">
        <f t="shared" si="3"/>
        <v>321.57711999999998</v>
      </c>
      <c r="F52">
        <v>10</v>
      </c>
      <c r="G52" s="5">
        <f t="shared" si="4"/>
        <v>3215.7711999999997</v>
      </c>
    </row>
    <row r="53" spans="1:7" x14ac:dyDescent="0.3">
      <c r="A53">
        <v>49</v>
      </c>
      <c r="B53" s="5">
        <v>87.14</v>
      </c>
      <c r="C53" s="5">
        <v>174.43711999999999</v>
      </c>
      <c r="D53" s="5">
        <v>60</v>
      </c>
      <c r="E53" s="5">
        <f t="shared" si="3"/>
        <v>321.57711999999998</v>
      </c>
      <c r="F53">
        <v>0</v>
      </c>
      <c r="G53" s="5">
        <f t="shared" si="4"/>
        <v>0</v>
      </c>
    </row>
    <row r="54" spans="1:7" x14ac:dyDescent="0.3">
      <c r="A54">
        <v>50</v>
      </c>
      <c r="B54" s="5">
        <v>87.14</v>
      </c>
      <c r="C54" s="5">
        <v>174.43711999999999</v>
      </c>
      <c r="D54" s="5">
        <v>60</v>
      </c>
      <c r="E54" s="5">
        <f t="shared" si="3"/>
        <v>321.57711999999998</v>
      </c>
      <c r="F54">
        <v>0</v>
      </c>
      <c r="G54" s="5">
        <f t="shared" si="4"/>
        <v>0</v>
      </c>
    </row>
    <row r="55" spans="1:7" x14ac:dyDescent="0.3">
      <c r="A55">
        <v>51</v>
      </c>
      <c r="B55" s="5">
        <v>87.14</v>
      </c>
      <c r="C55" s="5">
        <v>174.43711999999999</v>
      </c>
      <c r="D55" s="5">
        <v>60</v>
      </c>
      <c r="E55" s="5">
        <f t="shared" si="3"/>
        <v>321.57711999999998</v>
      </c>
      <c r="F55">
        <v>0</v>
      </c>
      <c r="G55" s="5">
        <f t="shared" si="4"/>
        <v>0</v>
      </c>
    </row>
    <row r="56" spans="1:7" x14ac:dyDescent="0.3">
      <c r="A56">
        <v>52</v>
      </c>
      <c r="B56" s="5">
        <v>87.14</v>
      </c>
      <c r="C56" s="5">
        <v>174.43711999999999</v>
      </c>
      <c r="D56" s="5">
        <v>60</v>
      </c>
      <c r="E56" s="5">
        <f t="shared" si="3"/>
        <v>321.57711999999998</v>
      </c>
      <c r="F56">
        <v>0</v>
      </c>
      <c r="G56" s="5">
        <f t="shared" si="4"/>
        <v>0</v>
      </c>
    </row>
    <row r="57" spans="1:7" x14ac:dyDescent="0.3">
      <c r="A57">
        <v>53</v>
      </c>
      <c r="B57" s="5">
        <v>87.14</v>
      </c>
      <c r="C57" s="5">
        <v>174.43711999999999</v>
      </c>
      <c r="D57" s="5">
        <v>60</v>
      </c>
      <c r="E57" s="5">
        <f t="shared" si="3"/>
        <v>321.57711999999998</v>
      </c>
      <c r="F57">
        <v>0</v>
      </c>
      <c r="G57" s="5">
        <f t="shared" si="4"/>
        <v>0</v>
      </c>
    </row>
    <row r="58" spans="1:7" x14ac:dyDescent="0.3">
      <c r="A58">
        <v>54</v>
      </c>
      <c r="B58" s="5">
        <v>87.14</v>
      </c>
      <c r="C58" s="5">
        <v>174.43711999999999</v>
      </c>
      <c r="D58" s="5">
        <v>60</v>
      </c>
      <c r="E58" s="5">
        <f t="shared" si="3"/>
        <v>321.57711999999998</v>
      </c>
      <c r="F58">
        <v>0</v>
      </c>
      <c r="G58" s="5">
        <f t="shared" si="4"/>
        <v>0</v>
      </c>
    </row>
    <row r="59" spans="1:7" x14ac:dyDescent="0.3">
      <c r="A59">
        <v>55</v>
      </c>
      <c r="B59" s="5">
        <v>87.14</v>
      </c>
      <c r="C59" s="5">
        <v>174.43711999999999</v>
      </c>
      <c r="D59" s="5">
        <v>60</v>
      </c>
      <c r="E59" s="5">
        <f t="shared" si="3"/>
        <v>321.57711999999998</v>
      </c>
      <c r="F59">
        <v>0</v>
      </c>
      <c r="G59" s="5">
        <f t="shared" si="4"/>
        <v>0</v>
      </c>
    </row>
    <row r="60" spans="1:7" x14ac:dyDescent="0.3">
      <c r="A60">
        <v>56</v>
      </c>
      <c r="B60" s="5">
        <v>87.14</v>
      </c>
      <c r="C60" s="5">
        <v>174.43711999999999</v>
      </c>
      <c r="D60" s="5">
        <v>60</v>
      </c>
      <c r="E60" s="5">
        <f t="shared" si="3"/>
        <v>321.57711999999998</v>
      </c>
      <c r="F60">
        <v>0</v>
      </c>
      <c r="G60" s="5">
        <f t="shared" si="4"/>
        <v>0</v>
      </c>
    </row>
    <row r="61" spans="1:7" x14ac:dyDescent="0.3">
      <c r="A61">
        <v>57</v>
      </c>
      <c r="B61" s="5">
        <v>87.14</v>
      </c>
      <c r="C61" s="5">
        <v>174.43711999999999</v>
      </c>
      <c r="D61" s="5">
        <v>60</v>
      </c>
      <c r="E61" s="5">
        <f t="shared" si="3"/>
        <v>321.57711999999998</v>
      </c>
      <c r="F61">
        <v>0</v>
      </c>
      <c r="G61" s="5">
        <f t="shared" si="4"/>
        <v>0</v>
      </c>
    </row>
    <row r="62" spans="1:7" x14ac:dyDescent="0.3">
      <c r="A62">
        <v>58</v>
      </c>
      <c r="B62" s="5">
        <v>87.14</v>
      </c>
      <c r="C62" s="5">
        <v>174.43711999999999</v>
      </c>
      <c r="D62" s="5">
        <v>60</v>
      </c>
      <c r="E62" s="5">
        <f t="shared" si="3"/>
        <v>321.57711999999998</v>
      </c>
      <c r="F62">
        <v>0</v>
      </c>
      <c r="G62" s="5">
        <f t="shared" si="4"/>
        <v>0</v>
      </c>
    </row>
    <row r="63" spans="1:7" x14ac:dyDescent="0.3">
      <c r="A63">
        <v>59</v>
      </c>
      <c r="B63" s="5">
        <v>87.14</v>
      </c>
      <c r="C63" s="5">
        <v>174.43711999999999</v>
      </c>
      <c r="D63" s="5">
        <v>60</v>
      </c>
      <c r="E63" s="5">
        <f t="shared" si="3"/>
        <v>321.57711999999998</v>
      </c>
      <c r="F63">
        <v>0</v>
      </c>
      <c r="G63" s="5">
        <f t="shared" si="4"/>
        <v>0</v>
      </c>
    </row>
    <row r="64" spans="1:7" x14ac:dyDescent="0.3">
      <c r="A64">
        <v>60</v>
      </c>
      <c r="B64" s="5">
        <v>87.14</v>
      </c>
      <c r="C64" s="5">
        <v>174.43711999999999</v>
      </c>
      <c r="D64" s="5">
        <v>60</v>
      </c>
      <c r="E64" s="5">
        <f t="shared" si="3"/>
        <v>321.57711999999998</v>
      </c>
      <c r="F64">
        <v>0</v>
      </c>
      <c r="G64" s="5">
        <f t="shared" si="4"/>
        <v>0</v>
      </c>
    </row>
    <row r="65" spans="1:7" x14ac:dyDescent="0.3">
      <c r="G65" s="5"/>
    </row>
    <row r="66" spans="1:7" x14ac:dyDescent="0.3">
      <c r="A66" s="4" t="s">
        <v>13</v>
      </c>
      <c r="E66" s="1"/>
      <c r="G66" s="6">
        <f>SUM(G5:G65)</f>
        <v>48236.567999999999</v>
      </c>
    </row>
  </sheetData>
  <pageMargins left="0.7" right="0.7" top="0.75" bottom="0.75" header="0.3" footer="0.3"/>
  <ignoredErrors>
    <ignoredError sqref="E5:E40 E41:E64" formulaRange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BC536-2E60-48B0-97E3-0EA076E3793A}">
  <sheetPr>
    <tabColor rgb="FFFF0000"/>
  </sheetPr>
  <dimension ref="A1:F14"/>
  <sheetViews>
    <sheetView workbookViewId="0">
      <selection activeCell="C6" sqref="C6"/>
    </sheetView>
  </sheetViews>
  <sheetFormatPr baseColWidth="10" defaultRowHeight="14.4" x14ac:dyDescent="0.3"/>
  <cols>
    <col min="3" max="4" width="12.88671875" bestFit="1" customWidth="1"/>
  </cols>
  <sheetData>
    <row r="1" spans="1:6" x14ac:dyDescent="0.3">
      <c r="A1" t="s">
        <v>55</v>
      </c>
    </row>
    <row r="4" spans="1:6" x14ac:dyDescent="0.3">
      <c r="B4" s="62" t="s">
        <v>57</v>
      </c>
      <c r="C4" s="62" t="s">
        <v>58</v>
      </c>
      <c r="D4" s="62" t="s">
        <v>59</v>
      </c>
      <c r="E4" s="62" t="s">
        <v>89</v>
      </c>
      <c r="F4" s="62" t="s">
        <v>90</v>
      </c>
    </row>
    <row r="6" spans="1:6" x14ac:dyDescent="0.3">
      <c r="A6" s="62" t="s">
        <v>56</v>
      </c>
      <c r="B6" s="5">
        <f>SUM(Resumen!F17:F28)</f>
        <v>0</v>
      </c>
      <c r="C6" s="5">
        <f>SUM(Resumen!F29:F40)</f>
        <v>98359.450000000012</v>
      </c>
      <c r="D6" s="5">
        <f>SUM(Resumen!F41:F52)</f>
        <v>154564.85</v>
      </c>
      <c r="E6" s="5">
        <f>SUM(Resumen!F53:F64)</f>
        <v>98359.449999999983</v>
      </c>
      <c r="F6" s="5">
        <f>SUM(Resumen!F65:F76)</f>
        <v>70256.75</v>
      </c>
    </row>
    <row r="7" spans="1:6" x14ac:dyDescent="0.3">
      <c r="A7" s="62" t="s">
        <v>24</v>
      </c>
      <c r="B7" s="5">
        <f>SUM(Resumen!H17:H28)</f>
        <v>30599.694552380948</v>
      </c>
      <c r="C7" s="5">
        <f>SUM(Resumen!H29:H40)</f>
        <v>36766.249252380949</v>
      </c>
      <c r="D7" s="5">
        <f>SUM(Resumen!H41:H52)</f>
        <v>41668.182452380948</v>
      </c>
      <c r="E7" s="5">
        <f>SUM(Resumen!H53:H64)</f>
        <v>33550.478052380953</v>
      </c>
      <c r="F7" s="5">
        <f>SUM(Resumen!H65:H76)</f>
        <v>23060.08345238095</v>
      </c>
    </row>
    <row r="8" spans="1:6" x14ac:dyDescent="0.3">
      <c r="A8" s="62"/>
      <c r="B8" s="5"/>
      <c r="C8" s="5"/>
      <c r="D8" s="5"/>
      <c r="E8" s="5"/>
      <c r="F8" s="5"/>
    </row>
    <row r="9" spans="1:6" x14ac:dyDescent="0.3">
      <c r="A9" s="62" t="s">
        <v>60</v>
      </c>
      <c r="B9" s="5">
        <f>+B6-B7</f>
        <v>-30599.694552380948</v>
      </c>
      <c r="C9" s="5">
        <f>+C6-C7</f>
        <v>61593.200747619063</v>
      </c>
      <c r="D9" s="5">
        <f>+D6-D7</f>
        <v>112896.66754761906</v>
      </c>
      <c r="E9" s="5">
        <f t="shared" ref="E9:F9" si="0">+E6-E7</f>
        <v>64808.971947619029</v>
      </c>
      <c r="F9" s="5">
        <f t="shared" si="0"/>
        <v>47196.666547619054</v>
      </c>
    </row>
    <row r="10" spans="1:6" x14ac:dyDescent="0.3">
      <c r="A10" s="62"/>
      <c r="B10" s="5"/>
      <c r="C10" s="5"/>
      <c r="D10" s="5"/>
      <c r="E10" s="5"/>
      <c r="F10" s="5"/>
    </row>
    <row r="11" spans="1:6" x14ac:dyDescent="0.3">
      <c r="A11" s="63" t="s">
        <v>37</v>
      </c>
      <c r="B11" s="64">
        <f>IF(B9&gt;0,B9*TasaImpuestos,0)</f>
        <v>0</v>
      </c>
      <c r="C11" s="64">
        <f>IF(C9&gt;0,C9*TasaImpuestos,0)</f>
        <v>21557.620261666671</v>
      </c>
      <c r="D11" s="64">
        <f>IF(D9&gt;0,D9*TasaImpuestos,0)</f>
        <v>39513.833641666664</v>
      </c>
      <c r="E11" s="64">
        <f>IF(E9&gt;0,E9*TasaImpuestos,0)</f>
        <v>22683.140181666658</v>
      </c>
      <c r="F11" s="64">
        <f>IF(F9&gt;0,F9*TasaImpuestos,0)</f>
        <v>16518.83329166667</v>
      </c>
    </row>
    <row r="14" spans="1:6" x14ac:dyDescent="0.3">
      <c r="C14" s="25"/>
    </row>
  </sheetData>
  <phoneticPr fontId="1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2147-18B4-4F09-9B98-B7600FC8B2A2}">
  <sheetPr>
    <tabColor theme="6" tint="-0.249977111117893"/>
  </sheetPr>
  <dimension ref="A1:J64"/>
  <sheetViews>
    <sheetView topLeftCell="A4" workbookViewId="0">
      <selection activeCell="E32" sqref="E32"/>
    </sheetView>
  </sheetViews>
  <sheetFormatPr baseColWidth="10" defaultRowHeight="14.4" x14ac:dyDescent="0.3"/>
  <cols>
    <col min="2" max="2" width="22" bestFit="1" customWidth="1"/>
    <col min="3" max="3" width="21" bestFit="1" customWidth="1"/>
    <col min="4" max="4" width="13.5546875" bestFit="1" customWidth="1"/>
    <col min="5" max="5" width="12.88671875" bestFit="1" customWidth="1"/>
    <col min="9" max="9" width="14" bestFit="1" customWidth="1"/>
    <col min="10" max="10" width="13.88671875" customWidth="1"/>
  </cols>
  <sheetData>
    <row r="1" spans="1:10" x14ac:dyDescent="0.3">
      <c r="A1" t="s">
        <v>28</v>
      </c>
    </row>
    <row r="2" spans="1:10" x14ac:dyDescent="0.3">
      <c r="H2" t="s">
        <v>53</v>
      </c>
      <c r="I2" s="26">
        <f>Resumen!F11</f>
        <v>1.4580000000000001E-3</v>
      </c>
      <c r="J2" s="25">
        <f>NPV(I2,I6:I40)+I5</f>
        <v>676817.72968760889</v>
      </c>
    </row>
    <row r="4" spans="1:10" x14ac:dyDescent="0.3">
      <c r="A4" s="5" t="str">
        <f>Resumen!A16</f>
        <v>MES</v>
      </c>
      <c r="B4" s="5" t="str">
        <f>Resumen!J16</f>
        <v>INGRESOS ACUMULADOS</v>
      </c>
      <c r="C4" s="5" t="str">
        <f>Resumen!K16</f>
        <v>EGRESOS ACUMULADOS</v>
      </c>
      <c r="D4" s="5" t="str">
        <f>Resumen!L16</f>
        <v>ING-EGRESOS</v>
      </c>
      <c r="E4" t="s">
        <v>48</v>
      </c>
      <c r="H4" t="s">
        <v>5</v>
      </c>
      <c r="I4" t="s">
        <v>52</v>
      </c>
    </row>
    <row r="5" spans="1:10" x14ac:dyDescent="0.3">
      <c r="A5" s="30">
        <f>Resumen!A17</f>
        <v>1</v>
      </c>
      <c r="B5" s="5">
        <f>Resumen!J17</f>
        <v>0</v>
      </c>
      <c r="C5" s="5">
        <f>-Resumen!K17</f>
        <v>-1746.031746031746</v>
      </c>
      <c r="D5" s="5">
        <f>Resumen!L17</f>
        <v>-1746.031746031746</v>
      </c>
      <c r="E5" s="7">
        <f>+Resumen!S17</f>
        <v>-1746.031746031746</v>
      </c>
      <c r="H5" s="31">
        <f>+A5</f>
        <v>1</v>
      </c>
      <c r="I5" s="7">
        <f>+Resumen!L17</f>
        <v>-1746.031746031746</v>
      </c>
    </row>
    <row r="6" spans="1:10" x14ac:dyDescent="0.3">
      <c r="A6" s="30">
        <f>Resumen!A18</f>
        <v>2</v>
      </c>
      <c r="B6" s="5">
        <f>Resumen!J18</f>
        <v>0</v>
      </c>
      <c r="C6" s="5">
        <f>-Resumen!K18</f>
        <v>-3492.063492063492</v>
      </c>
      <c r="D6" s="5">
        <f>Resumen!L18</f>
        <v>-3492.063492063492</v>
      </c>
      <c r="E6" s="7">
        <f>+Resumen!S18</f>
        <v>-3489.5214840254976</v>
      </c>
      <c r="H6" s="31">
        <f t="shared" ref="H6:H40" si="0">+A6</f>
        <v>2</v>
      </c>
      <c r="I6" s="7">
        <f>+Resumen!L18</f>
        <v>-3492.063492063492</v>
      </c>
    </row>
    <row r="7" spans="1:10" x14ac:dyDescent="0.3">
      <c r="A7" s="30">
        <f>Resumen!A19</f>
        <v>3</v>
      </c>
      <c r="B7" s="5">
        <f>Resumen!J19</f>
        <v>0</v>
      </c>
      <c r="C7" s="5">
        <f>-Resumen!K19</f>
        <v>-5238.0952380952385</v>
      </c>
      <c r="D7" s="5">
        <f>Resumen!L19</f>
        <v>-5238.0952380952385</v>
      </c>
      <c r="E7" s="7">
        <f>+Resumen!S19</f>
        <v>-5230.4729148331317</v>
      </c>
      <c r="H7" s="31">
        <f t="shared" si="0"/>
        <v>3</v>
      </c>
      <c r="I7" s="7">
        <f>+Resumen!L19</f>
        <v>-5238.0952380952385</v>
      </c>
    </row>
    <row r="8" spans="1:10" x14ac:dyDescent="0.3">
      <c r="A8" s="30">
        <f>Resumen!A20</f>
        <v>4</v>
      </c>
      <c r="B8" s="5">
        <f>Resumen!J20</f>
        <v>0</v>
      </c>
      <c r="C8" s="5">
        <f>-Resumen!K20</f>
        <v>-6984.1269841269841</v>
      </c>
      <c r="D8" s="5">
        <f>Resumen!L20</f>
        <v>-6984.1269841269841</v>
      </c>
      <c r="E8" s="7">
        <f>+Resumen!S20</f>
        <v>-6968.8897339185387</v>
      </c>
      <c r="H8" s="31">
        <f t="shared" si="0"/>
        <v>4</v>
      </c>
      <c r="I8" s="7">
        <f>+Resumen!L20</f>
        <v>-6984.1269841269841</v>
      </c>
    </row>
    <row r="9" spans="1:10" x14ac:dyDescent="0.3">
      <c r="A9" s="30">
        <f>Resumen!A21</f>
        <v>5</v>
      </c>
      <c r="B9" s="5">
        <f>Resumen!J21</f>
        <v>0</v>
      </c>
      <c r="C9" s="5">
        <f>-Resumen!K21</f>
        <v>-8730.1587301587297</v>
      </c>
      <c r="D9" s="5">
        <f>Resumen!L21</f>
        <v>-8730.1587301587297</v>
      </c>
      <c r="E9" s="7">
        <f>+Resumen!S21</f>
        <v>-8704.7756313654681</v>
      </c>
      <c r="H9" s="31">
        <f t="shared" si="0"/>
        <v>5</v>
      </c>
      <c r="I9" s="7">
        <f>+Resumen!L21</f>
        <v>-8730.1587301587297</v>
      </c>
    </row>
    <row r="10" spans="1:10" x14ac:dyDescent="0.3">
      <c r="A10" s="30">
        <f>Resumen!A22</f>
        <v>6</v>
      </c>
      <c r="B10" s="5">
        <f>Resumen!J22</f>
        <v>0</v>
      </c>
      <c r="C10" s="5">
        <f>-Resumen!K22</f>
        <v>-13691.961676190476</v>
      </c>
      <c r="D10" s="5">
        <f>Resumen!L22</f>
        <v>-13691.961676190476</v>
      </c>
      <c r="E10" s="7">
        <f>+Resumen!S22</f>
        <v>-13630.564711572069</v>
      </c>
      <c r="H10" s="31">
        <f t="shared" si="0"/>
        <v>6</v>
      </c>
      <c r="I10" s="7">
        <f>+Resumen!L22</f>
        <v>-13691.961676190476</v>
      </c>
    </row>
    <row r="11" spans="1:10" x14ac:dyDescent="0.3">
      <c r="A11" s="30">
        <f>Resumen!A23</f>
        <v>7</v>
      </c>
      <c r="B11" s="5">
        <f>Resumen!J23</f>
        <v>0</v>
      </c>
      <c r="C11" s="5">
        <f>-Resumen!K23</f>
        <v>-15437.993422222222</v>
      </c>
      <c r="D11" s="5">
        <f>Resumen!L23</f>
        <v>-15437.993422222222</v>
      </c>
      <c r="E11" s="7">
        <f>+Resumen!S23</f>
        <v>-15361.399814511875</v>
      </c>
      <c r="H11" s="31">
        <f t="shared" si="0"/>
        <v>7</v>
      </c>
      <c r="I11" s="7">
        <f>+Resumen!L23</f>
        <v>-15437.993422222222</v>
      </c>
    </row>
    <row r="12" spans="1:10" x14ac:dyDescent="0.3">
      <c r="A12" s="30">
        <f>Resumen!A24</f>
        <v>8</v>
      </c>
      <c r="B12" s="5">
        <f>Resumen!J24</f>
        <v>0</v>
      </c>
      <c r="C12" s="5">
        <f>-Resumen!K24</f>
        <v>-17184.025168253967</v>
      </c>
      <c r="D12" s="5">
        <f>Resumen!L24</f>
        <v>-17184.025168253967</v>
      </c>
      <c r="E12" s="7">
        <f>+Resumen!S24</f>
        <v>-17089.715033861867</v>
      </c>
      <c r="H12" s="31">
        <f t="shared" si="0"/>
        <v>8</v>
      </c>
      <c r="I12" s="7">
        <f>+Resumen!L24</f>
        <v>-17184.025168253967</v>
      </c>
    </row>
    <row r="13" spans="1:10" x14ac:dyDescent="0.3">
      <c r="A13" s="30">
        <f>Resumen!A25</f>
        <v>9</v>
      </c>
      <c r="B13" s="5">
        <f>Resumen!J25</f>
        <v>0</v>
      </c>
      <c r="C13" s="5">
        <f>-Resumen!K25</f>
        <v>-18930.056914285713</v>
      </c>
      <c r="D13" s="5">
        <f>Resumen!L25</f>
        <v>-18930.056914285713</v>
      </c>
      <c r="E13" s="7">
        <f>+Resumen!S25</f>
        <v>-18815.514038263442</v>
      </c>
      <c r="H13" s="31">
        <f t="shared" si="0"/>
        <v>9</v>
      </c>
      <c r="I13" s="7">
        <f>+Resumen!L25</f>
        <v>-18930.056914285713</v>
      </c>
    </row>
    <row r="14" spans="1:10" x14ac:dyDescent="0.3">
      <c r="A14" s="30">
        <f>Resumen!A26</f>
        <v>10</v>
      </c>
      <c r="B14" s="5">
        <f>Resumen!J26</f>
        <v>0</v>
      </c>
      <c r="C14" s="5">
        <f>-Resumen!K26</f>
        <v>-20676.088660317459</v>
      </c>
      <c r="D14" s="5">
        <f>Resumen!L26</f>
        <v>-20676.088660317459</v>
      </c>
      <c r="E14" s="7">
        <f>+Resumen!S26</f>
        <v>-20538.800491016904</v>
      </c>
      <c r="H14" s="31">
        <f t="shared" si="0"/>
        <v>10</v>
      </c>
      <c r="I14" s="7">
        <f>+Resumen!L26</f>
        <v>-20676.088660317459</v>
      </c>
    </row>
    <row r="15" spans="1:10" x14ac:dyDescent="0.3">
      <c r="A15" s="30">
        <f>Resumen!A27</f>
        <v>11</v>
      </c>
      <c r="B15" s="5">
        <f>Resumen!J27</f>
        <v>0</v>
      </c>
      <c r="C15" s="5">
        <f>-Resumen!K27</f>
        <v>-22422.120406349204</v>
      </c>
      <c r="D15" s="5">
        <f>Resumen!L27</f>
        <v>-22422.120406349204</v>
      </c>
      <c r="E15" s="7">
        <f>+Resumen!S27</f>
        <v>-22259.57805008924</v>
      </c>
      <c r="H15" s="31">
        <f t="shared" si="0"/>
        <v>11</v>
      </c>
      <c r="I15" s="7">
        <f>+Resumen!L27</f>
        <v>-22422.120406349204</v>
      </c>
    </row>
    <row r="16" spans="1:10" x14ac:dyDescent="0.3">
      <c r="A16" s="30">
        <f>Resumen!A28</f>
        <v>12</v>
      </c>
      <c r="B16" s="5">
        <f>Resumen!J28</f>
        <v>0</v>
      </c>
      <c r="C16" s="5">
        <f>-Resumen!K28</f>
        <v>-30599.694552380948</v>
      </c>
      <c r="D16" s="5">
        <f>Resumen!L28</f>
        <v>-30599.694552380948</v>
      </c>
      <c r="E16" s="7">
        <f>+Resumen!S28</f>
        <v>-30307.140367166547</v>
      </c>
      <c r="H16" s="31">
        <f t="shared" si="0"/>
        <v>12</v>
      </c>
      <c r="I16" s="7">
        <f>+Resumen!L28</f>
        <v>-30599.694552380948</v>
      </c>
    </row>
    <row r="17" spans="1:9" x14ac:dyDescent="0.3">
      <c r="A17" s="30">
        <f>Resumen!A29</f>
        <v>13</v>
      </c>
      <c r="B17" s="5">
        <f>Resumen!J29</f>
        <v>0</v>
      </c>
      <c r="C17" s="5">
        <f>-Resumen!K29</f>
        <v>-32345.726298412694</v>
      </c>
      <c r="D17" s="5">
        <f>Resumen!L29</f>
        <v>-32345.726298412694</v>
      </c>
      <c r="E17" s="7">
        <f>+Resumen!S29</f>
        <v>-32022.911091483136</v>
      </c>
      <c r="H17" s="31">
        <f t="shared" si="0"/>
        <v>13</v>
      </c>
      <c r="I17" s="7">
        <f>+Resumen!L29</f>
        <v>-32345.726298412694</v>
      </c>
    </row>
    <row r="18" spans="1:9" x14ac:dyDescent="0.3">
      <c r="A18" s="30">
        <f>Resumen!A30</f>
        <v>14</v>
      </c>
      <c r="B18" s="5">
        <f>Resumen!J30</f>
        <v>0</v>
      </c>
      <c r="C18" s="5">
        <f>-Resumen!K30</f>
        <v>-34091.758044444439</v>
      </c>
      <c r="D18" s="5">
        <f>Resumen!L30</f>
        <v>-34091.758044444439</v>
      </c>
      <c r="E18" s="7">
        <f>+Resumen!S30</f>
        <v>-33736.183864097256</v>
      </c>
      <c r="H18" s="31">
        <f t="shared" si="0"/>
        <v>14</v>
      </c>
      <c r="I18" s="7">
        <f>+Resumen!L30</f>
        <v>-34091.758044444439</v>
      </c>
    </row>
    <row r="19" spans="1:9" x14ac:dyDescent="0.3">
      <c r="A19" s="30">
        <f>Resumen!A31</f>
        <v>15</v>
      </c>
      <c r="B19" s="5">
        <f>Resumen!J31</f>
        <v>0</v>
      </c>
      <c r="C19" s="5">
        <f>-Resumen!K31</f>
        <v>-35837.789790476185</v>
      </c>
      <c r="D19" s="5">
        <f>Resumen!L31</f>
        <v>-35837.789790476185</v>
      </c>
      <c r="E19" s="7">
        <f>+Resumen!S31</f>
        <v>-35446.962321720159</v>
      </c>
      <c r="H19" s="31">
        <f t="shared" si="0"/>
        <v>15</v>
      </c>
      <c r="I19" s="7">
        <f>+Resumen!L31</f>
        <v>-35837.789790476185</v>
      </c>
    </row>
    <row r="20" spans="1:9" x14ac:dyDescent="0.3">
      <c r="A20" s="30">
        <f>Resumen!A32</f>
        <v>16</v>
      </c>
      <c r="B20" s="5">
        <f>Resumen!J32</f>
        <v>0</v>
      </c>
      <c r="C20" s="5">
        <f>-Resumen!K32</f>
        <v>-37583.82153650793</v>
      </c>
      <c r="D20" s="5">
        <f>Resumen!L32</f>
        <v>-37583.82153650793</v>
      </c>
      <c r="E20" s="7">
        <f>+Resumen!S32</f>
        <v>-37155.250095768497</v>
      </c>
      <c r="H20" s="31">
        <f t="shared" si="0"/>
        <v>16</v>
      </c>
      <c r="I20" s="7">
        <f>+Resumen!L32</f>
        <v>-37583.82153650793</v>
      </c>
    </row>
    <row r="21" spans="1:9" x14ac:dyDescent="0.3">
      <c r="A21" s="30">
        <f>Resumen!A33</f>
        <v>17</v>
      </c>
      <c r="B21" s="5">
        <f>Resumen!J33</f>
        <v>0</v>
      </c>
      <c r="C21" s="5">
        <f>-Resumen!K33</f>
        <v>-39329.853282539676</v>
      </c>
      <c r="D21" s="5">
        <f>Resumen!L33</f>
        <v>-39329.853282539676</v>
      </c>
      <c r="E21" s="7">
        <f>+Resumen!S33</f>
        <v>-38861.050812372028</v>
      </c>
      <c r="H21" s="31">
        <f t="shared" si="0"/>
        <v>17</v>
      </c>
      <c r="I21" s="7">
        <f>+Resumen!L33</f>
        <v>-39329.853282539676</v>
      </c>
    </row>
    <row r="22" spans="1:9" x14ac:dyDescent="0.3">
      <c r="A22" s="30">
        <f>Resumen!A34</f>
        <v>18</v>
      </c>
      <c r="B22" s="5">
        <f>Resumen!J34</f>
        <v>0</v>
      </c>
      <c r="C22" s="5">
        <f>-Resumen!K34</f>
        <v>-47507.42742857142</v>
      </c>
      <c r="D22" s="5">
        <f>Resumen!L34</f>
        <v>-47507.42742857142</v>
      </c>
      <c r="E22" s="7">
        <f>+Resumen!S34</f>
        <v>-46838.570913681659</v>
      </c>
      <c r="H22" s="31">
        <f t="shared" si="0"/>
        <v>18</v>
      </c>
      <c r="I22" s="7">
        <f>+Resumen!L34</f>
        <v>-47507.42742857142</v>
      </c>
    </row>
    <row r="23" spans="1:9" x14ac:dyDescent="0.3">
      <c r="A23" s="30">
        <f>Resumen!A35</f>
        <v>19</v>
      </c>
      <c r="B23" s="5">
        <f>Resumen!J35</f>
        <v>0</v>
      </c>
      <c r="C23" s="5">
        <f>-Resumen!K35</f>
        <v>-49253.459174603166</v>
      </c>
      <c r="D23" s="5">
        <f>Resumen!L35</f>
        <v>-49253.459174603166</v>
      </c>
      <c r="E23" s="7">
        <f>+Resumen!S35</f>
        <v>-48539.408372675724</v>
      </c>
      <c r="H23" s="31">
        <f t="shared" si="0"/>
        <v>19</v>
      </c>
      <c r="I23" s="7">
        <f>+Resumen!L35</f>
        <v>-49253.459174603166</v>
      </c>
    </row>
    <row r="24" spans="1:9" x14ac:dyDescent="0.3">
      <c r="A24" s="30">
        <f>Resumen!A36</f>
        <v>20</v>
      </c>
      <c r="B24" s="5">
        <f>Resumen!J36</f>
        <v>42154.05</v>
      </c>
      <c r="C24" s="5">
        <f>-Resumen!K36</f>
        <v>-52264.112420634912</v>
      </c>
      <c r="D24" s="5">
        <f>Resumen!L36</f>
        <v>-10110.062420634909</v>
      </c>
      <c r="E24" s="7">
        <f>+Resumen!S36</f>
        <v>-10464.712236921587</v>
      </c>
      <c r="H24" s="31">
        <f t="shared" si="0"/>
        <v>20</v>
      </c>
      <c r="I24" s="7">
        <f>+Resumen!L36</f>
        <v>-10110.062420634909</v>
      </c>
    </row>
    <row r="25" spans="1:9" x14ac:dyDescent="0.3">
      <c r="A25" s="30">
        <f>Resumen!A37</f>
        <v>21</v>
      </c>
      <c r="B25" s="5">
        <f>Resumen!J37</f>
        <v>70256.75</v>
      </c>
      <c r="C25" s="5">
        <f>-Resumen!K37</f>
        <v>-54853.225166666656</v>
      </c>
      <c r="D25" s="5">
        <f>Resumen!L37</f>
        <v>15403.524833333344</v>
      </c>
      <c r="E25" s="7">
        <f>+Resumen!S37</f>
        <v>14316.167581374742</v>
      </c>
      <c r="H25" s="31">
        <f t="shared" si="0"/>
        <v>21</v>
      </c>
      <c r="I25" s="7">
        <f>+Resumen!L37</f>
        <v>15403.524833333344</v>
      </c>
    </row>
    <row r="26" spans="1:9" x14ac:dyDescent="0.3">
      <c r="A26" s="30">
        <f>Resumen!A38</f>
        <v>22</v>
      </c>
      <c r="B26" s="5">
        <f>Resumen!J38</f>
        <v>84346.608812083345</v>
      </c>
      <c r="C26" s="5">
        <f>-Resumen!K38</f>
        <v>-57020.797412698405</v>
      </c>
      <c r="D26" s="5">
        <f>Resumen!L38</f>
        <v>27325.81139938494</v>
      </c>
      <c r="E26" s="7">
        <f>+Resumen!S38</f>
        <v>25879.207161074759</v>
      </c>
      <c r="H26" s="31">
        <f t="shared" si="0"/>
        <v>22</v>
      </c>
      <c r="I26" s="7">
        <f>+Resumen!L38</f>
        <v>27325.81139938494</v>
      </c>
    </row>
    <row r="27" spans="1:9" x14ac:dyDescent="0.3">
      <c r="A27" s="30">
        <f>Resumen!A39</f>
        <v>23</v>
      </c>
      <c r="B27" s="5">
        <f>Resumen!J39</f>
        <v>98466.273340581814</v>
      </c>
      <c r="C27" s="5">
        <f>-Resumen!K39</f>
        <v>-59188.369658730153</v>
      </c>
      <c r="D27" s="5">
        <f>Resumen!L39</f>
        <v>39277.903681851662</v>
      </c>
      <c r="E27" s="7">
        <f>+Resumen!S39</f>
        <v>37454.277886606193</v>
      </c>
      <c r="H27" s="31">
        <f t="shared" si="0"/>
        <v>23</v>
      </c>
      <c r="I27" s="7">
        <f>+Resumen!L39</f>
        <v>39277.903681851662</v>
      </c>
    </row>
    <row r="28" spans="1:9" x14ac:dyDescent="0.3">
      <c r="A28" s="30">
        <f>Resumen!A40</f>
        <v>24</v>
      </c>
      <c r="B28" s="5">
        <f>Resumen!J40</f>
        <v>98564.468099786449</v>
      </c>
      <c r="C28" s="5">
        <f>-Resumen!K40</f>
        <v>-88923.564066428575</v>
      </c>
      <c r="D28" s="5">
        <f>Resumen!L40</f>
        <v>9640.9040333578741</v>
      </c>
      <c r="E28" s="7">
        <f>+Resumen!S40</f>
        <v>8793.9463165692578</v>
      </c>
      <c r="H28" s="31">
        <f t="shared" si="0"/>
        <v>24</v>
      </c>
      <c r="I28" s="7">
        <f>+Resumen!L40</f>
        <v>9640.9040333578741</v>
      </c>
    </row>
    <row r="29" spans="1:9" x14ac:dyDescent="0.3">
      <c r="A29" s="30">
        <f>Resumen!A41</f>
        <v>25</v>
      </c>
      <c r="B29" s="5">
        <f>Resumen!J41</f>
        <v>98588.570359869846</v>
      </c>
      <c r="C29" s="5">
        <f>-Resumen!K41</f>
        <v>-90669.59581246032</v>
      </c>
      <c r="D29" s="5">
        <f>Resumen!L41</f>
        <v>7918.9745474095253</v>
      </c>
      <c r="E29" s="7">
        <f>+Resumen!S41</f>
        <v>7131.1862029310287</v>
      </c>
      <c r="H29" s="31">
        <f t="shared" si="0"/>
        <v>25</v>
      </c>
      <c r="I29" s="7">
        <f>+Resumen!L41</f>
        <v>7918.9745474095253</v>
      </c>
    </row>
    <row r="30" spans="1:9" x14ac:dyDescent="0.3">
      <c r="A30" s="30">
        <f>Resumen!A42</f>
        <v>26</v>
      </c>
      <c r="B30" s="5">
        <f>Resumen!J42</f>
        <v>154813.76779623839</v>
      </c>
      <c r="C30" s="5">
        <f>-Resumen!K42</f>
        <v>-94101.789558492062</v>
      </c>
      <c r="D30" s="5">
        <f>Resumen!L42</f>
        <v>60711.978237746327</v>
      </c>
      <c r="E30" s="7">
        <f>+Resumen!S42</f>
        <v>58035.8844267034</v>
      </c>
      <c r="H30" s="31">
        <f t="shared" si="0"/>
        <v>26</v>
      </c>
      <c r="I30" s="7">
        <f>+Resumen!L42</f>
        <v>60711.978237746327</v>
      </c>
    </row>
    <row r="31" spans="1:9" x14ac:dyDescent="0.3">
      <c r="A31" s="30">
        <f>Resumen!A43</f>
        <v>27</v>
      </c>
      <c r="B31" s="5">
        <f>Resumen!J43</f>
        <v>169016.89774183277</v>
      </c>
      <c r="C31" s="5">
        <f>-Resumen!K43</f>
        <v>-96269.361804523811</v>
      </c>
      <c r="D31" s="5">
        <f>Resumen!L43</f>
        <v>72747.53593730896</v>
      </c>
      <c r="E31" s="7">
        <f>+Resumen!S43</f>
        <v>69624.05753139728</v>
      </c>
      <c r="H31" s="31">
        <f t="shared" si="0"/>
        <v>27</v>
      </c>
      <c r="I31" s="7">
        <f>+Resumen!L43</f>
        <v>72747.53593730896</v>
      </c>
    </row>
    <row r="32" spans="1:9" x14ac:dyDescent="0.3">
      <c r="A32" s="30">
        <f>Resumen!A44</f>
        <v>28</v>
      </c>
      <c r="B32" s="5">
        <f>Resumen!J44</f>
        <v>183250.11658167606</v>
      </c>
      <c r="C32" s="5">
        <f>-Resumen!K44</f>
        <v>-98436.934050555559</v>
      </c>
      <c r="D32" s="5">
        <f>Resumen!L44</f>
        <v>84813.182531120503</v>
      </c>
      <c r="E32" s="7">
        <f>+Resumen!S44</f>
        <v>81224.287932927444</v>
      </c>
      <c r="H32" s="31">
        <f t="shared" si="0"/>
        <v>28</v>
      </c>
      <c r="I32" s="7">
        <f>+Resumen!L44</f>
        <v>84813.182531120503</v>
      </c>
    </row>
    <row r="33" spans="1:9" x14ac:dyDescent="0.3">
      <c r="A33" s="30">
        <f>Resumen!A45</f>
        <v>29</v>
      </c>
      <c r="B33" s="5">
        <f>Resumen!J45</f>
        <v>197513.49953800387</v>
      </c>
      <c r="C33" s="5">
        <f>-Resumen!K45</f>
        <v>-100604.50629658731</v>
      </c>
      <c r="D33" s="5">
        <f>Resumen!L45</f>
        <v>96908.993241416567</v>
      </c>
      <c r="E33" s="7">
        <f>+Resumen!S45</f>
        <v>92836.58817670602</v>
      </c>
      <c r="H33" s="31">
        <f t="shared" si="0"/>
        <v>29</v>
      </c>
      <c r="I33" s="7">
        <f>+Resumen!L45</f>
        <v>96908.993241416567</v>
      </c>
    </row>
    <row r="34" spans="1:9" x14ac:dyDescent="0.3">
      <c r="A34" s="30">
        <f>Resumen!A46</f>
        <v>30</v>
      </c>
      <c r="B34" s="5">
        <f>Resumen!J46</f>
        <v>197755.7720211074</v>
      </c>
      <c r="C34" s="5">
        <f>-Resumen!K46</f>
        <v>-111997.85164261905</v>
      </c>
      <c r="D34" s="5">
        <f>Resumen!L46</f>
        <v>85757.920378488358</v>
      </c>
      <c r="E34" s="7">
        <f>+Resumen!S46</f>
        <v>82146.847055643841</v>
      </c>
      <c r="H34" s="31">
        <f t="shared" si="0"/>
        <v>30</v>
      </c>
      <c r="I34" s="7">
        <f>+Resumen!L46</f>
        <v>85757.920378488358</v>
      </c>
    </row>
    <row r="35" spans="1:9" x14ac:dyDescent="0.3">
      <c r="A35" s="30">
        <f>Resumen!A47</f>
        <v>31</v>
      </c>
      <c r="B35" s="5">
        <f>Resumen!J47</f>
        <v>197970.16682205364</v>
      </c>
      <c r="C35" s="5">
        <f>-Resumen!K47</f>
        <v>-113743.88338865079</v>
      </c>
      <c r="D35" s="5">
        <f>Resumen!L47</f>
        <v>84226.283433402845</v>
      </c>
      <c r="E35" s="7">
        <f>+Resumen!S47</f>
        <v>80680.713182833773</v>
      </c>
      <c r="H35" s="31">
        <f t="shared" si="0"/>
        <v>31</v>
      </c>
      <c r="I35" s="7">
        <f>+Resumen!L47</f>
        <v>84226.283433402845</v>
      </c>
    </row>
    <row r="36" spans="1:9" x14ac:dyDescent="0.3">
      <c r="A36" s="30">
        <f>Resumen!A48</f>
        <v>32</v>
      </c>
      <c r="B36" s="5">
        <f>Resumen!J48</f>
        <v>226283.43253063716</v>
      </c>
      <c r="C36" s="5">
        <f>-Resumen!K48</f>
        <v>-116332.99613468254</v>
      </c>
      <c r="D36" s="5">
        <f>Resumen!L48</f>
        <v>109950.43639595462</v>
      </c>
      <c r="E36" s="7">
        <f>+Resumen!S48</f>
        <v>105268.87922265947</v>
      </c>
      <c r="H36" s="31">
        <f t="shared" si="0"/>
        <v>32</v>
      </c>
      <c r="I36" s="7">
        <f>+Resumen!L48</f>
        <v>109950.43639595462</v>
      </c>
    </row>
    <row r="37" spans="1:9" x14ac:dyDescent="0.3">
      <c r="A37" s="30">
        <f>Resumen!A49</f>
        <v>33</v>
      </c>
      <c r="B37" s="5">
        <f>Resumen!J49</f>
        <v>240609.65862162705</v>
      </c>
      <c r="C37" s="5">
        <f>-Resumen!K49</f>
        <v>-118500.56838071429</v>
      </c>
      <c r="D37" s="5">
        <f>Resumen!L49</f>
        <v>122109.09024091276</v>
      </c>
      <c r="E37" s="7">
        <f>+Resumen!S49</f>
        <v>116873.68317343915</v>
      </c>
      <c r="H37" s="31">
        <f t="shared" si="0"/>
        <v>33</v>
      </c>
      <c r="I37" s="7">
        <f>+Resumen!L49</f>
        <v>122109.09024091276</v>
      </c>
    </row>
    <row r="38" spans="1:9" x14ac:dyDescent="0.3">
      <c r="A38" s="30">
        <f>Resumen!A50</f>
        <v>34</v>
      </c>
      <c r="B38" s="5">
        <f>Resumen!J50</f>
        <v>254966.28134722935</v>
      </c>
      <c r="C38" s="5">
        <f>-Resumen!K50</f>
        <v>-120668.14062674604</v>
      </c>
      <c r="D38" s="5">
        <f>Resumen!L50</f>
        <v>134298.14072048332</v>
      </c>
      <c r="E38" s="7">
        <f>+Resumen!S50</f>
        <v>128490.56172516735</v>
      </c>
      <c r="H38" s="31">
        <f t="shared" si="0"/>
        <v>34</v>
      </c>
      <c r="I38" s="7">
        <f>+Resumen!L50</f>
        <v>134298.14072048332</v>
      </c>
    </row>
    <row r="39" spans="1:9" x14ac:dyDescent="0.3">
      <c r="A39" s="30">
        <f>Resumen!A51</f>
        <v>35</v>
      </c>
      <c r="B39" s="5">
        <f>Resumen!J51</f>
        <v>255302.02669903057</v>
      </c>
      <c r="C39" s="5">
        <f>-Resumen!K51</f>
        <v>-122414.17237277779</v>
      </c>
      <c r="D39" s="5">
        <f>Resumen!L51</f>
        <v>132887.85432625277</v>
      </c>
      <c r="E39" s="7">
        <f>+Resumen!S51</f>
        <v>127148.43306871947</v>
      </c>
      <c r="H39" s="31">
        <f t="shared" si="0"/>
        <v>35</v>
      </c>
      <c r="I39" s="7">
        <f>+Resumen!L51</f>
        <v>132887.85432625277</v>
      </c>
    </row>
    <row r="40" spans="1:9" x14ac:dyDescent="0.3">
      <c r="A40" s="30">
        <f>Resumen!A52</f>
        <v>36</v>
      </c>
      <c r="B40" s="5">
        <f>Resumen!J52</f>
        <v>255634.24633484619</v>
      </c>
      <c r="C40" s="5">
        <f>-Resumen!K52</f>
        <v>-170105.58016047621</v>
      </c>
      <c r="D40" s="5">
        <f>Resumen!L52</f>
        <v>85528.666174369981</v>
      </c>
      <c r="E40" s="7">
        <f>+Resumen!S52</f>
        <v>82143.684267623117</v>
      </c>
      <c r="H40" s="31">
        <f t="shared" si="0"/>
        <v>36</v>
      </c>
      <c r="I40" s="7">
        <f>+Resumen!L52</f>
        <v>85528.666174369981</v>
      </c>
    </row>
    <row r="41" spans="1:9" x14ac:dyDescent="0.3">
      <c r="A41" s="30">
        <f>Resumen!A53</f>
        <v>37</v>
      </c>
      <c r="B41" s="5">
        <f>Resumen!J53</f>
        <v>255848.0680002821</v>
      </c>
      <c r="C41" s="5">
        <f>-Resumen!K53</f>
        <v>-171851.61190650795</v>
      </c>
      <c r="D41" s="5">
        <f>Resumen!L53</f>
        <v>83996.456093774148</v>
      </c>
      <c r="E41" s="7">
        <f>+Resumen!S53</f>
        <v>80689.767088401422</v>
      </c>
      <c r="H41" s="31">
        <f t="shared" ref="H41:H44" si="1">+A41</f>
        <v>37</v>
      </c>
      <c r="I41" s="7">
        <f>+Resumen!L53</f>
        <v>83996.456093774148</v>
      </c>
    </row>
    <row r="42" spans="1:9" x14ac:dyDescent="0.3">
      <c r="A42" s="30">
        <f>Resumen!A54</f>
        <v>38</v>
      </c>
      <c r="B42" s="5">
        <f>Resumen!J54</f>
        <v>270109.40914051654</v>
      </c>
      <c r="C42" s="5">
        <f>-Resumen!K54</f>
        <v>-174019.1841525397</v>
      </c>
      <c r="D42" s="5">
        <f>Resumen!L54</f>
        <v>96090.224987976835</v>
      </c>
      <c r="E42" s="7">
        <f>+Resumen!S54</f>
        <v>92148.860978631099</v>
      </c>
      <c r="H42" s="31">
        <f t="shared" si="1"/>
        <v>38</v>
      </c>
      <c r="I42" s="7">
        <f>+Resumen!L54</f>
        <v>96090.224987976835</v>
      </c>
    </row>
    <row r="43" spans="1:9" x14ac:dyDescent="0.3">
      <c r="A43" s="30">
        <f>Resumen!A55</f>
        <v>39</v>
      </c>
      <c r="B43" s="5">
        <f>Resumen!J55</f>
        <v>284400.98470298643</v>
      </c>
      <c r="C43" s="5">
        <f>-Resumen!K55</f>
        <v>-176186.75639857145</v>
      </c>
      <c r="D43" s="5">
        <f>Resumen!L55</f>
        <v>108214.22830441498</v>
      </c>
      <c r="E43" s="7">
        <f>+Resumen!S55</f>
        <v>103619.87786097187</v>
      </c>
      <c r="H43" s="31">
        <f t="shared" si="1"/>
        <v>39</v>
      </c>
      <c r="I43" s="7">
        <f>+Resumen!L55</f>
        <v>108214.22830441498</v>
      </c>
    </row>
    <row r="44" spans="1:9" x14ac:dyDescent="0.3">
      <c r="A44" s="30">
        <f>Resumen!A56</f>
        <v>40</v>
      </c>
      <c r="B44" s="5">
        <f>Resumen!J56</f>
        <v>298722.87027374742</v>
      </c>
      <c r="C44" s="5">
        <f>-Resumen!K56</f>
        <v>-178354.3286446032</v>
      </c>
      <c r="D44" s="5">
        <f>Resumen!L56</f>
        <v>120368.54162914422</v>
      </c>
      <c r="E44" s="7">
        <f>+Resumen!S56</f>
        <v>115102.83014109411</v>
      </c>
      <c r="H44" s="31">
        <f t="shared" si="1"/>
        <v>40</v>
      </c>
      <c r="I44" s="7">
        <f>+Resumen!L56</f>
        <v>120368.54162914422</v>
      </c>
    </row>
    <row r="45" spans="1:9" x14ac:dyDescent="0.3">
      <c r="A45" s="30">
        <f>Resumen!A57</f>
        <v>41</v>
      </c>
      <c r="B45" s="5">
        <f>Resumen!J57</f>
        <v>313075.14162782027</v>
      </c>
      <c r="C45" s="5">
        <f>-Resumen!K57</f>
        <v>-180521.90089063495</v>
      </c>
      <c r="D45" s="5">
        <f>Resumen!L57</f>
        <v>132553.24073718532</v>
      </c>
      <c r="E45" s="7">
        <f>+Resumen!S57</f>
        <v>126597.73023757598</v>
      </c>
      <c r="H45" s="31">
        <f t="shared" ref="H45:H59" si="2">+A45</f>
        <v>41</v>
      </c>
      <c r="I45" s="7">
        <f>+Resumen!L57</f>
        <v>132553.24073718532</v>
      </c>
    </row>
    <row r="46" spans="1:9" x14ac:dyDescent="0.3">
      <c r="A46" s="30">
        <f>Resumen!A58</f>
        <v>42</v>
      </c>
      <c r="B46" s="5">
        <f>Resumen!J58</f>
        <v>313406.52472966322</v>
      </c>
      <c r="C46" s="5">
        <f>-Resumen!K58</f>
        <v>-188699.4750366667</v>
      </c>
      <c r="D46" s="5">
        <f>Resumen!L58</f>
        <v>124707.04969299652</v>
      </c>
      <c r="E46" s="7">
        <f>+Resumen!S58</f>
        <v>119206.50341328516</v>
      </c>
      <c r="H46" s="31">
        <f t="shared" si="2"/>
        <v>42</v>
      </c>
      <c r="I46" s="7">
        <f>+Resumen!L58</f>
        <v>124707.04969299652</v>
      </c>
    </row>
    <row r="47" spans="1:9" x14ac:dyDescent="0.3">
      <c r="A47" s="30">
        <f>Resumen!A59</f>
        <v>43</v>
      </c>
      <c r="B47" s="5">
        <f>Resumen!J59</f>
        <v>313718.29235389573</v>
      </c>
      <c r="C47" s="5">
        <f>-Resumen!K59</f>
        <v>-190445.50678269845</v>
      </c>
      <c r="D47" s="5">
        <f>Resumen!L59</f>
        <v>123272.78557119728</v>
      </c>
      <c r="E47" s="7">
        <f>+Resumen!S59</f>
        <v>117857.37264696491</v>
      </c>
      <c r="H47" s="31">
        <f t="shared" si="2"/>
        <v>43</v>
      </c>
      <c r="I47" s="7">
        <f>+Resumen!L59</f>
        <v>123272.78557119728</v>
      </c>
    </row>
    <row r="48" spans="1:9" x14ac:dyDescent="0.3">
      <c r="A48" s="30">
        <f>Resumen!A60</f>
        <v>44</v>
      </c>
      <c r="B48" s="5">
        <f>Resumen!J60</f>
        <v>336508.63431782369</v>
      </c>
      <c r="C48" s="5">
        <f>-Resumen!K60</f>
        <v>-192866.00332873018</v>
      </c>
      <c r="D48" s="5">
        <f>Resumen!L60</f>
        <v>143642.63098909351</v>
      </c>
      <c r="E48" s="7">
        <f>+Resumen!S60</f>
        <v>136990.23313238093</v>
      </c>
      <c r="H48" s="31">
        <f t="shared" si="2"/>
        <v>44</v>
      </c>
      <c r="I48" s="7">
        <f>+Resumen!L60</f>
        <v>143642.63098909351</v>
      </c>
    </row>
    <row r="49" spans="1:9" x14ac:dyDescent="0.3">
      <c r="A49" s="30">
        <f>Resumen!A61</f>
        <v>45</v>
      </c>
      <c r="B49" s="5">
        <f>Resumen!J61</f>
        <v>342488.28089529643</v>
      </c>
      <c r="C49" s="5">
        <f>-Resumen!K61</f>
        <v>-194780.65127476191</v>
      </c>
      <c r="D49" s="5">
        <f>Resumen!L61</f>
        <v>147707.62962053451</v>
      </c>
      <c r="E49" s="7">
        <f>+Resumen!S61</f>
        <v>140802.82076674153</v>
      </c>
      <c r="H49" s="31">
        <f t="shared" si="2"/>
        <v>45</v>
      </c>
      <c r="I49" s="7">
        <f>+Resumen!L61</f>
        <v>147707.62962053451</v>
      </c>
    </row>
    <row r="50" spans="1:9" x14ac:dyDescent="0.3">
      <c r="A50" s="30">
        <f>Resumen!A62</f>
        <v>46</v>
      </c>
      <c r="B50" s="5">
        <f>Resumen!J62</f>
        <v>351288.35996934777</v>
      </c>
      <c r="C50" s="5">
        <f>-Resumen!K62</f>
        <v>-196779.60732079367</v>
      </c>
      <c r="D50" s="5">
        <f>Resumen!L62</f>
        <v>154508.7526485541</v>
      </c>
      <c r="E50" s="7">
        <f>+Resumen!S62</f>
        <v>147172.34980795748</v>
      </c>
      <c r="H50" s="31">
        <f t="shared" si="2"/>
        <v>46</v>
      </c>
      <c r="I50" s="7">
        <f>+Resumen!L62</f>
        <v>154508.7526485541</v>
      </c>
    </row>
    <row r="51" spans="1:9" x14ac:dyDescent="0.3">
      <c r="A51" s="30">
        <f>Resumen!A63</f>
        <v>47</v>
      </c>
      <c r="B51" s="5">
        <f>Resumen!J63</f>
        <v>357295.17185096914</v>
      </c>
      <c r="C51" s="5">
        <f>-Resumen!K63</f>
        <v>-198694.25526682541</v>
      </c>
      <c r="D51" s="5">
        <f>Resumen!L63</f>
        <v>158600.91658414374</v>
      </c>
      <c r="E51" s="7">
        <f>+Resumen!S63</f>
        <v>150999.24857904023</v>
      </c>
      <c r="H51" s="31">
        <f t="shared" si="2"/>
        <v>47</v>
      </c>
      <c r="I51" s="7">
        <f>+Resumen!L63</f>
        <v>158600.91658414374</v>
      </c>
    </row>
    <row r="52" spans="1:9" x14ac:dyDescent="0.3">
      <c r="A52" s="30">
        <f>Resumen!A64</f>
        <v>48</v>
      </c>
      <c r="B52" s="5">
        <f>Resumen!J64</f>
        <v>357691.67414242949</v>
      </c>
      <c r="C52" s="5">
        <f>-Resumen!K64</f>
        <v>-226339.19839452379</v>
      </c>
      <c r="D52" s="5">
        <f>Resumen!L64</f>
        <v>131352.4757479057</v>
      </c>
      <c r="E52" s="7">
        <f>+Resumen!S64</f>
        <v>125554.22442248595</v>
      </c>
      <c r="H52" s="31">
        <f t="shared" si="2"/>
        <v>48</v>
      </c>
      <c r="I52" s="7">
        <f>+Resumen!L64</f>
        <v>131352.4757479057</v>
      </c>
    </row>
    <row r="53" spans="1:9" x14ac:dyDescent="0.3">
      <c r="A53" s="30">
        <f>Resumen!A65</f>
        <v>49</v>
      </c>
      <c r="B53" s="5">
        <f>Resumen!J65</f>
        <v>358020.05533179926</v>
      </c>
      <c r="C53" s="5">
        <f>-Resumen!K65</f>
        <v>-228085.23014055553</v>
      </c>
      <c r="D53" s="5">
        <f>Resumen!L65</f>
        <v>129934.82519124373</v>
      </c>
      <c r="E53" s="7">
        <f>+Resumen!S65</f>
        <v>124232.32728176657</v>
      </c>
      <c r="H53" s="31">
        <f t="shared" si="2"/>
        <v>49</v>
      </c>
      <c r="I53" s="7">
        <f>+Resumen!L65</f>
        <v>129934.82519124373</v>
      </c>
    </row>
    <row r="54" spans="1:9" x14ac:dyDescent="0.3">
      <c r="A54" s="30">
        <f>Resumen!A66</f>
        <v>50</v>
      </c>
      <c r="B54" s="5">
        <f>Resumen!J66</f>
        <v>358344.89239477739</v>
      </c>
      <c r="C54" s="5">
        <f>-Resumen!K66</f>
        <v>-229831.26188658728</v>
      </c>
      <c r="D54" s="5">
        <f>Resumen!L66</f>
        <v>128513.63050819011</v>
      </c>
      <c r="E54" s="7">
        <f>+Resumen!S66</f>
        <v>122909.05472957646</v>
      </c>
      <c r="H54" s="31">
        <f t="shared" si="2"/>
        <v>50</v>
      </c>
      <c r="I54" s="7">
        <f>+Resumen!L66</f>
        <v>128513.63050819011</v>
      </c>
    </row>
    <row r="55" spans="1:9" x14ac:dyDescent="0.3">
      <c r="A55" s="30">
        <f>Resumen!A67</f>
        <v>51</v>
      </c>
      <c r="B55" s="5">
        <f>Resumen!J67</f>
        <v>372717.52647104784</v>
      </c>
      <c r="C55" s="5">
        <f>-Resumen!K67</f>
        <v>-231998.83413261903</v>
      </c>
      <c r="D55" s="5">
        <f>Resumen!L67</f>
        <v>140718.69233842881</v>
      </c>
      <c r="E55" s="7">
        <f>+Resumen!S67</f>
        <v>134256.6274327891</v>
      </c>
      <c r="H55" s="31">
        <f t="shared" si="2"/>
        <v>51</v>
      </c>
      <c r="I55" s="7">
        <f>+Resumen!L67</f>
        <v>140718.69233842881</v>
      </c>
    </row>
    <row r="56" spans="1:9" x14ac:dyDescent="0.3">
      <c r="A56" s="30">
        <f>Resumen!A68</f>
        <v>52</v>
      </c>
      <c r="B56" s="5">
        <f>Resumen!J68</f>
        <v>387120.67320189386</v>
      </c>
      <c r="C56" s="5">
        <f>-Resumen!K68</f>
        <v>-234166.40637865078</v>
      </c>
      <c r="D56" s="5">
        <f>Resumen!L68</f>
        <v>152954.26682324309</v>
      </c>
      <c r="E56" s="7">
        <f>+Resumen!S68</f>
        <v>145616.00709221634</v>
      </c>
      <c r="H56" s="31">
        <f t="shared" si="2"/>
        <v>52</v>
      </c>
      <c r="I56" s="7">
        <f>+Resumen!L68</f>
        <v>152954.26682324309</v>
      </c>
    </row>
    <row r="57" spans="1:9" x14ac:dyDescent="0.3">
      <c r="A57" s="30">
        <f>Resumen!A69</f>
        <v>53</v>
      </c>
      <c r="B57" s="5">
        <f>Resumen!J69</f>
        <v>387503.05886895198</v>
      </c>
      <c r="C57" s="5">
        <f>-Resumen!K69</f>
        <v>-235912.43812468252</v>
      </c>
      <c r="D57" s="5">
        <f>Resumen!L69</f>
        <v>151590.62074426946</v>
      </c>
      <c r="E57" s="7">
        <f>+Resumen!S69</f>
        <v>144351.85543682397</v>
      </c>
      <c r="H57" s="31">
        <f t="shared" si="2"/>
        <v>53</v>
      </c>
      <c r="I57" s="7">
        <f>+Resumen!L69</f>
        <v>151590.62074426946</v>
      </c>
    </row>
    <row r="58" spans="1:9" x14ac:dyDescent="0.3">
      <c r="A58" s="30">
        <f>Resumen!A70</f>
        <v>54</v>
      </c>
      <c r="B58" s="5">
        <f>Resumen!J70</f>
        <v>387882.03542081267</v>
      </c>
      <c r="C58" s="5">
        <f>-Resumen!K70</f>
        <v>-237658.46987071427</v>
      </c>
      <c r="D58" s="5">
        <f>Resumen!L70</f>
        <v>150223.5655500984</v>
      </c>
      <c r="E58" s="7">
        <f>+Resumen!S70</f>
        <v>143086.38845315535</v>
      </c>
      <c r="H58" s="31">
        <f t="shared" si="2"/>
        <v>54</v>
      </c>
      <c r="I58" s="7">
        <f>+Resumen!L70</f>
        <v>150223.5655500984</v>
      </c>
    </row>
    <row r="59" spans="1:9" x14ac:dyDescent="0.3">
      <c r="A59" s="30">
        <f>Resumen!A71</f>
        <v>55</v>
      </c>
      <c r="B59" s="5">
        <f>Resumen!J71</f>
        <v>388257.59433468792</v>
      </c>
      <c r="C59" s="5">
        <f>-Resumen!K71</f>
        <v>-239404.50161674601</v>
      </c>
      <c r="D59" s="5">
        <f>Resumen!L71</f>
        <v>148853.09271794191</v>
      </c>
      <c r="E59" s="7">
        <f>+Resumen!S71</f>
        <v>141819.60477263373</v>
      </c>
      <c r="H59" s="31">
        <f t="shared" si="2"/>
        <v>55</v>
      </c>
      <c r="I59" s="7">
        <f>+Resumen!L71</f>
        <v>148853.09271794191</v>
      </c>
    </row>
    <row r="60" spans="1:9" x14ac:dyDescent="0.3">
      <c r="A60" s="30">
        <f>Resumen!A72</f>
        <v>56</v>
      </c>
      <c r="B60" s="5">
        <f>Resumen!J72</f>
        <v>416732.42706648278</v>
      </c>
      <c r="C60" s="5">
        <f>-Resumen!K72</f>
        <v>-241993.61436277776</v>
      </c>
      <c r="D60" s="5">
        <f>Resumen!L72</f>
        <v>174738.81270370501</v>
      </c>
      <c r="E60" s="7">
        <f>+Resumen!S72</f>
        <v>165711.99162629561</v>
      </c>
      <c r="H60" s="31">
        <f t="shared" ref="H60:H64" si="3">+A60</f>
        <v>56</v>
      </c>
      <c r="I60" s="7">
        <f>+Resumen!L72</f>
        <v>174738.81270370501</v>
      </c>
    </row>
    <row r="61" spans="1:9" x14ac:dyDescent="0.3">
      <c r="A61" s="30">
        <f>Resumen!A73</f>
        <v>57</v>
      </c>
      <c r="B61" s="5">
        <f>Resumen!J73</f>
        <v>425600.08409824205</v>
      </c>
      <c r="C61" s="5">
        <f>-Resumen!K73</f>
        <v>-243992.57040880952</v>
      </c>
      <c r="D61" s="5">
        <f>Resumen!L73</f>
        <v>181607.51368943253</v>
      </c>
      <c r="E61" s="7">
        <f>+Resumen!S73</f>
        <v>172042.53749049566</v>
      </c>
      <c r="H61" s="31">
        <f t="shared" si="3"/>
        <v>57</v>
      </c>
      <c r="I61" s="7">
        <f>+Resumen!L73</f>
        <v>181607.51368943253</v>
      </c>
    </row>
    <row r="62" spans="1:9" x14ac:dyDescent="0.3">
      <c r="A62" s="30">
        <f>Resumen!A74</f>
        <v>58</v>
      </c>
      <c r="B62" s="5">
        <f>Resumen!J74</f>
        <v>431674.64288246562</v>
      </c>
      <c r="C62" s="5">
        <f>-Resumen!K74</f>
        <v>-245907.21835484126</v>
      </c>
      <c r="D62" s="5">
        <f>Resumen!L74</f>
        <v>185767.42452762436</v>
      </c>
      <c r="E62" s="7">
        <f>+Resumen!S74</f>
        <v>175870.94210382501</v>
      </c>
      <c r="H62" s="31">
        <f t="shared" si="3"/>
        <v>58</v>
      </c>
      <c r="I62" s="7">
        <f>+Resumen!L74</f>
        <v>185767.42452762436</v>
      </c>
    </row>
    <row r="63" spans="1:9" x14ac:dyDescent="0.3">
      <c r="A63" s="30">
        <f>Resumen!A75</f>
        <v>59</v>
      </c>
      <c r="B63" s="5">
        <f>Resumen!J75</f>
        <v>432139.06144378468</v>
      </c>
      <c r="C63" s="5">
        <f>-Resumen!K75</f>
        <v>-247653.250100873</v>
      </c>
      <c r="D63" s="5">
        <f>Resumen!L75</f>
        <v>184485.81134291168</v>
      </c>
      <c r="E63" s="7">
        <f>+Resumen!S75</f>
        <v>174693.17875550941</v>
      </c>
      <c r="H63" s="31">
        <f t="shared" si="3"/>
        <v>59</v>
      </c>
      <c r="I63" s="7">
        <f>+Resumen!L75</f>
        <v>184485.81134291168</v>
      </c>
    </row>
    <row r="64" spans="1:9" x14ac:dyDescent="0.3">
      <c r="A64" s="30">
        <f>Resumen!A76</f>
        <v>60</v>
      </c>
      <c r="B64" s="5">
        <f>Resumen!J76</f>
        <v>432600.27597214194</v>
      </c>
      <c r="C64" s="5">
        <f>-Resumen!K76</f>
        <v>-265918.11513857142</v>
      </c>
      <c r="D64" s="5">
        <f>Resumen!L76</f>
        <v>166682.16083357052</v>
      </c>
      <c r="E64" s="7">
        <f>+Resumen!S76</f>
        <v>158355.98767403772</v>
      </c>
      <c r="H64" s="31">
        <f t="shared" si="3"/>
        <v>60</v>
      </c>
      <c r="I64" s="7">
        <f>+Resumen!L76</f>
        <v>166682.16083357052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8</vt:i4>
      </vt:variant>
      <vt:variant>
        <vt:lpstr>Rangos con nombre</vt:lpstr>
      </vt:variant>
      <vt:variant>
        <vt:i4>6</vt:i4>
      </vt:variant>
    </vt:vector>
  </HeadingPairs>
  <TitlesOfParts>
    <vt:vector size="14" baseType="lpstr">
      <vt:lpstr>Resumen</vt:lpstr>
      <vt:lpstr>Hoja1</vt:lpstr>
      <vt:lpstr>Otros Ingresos</vt:lpstr>
      <vt:lpstr>Inversión Inicial</vt:lpstr>
      <vt:lpstr>COSTOS FIJOS</vt:lpstr>
      <vt:lpstr>COSTOS VARIABLES</vt:lpstr>
      <vt:lpstr>Impuestos</vt:lpstr>
      <vt:lpstr>Auxiliar</vt:lpstr>
      <vt:lpstr>PUNITARIO</vt:lpstr>
      <vt:lpstr>TasaActiva</vt:lpstr>
      <vt:lpstr>TasaAnual</vt:lpstr>
      <vt:lpstr>TasaImpuestos</vt:lpstr>
      <vt:lpstr>TasaMensual</vt:lpstr>
      <vt:lpstr>TasaPAsiva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Zanabria</dc:creator>
  <cp:lastModifiedBy>luis Quiroga</cp:lastModifiedBy>
  <dcterms:created xsi:type="dcterms:W3CDTF">2020-05-26T13:26:38Z</dcterms:created>
  <dcterms:modified xsi:type="dcterms:W3CDTF">2021-11-04T15:52:25Z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b2bd33c6-c56d-4fc4-8e30-ba81577502dc</vt:lpwstr>
  </property>
</Properties>
</file>