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465" windowWidth="15480" windowHeight="11640"/>
  </bookViews>
  <sheets>
    <sheet name="VIX" sheetId="4" r:id="rId1"/>
    <sheet name="Binomial_tree" sheetId="2" r:id="rId2"/>
    <sheet name="Black_Scholes" sheetId="3" r:id="rId3"/>
    <sheet name="Delta_hedging" sheetId="5" r:id="rId4"/>
  </sheets>
  <definedNames>
    <definedName name="solver_adj" localSheetId="0" hidden="1">VIX!$B$3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VIX!$D$16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15</definedName>
    <definedName name="solver_ver" localSheetId="0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5" l="1"/>
  <c r="M3" i="5"/>
  <c r="N3" i="5"/>
  <c r="F2" i="5"/>
  <c r="F3" i="5"/>
  <c r="L4" i="5"/>
  <c r="M4" i="5"/>
  <c r="N4" i="5"/>
  <c r="F4" i="5"/>
  <c r="E3" i="5"/>
  <c r="K3" i="5"/>
  <c r="G3" i="5"/>
  <c r="J3" i="5"/>
  <c r="R3" i="5"/>
  <c r="K2" i="5"/>
  <c r="G2" i="5"/>
  <c r="J2" i="5"/>
  <c r="R2" i="5"/>
  <c r="H2" i="5"/>
  <c r="I2" i="5"/>
  <c r="Q2" i="5"/>
  <c r="S2" i="5"/>
  <c r="Q3" i="5"/>
  <c r="S3" i="5"/>
  <c r="Q4" i="5"/>
  <c r="L5" i="5"/>
  <c r="M5" i="5"/>
  <c r="N5" i="5"/>
  <c r="F5" i="5"/>
  <c r="E4" i="5"/>
  <c r="K4" i="5"/>
  <c r="G4" i="5"/>
  <c r="J4" i="5"/>
  <c r="R4" i="5"/>
  <c r="S4" i="5"/>
  <c r="Q5" i="5"/>
  <c r="L6" i="5"/>
  <c r="M6" i="5"/>
  <c r="N6" i="5"/>
  <c r="F6" i="5"/>
  <c r="E5" i="5"/>
  <c r="K5" i="5"/>
  <c r="G5" i="5"/>
  <c r="J5" i="5"/>
  <c r="R5" i="5"/>
  <c r="S5" i="5"/>
  <c r="Q6" i="5"/>
  <c r="L7" i="5"/>
  <c r="M7" i="5"/>
  <c r="N7" i="5"/>
  <c r="F7" i="5"/>
  <c r="E6" i="5"/>
  <c r="K6" i="5"/>
  <c r="G6" i="5"/>
  <c r="J6" i="5"/>
  <c r="R6" i="5"/>
  <c r="S6" i="5"/>
  <c r="Q7" i="5"/>
  <c r="L8" i="5"/>
  <c r="M8" i="5"/>
  <c r="N8" i="5"/>
  <c r="F8" i="5"/>
  <c r="E7" i="5"/>
  <c r="K7" i="5"/>
  <c r="G7" i="5"/>
  <c r="J7" i="5"/>
  <c r="R7" i="5"/>
  <c r="S7" i="5"/>
  <c r="Q8" i="5"/>
  <c r="L9" i="5"/>
  <c r="M9" i="5"/>
  <c r="N9" i="5"/>
  <c r="F9" i="5"/>
  <c r="E8" i="5"/>
  <c r="K8" i="5"/>
  <c r="G8" i="5"/>
  <c r="J8" i="5"/>
  <c r="R8" i="5"/>
  <c r="S8" i="5"/>
  <c r="Q9" i="5"/>
  <c r="L10" i="5"/>
  <c r="M10" i="5"/>
  <c r="N10" i="5"/>
  <c r="F10" i="5"/>
  <c r="E9" i="5"/>
  <c r="K9" i="5"/>
  <c r="G9" i="5"/>
  <c r="J9" i="5"/>
  <c r="R9" i="5"/>
  <c r="S9" i="5"/>
  <c r="Q10" i="5"/>
  <c r="L11" i="5"/>
  <c r="M11" i="5"/>
  <c r="N11" i="5"/>
  <c r="F11" i="5"/>
  <c r="E10" i="5"/>
  <c r="K10" i="5"/>
  <c r="G10" i="5"/>
  <c r="J10" i="5"/>
  <c r="R10" i="5"/>
  <c r="S10" i="5"/>
  <c r="Q11" i="5"/>
  <c r="L12" i="5"/>
  <c r="M12" i="5"/>
  <c r="N12" i="5"/>
  <c r="F12" i="5"/>
  <c r="E11" i="5"/>
  <c r="K11" i="5"/>
  <c r="G11" i="5"/>
  <c r="J11" i="5"/>
  <c r="R11" i="5"/>
  <c r="S11" i="5"/>
  <c r="Q12" i="5"/>
  <c r="L13" i="5"/>
  <c r="M13" i="5"/>
  <c r="N13" i="5"/>
  <c r="F13" i="5"/>
  <c r="E12" i="5"/>
  <c r="K12" i="5"/>
  <c r="G12" i="5"/>
  <c r="J12" i="5"/>
  <c r="R12" i="5"/>
  <c r="S12" i="5"/>
  <c r="Q13" i="5"/>
  <c r="L14" i="5"/>
  <c r="M14" i="5"/>
  <c r="N14" i="5"/>
  <c r="F14" i="5"/>
  <c r="E13" i="5"/>
  <c r="K13" i="5"/>
  <c r="G13" i="5"/>
  <c r="J13" i="5"/>
  <c r="R13" i="5"/>
  <c r="S13" i="5"/>
  <c r="Q14" i="5"/>
  <c r="L15" i="5"/>
  <c r="M15" i="5"/>
  <c r="N15" i="5"/>
  <c r="F15" i="5"/>
  <c r="E14" i="5"/>
  <c r="K14" i="5"/>
  <c r="G14" i="5"/>
  <c r="J14" i="5"/>
  <c r="R14" i="5"/>
  <c r="S14" i="5"/>
  <c r="Q15" i="5"/>
  <c r="L16" i="5"/>
  <c r="M16" i="5"/>
  <c r="N16" i="5"/>
  <c r="F16" i="5"/>
  <c r="E15" i="5"/>
  <c r="K15" i="5"/>
  <c r="G15" i="5"/>
  <c r="J15" i="5"/>
  <c r="R15" i="5"/>
  <c r="S15" i="5"/>
  <c r="Q16" i="5"/>
  <c r="L17" i="5"/>
  <c r="M17" i="5"/>
  <c r="N17" i="5"/>
  <c r="F17" i="5"/>
  <c r="E16" i="5"/>
  <c r="K16" i="5"/>
  <c r="G16" i="5"/>
  <c r="J16" i="5"/>
  <c r="R16" i="5"/>
  <c r="S16" i="5"/>
  <c r="Q17" i="5"/>
  <c r="L18" i="5"/>
  <c r="M18" i="5"/>
  <c r="N18" i="5"/>
  <c r="F18" i="5"/>
  <c r="E17" i="5"/>
  <c r="K17" i="5"/>
  <c r="G17" i="5"/>
  <c r="J17" i="5"/>
  <c r="R17" i="5"/>
  <c r="S17" i="5"/>
  <c r="Q18" i="5"/>
  <c r="L19" i="5"/>
  <c r="M19" i="5"/>
  <c r="N19" i="5"/>
  <c r="F19" i="5"/>
  <c r="E18" i="5"/>
  <c r="K18" i="5"/>
  <c r="G18" i="5"/>
  <c r="J18" i="5"/>
  <c r="R18" i="5"/>
  <c r="S18" i="5"/>
  <c r="Q19" i="5"/>
  <c r="L20" i="5"/>
  <c r="M20" i="5"/>
  <c r="N20" i="5"/>
  <c r="F20" i="5"/>
  <c r="E19" i="5"/>
  <c r="K19" i="5"/>
  <c r="G19" i="5"/>
  <c r="J19" i="5"/>
  <c r="R19" i="5"/>
  <c r="S19" i="5"/>
  <c r="Q20" i="5"/>
  <c r="L21" i="5"/>
  <c r="M21" i="5"/>
  <c r="N21" i="5"/>
  <c r="F21" i="5"/>
  <c r="E20" i="5"/>
  <c r="K20" i="5"/>
  <c r="G20" i="5"/>
  <c r="J20" i="5"/>
  <c r="R20" i="5"/>
  <c r="S20" i="5"/>
  <c r="Q21" i="5"/>
  <c r="L22" i="5"/>
  <c r="M22" i="5"/>
  <c r="N22" i="5"/>
  <c r="F22" i="5"/>
  <c r="E21" i="5"/>
  <c r="K21" i="5"/>
  <c r="G21" i="5"/>
  <c r="J21" i="5"/>
  <c r="R21" i="5"/>
  <c r="S21" i="5"/>
  <c r="Q22" i="5"/>
  <c r="L23" i="5"/>
  <c r="M23" i="5"/>
  <c r="N23" i="5"/>
  <c r="F23" i="5"/>
  <c r="E22" i="5"/>
  <c r="K22" i="5"/>
  <c r="G22" i="5"/>
  <c r="J22" i="5"/>
  <c r="R22" i="5"/>
  <c r="S22" i="5"/>
  <c r="Q23" i="5"/>
  <c r="L24" i="5"/>
  <c r="M24" i="5"/>
  <c r="N24" i="5"/>
  <c r="F24" i="5"/>
  <c r="E23" i="5"/>
  <c r="K23" i="5"/>
  <c r="G23" i="5"/>
  <c r="J23" i="5"/>
  <c r="R23" i="5"/>
  <c r="S23" i="5"/>
  <c r="Q24" i="5"/>
  <c r="L25" i="5"/>
  <c r="M25" i="5"/>
  <c r="N25" i="5"/>
  <c r="F25" i="5"/>
  <c r="E24" i="5"/>
  <c r="K24" i="5"/>
  <c r="G24" i="5"/>
  <c r="J24" i="5"/>
  <c r="R24" i="5"/>
  <c r="S24" i="5"/>
  <c r="Q25" i="5"/>
  <c r="L26" i="5"/>
  <c r="M26" i="5"/>
  <c r="N26" i="5"/>
  <c r="F26" i="5"/>
  <c r="E25" i="5"/>
  <c r="K25" i="5"/>
  <c r="G25" i="5"/>
  <c r="J25" i="5"/>
  <c r="R25" i="5"/>
  <c r="S25" i="5"/>
  <c r="Q26" i="5"/>
  <c r="L27" i="5"/>
  <c r="M27" i="5"/>
  <c r="N27" i="5"/>
  <c r="F27" i="5"/>
  <c r="E26" i="5"/>
  <c r="K26" i="5"/>
  <c r="G26" i="5"/>
  <c r="J26" i="5"/>
  <c r="R26" i="5"/>
  <c r="S26" i="5"/>
  <c r="Q27" i="5"/>
  <c r="U2" i="5"/>
  <c r="V2" i="5"/>
  <c r="W2" i="5"/>
  <c r="U3" i="5"/>
  <c r="V3" i="5"/>
  <c r="W3" i="5"/>
  <c r="U4" i="5"/>
  <c r="V4" i="5"/>
  <c r="W4" i="5"/>
  <c r="U5" i="5"/>
  <c r="V5" i="5"/>
  <c r="W5" i="5"/>
  <c r="U6" i="5"/>
  <c r="V6" i="5"/>
  <c r="W6" i="5"/>
  <c r="U7" i="5"/>
  <c r="V7" i="5"/>
  <c r="W7" i="5"/>
  <c r="U8" i="5"/>
  <c r="V8" i="5"/>
  <c r="W8" i="5"/>
  <c r="U9" i="5"/>
  <c r="V9" i="5"/>
  <c r="W9" i="5"/>
  <c r="U10" i="5"/>
  <c r="V10" i="5"/>
  <c r="W10" i="5"/>
  <c r="U11" i="5"/>
  <c r="V11" i="5"/>
  <c r="W11" i="5"/>
  <c r="U12" i="5"/>
  <c r="V12" i="5"/>
  <c r="W12" i="5"/>
  <c r="U13" i="5"/>
  <c r="V13" i="5"/>
  <c r="W13" i="5"/>
  <c r="U14" i="5"/>
  <c r="V14" i="5"/>
  <c r="W14" i="5"/>
  <c r="U15" i="5"/>
  <c r="V15" i="5"/>
  <c r="W15" i="5"/>
  <c r="U16" i="5"/>
  <c r="V16" i="5"/>
  <c r="W16" i="5"/>
  <c r="U17" i="5"/>
  <c r="V17" i="5"/>
  <c r="W17" i="5"/>
  <c r="U18" i="5"/>
  <c r="V18" i="5"/>
  <c r="W18" i="5"/>
  <c r="U19" i="5"/>
  <c r="V19" i="5"/>
  <c r="W19" i="5"/>
  <c r="U20" i="5"/>
  <c r="V20" i="5"/>
  <c r="W20" i="5"/>
  <c r="U21" i="5"/>
  <c r="V21" i="5"/>
  <c r="W21" i="5"/>
  <c r="U22" i="5"/>
  <c r="V22" i="5"/>
  <c r="W22" i="5"/>
  <c r="U23" i="5"/>
  <c r="V23" i="5"/>
  <c r="W23" i="5"/>
  <c r="U24" i="5"/>
  <c r="V24" i="5"/>
  <c r="W24" i="5"/>
  <c r="U25" i="5"/>
  <c r="V25" i="5"/>
  <c r="W25" i="5"/>
  <c r="U26" i="5"/>
  <c r="V26" i="5"/>
  <c r="W26" i="5"/>
  <c r="U27" i="5"/>
  <c r="V27" i="5"/>
  <c r="W27" i="5"/>
  <c r="R27" i="5"/>
  <c r="S27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D9" i="3"/>
  <c r="D11" i="3"/>
  <c r="D8" i="2"/>
  <c r="G16" i="2"/>
  <c r="H14" i="2"/>
  <c r="O14" i="2"/>
  <c r="D9" i="2"/>
  <c r="D10" i="2"/>
  <c r="G20" i="2"/>
  <c r="H18" i="2"/>
  <c r="O18" i="2"/>
  <c r="D11" i="2"/>
  <c r="D12" i="2"/>
  <c r="N16" i="2"/>
  <c r="E27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D9" i="4"/>
  <c r="D11" i="4"/>
  <c r="D14" i="4"/>
  <c r="D12" i="4"/>
  <c r="D13" i="4"/>
  <c r="D10" i="4"/>
  <c r="D10" i="3"/>
  <c r="D13" i="3"/>
  <c r="O35" i="2"/>
  <c r="O31" i="2"/>
  <c r="O27" i="2"/>
  <c r="D12" i="3"/>
  <c r="D16" i="3"/>
  <c r="D17" i="3"/>
  <c r="D14" i="3"/>
  <c r="D18" i="3"/>
  <c r="H22" i="2"/>
  <c r="O22" i="2"/>
  <c r="N33" i="2"/>
  <c r="M31" i="2"/>
  <c r="N28" i="2"/>
  <c r="N20" i="2"/>
  <c r="M18" i="2"/>
</calcChain>
</file>

<file path=xl/sharedStrings.xml><?xml version="1.0" encoding="utf-8"?>
<sst xmlns="http://schemas.openxmlformats.org/spreadsheetml/2006/main" count="56" uniqueCount="30">
  <si>
    <t>Spot price</t>
  </si>
  <si>
    <t>Vol</t>
  </si>
  <si>
    <t>Int rate</t>
  </si>
  <si>
    <t>u</t>
  </si>
  <si>
    <t>d</t>
  </si>
  <si>
    <t>p</t>
  </si>
  <si>
    <t>Strike</t>
  </si>
  <si>
    <t>q</t>
  </si>
  <si>
    <t>call</t>
  </si>
  <si>
    <t>put</t>
  </si>
  <si>
    <t>Interval</t>
  </si>
  <si>
    <t>Time</t>
  </si>
  <si>
    <t>discount</t>
  </si>
  <si>
    <t>d1</t>
  </si>
  <si>
    <t>d2</t>
  </si>
  <si>
    <t>c</t>
  </si>
  <si>
    <t>N(-d1)</t>
  </si>
  <si>
    <t>N(d1)</t>
  </si>
  <si>
    <t>N(d2)</t>
  </si>
  <si>
    <t>N(-d2)</t>
  </si>
  <si>
    <t>Period</t>
  </si>
  <si>
    <t>Stock Price</t>
  </si>
  <si>
    <t>Option</t>
  </si>
  <si>
    <t>delta</t>
  </si>
  <si>
    <t>time</t>
  </si>
  <si>
    <t>Stock Price_1</t>
  </si>
  <si>
    <t># of Options</t>
  </si>
  <si>
    <t>Price*delta</t>
  </si>
  <si>
    <t>Borrowing</t>
  </si>
  <si>
    <t>Replicating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</si>
</sst>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60" zoomScaleNormal="160" zoomScalePageLayoutView="160" workbookViewId="0">
      <selection activeCell="B3" sqref="B3"/>
    </sheetView>
  </sheetViews>
  <sheetFormatPr defaultColWidth="8.85546875" defaultRowHeight="15" x14ac:dyDescent="0.25"/>
  <cols>
    <col min="1" max="1" width="9.85546875" bestFit="1" customWidth="1"/>
  </cols>
  <sheetData>
    <row r="1" spans="1:5" x14ac:dyDescent="0.25">
      <c r="A1" s="1" t="s">
        <v>6</v>
      </c>
      <c r="B1" s="1">
        <v>105</v>
      </c>
    </row>
    <row r="2" spans="1:5" x14ac:dyDescent="0.25">
      <c r="A2" s="1" t="s">
        <v>0</v>
      </c>
      <c r="B2" s="1">
        <v>100</v>
      </c>
    </row>
    <row r="3" spans="1:5" x14ac:dyDescent="0.25">
      <c r="A3" s="1" t="s">
        <v>1</v>
      </c>
      <c r="B3" s="1">
        <v>0.57044860055219482</v>
      </c>
    </row>
    <row r="4" spans="1:5" x14ac:dyDescent="0.25">
      <c r="A4" s="1" t="s">
        <v>2</v>
      </c>
      <c r="B4" s="1">
        <v>0.05</v>
      </c>
    </row>
    <row r="5" spans="1:5" x14ac:dyDescent="0.25">
      <c r="A5" s="1" t="s">
        <v>10</v>
      </c>
      <c r="B5" s="1">
        <v>0.5</v>
      </c>
    </row>
    <row r="9" spans="1:5" x14ac:dyDescent="0.25">
      <c r="C9" s="1" t="s">
        <v>13</v>
      </c>
      <c r="D9" s="1">
        <f>(LN(B2/B1)+(B4+B3^2/2)*B5)/(B3*B5^B5)</f>
        <v>0.14270523881755212</v>
      </c>
    </row>
    <row r="10" spans="1:5" x14ac:dyDescent="0.25">
      <c r="C10" s="1" t="s">
        <v>17</v>
      </c>
      <c r="D10" s="1">
        <f>_xlfn.NORM.S.DIST(D9,1)</f>
        <v>0.5567385104545739</v>
      </c>
    </row>
    <row r="11" spans="1:5" x14ac:dyDescent="0.25">
      <c r="C11" s="1" t="s">
        <v>14</v>
      </c>
      <c r="D11" s="1">
        <f>D9-B3*B5^0.5</f>
        <v>-0.26066283495128095</v>
      </c>
    </row>
    <row r="12" spans="1:5" x14ac:dyDescent="0.25">
      <c r="C12" s="1" t="s">
        <v>18</v>
      </c>
      <c r="D12" s="1">
        <f>_xlfn.NORM.S.DIST(D11,1)</f>
        <v>0.39717626442697024</v>
      </c>
    </row>
    <row r="13" spans="1:5" x14ac:dyDescent="0.25">
      <c r="C13" s="1" t="s">
        <v>16</v>
      </c>
      <c r="D13" s="1">
        <f>_xlfn.NORM.S.DIST(-D9,1)</f>
        <v>0.4432614895454261</v>
      </c>
      <c r="E13" s="3"/>
    </row>
    <row r="14" spans="1:5" x14ac:dyDescent="0.25">
      <c r="C14" s="1" t="s">
        <v>19</v>
      </c>
      <c r="D14" s="1">
        <f>_xlfn.NORM.S.DIST(-D11,1)</f>
        <v>0.60282373557302971</v>
      </c>
      <c r="E14" s="3"/>
    </row>
    <row r="16" spans="1:5" x14ac:dyDescent="0.25">
      <c r="C16" t="s">
        <v>15</v>
      </c>
      <c r="D16">
        <v>10</v>
      </c>
    </row>
  </sheetData>
  <pageMargins left="0.7" right="0.7" top="0.75" bottom="0.75" header="0.3" footer="0.3"/>
  <ignoredErrors>
    <ignoredError sqref="D1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35"/>
  <sheetViews>
    <sheetView topLeftCell="B5" workbookViewId="0">
      <selection activeCell="N16" sqref="N16"/>
    </sheetView>
  </sheetViews>
  <sheetFormatPr defaultColWidth="8.85546875" defaultRowHeight="15" x14ac:dyDescent="0.25"/>
  <cols>
    <col min="3" max="3" width="10.42578125" customWidth="1"/>
  </cols>
  <sheetData>
    <row r="1" spans="3:15" x14ac:dyDescent="0.25">
      <c r="C1" s="1" t="s">
        <v>6</v>
      </c>
      <c r="D1" s="1">
        <v>100</v>
      </c>
    </row>
    <row r="2" spans="3:15" x14ac:dyDescent="0.25">
      <c r="C2" s="1" t="s">
        <v>0</v>
      </c>
      <c r="D2" s="1">
        <v>100</v>
      </c>
    </row>
    <row r="3" spans="3:15" x14ac:dyDescent="0.25">
      <c r="C3" s="1" t="s">
        <v>1</v>
      </c>
      <c r="D3" s="1">
        <v>0.2</v>
      </c>
    </row>
    <row r="4" spans="3:15" x14ac:dyDescent="0.25">
      <c r="C4" s="1" t="s">
        <v>2</v>
      </c>
      <c r="D4" s="1">
        <v>0.05</v>
      </c>
    </row>
    <row r="5" spans="3:15" x14ac:dyDescent="0.25">
      <c r="C5" s="1" t="s">
        <v>10</v>
      </c>
      <c r="D5" s="1">
        <v>0.25</v>
      </c>
    </row>
    <row r="6" spans="3:15" x14ac:dyDescent="0.25">
      <c r="C6" s="1" t="s">
        <v>11</v>
      </c>
      <c r="D6" s="1">
        <v>0.5</v>
      </c>
    </row>
    <row r="8" spans="3:15" x14ac:dyDescent="0.25">
      <c r="C8" s="1" t="s">
        <v>3</v>
      </c>
      <c r="D8" s="1">
        <f>EXP(D3*(D5^0.5))</f>
        <v>1.1051709180756477</v>
      </c>
    </row>
    <row r="9" spans="3:15" x14ac:dyDescent="0.25">
      <c r="C9" s="1" t="s">
        <v>4</v>
      </c>
      <c r="D9" s="1">
        <f>1/D8</f>
        <v>0.90483741803595952</v>
      </c>
    </row>
    <row r="10" spans="3:15" x14ac:dyDescent="0.25">
      <c r="C10" s="1" t="s">
        <v>5</v>
      </c>
      <c r="D10" s="1">
        <f>(EXP(D4*D5)-D9)/(D8-D9)</f>
        <v>0.53780837195641396</v>
      </c>
    </row>
    <row r="11" spans="3:15" x14ac:dyDescent="0.25">
      <c r="C11" s="1" t="s">
        <v>7</v>
      </c>
      <c r="D11" s="1">
        <f>1-D10</f>
        <v>0.46219162804358604</v>
      </c>
      <c r="J11" t="s">
        <v>8</v>
      </c>
    </row>
    <row r="12" spans="3:15" x14ac:dyDescent="0.25">
      <c r="C12" s="1" t="s">
        <v>12</v>
      </c>
      <c r="D12" s="1">
        <f>EXP(-D4*D5)</f>
        <v>0.98757780049388144</v>
      </c>
    </row>
    <row r="14" spans="3:15" x14ac:dyDescent="0.25">
      <c r="H14" s="2">
        <f>G16*$D$8</f>
        <v>122.140275816017</v>
      </c>
      <c r="L14" s="2"/>
      <c r="M14" s="2"/>
      <c r="N14" s="2"/>
      <c r="O14" s="2">
        <f>MAX(0,H14-$D$1)</f>
        <v>22.140275816016995</v>
      </c>
    </row>
    <row r="15" spans="3:15" x14ac:dyDescent="0.25">
      <c r="L15" s="2"/>
      <c r="M15" s="2"/>
      <c r="N15" s="2"/>
      <c r="O15" s="2"/>
    </row>
    <row r="16" spans="3:15" x14ac:dyDescent="0.25">
      <c r="G16" s="2">
        <f>F18*$D$8</f>
        <v>110.51709180756477</v>
      </c>
      <c r="L16" s="2"/>
      <c r="M16" s="2"/>
      <c r="N16" s="2">
        <f>(O14*$D$10+O18*$D$11)*D12</f>
        <v>11.759311758176628</v>
      </c>
      <c r="O16" s="2"/>
    </row>
    <row r="17" spans="6:15" x14ac:dyDescent="0.25">
      <c r="L17" s="2"/>
      <c r="M17" s="2"/>
      <c r="N17" s="2"/>
      <c r="O17" s="2"/>
    </row>
    <row r="18" spans="6:15" x14ac:dyDescent="0.25">
      <c r="F18" s="2">
        <v>100</v>
      </c>
      <c r="H18" s="2">
        <f>G20*$D$8</f>
        <v>100</v>
      </c>
      <c r="L18" s="2"/>
      <c r="M18" s="2">
        <f>(N16*$D$10+N20*$D$11)*D12</f>
        <v>6.2456951383574824</v>
      </c>
      <c r="N18" s="2"/>
      <c r="O18" s="2">
        <f>MAX(0,H18-$D$1)</f>
        <v>0</v>
      </c>
    </row>
    <row r="19" spans="6:15" x14ac:dyDescent="0.25">
      <c r="L19" s="2"/>
      <c r="M19" s="2"/>
      <c r="N19" s="2"/>
      <c r="O19" s="2"/>
    </row>
    <row r="20" spans="6:15" x14ac:dyDescent="0.25">
      <c r="G20" s="2">
        <f>F18*$D$9</f>
        <v>90.483741803595947</v>
      </c>
      <c r="L20" s="2"/>
      <c r="M20" s="2"/>
      <c r="N20" s="2">
        <f>(O18*$D$10+O22*$D$11)*D12</f>
        <v>0</v>
      </c>
      <c r="O20" s="2"/>
    </row>
    <row r="21" spans="6:15" x14ac:dyDescent="0.25">
      <c r="L21" s="2"/>
      <c r="M21" s="2"/>
      <c r="N21" s="2"/>
      <c r="O21" s="2"/>
    </row>
    <row r="22" spans="6:15" x14ac:dyDescent="0.25">
      <c r="H22" s="2">
        <f>G20*$D$9</f>
        <v>81.873075307798175</v>
      </c>
      <c r="L22" s="2"/>
      <c r="M22" s="2"/>
      <c r="N22" s="2"/>
      <c r="O22" s="2">
        <f>MAX(0,H22-$D$1)</f>
        <v>0</v>
      </c>
    </row>
    <row r="25" spans="6:15" x14ac:dyDescent="0.25">
      <c r="J25" t="s">
        <v>9</v>
      </c>
    </row>
    <row r="26" spans="6:15" x14ac:dyDescent="0.25">
      <c r="F26" s="2"/>
      <c r="G26" s="2"/>
      <c r="H26" s="2"/>
    </row>
    <row r="27" spans="6:15" x14ac:dyDescent="0.25">
      <c r="F27" s="2"/>
      <c r="G27" s="2"/>
      <c r="H27" s="2">
        <v>122.140275816017</v>
      </c>
      <c r="L27" s="2"/>
      <c r="M27" s="2"/>
      <c r="N27" s="2"/>
      <c r="O27" s="2">
        <f>MAX(0,$D$1-H27)</f>
        <v>0</v>
      </c>
    </row>
    <row r="28" spans="6:15" x14ac:dyDescent="0.25">
      <c r="F28" s="2"/>
      <c r="G28" s="2"/>
      <c r="H28" s="2"/>
      <c r="L28" s="2"/>
      <c r="M28" s="2"/>
      <c r="N28" s="2">
        <f>(O26*$D$10+O30*$D$11)*D12</f>
        <v>0</v>
      </c>
      <c r="O28" s="2"/>
    </row>
    <row r="29" spans="6:15" x14ac:dyDescent="0.25">
      <c r="F29" s="2"/>
      <c r="G29" s="2">
        <v>110.51709180756477</v>
      </c>
      <c r="H29" s="2"/>
      <c r="L29" s="2"/>
      <c r="M29" s="2"/>
      <c r="N29" s="2"/>
      <c r="O29" s="2"/>
    </row>
    <row r="30" spans="6:15" x14ac:dyDescent="0.25">
      <c r="F30" s="2"/>
      <c r="G30" s="2"/>
      <c r="H30" s="2"/>
      <c r="L30" s="2"/>
      <c r="M30" s="2"/>
      <c r="N30" s="2"/>
      <c r="O30" s="2"/>
    </row>
    <row r="31" spans="6:15" x14ac:dyDescent="0.25">
      <c r="F31" s="2">
        <v>100</v>
      </c>
      <c r="G31" s="2"/>
      <c r="H31" s="2">
        <v>100</v>
      </c>
      <c r="L31" s="2"/>
      <c r="M31" s="2">
        <f>(N29*$D$10+N33*$D$11)*D12</f>
        <v>3.7766863411907452</v>
      </c>
      <c r="N31" s="2"/>
      <c r="O31" s="2">
        <f>MAX(0,$D$1-H31)</f>
        <v>0</v>
      </c>
    </row>
    <row r="32" spans="6:15" x14ac:dyDescent="0.25">
      <c r="F32" s="2"/>
      <c r="G32" s="2"/>
      <c r="H32" s="2"/>
      <c r="L32" s="2"/>
      <c r="M32" s="2"/>
      <c r="N32" s="2"/>
      <c r="O32" s="2"/>
    </row>
    <row r="33" spans="6:15" x14ac:dyDescent="0.25">
      <c r="F33" s="2"/>
      <c r="G33" s="2">
        <v>90.483741803595947</v>
      </c>
      <c r="H33" s="2"/>
      <c r="L33" s="2"/>
      <c r="M33" s="2"/>
      <c r="N33" s="2">
        <f>(O31*$D$10+O35*$D$11)*D12</f>
        <v>8.2740382457921893</v>
      </c>
      <c r="O33" s="2"/>
    </row>
    <row r="34" spans="6:15" x14ac:dyDescent="0.25">
      <c r="F34" s="2"/>
      <c r="G34" s="2"/>
      <c r="H34" s="2"/>
      <c r="L34" s="2"/>
      <c r="M34" s="2"/>
      <c r="N34" s="2"/>
      <c r="O34" s="2"/>
    </row>
    <row r="35" spans="6:15" x14ac:dyDescent="0.25">
      <c r="F35" s="2"/>
      <c r="G35" s="2"/>
      <c r="H35" s="2">
        <v>81.873075307798175</v>
      </c>
      <c r="L35" s="2"/>
      <c r="M35" s="2"/>
      <c r="N35" s="2"/>
      <c r="O35" s="2">
        <f>MAX(0,$D$1-H35)</f>
        <v>18.126924692201825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Normal="100" zoomScalePageLayoutView="214" workbookViewId="0">
      <selection activeCell="D10" sqref="D10"/>
    </sheetView>
  </sheetViews>
  <sheetFormatPr defaultColWidth="8.85546875" defaultRowHeight="15" x14ac:dyDescent="0.25"/>
  <cols>
    <col min="1" max="1" width="9.85546875" bestFit="1" customWidth="1"/>
  </cols>
  <sheetData>
    <row r="1" spans="1:5" x14ac:dyDescent="0.25">
      <c r="A1" s="1" t="s">
        <v>6</v>
      </c>
      <c r="B1" s="1">
        <v>100</v>
      </c>
    </row>
    <row r="2" spans="1:5" x14ac:dyDescent="0.25">
      <c r="A2" s="1" t="s">
        <v>0</v>
      </c>
      <c r="B2" s="1">
        <v>100</v>
      </c>
    </row>
    <row r="3" spans="1:5" x14ac:dyDescent="0.25">
      <c r="A3" s="1" t="s">
        <v>1</v>
      </c>
      <c r="B3" s="1">
        <v>0.2</v>
      </c>
    </row>
    <row r="4" spans="1:5" x14ac:dyDescent="0.25">
      <c r="A4" s="1" t="s">
        <v>2</v>
      </c>
      <c r="B4" s="1">
        <v>0.05</v>
      </c>
    </row>
    <row r="5" spans="1:5" x14ac:dyDescent="0.25">
      <c r="A5" s="1" t="s">
        <v>10</v>
      </c>
      <c r="B5" s="1">
        <v>0.5</v>
      </c>
    </row>
    <row r="9" spans="1:5" x14ac:dyDescent="0.25">
      <c r="C9" s="1" t="s">
        <v>13</v>
      </c>
      <c r="D9" s="1">
        <f>(LN(B2/B1)+(B4+B3^2/2)*B5)/(B3*B5^0.5)</f>
        <v>0.24748737341529162</v>
      </c>
    </row>
    <row r="10" spans="1:5" x14ac:dyDescent="0.25">
      <c r="C10" s="1" t="s">
        <v>17</v>
      </c>
      <c r="D10" s="1">
        <f>_xlfn.NORM.S.DIST(D9,1)</f>
        <v>0.59773446890843829</v>
      </c>
    </row>
    <row r="11" spans="1:5" x14ac:dyDescent="0.25">
      <c r="C11" s="1" t="s">
        <v>14</v>
      </c>
      <c r="D11" s="1">
        <f>D9-B3*B5^0.5</f>
        <v>0.10606601717798209</v>
      </c>
    </row>
    <row r="12" spans="1:5" x14ac:dyDescent="0.25">
      <c r="C12" s="1" t="s">
        <v>18</v>
      </c>
      <c r="D12" s="1">
        <f>_xlfn.NORM.S.DIST(D11,1)</f>
        <v>0.54223501331161406</v>
      </c>
    </row>
    <row r="13" spans="1:5" x14ac:dyDescent="0.25">
      <c r="C13" s="1" t="s">
        <v>16</v>
      </c>
      <c r="D13" s="1">
        <f>_xlfn.NORM.S.DIST(-D9,1)</f>
        <v>0.40226553109156171</v>
      </c>
      <c r="E13" s="3"/>
    </row>
    <row r="14" spans="1:5" x14ac:dyDescent="0.25">
      <c r="C14" s="1" t="s">
        <v>19</v>
      </c>
      <c r="D14" s="1">
        <f>_xlfn.NORM.S.DIST(-D11,1)</f>
        <v>0.457764986688386</v>
      </c>
      <c r="E14" s="3"/>
    </row>
    <row r="16" spans="1:5" x14ac:dyDescent="0.25">
      <c r="C16" t="s">
        <v>15</v>
      </c>
      <c r="D16">
        <f>B2*D10-B1*EXP(-B5*B4)*D12</f>
        <v>6.8887285776806237</v>
      </c>
    </row>
    <row r="17" spans="3:4" x14ac:dyDescent="0.25">
      <c r="C17" t="s">
        <v>5</v>
      </c>
      <c r="D17">
        <f>D16+B1*EXP(-B4*B5)-B2</f>
        <v>4.419719780513887</v>
      </c>
    </row>
    <row r="18" spans="3:4" x14ac:dyDescent="0.25">
      <c r="C18" t="s">
        <v>5</v>
      </c>
      <c r="D18">
        <f>B1*EXP(-B4*B5)*D14-B2*D13</f>
        <v>4.419719780513887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E1" workbookViewId="0">
      <selection activeCell="Q5" sqref="Q5"/>
    </sheetView>
  </sheetViews>
  <sheetFormatPr defaultColWidth="8.85546875" defaultRowHeight="15" x14ac:dyDescent="0.25"/>
  <cols>
    <col min="1" max="1" width="11.7109375" bestFit="1" customWidth="1"/>
    <col min="6" max="6" width="10.42578125" bestFit="1" customWidth="1"/>
    <col min="7" max="7" width="10.28515625" bestFit="1" customWidth="1"/>
    <col min="9" max="9" width="9.42578125" bestFit="1" customWidth="1"/>
    <col min="15" max="15" width="12.42578125" bestFit="1" customWidth="1"/>
    <col min="17" max="17" width="18.7109375" customWidth="1"/>
    <col min="18" max="18" width="12.85546875" customWidth="1"/>
    <col min="19" max="19" width="10.28515625" customWidth="1"/>
    <col min="21" max="21" width="9.5703125" bestFit="1" customWidth="1"/>
  </cols>
  <sheetData>
    <row r="1" spans="1:23" x14ac:dyDescent="0.25">
      <c r="A1" s="1" t="s">
        <v>6</v>
      </c>
      <c r="B1" s="1">
        <v>100</v>
      </c>
      <c r="E1" t="s">
        <v>20</v>
      </c>
      <c r="F1" t="s">
        <v>21</v>
      </c>
      <c r="G1" t="s">
        <v>13</v>
      </c>
      <c r="H1" t="s">
        <v>14</v>
      </c>
      <c r="I1" t="s">
        <v>22</v>
      </c>
      <c r="J1" t="s">
        <v>23</v>
      </c>
      <c r="K1" t="s">
        <v>24</v>
      </c>
      <c r="O1" t="s">
        <v>25</v>
      </c>
      <c r="Q1" t="s">
        <v>29</v>
      </c>
      <c r="R1" t="s">
        <v>27</v>
      </c>
      <c r="S1" t="s">
        <v>28</v>
      </c>
    </row>
    <row r="2" spans="1:23" x14ac:dyDescent="0.25">
      <c r="A2" s="1" t="s">
        <v>0</v>
      </c>
      <c r="B2" s="1">
        <v>100</v>
      </c>
      <c r="E2">
        <v>0</v>
      </c>
      <c r="F2">
        <f>B2</f>
        <v>100</v>
      </c>
      <c r="G2">
        <f>(LN(F2/$B$1)+($B$4+$B$3^2/2)*K2)/($B$3*K2^0.5)</f>
        <v>0.22391714737574006</v>
      </c>
      <c r="H2">
        <f>G2-$B$3*K2^0.5</f>
        <v>1.1785113019775806E-2</v>
      </c>
      <c r="I2" s="4">
        <f>(_xlfn.NORM.S.DIST(G2,1)*F2-_xlfn.NORM.S.DIST(H2,1)*$B$1*EXP(-$B$4*K2))*$B$7</f>
        <v>9.6348766284491774</v>
      </c>
      <c r="J2" s="4">
        <f>_xlfn.NORM.S.DIST(G2,1)*$B$7</f>
        <v>0.58858911359757249</v>
      </c>
      <c r="K2">
        <f>(125-E2)/250</f>
        <v>0.5</v>
      </c>
      <c r="Q2" s="5">
        <f>I2</f>
        <v>9.6348766284491774</v>
      </c>
      <c r="R2">
        <f t="shared" ref="R2:R27" si="0">F2*J2</f>
        <v>58.858911359757251</v>
      </c>
      <c r="S2" s="5">
        <f>R2-Q2</f>
        <v>49.224034731308073</v>
      </c>
      <c r="U2" s="5">
        <f>I2</f>
        <v>9.6348766284491774</v>
      </c>
      <c r="V2">
        <f>F2*J2</f>
        <v>58.858911359757251</v>
      </c>
      <c r="W2" s="5">
        <f>V2-U2</f>
        <v>49.224034731308073</v>
      </c>
    </row>
    <row r="3" spans="1:23" x14ac:dyDescent="0.25">
      <c r="A3" s="1" t="s">
        <v>1</v>
      </c>
      <c r="B3" s="1">
        <v>0.3</v>
      </c>
      <c r="E3">
        <f>1+E2</f>
        <v>1</v>
      </c>
      <c r="F3">
        <f ca="1">F2*(1+N3)</f>
        <v>103.02277432400693</v>
      </c>
      <c r="G3">
        <f t="shared" ref="G3:G26" ca="1" si="1">(LN(F3/$B$1)+($B$4+$B$3^2/2)*K3)/($B$3*K3^0.5)</f>
        <v>0.36396834412858231</v>
      </c>
      <c r="H3">
        <f ca="1">G3-$B$3*K3^0.5</f>
        <v>0.15268654178867422</v>
      </c>
      <c r="I3" s="4">
        <f t="shared" ref="I3:I26" ca="1" si="2">(_xlfn.NORM.S.DIST(G3,1)*F3-_xlfn.NORM.S.DIST(H3,1)*$B$1*EXP(-$B$4*K3))*$B$7</f>
        <v>11.452370620775199</v>
      </c>
      <c r="J3" s="4">
        <f t="shared" ref="J3:J26" ca="1" si="3">_xlfn.NORM.S.DIST(G3,1)*$B$7</f>
        <v>0.64205917590224382</v>
      </c>
      <c r="K3">
        <f t="shared" ref="K3:K26" si="4">(125-E3)/250</f>
        <v>0.496</v>
      </c>
      <c r="L3">
        <f ca="1">RAND()</f>
        <v>0.94443582514591762</v>
      </c>
      <c r="M3">
        <f ca="1">_xlfn.NORM.S.INV(L3)</f>
        <v>1.5931419527562802</v>
      </c>
      <c r="N3">
        <f ca="1">M3*$B$3/(250^0.5)</f>
        <v>3.0227743240069275E-2</v>
      </c>
      <c r="O3">
        <f ca="1">F2*EXP(($B$3^2/(2*250))+($B$3/250^0.5)*M3)</f>
        <v>103.08747804944561</v>
      </c>
      <c r="Q3" s="5">
        <f ca="1">(F3/F2)*R2-S2*EXP($B$4/250)</f>
        <v>11.40420289692932</v>
      </c>
      <c r="R3">
        <f t="shared" ca="1" si="0"/>
        <v>66.146717581634732</v>
      </c>
      <c r="S3" s="5">
        <f ca="1">R3-Q3</f>
        <v>54.742514684705412</v>
      </c>
      <c r="U3" s="5">
        <f ca="1">(F3-F2)*J2+U2-W2*(EXP($B$4/250)-1)</f>
        <v>11.404202896929323</v>
      </c>
      <c r="V3">
        <f ca="1">F3*J3</f>
        <v>66.146717581634732</v>
      </c>
      <c r="W3" s="5">
        <f ca="1">V3-U3</f>
        <v>54.742514684705412</v>
      </c>
    </row>
    <row r="4" spans="1:23" x14ac:dyDescent="0.25">
      <c r="A4" s="1" t="s">
        <v>2</v>
      </c>
      <c r="B4" s="1">
        <v>0.05</v>
      </c>
      <c r="E4">
        <f t="shared" ref="E4:E27" si="5">1+E3</f>
        <v>2</v>
      </c>
      <c r="F4">
        <f t="shared" ref="F4:F27" ca="1" si="6">F3*(1+N4)</f>
        <v>104.25380181715248</v>
      </c>
      <c r="G4">
        <f t="shared" ca="1" si="1"/>
        <v>0.42008708719247517</v>
      </c>
      <c r="H4">
        <f t="shared" ref="H4:H25" ca="1" si="7">G4-$B$3*K4^0.5</f>
        <v>0.20965895219147301</v>
      </c>
      <c r="I4" s="4">
        <f t="shared" ca="1" si="2"/>
        <v>12.211738577433501</v>
      </c>
      <c r="J4" s="4">
        <f t="shared" ca="1" si="3"/>
        <v>0.66278908227064637</v>
      </c>
      <c r="K4">
        <f t="shared" si="4"/>
        <v>0.49199999999999999</v>
      </c>
      <c r="L4">
        <f t="shared" ref="L4:L27" ca="1" si="8">RAND()</f>
        <v>0.73557807506836503</v>
      </c>
      <c r="M4">
        <f t="shared" ref="M4:M27" ca="1" si="9">_xlfn.NORM.S.INV(L4)</f>
        <v>0.62977187425636894</v>
      </c>
      <c r="N4">
        <f t="shared" ref="N4:N27" ca="1" si="10">M4*$B$3/(250^0.5)</f>
        <v>1.1949081173779711E-2</v>
      </c>
      <c r="O4">
        <f t="shared" ref="O4:O27" ca="1" si="11">F3*EXP(($B$3^2/(2*250))+($B$3/250^0.5)*M4)</f>
        <v>104.27995472567248</v>
      </c>
      <c r="Q4" s="5">
        <f t="shared" ref="Q4:Q27" ca="1" si="12">(F4/F3)*R3-S3*EXP($B$4/250)</f>
        <v>12.183645796831115</v>
      </c>
      <c r="R4">
        <f t="shared" ca="1" si="0"/>
        <v>69.098281629616338</v>
      </c>
      <c r="S4" s="5">
        <f t="shared" ref="S4:S27" ca="1" si="13">R4-Q4</f>
        <v>56.914635832785223</v>
      </c>
      <c r="U4" s="5">
        <f t="shared" ref="U4:U27" ca="1" si="14">(F4-F3)*J3+U3-W3*(EXP($B$4/250)-1)</f>
        <v>12.183645796831128</v>
      </c>
      <c r="V4">
        <f t="shared" ref="V4:V27" ca="1" si="15">F4*J4</f>
        <v>69.098281629616338</v>
      </c>
      <c r="W4" s="5">
        <f t="shared" ref="W4:W27" ca="1" si="16">V4-U4</f>
        <v>56.914635832785208</v>
      </c>
    </row>
    <row r="5" spans="1:23" x14ac:dyDescent="0.25">
      <c r="A5" s="1" t="s">
        <v>10</v>
      </c>
      <c r="B5" s="1">
        <v>0.5</v>
      </c>
      <c r="E5">
        <f t="shared" si="5"/>
        <v>3</v>
      </c>
      <c r="F5">
        <f t="shared" ca="1" si="6"/>
        <v>104.35562862394052</v>
      </c>
      <c r="G5">
        <f t="shared" ca="1" si="1"/>
        <v>0.4246503095858018</v>
      </c>
      <c r="H5">
        <f t="shared" ca="1" si="7"/>
        <v>0.21507931922692602</v>
      </c>
      <c r="I5" s="4">
        <f t="shared" ca="1" si="2"/>
        <v>12.235290429440226</v>
      </c>
      <c r="J5" s="4">
        <f t="shared" ca="1" si="3"/>
        <v>0.66445419384768001</v>
      </c>
      <c r="K5">
        <f t="shared" si="4"/>
        <v>0.48799999999999999</v>
      </c>
      <c r="L5">
        <f t="shared" ca="1" si="8"/>
        <v>0.5205275568204023</v>
      </c>
      <c r="M5">
        <f t="shared" ca="1" si="9"/>
        <v>5.1477680861435754E-2</v>
      </c>
      <c r="N5">
        <f t="shared" ca="1" si="10"/>
        <v>9.7672032111237382E-4</v>
      </c>
      <c r="O5">
        <f t="shared" ca="1" si="11"/>
        <v>104.37446408106007</v>
      </c>
      <c r="Q5" s="5">
        <f t="shared" ca="1" si="12"/>
        <v>12.23975142711754</v>
      </c>
      <c r="R5">
        <f t="shared" ca="1" si="0"/>
        <v>69.339535090788274</v>
      </c>
      <c r="S5" s="5">
        <f t="shared" ca="1" si="13"/>
        <v>57.099783663670735</v>
      </c>
      <c r="U5" s="5">
        <f t="shared" ca="1" si="14"/>
        <v>12.239751427117557</v>
      </c>
      <c r="V5">
        <f t="shared" ca="1" si="15"/>
        <v>69.339535090788274</v>
      </c>
      <c r="W5" s="5">
        <f t="shared" ca="1" si="16"/>
        <v>57.099783663670721</v>
      </c>
    </row>
    <row r="6" spans="1:23" x14ac:dyDescent="0.25">
      <c r="E6">
        <f t="shared" si="5"/>
        <v>4</v>
      </c>
      <c r="F6">
        <f t="shared" ca="1" si="6"/>
        <v>105.59142336714682</v>
      </c>
      <c r="G6">
        <f t="shared" ca="1" si="1"/>
        <v>0.48098705033812855</v>
      </c>
      <c r="H6">
        <f t="shared" ca="1" si="7"/>
        <v>0.27227672476701553</v>
      </c>
      <c r="I6" s="4">
        <f t="shared" ca="1" si="2"/>
        <v>13.024847309412628</v>
      </c>
      <c r="J6" s="4">
        <f t="shared" ca="1" si="3"/>
        <v>0.68473714881023628</v>
      </c>
      <c r="K6">
        <f t="shared" si="4"/>
        <v>0.48399999999999999</v>
      </c>
      <c r="L6">
        <f t="shared" ca="1" si="8"/>
        <v>0.73373085450058817</v>
      </c>
      <c r="M6">
        <f t="shared" ca="1" si="9"/>
        <v>0.62413597307043711</v>
      </c>
      <c r="N6">
        <f t="shared" ca="1" si="10"/>
        <v>1.1842147467288578E-2</v>
      </c>
      <c r="O6">
        <f t="shared" ca="1" si="11"/>
        <v>105.61777905789351</v>
      </c>
      <c r="Q6" s="5">
        <f t="shared" ca="1" si="12"/>
        <v>13.049459328171338</v>
      </c>
      <c r="R6">
        <f t="shared" ca="1" si="0"/>
        <v>72.302370175234671</v>
      </c>
      <c r="S6" s="5">
        <f t="shared" ca="1" si="13"/>
        <v>59.252910847063333</v>
      </c>
      <c r="U6" s="5">
        <f t="shared" ca="1" si="14"/>
        <v>13.049459328171352</v>
      </c>
      <c r="V6">
        <f t="shared" ca="1" si="15"/>
        <v>72.302370175234671</v>
      </c>
      <c r="W6" s="5">
        <f t="shared" ca="1" si="16"/>
        <v>59.252910847063319</v>
      </c>
    </row>
    <row r="7" spans="1:23" x14ac:dyDescent="0.25">
      <c r="A7" t="s">
        <v>26</v>
      </c>
      <c r="B7">
        <v>1</v>
      </c>
      <c r="E7">
        <f t="shared" si="5"/>
        <v>5</v>
      </c>
      <c r="F7">
        <f t="shared" ca="1" si="6"/>
        <v>101.97438854264453</v>
      </c>
      <c r="G7">
        <f t="shared" ca="1" si="1"/>
        <v>0.31346031519037354</v>
      </c>
      <c r="H7">
        <f t="shared" ca="1" si="7"/>
        <v>0.10561421828210826</v>
      </c>
      <c r="I7" s="4">
        <f t="shared" ca="1" si="2"/>
        <v>10.613432862314845</v>
      </c>
      <c r="J7" s="4">
        <f t="shared" ca="1" si="3"/>
        <v>0.62303451680604949</v>
      </c>
      <c r="K7">
        <f t="shared" si="4"/>
        <v>0.48</v>
      </c>
      <c r="L7">
        <f t="shared" ca="1" si="8"/>
        <v>3.5506264434018608E-2</v>
      </c>
      <c r="M7">
        <f t="shared" ca="1" si="9"/>
        <v>-1.8053973288158531</v>
      </c>
      <c r="N7">
        <f t="shared" ca="1" si="10"/>
        <v>-3.4255005843852229E-2</v>
      </c>
      <c r="O7">
        <f t="shared" ca="1" si="11"/>
        <v>102.05400602687973</v>
      </c>
      <c r="Q7" s="5">
        <f t="shared" ca="1" si="12"/>
        <v>10.560889447987677</v>
      </c>
      <c r="R7">
        <f t="shared" ca="1" si="0"/>
        <v>63.533563892258883</v>
      </c>
      <c r="S7" s="5">
        <f t="shared" ca="1" si="13"/>
        <v>52.972674444271206</v>
      </c>
      <c r="U7" s="5">
        <f t="shared" ca="1" si="14"/>
        <v>10.560889447987684</v>
      </c>
      <c r="V7">
        <f t="shared" ca="1" si="15"/>
        <v>63.533563892258883</v>
      </c>
      <c r="W7" s="5">
        <f t="shared" ca="1" si="16"/>
        <v>52.972674444271199</v>
      </c>
    </row>
    <row r="8" spans="1:23" x14ac:dyDescent="0.25">
      <c r="E8">
        <f t="shared" si="5"/>
        <v>6</v>
      </c>
      <c r="F8">
        <f t="shared" ca="1" si="6"/>
        <v>101.60277838628711</v>
      </c>
      <c r="G8">
        <f t="shared" ca="1" si="1"/>
        <v>0.29530007250256063</v>
      </c>
      <c r="H8">
        <f t="shared" ca="1" si="7"/>
        <v>8.8321812774636549E-2</v>
      </c>
      <c r="I8" s="4">
        <f t="shared" ca="1" si="2"/>
        <v>10.339025183713758</v>
      </c>
      <c r="J8" s="4">
        <f t="shared" ca="1" si="3"/>
        <v>0.6161176694303353</v>
      </c>
      <c r="K8">
        <f t="shared" si="4"/>
        <v>0.47599999999999998</v>
      </c>
      <c r="L8">
        <f t="shared" ca="1" si="8"/>
        <v>0.42384616756778204</v>
      </c>
      <c r="M8">
        <f t="shared" ca="1" si="9"/>
        <v>-0.19206366626873142</v>
      </c>
      <c r="N8">
        <f t="shared" ca="1" si="10"/>
        <v>-3.6441518470298668E-3</v>
      </c>
      <c r="O8">
        <f t="shared" ca="1" si="11"/>
        <v>101.62174493438201</v>
      </c>
      <c r="Q8" s="5">
        <f t="shared" ca="1" si="12"/>
        <v>10.318767899368332</v>
      </c>
      <c r="R8">
        <f t="shared" ca="1" si="0"/>
        <v>62.599267027006057</v>
      </c>
      <c r="S8" s="5">
        <f t="shared" ca="1" si="13"/>
        <v>52.280499127637725</v>
      </c>
      <c r="U8" s="5">
        <f t="shared" ca="1" si="14"/>
        <v>10.318767899368339</v>
      </c>
      <c r="V8">
        <f t="shared" ca="1" si="15"/>
        <v>62.599267027006057</v>
      </c>
      <c r="W8" s="5">
        <f t="shared" ca="1" si="16"/>
        <v>52.280499127637718</v>
      </c>
    </row>
    <row r="9" spans="1:23" x14ac:dyDescent="0.25">
      <c r="E9">
        <f t="shared" si="5"/>
        <v>7</v>
      </c>
      <c r="F9">
        <f t="shared" ca="1" si="6"/>
        <v>98.187171573441077</v>
      </c>
      <c r="G9">
        <f t="shared" ca="1" si="1"/>
        <v>0.12879433960522108</v>
      </c>
      <c r="H9">
        <f t="shared" ca="1" si="7"/>
        <v>-7.731242884259093E-2</v>
      </c>
      <c r="I9" s="4">
        <f t="shared" ca="1" si="2"/>
        <v>8.3002461451970291</v>
      </c>
      <c r="J9" s="4">
        <f t="shared" ca="1" si="3"/>
        <v>0.55123980771658465</v>
      </c>
      <c r="K9">
        <f t="shared" si="4"/>
        <v>0.47199999999999998</v>
      </c>
      <c r="L9">
        <f t="shared" ca="1" si="8"/>
        <v>3.8215121307556332E-2</v>
      </c>
      <c r="M9">
        <f t="shared" ca="1" si="9"/>
        <v>-1.7717850652857916</v>
      </c>
      <c r="N9">
        <f t="shared" ca="1" si="10"/>
        <v>-3.361725798343939E-2</v>
      </c>
      <c r="O9">
        <f t="shared" ca="1" si="11"/>
        <v>98.261630772677606</v>
      </c>
      <c r="Q9" s="5">
        <f t="shared" ca="1" si="12"/>
        <v>8.2038950446420387</v>
      </c>
      <c r="R9">
        <f t="shared" ca="1" si="0"/>
        <v>54.124677578378964</v>
      </c>
      <c r="S9" s="5">
        <f t="shared" ca="1" si="13"/>
        <v>45.920782533736926</v>
      </c>
      <c r="U9" s="5">
        <f t="shared" ca="1" si="14"/>
        <v>8.2038950446420387</v>
      </c>
      <c r="V9">
        <f t="shared" ca="1" si="15"/>
        <v>54.124677578378964</v>
      </c>
      <c r="W9" s="5">
        <f t="shared" ca="1" si="16"/>
        <v>45.920782533736926</v>
      </c>
    </row>
    <row r="10" spans="1:23" x14ac:dyDescent="0.25">
      <c r="C10" s="5"/>
      <c r="E10">
        <f t="shared" si="5"/>
        <v>8</v>
      </c>
      <c r="F10">
        <f t="shared" ca="1" si="6"/>
        <v>97.583814431377064</v>
      </c>
      <c r="G10">
        <f t="shared" ca="1" si="1"/>
        <v>9.7457994885409224E-2</v>
      </c>
      <c r="H10">
        <f t="shared" ca="1" si="7"/>
        <v>-0.10777358163243562</v>
      </c>
      <c r="I10" s="4">
        <f t="shared" ca="1" si="2"/>
        <v>7.9283826285101213</v>
      </c>
      <c r="J10" s="4">
        <f t="shared" ca="1" si="3"/>
        <v>0.53881865469594814</v>
      </c>
      <c r="K10">
        <f t="shared" si="4"/>
        <v>0.46800000000000003</v>
      </c>
      <c r="L10">
        <f t="shared" ca="1" si="8"/>
        <v>0.37301886767749282</v>
      </c>
      <c r="M10">
        <f t="shared" ca="1" si="9"/>
        <v>-0.32386831206779498</v>
      </c>
      <c r="N10">
        <f t="shared" ca="1" si="10"/>
        <v>-6.144969168530575E-3</v>
      </c>
      <c r="O10">
        <f t="shared" ca="1" si="11"/>
        <v>97.603231446111337</v>
      </c>
      <c r="Q10" s="5">
        <f t="shared" ca="1" si="12"/>
        <v>7.8621154946826053</v>
      </c>
      <c r="R10">
        <f t="shared" ca="1" si="0"/>
        <v>52.579979612013638</v>
      </c>
      <c r="S10" s="5">
        <f t="shared" ca="1" si="13"/>
        <v>44.717864117331033</v>
      </c>
      <c r="U10" s="5">
        <f t="shared" ca="1" si="14"/>
        <v>7.8621154946826133</v>
      </c>
      <c r="V10">
        <f t="shared" ca="1" si="15"/>
        <v>52.579979612013638</v>
      </c>
      <c r="W10" s="5">
        <f t="shared" ca="1" si="16"/>
        <v>44.717864117331025</v>
      </c>
    </row>
    <row r="11" spans="1:23" x14ac:dyDescent="0.25">
      <c r="E11">
        <f t="shared" si="5"/>
        <v>9</v>
      </c>
      <c r="F11">
        <f t="shared" ca="1" si="6"/>
        <v>95.418478974498001</v>
      </c>
      <c r="G11">
        <f t="shared" ca="1" si="1"/>
        <v>-1.3789527743316347E-2</v>
      </c>
      <c r="H11">
        <f t="shared" ca="1" si="7"/>
        <v>-0.21814216413443316</v>
      </c>
      <c r="I11" s="4">
        <f t="shared" ca="1" si="2"/>
        <v>6.7670627113468385</v>
      </c>
      <c r="J11" s="4">
        <f t="shared" ca="1" si="3"/>
        <v>0.49449894869544525</v>
      </c>
      <c r="K11">
        <f t="shared" si="4"/>
        <v>0.46400000000000002</v>
      </c>
      <c r="L11">
        <f t="shared" ca="1" si="8"/>
        <v>0.12110333222853065</v>
      </c>
      <c r="M11">
        <f t="shared" ca="1" si="9"/>
        <v>-1.1694890151539721</v>
      </c>
      <c r="N11">
        <f t="shared" ca="1" si="10"/>
        <v>-2.2189493918602352E-2</v>
      </c>
      <c r="O11">
        <f t="shared" ca="1" si="11"/>
        <v>95.459507277449944</v>
      </c>
      <c r="Q11" s="5">
        <f t="shared" ca="1" si="12"/>
        <v>6.6864478896012187</v>
      </c>
      <c r="R11">
        <f t="shared" ca="1" si="0"/>
        <v>47.184337539007707</v>
      </c>
      <c r="S11" s="5">
        <f t="shared" ca="1" si="13"/>
        <v>40.497889649406488</v>
      </c>
      <c r="U11" s="5">
        <f t="shared" ca="1" si="14"/>
        <v>6.6864478896012223</v>
      </c>
      <c r="V11">
        <f t="shared" ca="1" si="15"/>
        <v>47.184337539007707</v>
      </c>
      <c r="W11" s="5">
        <f t="shared" ca="1" si="16"/>
        <v>40.497889649406488</v>
      </c>
    </row>
    <row r="12" spans="1:23" x14ac:dyDescent="0.25">
      <c r="E12">
        <f t="shared" si="5"/>
        <v>10</v>
      </c>
      <c r="F12">
        <f t="shared" ca="1" si="6"/>
        <v>97.941005888126497</v>
      </c>
      <c r="G12">
        <f t="shared" ca="1" si="1"/>
        <v>0.11252342849183879</v>
      </c>
      <c r="H12">
        <f t="shared" ca="1" si="7"/>
        <v>-9.0946471001919257E-2</v>
      </c>
      <c r="I12" s="4">
        <f t="shared" ca="1" si="2"/>
        <v>8.0355849421494625</v>
      </c>
      <c r="J12" s="4">
        <f t="shared" ca="1" si="3"/>
        <v>0.5447958027721701</v>
      </c>
      <c r="K12">
        <f t="shared" si="4"/>
        <v>0.46</v>
      </c>
      <c r="L12">
        <f t="shared" ca="1" si="8"/>
        <v>0.918239058050899</v>
      </c>
      <c r="M12">
        <f t="shared" ca="1" si="9"/>
        <v>1.3933238424870251</v>
      </c>
      <c r="N12">
        <f t="shared" ca="1" si="10"/>
        <v>2.6436461162860112E-2</v>
      </c>
      <c r="O12">
        <f t="shared" ca="1" si="11"/>
        <v>97.992282032810863</v>
      </c>
      <c r="Q12" s="5">
        <f t="shared" ca="1" si="12"/>
        <v>7.9257344085048018</v>
      </c>
      <c r="R12">
        <f t="shared" ca="1" si="0"/>
        <v>53.357848927135713</v>
      </c>
      <c r="S12" s="5">
        <f t="shared" ca="1" si="13"/>
        <v>45.432114518630911</v>
      </c>
      <c r="U12" s="5">
        <f t="shared" ca="1" si="14"/>
        <v>7.9257344085048027</v>
      </c>
      <c r="V12">
        <f t="shared" ca="1" si="15"/>
        <v>53.357848927135713</v>
      </c>
      <c r="W12" s="5">
        <f t="shared" ca="1" si="16"/>
        <v>45.432114518630911</v>
      </c>
    </row>
    <row r="13" spans="1:23" x14ac:dyDescent="0.25">
      <c r="E13">
        <f t="shared" si="5"/>
        <v>11</v>
      </c>
      <c r="F13">
        <f t="shared" ca="1" si="6"/>
        <v>98.812193471187058</v>
      </c>
      <c r="G13">
        <f t="shared" ca="1" si="1"/>
        <v>0.15485395066261254</v>
      </c>
      <c r="H13">
        <f t="shared" ca="1" si="7"/>
        <v>-4.7729365530997048E-2</v>
      </c>
      <c r="I13" s="4">
        <f t="shared" ca="1" si="2"/>
        <v>8.4737850935467165</v>
      </c>
      <c r="J13" s="4">
        <f t="shared" ca="1" si="3"/>
        <v>0.56153177116444264</v>
      </c>
      <c r="K13">
        <f t="shared" si="4"/>
        <v>0.45600000000000002</v>
      </c>
      <c r="L13">
        <f t="shared" ca="1" si="8"/>
        <v>0.68039688826584521</v>
      </c>
      <c r="M13">
        <f t="shared" ca="1" si="9"/>
        <v>0.46880892001377428</v>
      </c>
      <c r="N13">
        <f t="shared" ca="1" si="10"/>
        <v>8.8950238478833384E-3</v>
      </c>
      <c r="O13">
        <f t="shared" ca="1" si="11"/>
        <v>98.833868097458961</v>
      </c>
      <c r="Q13" s="5">
        <f t="shared" ca="1" si="12"/>
        <v>8.3912664155768297</v>
      </c>
      <c r="R13">
        <f t="shared" ca="1" si="0"/>
        <v>55.486186012519241</v>
      </c>
      <c r="S13" s="5">
        <f t="shared" ca="1" si="13"/>
        <v>47.094919596942411</v>
      </c>
      <c r="U13" s="5">
        <f t="shared" ca="1" si="14"/>
        <v>8.391266415576828</v>
      </c>
      <c r="V13">
        <f t="shared" ca="1" si="15"/>
        <v>55.486186012519241</v>
      </c>
      <c r="W13" s="5">
        <f t="shared" ca="1" si="16"/>
        <v>47.094919596942411</v>
      </c>
    </row>
    <row r="14" spans="1:23" x14ac:dyDescent="0.25">
      <c r="E14">
        <f t="shared" si="5"/>
        <v>12</v>
      </c>
      <c r="F14">
        <f t="shared" ca="1" si="6"/>
        <v>100.78670394660971</v>
      </c>
      <c r="G14">
        <f t="shared" ca="1" si="1"/>
        <v>0.25175041772842333</v>
      </c>
      <c r="H14">
        <f t="shared" ca="1" si="7"/>
        <v>5.0057581960764014E-2</v>
      </c>
      <c r="I14" s="4">
        <f t="shared" ca="1" si="2"/>
        <v>9.5755971189853142</v>
      </c>
      <c r="J14" s="4">
        <f t="shared" ca="1" si="3"/>
        <v>0.59938300799361111</v>
      </c>
      <c r="K14">
        <f t="shared" si="4"/>
        <v>0.45200000000000001</v>
      </c>
      <c r="L14">
        <f ca="1">RAND()</f>
        <v>0.85386799741054475</v>
      </c>
      <c r="M14">
        <f t="shared" ca="1" si="9"/>
        <v>1.0531679925410118</v>
      </c>
      <c r="N14">
        <f t="shared" ca="1" si="10"/>
        <v>1.9982457691300921E-2</v>
      </c>
      <c r="O14">
        <f t="shared" ca="1" si="11"/>
        <v>100.8247106095637</v>
      </c>
      <c r="Q14" s="5">
        <f t="shared" ca="1" si="12"/>
        <v>9.4905968541430781</v>
      </c>
      <c r="R14">
        <f t="shared" ca="1" si="0"/>
        <v>60.40983777728048</v>
      </c>
      <c r="S14" s="5">
        <f t="shared" ca="1" si="13"/>
        <v>50.919240923137401</v>
      </c>
      <c r="U14" s="5">
        <f t="shared" ca="1" si="14"/>
        <v>9.4905968541430745</v>
      </c>
      <c r="V14">
        <f t="shared" ca="1" si="15"/>
        <v>60.40983777728048</v>
      </c>
      <c r="W14" s="5">
        <f t="shared" ca="1" si="16"/>
        <v>50.919240923137409</v>
      </c>
    </row>
    <row r="15" spans="1:23" x14ac:dyDescent="0.25">
      <c r="E15">
        <f t="shared" si="5"/>
        <v>13</v>
      </c>
      <c r="F15">
        <f t="shared" ca="1" si="6"/>
        <v>99.34550154551097</v>
      </c>
      <c r="G15">
        <f t="shared" ca="1" si="1"/>
        <v>0.17925193619891408</v>
      </c>
      <c r="H15">
        <f t="shared" ca="1" si="7"/>
        <v>-2.1546470169264031E-2</v>
      </c>
      <c r="I15" s="4">
        <f ca="1">(_xlfn.NORM.S.DIST(G15,1)*F15-_xlfn.NORM.S.DIST(H15,1)*$B$1*EXP(-$B$4*K15))*$B$7</f>
        <v>8.6872253810867477</v>
      </c>
      <c r="J15" s="4">
        <f t="shared" ca="1" si="3"/>
        <v>0.57113005756465762</v>
      </c>
      <c r="K15">
        <f t="shared" si="4"/>
        <v>0.44800000000000001</v>
      </c>
      <c r="L15">
        <f ca="1">RAND()</f>
        <v>0.22552929950041911</v>
      </c>
      <c r="M15">
        <f ca="1">_xlfn.NORM.S.INV(L15)</f>
        <v>-0.75365135451296483</v>
      </c>
      <c r="N15">
        <f ca="1">M15*$B$3/(250^0.5)</f>
        <v>-1.4299529051591929E-2</v>
      </c>
      <c r="O15">
        <f t="shared" ca="1" si="11"/>
        <v>99.373642508944044</v>
      </c>
      <c r="Q15" s="5">
        <f t="shared" ca="1" si="12"/>
        <v>8.6165797572075533</v>
      </c>
      <c r="R15">
        <f t="shared" ca="1" si="0"/>
        <v>56.739202016477464</v>
      </c>
      <c r="S15" s="5">
        <f t="shared" ca="1" si="13"/>
        <v>48.12262225926991</v>
      </c>
      <c r="U15" s="5">
        <f t="shared" ca="1" si="14"/>
        <v>8.6165797572075551</v>
      </c>
      <c r="V15">
        <f t="shared" ca="1" si="15"/>
        <v>56.739202016477464</v>
      </c>
      <c r="W15" s="5">
        <f t="shared" ca="1" si="16"/>
        <v>48.12262225926991</v>
      </c>
    </row>
    <row r="16" spans="1:23" x14ac:dyDescent="0.25">
      <c r="E16">
        <f t="shared" si="5"/>
        <v>14</v>
      </c>
      <c r="F16">
        <f t="shared" ca="1" si="6"/>
        <v>97.988324387597089</v>
      </c>
      <c r="G16">
        <f t="shared" ca="1" si="1"/>
        <v>0.109345419798952</v>
      </c>
      <c r="H16">
        <f t="shared" ca="1" si="7"/>
        <v>-9.0554555188540151E-2</v>
      </c>
      <c r="I16" s="4">
        <f t="shared" ca="1" si="2"/>
        <v>7.8863909070357039</v>
      </c>
      <c r="J16" s="4">
        <f ca="1">_xlfn.NORM.S.DIST(G16,1)*$B$7</f>
        <v>0.54353573862343141</v>
      </c>
      <c r="K16">
        <f t="shared" si="4"/>
        <v>0.44400000000000001</v>
      </c>
      <c r="L16">
        <f t="shared" ca="1" si="8"/>
        <v>0.23576015609943535</v>
      </c>
      <c r="M16">
        <f t="shared" ca="1" si="9"/>
        <v>-0.72000760655072393</v>
      </c>
      <c r="N16">
        <f ca="1">M16*$B$3/(250^0.5)</f>
        <v>-1.366118381607995E-2</v>
      </c>
      <c r="O16">
        <f t="shared" ca="1" si="11"/>
        <v>98.015193787292375</v>
      </c>
      <c r="Q16" s="5">
        <f t="shared" ca="1" si="12"/>
        <v>7.8318296019142934</v>
      </c>
      <c r="R16">
        <f t="shared" ca="1" si="0"/>
        <v>53.260156272484984</v>
      </c>
      <c r="S16" s="5">
        <f t="shared" ca="1" si="13"/>
        <v>45.428326670570691</v>
      </c>
      <c r="U16" s="5">
        <f t="shared" ca="1" si="14"/>
        <v>7.8318296019142926</v>
      </c>
      <c r="V16">
        <f t="shared" ca="1" si="15"/>
        <v>53.260156272484984</v>
      </c>
      <c r="W16" s="5">
        <f t="shared" ca="1" si="16"/>
        <v>45.428326670570691</v>
      </c>
    </row>
    <row r="17" spans="5:23" x14ac:dyDescent="0.25">
      <c r="E17">
        <f t="shared" si="5"/>
        <v>15</v>
      </c>
      <c r="F17">
        <f t="shared" ca="1" si="6"/>
        <v>99.681455476156771</v>
      </c>
      <c r="G17">
        <f t="shared" ca="1" si="1"/>
        <v>0.1940198890503057</v>
      </c>
      <c r="H17">
        <f t="shared" ca="1" si="7"/>
        <v>-4.9775983710182714E-3</v>
      </c>
      <c r="I17" s="4">
        <f t="shared" ca="1" si="2"/>
        <v>8.7904538036830928</v>
      </c>
      <c r="J17" s="4">
        <f t="shared" ca="1" si="3"/>
        <v>0.57691984569960975</v>
      </c>
      <c r="K17">
        <f t="shared" si="4"/>
        <v>0.44</v>
      </c>
      <c r="L17">
        <f t="shared" ca="1" si="8"/>
        <v>0.81876755742415497</v>
      </c>
      <c r="M17">
        <f t="shared" ca="1" si="9"/>
        <v>0.91067833005462073</v>
      </c>
      <c r="N17">
        <f t="shared" ca="1" si="10"/>
        <v>1.7278906432387036E-2</v>
      </c>
      <c r="O17">
        <f ca="1">F16*EXP(($B$3^2/(2*250))+($B$3/250^0.5)*M17)</f>
        <v>99.714114743941721</v>
      </c>
      <c r="Q17" s="5">
        <f t="shared" ca="1" si="12"/>
        <v>8.7430202847596448</v>
      </c>
      <c r="R17">
        <f t="shared" ca="1" si="0"/>
        <v>57.508209912416881</v>
      </c>
      <c r="S17" s="5">
        <f t="shared" ca="1" si="13"/>
        <v>48.765189627657236</v>
      </c>
      <c r="U17" s="5">
        <f t="shared" ca="1" si="14"/>
        <v>8.7430202847596501</v>
      </c>
      <c r="V17">
        <f t="shared" ca="1" si="15"/>
        <v>57.508209912416881</v>
      </c>
      <c r="W17" s="5">
        <f t="shared" ca="1" si="16"/>
        <v>48.765189627657229</v>
      </c>
    </row>
    <row r="18" spans="5:23" x14ac:dyDescent="0.25">
      <c r="E18">
        <f t="shared" si="5"/>
        <v>16</v>
      </c>
      <c r="F18">
        <f t="shared" ca="1" si="6"/>
        <v>101.95578080669695</v>
      </c>
      <c r="G18">
        <f ca="1">(LN(F18/$B$1)+($B$4+$B$3^2/2)*K18)/($B$3*K18^0.5)</f>
        <v>0.30687434610732756</v>
      </c>
      <c r="H18">
        <f t="shared" ca="1" si="7"/>
        <v>0.10878345787669741</v>
      </c>
      <c r="I18" s="4">
        <f ca="1">(_xlfn.NORM.S.DIST(G18,1)*F18-_xlfn.NORM.S.DIST(H18,1)*$B$1*EXP(-$B$4*K18))*$B$7</f>
        <v>10.106988216802165</v>
      </c>
      <c r="J18" s="4">
        <f t="shared" ca="1" si="3"/>
        <v>0.62053049180790898</v>
      </c>
      <c r="K18">
        <f t="shared" si="4"/>
        <v>0.436</v>
      </c>
      <c r="L18">
        <f t="shared" ca="1" si="8"/>
        <v>0.88541607599215055</v>
      </c>
      <c r="M18">
        <f t="shared" ca="1" si="9"/>
        <v>1.2025052119553274</v>
      </c>
      <c r="N18">
        <f t="shared" ca="1" si="10"/>
        <v>2.2815932208014242E-2</v>
      </c>
      <c r="O18">
        <f t="shared" ca="1" si="11"/>
        <v>102.00028308533898</v>
      </c>
      <c r="Q18" s="5">
        <f t="shared" ca="1" si="12"/>
        <v>10.045369690231247</v>
      </c>
      <c r="R18">
        <f t="shared" ca="1" si="0"/>
        <v>63.266670806639027</v>
      </c>
      <c r="S18" s="5">
        <f t="shared" ca="1" si="13"/>
        <v>53.22130111640778</v>
      </c>
      <c r="U18" s="5">
        <f t="shared" ca="1" si="14"/>
        <v>10.045369690231254</v>
      </c>
      <c r="V18">
        <f t="shared" ca="1" si="15"/>
        <v>63.266670806639027</v>
      </c>
      <c r="W18" s="5">
        <f t="shared" ca="1" si="16"/>
        <v>53.221301116407773</v>
      </c>
    </row>
    <row r="19" spans="5:23" x14ac:dyDescent="0.25">
      <c r="E19">
        <f t="shared" si="5"/>
        <v>17</v>
      </c>
      <c r="F19">
        <f t="shared" ca="1" si="6"/>
        <v>97.791246132690404</v>
      </c>
      <c r="G19">
        <f t="shared" ca="1" si="1"/>
        <v>9.4861891423602157E-2</v>
      </c>
      <c r="H19">
        <f t="shared" ca="1" si="7"/>
        <v>-0.10231822927825765</v>
      </c>
      <c r="I19" s="4">
        <f t="shared" ca="1" si="2"/>
        <v>7.6470763308938743</v>
      </c>
      <c r="J19" s="4">
        <f t="shared" ca="1" si="3"/>
        <v>0.53778773689578041</v>
      </c>
      <c r="K19">
        <f t="shared" si="4"/>
        <v>0.432</v>
      </c>
      <c r="L19">
        <f ca="1">RAND()</f>
        <v>1.566726004102903E-2</v>
      </c>
      <c r="M19">
        <f ca="1">_xlfn.NORM.S.INV(L19)</f>
        <v>-2.1527984747256967</v>
      </c>
      <c r="N19">
        <f t="shared" ca="1" si="10"/>
        <v>-4.0846479140817793E-2</v>
      </c>
      <c r="O19">
        <f t="shared" ca="1" si="11"/>
        <v>97.892772222336788</v>
      </c>
      <c r="Q19" s="5">
        <f t="shared" ca="1" si="12"/>
        <v>7.450503616098608</v>
      </c>
      <c r="R19">
        <f t="shared" ca="1" si="0"/>
        <v>52.590932945917814</v>
      </c>
      <c r="S19" s="5">
        <f t="shared" ca="1" si="13"/>
        <v>45.140429329819206</v>
      </c>
      <c r="U19" s="5">
        <f t="shared" ca="1" si="14"/>
        <v>7.4505036160986098</v>
      </c>
      <c r="V19">
        <f t="shared" ca="1" si="15"/>
        <v>52.590932945917814</v>
      </c>
      <c r="W19" s="5">
        <f t="shared" ca="1" si="16"/>
        <v>45.140429329819206</v>
      </c>
    </row>
    <row r="20" spans="5:23" x14ac:dyDescent="0.25">
      <c r="E20">
        <f t="shared" si="5"/>
        <v>18</v>
      </c>
      <c r="F20">
        <f t="shared" ca="1" si="6"/>
        <v>97.13250268851813</v>
      </c>
      <c r="G20">
        <f t="shared" ca="1" si="1"/>
        <v>5.89298142912308E-2</v>
      </c>
      <c r="H20">
        <f t="shared" ca="1" si="7"/>
        <v>-0.13733531251432274</v>
      </c>
      <c r="I20" s="4">
        <f t="shared" ca="1" si="2"/>
        <v>7.2531814666819372</v>
      </c>
      <c r="J20" s="4">
        <f t="shared" ca="1" si="3"/>
        <v>0.52349599453043849</v>
      </c>
      <c r="K20">
        <f t="shared" si="4"/>
        <v>0.42799999999999999</v>
      </c>
      <c r="L20">
        <f t="shared" ca="1" si="8"/>
        <v>0.36128355124003109</v>
      </c>
      <c r="M20">
        <f t="shared" ca="1" si="9"/>
        <v>-0.3550300188188289</v>
      </c>
      <c r="N20">
        <f t="shared" ca="1" si="10"/>
        <v>-6.7362209831996513E-3</v>
      </c>
      <c r="O20">
        <f t="shared" ca="1" si="11"/>
        <v>97.152202258306545</v>
      </c>
      <c r="Q20" s="5">
        <f t="shared" ca="1" si="12"/>
        <v>7.0872104813275243</v>
      </c>
      <c r="R20">
        <f t="shared" ca="1" si="0"/>
        <v>50.84847609615629</v>
      </c>
      <c r="S20" s="5">
        <f t="shared" ca="1" si="13"/>
        <v>43.761265614828766</v>
      </c>
      <c r="U20" s="5">
        <f t="shared" ca="1" si="14"/>
        <v>7.087210481327527</v>
      </c>
      <c r="V20">
        <f t="shared" ca="1" si="15"/>
        <v>50.84847609615629</v>
      </c>
      <c r="W20" s="5">
        <f t="shared" ca="1" si="16"/>
        <v>43.761265614828766</v>
      </c>
    </row>
    <row r="21" spans="5:23" x14ac:dyDescent="0.25">
      <c r="E21">
        <f t="shared" si="5"/>
        <v>19</v>
      </c>
      <c r="F21">
        <f t="shared" ca="1" si="6"/>
        <v>97.509570019818355</v>
      </c>
      <c r="G21">
        <f t="shared" ca="1" si="1"/>
        <v>7.7095784055879468E-2</v>
      </c>
      <c r="H21">
        <f t="shared" ca="1" si="7"/>
        <v>-0.11825006309731698</v>
      </c>
      <c r="I21" s="4">
        <f t="shared" ca="1" si="2"/>
        <v>7.4075346162223639</v>
      </c>
      <c r="J21" s="4">
        <f t="shared" ca="1" si="3"/>
        <v>0.53072632657192431</v>
      </c>
      <c r="K21">
        <f t="shared" si="4"/>
        <v>0.42399999999999999</v>
      </c>
      <c r="L21">
        <f t="shared" ca="1" si="8"/>
        <v>0.58105720272612316</v>
      </c>
      <c r="M21">
        <f t="shared" ca="1" si="9"/>
        <v>0.20459879805865935</v>
      </c>
      <c r="N21">
        <f t="shared" ca="1" si="10"/>
        <v>3.8819892503892004E-3</v>
      </c>
      <c r="O21">
        <f t="shared" ca="1" si="11"/>
        <v>97.527856287734309</v>
      </c>
      <c r="Q21" s="5">
        <f t="shared" ca="1" si="12"/>
        <v>7.2758505905248398</v>
      </c>
      <c r="R21">
        <f t="shared" ca="1" si="0"/>
        <v>51.750895902226034</v>
      </c>
      <c r="S21" s="5">
        <f t="shared" ca="1" si="13"/>
        <v>44.475045311701194</v>
      </c>
      <c r="U21" s="5">
        <f t="shared" ca="1" si="14"/>
        <v>7.2758505905248452</v>
      </c>
      <c r="V21">
        <f t="shared" ca="1" si="15"/>
        <v>51.750895902226034</v>
      </c>
      <c r="W21" s="5">
        <f t="shared" ca="1" si="16"/>
        <v>44.475045311701187</v>
      </c>
    </row>
    <row r="22" spans="5:23" x14ac:dyDescent="0.25">
      <c r="E22">
        <f t="shared" si="5"/>
        <v>20</v>
      </c>
      <c r="F22">
        <f t="shared" ca="1" si="6"/>
        <v>96.764469500018748</v>
      </c>
      <c r="G22">
        <f t="shared" ca="1" si="1"/>
        <v>3.6053956491701615E-2</v>
      </c>
      <c r="H22">
        <f t="shared" ca="1" si="7"/>
        <v>-0.15836826446053417</v>
      </c>
      <c r="I22" s="4">
        <f t="shared" ca="1" si="2"/>
        <v>6.9737133568370879</v>
      </c>
      <c r="J22" s="4">
        <f t="shared" ca="1" si="3"/>
        <v>0.51438033208316569</v>
      </c>
      <c r="K22">
        <f t="shared" si="4"/>
        <v>0.42</v>
      </c>
      <c r="L22">
        <f t="shared" ca="1" si="8"/>
        <v>0.34357261472838696</v>
      </c>
      <c r="M22">
        <f t="shared" ca="1" si="9"/>
        <v>-0.40273221863645936</v>
      </c>
      <c r="N22">
        <f t="shared" ca="1" si="10"/>
        <v>-7.6413065881447374E-3</v>
      </c>
      <c r="O22">
        <f t="shared" ca="1" si="11"/>
        <v>96.784728716939284</v>
      </c>
      <c r="Q22" s="5">
        <f t="shared" ca="1" si="12"/>
        <v>6.87151023010221</v>
      </c>
      <c r="R22">
        <f t="shared" ca="1" si="0"/>
        <v>49.773739955271004</v>
      </c>
      <c r="S22" s="5">
        <f t="shared" ca="1" si="13"/>
        <v>42.902229725168795</v>
      </c>
      <c r="U22" s="5">
        <f t="shared" ca="1" si="14"/>
        <v>6.8715102301022162</v>
      </c>
      <c r="V22">
        <f t="shared" ca="1" si="15"/>
        <v>49.773739955271004</v>
      </c>
      <c r="W22" s="5">
        <f t="shared" ca="1" si="16"/>
        <v>42.902229725168787</v>
      </c>
    </row>
    <row r="23" spans="5:23" x14ac:dyDescent="0.25">
      <c r="E23">
        <f t="shared" si="5"/>
        <v>21</v>
      </c>
      <c r="F23">
        <f t="shared" ca="1" si="6"/>
        <v>99.622779376004686</v>
      </c>
      <c r="G23">
        <f t="shared" ca="1" si="1"/>
        <v>0.18471180862563438</v>
      </c>
      <c r="H23">
        <f t="shared" ca="1" si="7"/>
        <v>-8.782377333530822E-3</v>
      </c>
      <c r="I23" s="4">
        <f t="shared" ca="1" si="2"/>
        <v>8.4834036326220641</v>
      </c>
      <c r="J23" s="4">
        <f t="shared" ca="1" si="3"/>
        <v>0.57327245819314143</v>
      </c>
      <c r="K23">
        <f t="shared" si="4"/>
        <v>0.41599999999999998</v>
      </c>
      <c r="L23">
        <f t="shared" ca="1" si="8"/>
        <v>0.94024497713549648</v>
      </c>
      <c r="M23">
        <f t="shared" ca="1" si="9"/>
        <v>1.5568333971777473</v>
      </c>
      <c r="N23">
        <f t="shared" ca="1" si="10"/>
        <v>2.9538836834995415E-2</v>
      </c>
      <c r="O23">
        <f t="shared" ca="1" si="11"/>
        <v>99.683355093794916</v>
      </c>
      <c r="Q23" s="5">
        <f t="shared" ca="1" si="12"/>
        <v>8.3331873092616178</v>
      </c>
      <c r="R23">
        <f t="shared" ca="1" si="0"/>
        <v>57.110995624915198</v>
      </c>
      <c r="S23" s="5">
        <f t="shared" ca="1" si="13"/>
        <v>48.77780831565358</v>
      </c>
      <c r="U23" s="5">
        <f t="shared" ca="1" si="14"/>
        <v>8.3331873092616178</v>
      </c>
      <c r="V23">
        <f t="shared" ca="1" si="15"/>
        <v>57.110995624915198</v>
      </c>
      <c r="W23" s="5">
        <f t="shared" ca="1" si="16"/>
        <v>48.77780831565358</v>
      </c>
    </row>
    <row r="24" spans="5:23" x14ac:dyDescent="0.25">
      <c r="E24">
        <f t="shared" si="5"/>
        <v>22</v>
      </c>
      <c r="F24">
        <f t="shared" ca="1" si="6"/>
        <v>98.762435570460468</v>
      </c>
      <c r="G24">
        <f t="shared" ca="1" si="1"/>
        <v>0.13859008661328362</v>
      </c>
      <c r="H24">
        <f t="shared" ca="1" si="7"/>
        <v>-5.3971591817290915E-2</v>
      </c>
      <c r="I24" s="4">
        <f t="shared" ca="1" si="2"/>
        <v>7.9520017098410563</v>
      </c>
      <c r="J24" s="4">
        <f t="shared" ca="1" si="3"/>
        <v>0.55511296127759246</v>
      </c>
      <c r="K24">
        <f t="shared" si="4"/>
        <v>0.41199999999999998</v>
      </c>
      <c r="L24">
        <f t="shared" ca="1" si="8"/>
        <v>0.32449780526248717</v>
      </c>
      <c r="M24">
        <f t="shared" ca="1" si="9"/>
        <v>-0.45515794904500317</v>
      </c>
      <c r="N24">
        <f t="shared" ca="1" si="10"/>
        <v>-8.6360148846784269E-3</v>
      </c>
      <c r="O24">
        <f t="shared" ca="1" si="11"/>
        <v>98.783919375567379</v>
      </c>
      <c r="Q24" s="5">
        <f t="shared" ca="1" si="12"/>
        <v>7.8302193636817066</v>
      </c>
      <c r="R24">
        <f t="shared" ca="1" si="0"/>
        <v>54.824308072505744</v>
      </c>
      <c r="S24" s="5">
        <f t="shared" ca="1" si="13"/>
        <v>46.994088708824037</v>
      </c>
      <c r="U24" s="5">
        <f t="shared" ca="1" si="14"/>
        <v>7.8302193636817021</v>
      </c>
      <c r="V24">
        <f t="shared" ca="1" si="15"/>
        <v>54.824308072505744</v>
      </c>
      <c r="W24" s="5">
        <f t="shared" ca="1" si="16"/>
        <v>46.994088708824044</v>
      </c>
    </row>
    <row r="25" spans="5:23" x14ac:dyDescent="0.25">
      <c r="E25">
        <f t="shared" si="5"/>
        <v>23</v>
      </c>
      <c r="F25">
        <f t="shared" ca="1" si="6"/>
        <v>98.663192996615578</v>
      </c>
      <c r="G25">
        <f t="shared" ca="1" si="1"/>
        <v>0.13203820681661904</v>
      </c>
      <c r="H25">
        <f t="shared" ca="1" si="7"/>
        <v>-5.9586426255436697E-2</v>
      </c>
      <c r="I25" s="4">
        <f t="shared" ca="1" si="2"/>
        <v>7.8511204979956446</v>
      </c>
      <c r="J25" s="4">
        <f t="shared" ca="1" si="3"/>
        <v>0.55252296418775648</v>
      </c>
      <c r="K25">
        <f t="shared" si="4"/>
        <v>0.40799999999999997</v>
      </c>
      <c r="L25">
        <f t="shared" ca="1" si="8"/>
        <v>0.47888154906037905</v>
      </c>
      <c r="M25">
        <f t="shared" ca="1" si="9"/>
        <v>-5.2960853721789734E-2</v>
      </c>
      <c r="N25">
        <f t="shared" ca="1" si="10"/>
        <v>-1.0048615475271663E-3</v>
      </c>
      <c r="O25">
        <f t="shared" ca="1" si="11"/>
        <v>98.681003824593375</v>
      </c>
      <c r="Q25" s="5">
        <f t="shared" ca="1" si="12"/>
        <v>7.7657287669436528</v>
      </c>
      <c r="R25">
        <f t="shared" ca="1" si="0"/>
        <v>54.513679850718738</v>
      </c>
      <c r="S25" s="5">
        <f t="shared" ca="1" si="13"/>
        <v>46.747951083775085</v>
      </c>
      <c r="U25" s="5">
        <f t="shared" ca="1" si="14"/>
        <v>7.765728766943651</v>
      </c>
      <c r="V25">
        <f t="shared" ca="1" si="15"/>
        <v>54.513679850718738</v>
      </c>
      <c r="W25" s="5">
        <f t="shared" ca="1" si="16"/>
        <v>46.747951083775085</v>
      </c>
    </row>
    <row r="26" spans="5:23" x14ac:dyDescent="0.25">
      <c r="E26">
        <f t="shared" si="5"/>
        <v>24</v>
      </c>
      <c r="F26">
        <f t="shared" ca="1" si="6"/>
        <v>100.19183423786625</v>
      </c>
      <c r="G26">
        <f t="shared" ca="1" si="1"/>
        <v>0.21132722007465965</v>
      </c>
      <c r="H26">
        <f ca="1">G26-$B$3*K26^0.5</f>
        <v>2.0644237089811196E-2</v>
      </c>
      <c r="I26" s="4">
        <f t="shared" ca="1" si="2"/>
        <v>8.673181680330984</v>
      </c>
      <c r="J26" s="4">
        <f t="shared" ca="1" si="3"/>
        <v>0.58368402801230468</v>
      </c>
      <c r="K26">
        <f t="shared" si="4"/>
        <v>0.40400000000000003</v>
      </c>
      <c r="L26">
        <f t="shared" ca="1" si="8"/>
        <v>0.79291597980636042</v>
      </c>
      <c r="M26">
        <f t="shared" ca="1" si="9"/>
        <v>0.81658078370808063</v>
      </c>
      <c r="N26">
        <f t="shared" ca="1" si="10"/>
        <v>1.5493531020257103E-2</v>
      </c>
      <c r="O26">
        <f t="shared" ca="1" si="11"/>
        <v>100.22177595517505</v>
      </c>
      <c r="Q26" s="5">
        <f t="shared" ca="1" si="12"/>
        <v>8.6009876315010132</v>
      </c>
      <c r="R26">
        <f t="shared" ca="1" si="0"/>
        <v>58.480373381898907</v>
      </c>
      <c r="S26" s="5">
        <f t="shared" ca="1" si="13"/>
        <v>49.879385750397894</v>
      </c>
      <c r="U26" s="5">
        <f t="shared" ca="1" si="14"/>
        <v>8.6009876315010079</v>
      </c>
      <c r="V26">
        <f t="shared" ca="1" si="15"/>
        <v>58.480373381898907</v>
      </c>
      <c r="W26" s="5">
        <f t="shared" ca="1" si="16"/>
        <v>49.879385750397901</v>
      </c>
    </row>
    <row r="27" spans="5:23" x14ac:dyDescent="0.25">
      <c r="E27">
        <f t="shared" si="5"/>
        <v>25</v>
      </c>
      <c r="F27">
        <f t="shared" ca="1" si="6"/>
        <v>99.776063485544441</v>
      </c>
      <c r="I27" s="4"/>
      <c r="J27" s="4"/>
      <c r="L27">
        <f t="shared" ca="1" si="8"/>
        <v>0.41343764255582049</v>
      </c>
      <c r="M27">
        <f t="shared" ca="1" si="9"/>
        <v>-0.21871086464944564</v>
      </c>
      <c r="N27">
        <f t="shared" ca="1" si="10"/>
        <v>-4.1497468879023126E-3</v>
      </c>
      <c r="O27">
        <f t="shared" ca="1" si="11"/>
        <v>99.79488642816132</v>
      </c>
      <c r="Q27" s="5">
        <f t="shared" ca="1" si="12"/>
        <v>8.3483320092518056</v>
      </c>
      <c r="R27">
        <f t="shared" ca="1" si="0"/>
        <v>0</v>
      </c>
      <c r="S27" s="5">
        <f t="shared" ca="1" si="13"/>
        <v>-8.3483320092518056</v>
      </c>
      <c r="U27" s="5">
        <f t="shared" ca="1" si="14"/>
        <v>8.3483320092518039</v>
      </c>
      <c r="V27">
        <f t="shared" ca="1" si="15"/>
        <v>0</v>
      </c>
      <c r="W27" s="5">
        <f t="shared" ca="1" si="16"/>
        <v>-8.3483320092518039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VIX</vt:lpstr>
      <vt:lpstr>Binomial_tree</vt:lpstr>
      <vt:lpstr>Black_Scholes</vt:lpstr>
      <vt:lpstr>Delta_hedging</vt:lpstr>
    </vt:vector>
  </TitlesOfParts>
  <Company>Gazprombank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Жарковский Максим Олегович</dc:creator>
  <cp:lastModifiedBy>IPPS-lecturer</cp:lastModifiedBy>
  <dcterms:created xsi:type="dcterms:W3CDTF">2014-09-22T10:11:48Z</dcterms:created>
  <dcterms:modified xsi:type="dcterms:W3CDTF">2017-02-18T10:03:06Z</dcterms:modified>
</cp:coreProperties>
</file>