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UE NGUYEN\BOD DONG XANH\KE HOACH NGAN SACH 2023-2024\"/>
    </mc:Choice>
  </mc:AlternateContent>
  <bookViews>
    <workbookView xWindow="0" yWindow="0" windowWidth="19200" windowHeight="5990"/>
  </bookViews>
  <sheets>
    <sheet name="KH NSACH" sheetId="1" r:id="rId1"/>
    <sheet name="Nguon thu t9.23" sheetId="5" r:id="rId2"/>
    <sheet name="Hoc phi" sheetId="2" state="hidden" r:id="rId3"/>
    <sheet name="Luong BH" sheetId="3" r:id="rId4"/>
    <sheet name="CP Dcu Tbi" sheetId="4" r:id="rId5"/>
    <sheet name="DS NV" sheetId="6" r:id="rId6"/>
  </sheets>
  <externalReferences>
    <externalReference r:id="rId7"/>
    <externalReference r:id="rId8"/>
    <externalReference r:id="rId9"/>
  </externalReferences>
  <definedNames>
    <definedName name="_xlnm.Print_Titles" localSheetId="0">'KH NSACH'!$1:$6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5" l="1"/>
  <c r="H48" i="5" s="1"/>
  <c r="G50" i="5"/>
  <c r="H50" i="5" s="1"/>
  <c r="G49" i="5"/>
  <c r="H49" i="5" s="1"/>
  <c r="F51" i="5"/>
  <c r="H51" i="5" s="1"/>
  <c r="H52" i="5" l="1"/>
  <c r="C41" i="1" s="1"/>
  <c r="D4" i="3"/>
  <c r="G81" i="6"/>
  <c r="E3" i="3" s="1"/>
  <c r="I81" i="6" l="1"/>
  <c r="I53" i="6"/>
  <c r="I54" i="6"/>
  <c r="I55" i="6"/>
  <c r="I56" i="6"/>
  <c r="I57" i="6"/>
  <c r="I52" i="6"/>
  <c r="N4" i="5" l="1"/>
  <c r="O8" i="5"/>
  <c r="C12" i="1" l="1"/>
  <c r="W31" i="5"/>
  <c r="U31" i="5"/>
  <c r="T31" i="5"/>
  <c r="Q31" i="5"/>
  <c r="C31" i="5"/>
  <c r="Z29" i="5"/>
  <c r="AB29" i="5" s="1"/>
  <c r="V29" i="5"/>
  <c r="P29" i="5"/>
  <c r="R29" i="5" s="1"/>
  <c r="S29" i="5" s="1"/>
  <c r="F29" i="5"/>
  <c r="L29" i="5" s="1"/>
  <c r="E29" i="5"/>
  <c r="AA27" i="5"/>
  <c r="Z27" i="5"/>
  <c r="Y27" i="5"/>
  <c r="V27" i="5"/>
  <c r="R27" i="5"/>
  <c r="O27" i="5"/>
  <c r="S27" i="5" s="1"/>
  <c r="J27" i="5"/>
  <c r="L27" i="5" s="1"/>
  <c r="E27" i="5"/>
  <c r="Y26" i="5"/>
  <c r="AB26" i="5" s="1"/>
  <c r="V26" i="5"/>
  <c r="R26" i="5"/>
  <c r="O26" i="5"/>
  <c r="L26" i="5"/>
  <c r="E26" i="5"/>
  <c r="AB25" i="5"/>
  <c r="AC25" i="5" s="1"/>
  <c r="P25" i="5"/>
  <c r="R25" i="5" s="1"/>
  <c r="S25" i="5" s="1"/>
  <c r="F25" i="5"/>
  <c r="L25" i="5" s="1"/>
  <c r="M25" i="5" s="1"/>
  <c r="E25" i="5"/>
  <c r="AB23" i="5"/>
  <c r="V23" i="5"/>
  <c r="P23" i="5"/>
  <c r="R23" i="5" s="1"/>
  <c r="S23" i="5" s="1"/>
  <c r="J23" i="5"/>
  <c r="H23" i="5"/>
  <c r="G23" i="5"/>
  <c r="F23" i="5"/>
  <c r="L23" i="5" s="1"/>
  <c r="E23" i="5"/>
  <c r="Y22" i="5"/>
  <c r="AB22" i="5" s="1"/>
  <c r="V22" i="5"/>
  <c r="P22" i="5"/>
  <c r="R22" i="5" s="1"/>
  <c r="S22" i="5" s="1"/>
  <c r="J22" i="5"/>
  <c r="H22" i="5"/>
  <c r="F22" i="5"/>
  <c r="L22" i="5" s="1"/>
  <c r="E22" i="5"/>
  <c r="Y21" i="5"/>
  <c r="AB21" i="5" s="1"/>
  <c r="V21" i="5"/>
  <c r="P21" i="5"/>
  <c r="R21" i="5" s="1"/>
  <c r="S21" i="5" s="1"/>
  <c r="J21" i="5"/>
  <c r="H21" i="5"/>
  <c r="F21" i="5"/>
  <c r="E21" i="5"/>
  <c r="Y20" i="5"/>
  <c r="AB20" i="5" s="1"/>
  <c r="V20" i="5"/>
  <c r="P20" i="5"/>
  <c r="R20" i="5" s="1"/>
  <c r="S20" i="5" s="1"/>
  <c r="J20" i="5"/>
  <c r="H20" i="5"/>
  <c r="G20" i="5"/>
  <c r="F20" i="5"/>
  <c r="E20" i="5"/>
  <c r="Z19" i="5"/>
  <c r="Y19" i="5"/>
  <c r="V19" i="5"/>
  <c r="P19" i="5"/>
  <c r="R19" i="5" s="1"/>
  <c r="S19" i="5" s="1"/>
  <c r="J19" i="5"/>
  <c r="H19" i="5"/>
  <c r="E19" i="5"/>
  <c r="Y18" i="5"/>
  <c r="AB18" i="5" s="1"/>
  <c r="V18" i="5"/>
  <c r="P18" i="5"/>
  <c r="R18" i="5" s="1"/>
  <c r="S18" i="5" s="1"/>
  <c r="J18" i="5"/>
  <c r="H18" i="5"/>
  <c r="F18" i="5"/>
  <c r="L18" i="5" s="1"/>
  <c r="E18" i="5"/>
  <c r="Y17" i="5"/>
  <c r="AB17" i="5" s="1"/>
  <c r="V17" i="5"/>
  <c r="AC17" i="5" s="1"/>
  <c r="P17" i="5"/>
  <c r="R17" i="5" s="1"/>
  <c r="S17" i="5" s="1"/>
  <c r="J17" i="5"/>
  <c r="H17" i="5"/>
  <c r="G17" i="5"/>
  <c r="F17" i="5"/>
  <c r="L17" i="5" s="1"/>
  <c r="E17" i="5"/>
  <c r="Y16" i="5"/>
  <c r="AB16" i="5" s="1"/>
  <c r="V16" i="5"/>
  <c r="AC16" i="5" s="1"/>
  <c r="P16" i="5"/>
  <c r="R16" i="5" s="1"/>
  <c r="S16" i="5" s="1"/>
  <c r="J16" i="5"/>
  <c r="H16" i="5"/>
  <c r="G16" i="5"/>
  <c r="F16" i="5"/>
  <c r="E16" i="5"/>
  <c r="AA15" i="5"/>
  <c r="Z15" i="5"/>
  <c r="V15" i="5"/>
  <c r="P15" i="5"/>
  <c r="R15" i="5" s="1"/>
  <c r="S15" i="5" s="1"/>
  <c r="I15" i="5"/>
  <c r="H15" i="5"/>
  <c r="G15" i="5"/>
  <c r="F15" i="5"/>
  <c r="E15" i="5"/>
  <c r="Y14" i="5"/>
  <c r="AB14" i="5" s="1"/>
  <c r="V14" i="5"/>
  <c r="P14" i="5"/>
  <c r="R14" i="5" s="1"/>
  <c r="S14" i="5" s="1"/>
  <c r="J14" i="5"/>
  <c r="H14" i="5"/>
  <c r="F14" i="5"/>
  <c r="L14" i="5" s="1"/>
  <c r="E14" i="5"/>
  <c r="X13" i="5"/>
  <c r="AB13" i="5" s="1"/>
  <c r="V13" i="5"/>
  <c r="J13" i="5"/>
  <c r="I13" i="5"/>
  <c r="H13" i="5"/>
  <c r="E13" i="5"/>
  <c r="Y12" i="5"/>
  <c r="V12" i="5"/>
  <c r="P12" i="5"/>
  <c r="J12" i="5"/>
  <c r="H12" i="5"/>
  <c r="F12" i="5"/>
  <c r="E12" i="5"/>
  <c r="V10" i="5"/>
  <c r="AC10" i="5" s="1"/>
  <c r="P10" i="5"/>
  <c r="R10" i="5" s="1"/>
  <c r="O10" i="5"/>
  <c r="J10" i="5"/>
  <c r="H10" i="5"/>
  <c r="F10" i="5"/>
  <c r="E10" i="5"/>
  <c r="V9" i="5"/>
  <c r="AC9" i="5" s="1"/>
  <c r="P9" i="5"/>
  <c r="R9" i="5" s="1"/>
  <c r="O9" i="5"/>
  <c r="K9" i="5"/>
  <c r="J9" i="5"/>
  <c r="H9" i="5"/>
  <c r="G9" i="5"/>
  <c r="F9" i="5"/>
  <c r="E9" i="5"/>
  <c r="AA8" i="5"/>
  <c r="Z8" i="5"/>
  <c r="V8" i="5"/>
  <c r="P8" i="5"/>
  <c r="R8" i="5" s="1"/>
  <c r="S8" i="5" s="1"/>
  <c r="K8" i="5"/>
  <c r="J8" i="5"/>
  <c r="H8" i="5"/>
  <c r="F8" i="5"/>
  <c r="E8" i="5"/>
  <c r="H31" i="5" l="1"/>
  <c r="AC22" i="5"/>
  <c r="S26" i="5"/>
  <c r="AC29" i="5"/>
  <c r="AB27" i="5"/>
  <c r="AB15" i="5"/>
  <c r="AC15" i="5" s="1"/>
  <c r="AC18" i="5"/>
  <c r="AB19" i="5"/>
  <c r="AC19" i="5" s="1"/>
  <c r="AC20" i="5"/>
  <c r="AC8" i="5"/>
  <c r="Y31" i="5"/>
  <c r="L19" i="5"/>
  <c r="M19" i="5" s="1"/>
  <c r="M14" i="5"/>
  <c r="AC21" i="5"/>
  <c r="J31" i="5"/>
  <c r="L9" i="5"/>
  <c r="M9" i="5" s="1"/>
  <c r="P31" i="5"/>
  <c r="L15" i="5"/>
  <c r="M15" i="5" s="1"/>
  <c r="AD15" i="5" s="1"/>
  <c r="L20" i="5"/>
  <c r="M20" i="5" s="1"/>
  <c r="AD20" i="5" s="1"/>
  <c r="M26" i="5"/>
  <c r="E31" i="5"/>
  <c r="G31" i="5"/>
  <c r="L12" i="5"/>
  <c r="M12" i="5" s="1"/>
  <c r="R12" i="5"/>
  <c r="S12" i="5" s="1"/>
  <c r="AC23" i="5"/>
  <c r="AD25" i="5"/>
  <c r="V31" i="5"/>
  <c r="S10" i="5"/>
  <c r="AB12" i="5"/>
  <c r="AC12" i="5" s="1"/>
  <c r="AC26" i="5"/>
  <c r="K31" i="5"/>
  <c r="Z31" i="5"/>
  <c r="F31" i="5"/>
  <c r="O31" i="5"/>
  <c r="AA31" i="5"/>
  <c r="S9" i="5"/>
  <c r="L10" i="5"/>
  <c r="M10" i="5" s="1"/>
  <c r="AD10" i="5" s="1"/>
  <c r="L13" i="5"/>
  <c r="M13" i="5" s="1"/>
  <c r="AD13" i="5" s="1"/>
  <c r="AC13" i="5"/>
  <c r="AC14" i="5"/>
  <c r="L16" i="5"/>
  <c r="M16" i="5" s="1"/>
  <c r="AD16" i="5" s="1"/>
  <c r="L21" i="5"/>
  <c r="M21" i="5" s="1"/>
  <c r="AD21" i="5" s="1"/>
  <c r="M29" i="5"/>
  <c r="AD9" i="5"/>
  <c r="M17" i="5"/>
  <c r="AD17" i="5" s="1"/>
  <c r="M18" i="5"/>
  <c r="AD18" i="5" s="1"/>
  <c r="M22" i="5"/>
  <c r="AD22" i="5" s="1"/>
  <c r="M23" i="5"/>
  <c r="AD23" i="5" s="1"/>
  <c r="AC27" i="5"/>
  <c r="M27" i="5"/>
  <c r="AD19" i="5"/>
  <c r="AD29" i="5"/>
  <c r="L8" i="5"/>
  <c r="X31" i="5"/>
  <c r="AB8" i="5"/>
  <c r="H41" i="5" l="1"/>
  <c r="C13" i="1" s="1"/>
  <c r="R31" i="5"/>
  <c r="AC31" i="5"/>
  <c r="AB31" i="5"/>
  <c r="AD12" i="5"/>
  <c r="AD27" i="5"/>
  <c r="S31" i="5"/>
  <c r="C10" i="1" s="1"/>
  <c r="AD26" i="5"/>
  <c r="AD14" i="5"/>
  <c r="L31" i="5"/>
  <c r="M8" i="5"/>
  <c r="C11" i="1"/>
  <c r="AD8" i="5" l="1"/>
  <c r="AD31" i="5" s="1"/>
  <c r="M31" i="5"/>
  <c r="H43" i="5" s="1"/>
  <c r="C20" i="1" l="1"/>
  <c r="H40" i="5"/>
  <c r="C9" i="1" s="1"/>
  <c r="F16" i="4"/>
  <c r="G15" i="4"/>
  <c r="E15" i="4"/>
  <c r="E16" i="4" s="1"/>
  <c r="E14" i="4"/>
  <c r="E13" i="4"/>
  <c r="F10" i="4"/>
  <c r="E10" i="4"/>
  <c r="D10" i="4"/>
  <c r="C10" i="4"/>
  <c r="B10" i="4"/>
  <c r="C15" i="1" l="1"/>
  <c r="C14" i="1"/>
  <c r="F4" i="3"/>
  <c r="C19" i="1" s="1"/>
  <c r="C3" i="3" l="1"/>
  <c r="D3" i="3" s="1"/>
  <c r="C18" i="1" l="1"/>
  <c r="F3" i="3"/>
  <c r="H6" i="2"/>
  <c r="F14" i="2" s="1"/>
  <c r="H7" i="2"/>
  <c r="H5" i="2"/>
  <c r="F6" i="2"/>
  <c r="F7" i="2"/>
  <c r="F8" i="2"/>
  <c r="F10" i="2"/>
  <c r="F5" i="2"/>
  <c r="C9" i="2"/>
  <c r="F9" i="2" s="1"/>
  <c r="D4" i="2"/>
  <c r="F4" i="2" s="1"/>
  <c r="C4" i="2"/>
  <c r="F11" i="2" l="1"/>
  <c r="F15" i="2" s="1"/>
  <c r="F16" i="2" s="1"/>
  <c r="C17" i="1" s="1"/>
  <c r="C8" i="1"/>
  <c r="C7" i="1" l="1"/>
  <c r="C62" i="1"/>
  <c r="C58" i="1"/>
  <c r="C56" i="1"/>
  <c r="C55" i="1" s="1"/>
  <c r="C44" i="1"/>
  <c r="C40" i="1"/>
  <c r="C39" i="1" l="1"/>
  <c r="C49" i="1"/>
  <c r="C60" i="1" l="1"/>
  <c r="C53" i="1"/>
</calcChain>
</file>

<file path=xl/comments1.xml><?xml version="1.0" encoding="utf-8"?>
<comments xmlns="http://schemas.openxmlformats.org/spreadsheetml/2006/main">
  <authors>
    <author>HueNguyen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163"/>
          </rPr>
          <t>HueNguyen:</t>
        </r>
        <r>
          <rPr>
            <sz val="9"/>
            <color indexed="81"/>
            <rFont val="Tahoma"/>
            <family val="2"/>
            <charset val="163"/>
          </rPr>
          <t xml:space="preserve">
Tăng 11 giáo viên từ học kỳ 1
</t>
        </r>
      </text>
    </comment>
  </commentList>
</comments>
</file>

<file path=xl/sharedStrings.xml><?xml version="1.0" encoding="utf-8"?>
<sst xmlns="http://schemas.openxmlformats.org/spreadsheetml/2006/main" count="423" uniqueCount="314">
  <si>
    <t>STT</t>
  </si>
  <si>
    <t>NỘI DUNG</t>
  </si>
  <si>
    <t>NĂM 2023 - 2024</t>
  </si>
  <si>
    <t>GHI CHÚ</t>
  </si>
  <si>
    <t>I</t>
  </si>
  <si>
    <t>HOẠT ĐỘNG GIẢNG DẠY</t>
  </si>
  <si>
    <t>1.1</t>
  </si>
  <si>
    <t>Nguồn thu net</t>
  </si>
  <si>
    <t>Học phí</t>
  </si>
  <si>
    <t>Tiền ăn</t>
  </si>
  <si>
    <t>Tiền xe</t>
  </si>
  <si>
    <t>Học phí đã thu trước</t>
  </si>
  <si>
    <t>Trích hoàn lại học phí</t>
  </si>
  <si>
    <t>Học phí không thu được</t>
  </si>
  <si>
    <t>Ước tính thuế VAT 10%</t>
  </si>
  <si>
    <t>Nếu có giấy phép GD, thuế gtgt dự kiến phải nộp 100tr</t>
  </si>
  <si>
    <t>1.2</t>
  </si>
  <si>
    <t xml:space="preserve">Chi phí </t>
  </si>
  <si>
    <t>Lương</t>
  </si>
  <si>
    <t>Bảo hiểm</t>
  </si>
  <si>
    <t>Chi phí field trip</t>
  </si>
  <si>
    <t>5% học phí từ lớp 3 đến lớp lớn nhất</t>
  </si>
  <si>
    <t>Chi phí các khóa học/đào tạo/tập huấn/mời mentor</t>
  </si>
  <si>
    <t>Chi thiết bị khối trung học</t>
  </si>
  <si>
    <t>Dụng cụ thí nghiệm vật lý, hóa học</t>
  </si>
  <si>
    <t>Tổ chức lễ hội âm nhạc</t>
  </si>
  <si>
    <t>Chi phí tiền ăn</t>
  </si>
  <si>
    <t>Chi tiền thuê xe đưa rước</t>
  </si>
  <si>
    <t>Chi thuê đất</t>
  </si>
  <si>
    <t>Chăm sóc vườn, vệ sinh</t>
  </si>
  <si>
    <t>Chi phí điện, nước, net</t>
  </si>
  <si>
    <t>Chi phí y tế</t>
  </si>
  <si>
    <t>Du lịch định kỳ/năm</t>
  </si>
  <si>
    <t>Chi phí khác</t>
  </si>
  <si>
    <t>Chi nộp thuế (TNDN)</t>
  </si>
  <si>
    <t>II</t>
  </si>
  <si>
    <t>XÂY DỰNG</t>
  </si>
  <si>
    <t>2.1</t>
  </si>
  <si>
    <t>Nguồn thu</t>
  </si>
  <si>
    <t>Cơ sở vật chất</t>
  </si>
  <si>
    <t>Học phí đóng trước</t>
  </si>
  <si>
    <t>Vay</t>
  </si>
  <si>
    <t>2.2</t>
  </si>
  <si>
    <t>Chi xây dựng</t>
  </si>
  <si>
    <t>Chi phí xây dựng</t>
  </si>
  <si>
    <t>Chi xây dựng xưởng cơ khí, mộc, phòng vi tính</t>
  </si>
  <si>
    <t>Khối trung học</t>
  </si>
  <si>
    <t>Chi phí sửa chữa nhỏ</t>
  </si>
  <si>
    <t>III</t>
  </si>
  <si>
    <t xml:space="preserve">CHÊNH LỆCH THU CHI </t>
  </si>
  <si>
    <t>IV</t>
  </si>
  <si>
    <t>NGÂN SÁCH THU TRƯỚC ĐÃ SỬ DỤNG</t>
  </si>
  <si>
    <t>V</t>
  </si>
  <si>
    <t>NGÂN SÁCH CÒN LẠI</t>
  </si>
  <si>
    <t xml:space="preserve">TRÍCH NGÂN SÁCH TRẢ NỢ </t>
  </si>
  <si>
    <t>Trả nợ vay</t>
  </si>
  <si>
    <t>Hoàn trả học phí</t>
  </si>
  <si>
    <t>Tích lũy quỹ Đồng Xanh</t>
  </si>
  <si>
    <t>NGÂN SÁCH CÒN LẠI SAU TRẢ NỢ</t>
  </si>
  <si>
    <t>NGÂN SÁCH CẦN HUY ĐỘNG</t>
  </si>
  <si>
    <t>Nộp học phí trước</t>
  </si>
  <si>
    <t xml:space="preserve">Vay ngắn hạn </t>
  </si>
  <si>
    <t>….</t>
  </si>
  <si>
    <t>KẾ HOẠCH NGÂN SÁCH KỲ NĂM HỌC 2023-2024</t>
  </si>
  <si>
    <t>Tổng HP</t>
  </si>
  <si>
    <t>Số lượng HS</t>
  </si>
  <si>
    <t>Mầm non</t>
  </si>
  <si>
    <t>Lớp 1-2</t>
  </si>
  <si>
    <t>Ngôi sao nhỏ</t>
  </si>
  <si>
    <t>Lớp 3-6</t>
  </si>
  <si>
    <t>Lớp 7-8</t>
  </si>
  <si>
    <t>Lớp 9-12`</t>
  </si>
  <si>
    <t>HS tăng/giảm</t>
  </si>
  <si>
    <t>Note: học phí phần tăng thêm chưa tính chiết khấu đối với trường hợp con giáo viên/con thứ 2-3</t>
  </si>
  <si>
    <t>Đã nộp trước</t>
  </si>
  <si>
    <t>Tháng 6/2023 =&gt; tính cả năm</t>
  </si>
  <si>
    <t>Học phí ko tính field trip</t>
  </si>
  <si>
    <t>Học phí ước tính field trip</t>
  </si>
  <si>
    <t>Tiền lương tháng 6</t>
  </si>
  <si>
    <t>Tháng</t>
  </si>
  <si>
    <t xml:space="preserve">Ước tính 1 năm </t>
  </si>
  <si>
    <t>Cộng</t>
  </si>
  <si>
    <t>Theo tổng hợp tiền học phí nợ của năm 2022-2023</t>
  </si>
  <si>
    <t>Nợ còn phải trả 2,8 tỷ</t>
  </si>
  <si>
    <t>Luong BH'!A1</t>
  </si>
  <si>
    <t>Ước tính chi phí field trip</t>
  </si>
  <si>
    <t>Ước tính CP tăng thêm</t>
  </si>
  <si>
    <t>Dự trù biến động khoảng gần 2%</t>
  </si>
  <si>
    <t>Ước tính 10tr/tháng</t>
  </si>
  <si>
    <t>Tổng hợp và ước tính chi/thu phát sinh từ tháng 8/2022 đến t1/2023</t>
  </si>
  <si>
    <t>Học cụ</t>
  </si>
  <si>
    <t>Trang TB</t>
  </si>
  <si>
    <t>XD</t>
  </si>
  <si>
    <t>Field Trip</t>
  </si>
  <si>
    <t>Module/đào tạo</t>
  </si>
  <si>
    <t>1 năm</t>
  </si>
  <si>
    <t>trừ</t>
  </si>
  <si>
    <t>kỳ 2</t>
  </si>
  <si>
    <t>Học phí đã thu trước năm học 2023-2024</t>
  </si>
  <si>
    <t>Tiền chiết khấu đã thu và sẽ hoàn lại</t>
  </si>
  <si>
    <t>Học phí 1 năm ước tính đã trừ ck</t>
  </si>
  <si>
    <t>Học phí ko bao gồm lớp 1,2 và mầm non</t>
  </si>
  <si>
    <t>Chi phí lương khối tiểu học</t>
  </si>
  <si>
    <t>GV chính</t>
  </si>
  <si>
    <t>GV phụ</t>
  </si>
  <si>
    <t>Ước tính</t>
  </si>
  <si>
    <t>Chi phí bàn ghế; bảng, dụng cụ phụ vụ học tập</t>
  </si>
  <si>
    <t>BÁO CÁO/KẾ HOẠCH NGUỒN THU THÁNG 9/2023</t>
  </si>
  <si>
    <t>Học phí/tháng</t>
  </si>
  <si>
    <t>Giảm học phí</t>
  </si>
  <si>
    <t>Học phí thu được</t>
  </si>
  <si>
    <t>Tiền ăn trưa</t>
  </si>
  <si>
    <t>Giảm tiền ăn</t>
  </si>
  <si>
    <t>Tiền ăn thu được</t>
  </si>
  <si>
    <t xml:space="preserve">Giảm tiền xe </t>
  </si>
  <si>
    <t>Tiền xe thu được</t>
  </si>
  <si>
    <t>Tổng tiền thu/tháng</t>
  </si>
  <si>
    <t>Diễn giải</t>
  </si>
  <si>
    <t>Số lượng</t>
  </si>
  <si>
    <t>Tổng/tháng</t>
  </si>
  <si>
    <t>Con giáo viên</t>
  </si>
  <si>
    <t>Con t2 trở lên</t>
  </si>
  <si>
    <t>Chiết khấu 5%</t>
  </si>
  <si>
    <t>Chiết khấu 10%</t>
  </si>
  <si>
    <t>Chiết khấu NN(22HS)</t>
  </si>
  <si>
    <t>Chiết khấu HP TĐ(9HS)</t>
  </si>
  <si>
    <t>Tổng</t>
  </si>
  <si>
    <t>Số tiền/tháng/trẻ</t>
  </si>
  <si>
    <t>Hoàn do nghỉ học</t>
  </si>
  <si>
    <t>Số tiền/tháng</t>
  </si>
  <si>
    <t xml:space="preserve"> Giảm 5%</t>
  </si>
  <si>
    <t>Giảm 20%</t>
  </si>
  <si>
    <t>Giảm 50%</t>
  </si>
  <si>
    <t>Giảm 60%</t>
  </si>
  <si>
    <t>tổng giảm</t>
  </si>
  <si>
    <t>Khối Mầm non</t>
  </si>
  <si>
    <t>Búp Sen</t>
  </si>
  <si>
    <t>Họa Mi</t>
  </si>
  <si>
    <t>Mầm Xanh</t>
  </si>
  <si>
    <t>Khối tiểu học</t>
  </si>
  <si>
    <t>Hoa Hướng Dương</t>
  </si>
  <si>
    <t>Hương Lúa</t>
  </si>
  <si>
    <t>Cỏ Ngọt</t>
  </si>
  <si>
    <t>Mộc Hương</t>
  </si>
  <si>
    <t>Sen Hồng</t>
  </si>
  <si>
    <t>Hoa đồng nội</t>
  </si>
  <si>
    <t>Sông Mây</t>
  </si>
  <si>
    <t>Nắng Mai</t>
  </si>
  <si>
    <t>Cầu Vồng</t>
  </si>
  <si>
    <t>Đồng Ca</t>
  </si>
  <si>
    <t>Mục Đồng</t>
  </si>
  <si>
    <t>Cỏ Ba Lá</t>
  </si>
  <si>
    <t>Khối Ngôi sao nhỏ</t>
  </si>
  <si>
    <t>Ngôi Sao Nhỏ Xinh</t>
  </si>
  <si>
    <t>-</t>
  </si>
  <si>
    <t>Ngôi Sao Xanh</t>
  </si>
  <si>
    <t>Phi Lao</t>
  </si>
  <si>
    <t>Tổng cộng</t>
  </si>
  <si>
    <t xml:space="preserve">Xin nghỉ: 0 </t>
  </si>
  <si>
    <t>HS mới: 0</t>
  </si>
  <si>
    <t>Tổng sổ học sinh là 236. học phí trên không bao gồm học phí của 9 học sinh đã nộp đủ 12 năm</t>
  </si>
  <si>
    <t>Dự tính học phí thu được 1 năm</t>
  </si>
  <si>
    <t>Nguon thu t9.23'!A1</t>
  </si>
  <si>
    <t>Theo tiền xe tháng 9/2023</t>
  </si>
  <si>
    <t xml:space="preserve">Hoàn lại HP trọn đời </t>
  </si>
  <si>
    <t>Trích học phí trọn đời hoàn lại</t>
  </si>
  <si>
    <t>Tiền ăn 1 ngày MN</t>
  </si>
  <si>
    <r>
      <t xml:space="preserve">Căn cứ tiền ăn tháng 9/2023, tính cho </t>
    </r>
    <r>
      <rPr>
        <sz val="11"/>
        <color rgb="FFFF0000"/>
        <rFont val="Arial"/>
        <family val="2"/>
      </rPr>
      <t>8,5 tháng</t>
    </r>
  </si>
  <si>
    <t>DANH SÁCH NHÂN SỰ TRƯỜNG ĐỒNG XANH</t>
  </si>
  <si>
    <t>Đồng Xanh, ngày 23 tháng 8 năm 2023</t>
  </si>
  <si>
    <t>HỌ VÀ TÊN</t>
  </si>
  <si>
    <t>CHỨC VỤ</t>
  </si>
  <si>
    <t>LỚP</t>
  </si>
  <si>
    <t>Giáo viên chính</t>
  </si>
  <si>
    <t>Phạm Hoàng Yến</t>
  </si>
  <si>
    <t>Nguyễn Thị Như Thảo</t>
  </si>
  <si>
    <t>Hoa Đồng Nội</t>
  </si>
  <si>
    <t>Phạm Thị Mỹ Tiên</t>
  </si>
  <si>
    <t>Nguyễn Thị Mỹ Ngọc</t>
  </si>
  <si>
    <t>Nguyễn Thị Thúy Diễm</t>
  </si>
  <si>
    <t>Trần Minh Sang</t>
  </si>
  <si>
    <t>Bùi Long Duy</t>
  </si>
  <si>
    <t>Tô Thị Hiền</t>
  </si>
  <si>
    <t>Nguyễn Thị Thùy Linh</t>
  </si>
  <si>
    <t>Phụ Trách Chuyên Môn Khối Trung học</t>
  </si>
  <si>
    <t>Nguyễn Ngọc Lan Hương</t>
  </si>
  <si>
    <t>Phạm Kiên Trung</t>
  </si>
  <si>
    <t>Bùi Kim Ngân</t>
  </si>
  <si>
    <t>Nguyễn Quốc Thịnh</t>
  </si>
  <si>
    <t xml:space="preserve">Nguyễn Thị Hồng Thắm </t>
  </si>
  <si>
    <t>Lê Thị Tình</t>
  </si>
  <si>
    <t>Nguyễn Ngọc Xuân Lai</t>
  </si>
  <si>
    <t>Huỳnh Linh Chi</t>
  </si>
  <si>
    <t>Ngôi Sao Nhỏ</t>
  </si>
  <si>
    <t>Lê Thị Thu Hưởng</t>
  </si>
  <si>
    <t>Nguyễn Thị Thu Hà</t>
  </si>
  <si>
    <t>Nguyễn Thị Thúy Ngọc</t>
  </si>
  <si>
    <t>Giáo viên phụ</t>
  </si>
  <si>
    <t>Nguyễn Phương Thảo</t>
  </si>
  <si>
    <t>Giáo viên phụ Mầm Non</t>
  </si>
  <si>
    <t>Nguyễn Thị Thanh Phương</t>
  </si>
  <si>
    <t>Đinh Trần Bảo Trinh</t>
  </si>
  <si>
    <t xml:space="preserve">Giáo viên phụ ngoài </t>
  </si>
  <si>
    <t>Tiểu học</t>
  </si>
  <si>
    <t>Hồ Thị Thùy Linh</t>
  </si>
  <si>
    <t xml:space="preserve">Giáo viên phụ </t>
  </si>
  <si>
    <t>Nguyễn Thị Phương Thảo</t>
  </si>
  <si>
    <t>Phan Bùi Khuê Đài</t>
  </si>
  <si>
    <t>Nguyễn Thị Thúy Vân</t>
  </si>
  <si>
    <t>Giáo viên phụ trong Mầm Non</t>
  </si>
  <si>
    <t>Cô Mai</t>
  </si>
  <si>
    <t>Hoạ Mi</t>
  </si>
  <si>
    <t>Nguyễn Hải Đăng</t>
  </si>
  <si>
    <t>Hương Giang</t>
  </si>
  <si>
    <t>Nguyễn Thị Na</t>
  </si>
  <si>
    <t>Giáo viên bộ môn</t>
  </si>
  <si>
    <t>Lê Thị Hạnh Thảo</t>
  </si>
  <si>
    <t>Giáo viên trị liệu</t>
  </si>
  <si>
    <t>Nguyễn Thị Thu Quyền</t>
  </si>
  <si>
    <t>Huỳnh Bảo Châu</t>
  </si>
  <si>
    <t>Giáo viên nấu ăn &amp; làm bánh</t>
  </si>
  <si>
    <t>Đỗ Thiên Ân</t>
  </si>
  <si>
    <t>Giáo viên Tiếng Anh</t>
  </si>
  <si>
    <t>Lê Yến Oanh</t>
  </si>
  <si>
    <t>Hoàng Thị Hồng Hạnh</t>
  </si>
  <si>
    <t>Giáo viên Tiếng Hoa</t>
  </si>
  <si>
    <t>Nguyễn Ngọc Hồng Hà</t>
  </si>
  <si>
    <t>Giáo viên dạy Violin</t>
  </si>
  <si>
    <t>Part-time</t>
  </si>
  <si>
    <t>Đỗ Vĩnh Huân</t>
  </si>
  <si>
    <t>Giáo viên âm nhạc</t>
  </si>
  <si>
    <t>Lê Thị Thu Hiền</t>
  </si>
  <si>
    <t>Nguyễn Đình Kha</t>
  </si>
  <si>
    <t>Nguyễn Thanh Nga</t>
  </si>
  <si>
    <t>Giáo viên sáng tác nhạc</t>
  </si>
  <si>
    <t>Putta Akhil Reddy</t>
  </si>
  <si>
    <t>Giáo viên Yoga</t>
  </si>
  <si>
    <t>Phạm Thị Cẩm Nhung</t>
  </si>
  <si>
    <t>Giáo viên trung học</t>
  </si>
  <si>
    <t>Hóa - Sinh</t>
  </si>
  <si>
    <t>Giáo viên mới</t>
  </si>
  <si>
    <t>Cô Thảo mới</t>
  </si>
  <si>
    <t>Ký hợp đồng mới</t>
  </si>
  <si>
    <t>Đinh Hương Quỳnh</t>
  </si>
  <si>
    <t>Giáo viên dạy vẽ</t>
  </si>
  <si>
    <t>Thái Bảo</t>
  </si>
  <si>
    <t>Giáo viên dạy kịch</t>
  </si>
  <si>
    <t>Thầy Hưng</t>
  </si>
  <si>
    <t>GV thể dục</t>
  </si>
  <si>
    <t>Thầy Tuyên</t>
  </si>
  <si>
    <t>Địa lý</t>
  </si>
  <si>
    <t>Thầy Khang</t>
  </si>
  <si>
    <t>Âm nhạc</t>
  </si>
  <si>
    <t>Ong Kim Toàn</t>
  </si>
  <si>
    <t>Giáo viên Tiếng Anh Trung Học</t>
  </si>
  <si>
    <t>Full-time</t>
  </si>
  <si>
    <t>Thầy Sơn</t>
  </si>
  <si>
    <t>GV làm vườn</t>
  </si>
  <si>
    <t>Chị Thư phụ huynh</t>
  </si>
  <si>
    <t>Nhân viên</t>
  </si>
  <si>
    <t>Nguyễn Thị Hồng Thanh</t>
  </si>
  <si>
    <t>Phụ trách chuyên Môn</t>
  </si>
  <si>
    <t>Lê Thị Thanh Trúc</t>
  </si>
  <si>
    <t>Quản lý hành chính - VP</t>
  </si>
  <si>
    <t>Lê Minh Thái</t>
  </si>
  <si>
    <t>Quản lý bảo trì- sửa chữa</t>
  </si>
  <si>
    <t>Nguyễn Thị Dưỡng</t>
  </si>
  <si>
    <t>Giáo vụ</t>
  </si>
  <si>
    <t>Trương Thị Thúy Kiều</t>
  </si>
  <si>
    <t>Y tế</t>
  </si>
  <si>
    <t>Nguyễn Hồng Cầm</t>
  </si>
  <si>
    <t xml:space="preserve">Kế toán </t>
  </si>
  <si>
    <t>Đỗ Thanh Tra</t>
  </si>
  <si>
    <t>Bảo vệ</t>
  </si>
  <si>
    <t>Vương Hoài Ân</t>
  </si>
  <si>
    <t>Nguyễn Thị Bé</t>
  </si>
  <si>
    <t>Phụ bếp</t>
  </si>
  <si>
    <t>Nguyễn Ngọc Thanh</t>
  </si>
  <si>
    <t>Phạm Thị Phú Hòa</t>
  </si>
  <si>
    <t>Nhân viên vệ sinh</t>
  </si>
  <si>
    <t>Truyền thông</t>
  </si>
  <si>
    <t>Bùi Minh Quang</t>
  </si>
  <si>
    <t>QL bộ phận tryền thông</t>
  </si>
  <si>
    <t>Nguyễn Đình Hưng</t>
  </si>
  <si>
    <t>Vũ Thị Minh Thu</t>
  </si>
  <si>
    <t>Thầy Vũ</t>
  </si>
  <si>
    <t>Nghỉ thai sản</t>
  </si>
  <si>
    <t>Đinh Thị Thùy Diên</t>
  </si>
  <si>
    <t>Tình nguyện viên</t>
  </si>
  <si>
    <t>Trần Kim Minh</t>
  </si>
  <si>
    <t>Tình nguyện viên truyền thông</t>
  </si>
  <si>
    <t>Không lương</t>
  </si>
  <si>
    <t>1 bup sen</t>
  </si>
  <si>
    <t>1 giờ</t>
  </si>
  <si>
    <t>1 mầm non</t>
  </si>
  <si>
    <t>lg năm</t>
  </si>
  <si>
    <t>PC con</t>
  </si>
  <si>
    <t>Luong</t>
  </si>
  <si>
    <t>Giờ</t>
  </si>
  <si>
    <t>* Tăng 6 GV Fulltime</t>
  </si>
  <si>
    <t>4 GV Part-time</t>
  </si>
  <si>
    <t>Chi mua học liệu như phấn, màu, vở, bút, sách TA ….</t>
  </si>
  <si>
    <t>máy tính được tài trợ (Cp sửa phòng, lắp máy lạnh)</t>
  </si>
  <si>
    <t>Cp ps trong T7,8 là 220tr</t>
  </si>
  <si>
    <t>Số này năm rồi bao gồm cả cp xây dựng)</t>
  </si>
  <si>
    <t>Bảo hiểm cty phải nộp tháng 8</t>
  </si>
  <si>
    <t>1. Ước tính học phí 1 năm</t>
  </si>
  <si>
    <t xml:space="preserve"> 2. Field trip</t>
  </si>
  <si>
    <t>3. Cơ sở vất chất</t>
  </si>
  <si>
    <t>Tổng học sinh</t>
  </si>
  <si>
    <t>Con giáo viên giảm 100%</t>
  </si>
  <si>
    <t>Con giáo viên giảm 50%</t>
  </si>
  <si>
    <t>Con giáo viên giảm 25%</t>
  </si>
  <si>
    <t>Hsinh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</si>
</sst>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3"/>
    </font>
    <font>
      <b/>
      <sz val="14"/>
      <color theme="1"/>
      <name val="Arial"/>
      <family val="2"/>
      <charset val="163"/>
    </font>
    <font>
      <b/>
      <sz val="11"/>
      <color theme="1"/>
      <name val="Arial"/>
      <family val="2"/>
      <charset val="163"/>
    </font>
    <font>
      <sz val="11"/>
      <color rgb="FFFF0000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sz val="10"/>
      <color theme="1"/>
      <name val="Arial"/>
      <family val="2"/>
      <charset val="163"/>
    </font>
    <font>
      <b/>
      <sz val="10"/>
      <color theme="1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63"/>
    </font>
    <font>
      <b/>
      <sz val="11"/>
      <name val="Times New Roman"/>
      <family val="1"/>
      <charset val="163"/>
    </font>
    <font>
      <sz val="11"/>
      <color rgb="FFFF0000"/>
      <name val="Calibri"/>
      <family val="2"/>
      <scheme val="minor"/>
    </font>
    <font>
      <b/>
      <sz val="14"/>
      <color rgb="FF000000"/>
      <name val="Arial"/>
    </font>
    <font>
      <sz val="11"/>
      <name val="Calibri"/>
    </font>
    <font>
      <sz val="11"/>
      <color rgb="FF000000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2"/>
      <color rgb="FF000000"/>
      <name val="Calibri"/>
    </font>
    <font>
      <sz val="11"/>
      <color rgb="FF000000"/>
      <name val="Arial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163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000000"/>
      </bottom>
      <diagonal/>
    </border>
    <border>
      <left/>
      <right/>
      <top style="thin">
        <color rgb="FFAAAAAA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41" fontId="4" fillId="3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41" fontId="4" fillId="4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1" fontId="2" fillId="0" borderId="1" xfId="0" applyNumberFormat="1" applyFont="1" applyBorder="1"/>
    <xf numFmtId="0" fontId="2" fillId="0" borderId="4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1" fontId="4" fillId="0" borderId="1" xfId="0" applyNumberFormat="1" applyFont="1" applyBorder="1"/>
    <xf numFmtId="0" fontId="4" fillId="0" borderId="0" xfId="0" applyFont="1"/>
    <xf numFmtId="41" fontId="2" fillId="0" borderId="0" xfId="0" applyNumberFormat="1" applyFont="1"/>
    <xf numFmtId="41" fontId="5" fillId="0" borderId="1" xfId="0" applyNumberFormat="1" applyFont="1" applyBorder="1"/>
    <xf numFmtId="164" fontId="2" fillId="0" borderId="0" xfId="1" applyNumberFormat="1" applyFont="1"/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10" fontId="2" fillId="0" borderId="1" xfId="1" applyNumberFormat="1" applyFont="1" applyBorder="1"/>
    <xf numFmtId="165" fontId="2" fillId="0" borderId="0" xfId="2" applyNumberFormat="1" applyFont="1"/>
    <xf numFmtId="165" fontId="2" fillId="0" borderId="0" xfId="0" applyNumberFormat="1" applyFont="1"/>
    <xf numFmtId="165" fontId="4" fillId="0" borderId="0" xfId="0" applyNumberFormat="1" applyFont="1"/>
    <xf numFmtId="3" fontId="2" fillId="0" borderId="0" xfId="0" applyNumberFormat="1" applyFont="1"/>
    <xf numFmtId="0" fontId="5" fillId="0" borderId="1" xfId="0" applyFont="1" applyBorder="1"/>
    <xf numFmtId="0" fontId="6" fillId="0" borderId="3" xfId="3" quotePrefix="1" applyBorder="1" applyAlignment="1">
      <alignment wrapText="1"/>
    </xf>
    <xf numFmtId="0" fontId="2" fillId="0" borderId="0" xfId="0" applyFont="1" applyAlignment="1">
      <alignment wrapText="1"/>
    </xf>
    <xf numFmtId="165" fontId="0" fillId="0" borderId="0" xfId="2" applyNumberFormat="1" applyFont="1"/>
    <xf numFmtId="41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2" fillId="3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2" fillId="8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1" fontId="11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/>
    <xf numFmtId="3" fontId="9" fillId="0" borderId="0" xfId="0" applyNumberFormat="1" applyFont="1"/>
    <xf numFmtId="41" fontId="9" fillId="0" borderId="0" xfId="0" applyNumberFormat="1" applyFont="1"/>
    <xf numFmtId="41" fontId="11" fillId="4" borderId="0" xfId="0" applyNumberFormat="1" applyFont="1" applyFill="1"/>
    <xf numFmtId="41" fontId="2" fillId="11" borderId="1" xfId="0" applyNumberFormat="1" applyFont="1" applyFill="1" applyBorder="1"/>
    <xf numFmtId="43" fontId="9" fillId="11" borderId="0" xfId="0" applyNumberFormat="1" applyFont="1" applyFill="1"/>
    <xf numFmtId="0" fontId="9" fillId="11" borderId="0" xfId="0" applyFont="1" applyFill="1"/>
    <xf numFmtId="41" fontId="16" fillId="0" borderId="0" xfId="0" applyNumberFormat="1" applyFont="1"/>
    <xf numFmtId="0" fontId="17" fillId="0" borderId="0" xfId="0" applyFont="1"/>
    <xf numFmtId="41" fontId="17" fillId="0" borderId="0" xfId="0" applyNumberFormat="1" applyFont="1"/>
    <xf numFmtId="0" fontId="18" fillId="0" borderId="0" xfId="0" applyFont="1"/>
    <xf numFmtId="0" fontId="0" fillId="0" borderId="0" xfId="0" applyAlignment="1">
      <alignment horizontal="center"/>
    </xf>
    <xf numFmtId="43" fontId="0" fillId="0" borderId="0" xfId="0" applyNumberFormat="1"/>
    <xf numFmtId="43" fontId="2" fillId="0" borderId="0" xfId="0" applyNumberFormat="1" applyFont="1"/>
    <xf numFmtId="41" fontId="5" fillId="11" borderId="1" xfId="0" applyNumberFormat="1" applyFont="1" applyFill="1" applyBorder="1"/>
    <xf numFmtId="0" fontId="22" fillId="0" borderId="0" xfId="0" applyFont="1" applyAlignment="1"/>
    <xf numFmtId="0" fontId="0" fillId="0" borderId="0" xfId="0" applyFont="1" applyAlignment="1"/>
    <xf numFmtId="49" fontId="24" fillId="14" borderId="11" xfId="0" applyNumberFormat="1" applyFont="1" applyFill="1" applyBorder="1" applyAlignment="1">
      <alignment horizontal="center" vertical="center"/>
    </xf>
    <xf numFmtId="0" fontId="26" fillId="0" borderId="0" xfId="0" applyFont="1" applyAlignment="1"/>
    <xf numFmtId="0" fontId="27" fillId="13" borderId="11" xfId="0" applyFont="1" applyFill="1" applyBorder="1" applyAlignment="1">
      <alignment horizontal="center" vertical="center"/>
    </xf>
    <xf numFmtId="49" fontId="27" fillId="13" borderId="11" xfId="0" applyNumberFormat="1" applyFont="1" applyFill="1" applyBorder="1" applyAlignment="1">
      <alignment vertical="center"/>
    </xf>
    <xf numFmtId="49" fontId="27" fillId="13" borderId="11" xfId="0" applyNumberFormat="1" applyFont="1" applyFill="1" applyBorder="1" applyAlignment="1">
      <alignment horizontal="left" vertical="center"/>
    </xf>
    <xf numFmtId="0" fontId="27" fillId="13" borderId="11" xfId="0" applyFont="1" applyFill="1" applyBorder="1" applyAlignment="1">
      <alignment vertical="center" wrapText="1"/>
    </xf>
    <xf numFmtId="0" fontId="27" fillId="13" borderId="11" xfId="0" applyFont="1" applyFill="1" applyBorder="1" applyAlignment="1">
      <alignment vertical="center"/>
    </xf>
    <xf numFmtId="0" fontId="27" fillId="13" borderId="11" xfId="0" applyFont="1" applyFill="1" applyBorder="1" applyAlignment="1">
      <alignment horizontal="left" vertical="center"/>
    </xf>
    <xf numFmtId="0" fontId="27" fillId="17" borderId="11" xfId="0" applyFont="1" applyFill="1" applyBorder="1" applyAlignment="1">
      <alignment horizontal="center" vertical="center"/>
    </xf>
    <xf numFmtId="49" fontId="27" fillId="17" borderId="11" xfId="0" applyNumberFormat="1" applyFont="1" applyFill="1" applyBorder="1" applyAlignment="1">
      <alignment vertical="center"/>
    </xf>
    <xf numFmtId="49" fontId="27" fillId="17" borderId="11" xfId="0" applyNumberFormat="1" applyFont="1" applyFill="1" applyBorder="1" applyAlignment="1">
      <alignment horizontal="left" vertical="center"/>
    </xf>
    <xf numFmtId="0" fontId="27" fillId="17" borderId="11" xfId="0" applyFont="1" applyFill="1" applyBorder="1" applyAlignment="1">
      <alignment horizontal="left" vertical="center"/>
    </xf>
    <xf numFmtId="0" fontId="27" fillId="17" borderId="11" xfId="0" applyFont="1" applyFill="1" applyBorder="1" applyAlignment="1">
      <alignment vertical="center"/>
    </xf>
    <xf numFmtId="0" fontId="22" fillId="11" borderId="0" xfId="0" applyFont="1" applyFill="1" applyAlignment="1"/>
    <xf numFmtId="0" fontId="0" fillId="11" borderId="0" xfId="0" applyFont="1" applyFill="1" applyAlignment="1"/>
    <xf numFmtId="49" fontId="24" fillId="13" borderId="11" xfId="0" applyNumberFormat="1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165" fontId="0" fillId="0" borderId="0" xfId="2" applyNumberFormat="1" applyFont="1" applyAlignment="1"/>
    <xf numFmtId="165" fontId="0" fillId="11" borderId="0" xfId="2" applyNumberFormat="1" applyFont="1" applyFill="1" applyAlignment="1"/>
    <xf numFmtId="165" fontId="0" fillId="0" borderId="0" xfId="0" applyNumberFormat="1" applyFont="1" applyAlignment="1"/>
    <xf numFmtId="165" fontId="0" fillId="0" borderId="0" xfId="2" applyNumberFormat="1" applyFont="1" applyAlignment="1">
      <alignment horizontal="center"/>
    </xf>
    <xf numFmtId="165" fontId="19" fillId="11" borderId="0" xfId="2" applyNumberFormat="1" applyFont="1" applyFill="1" applyAlignment="1"/>
    <xf numFmtId="165" fontId="19" fillId="0" borderId="0" xfId="2" applyNumberFormat="1" applyFont="1" applyAlignment="1"/>
    <xf numFmtId="41" fontId="2" fillId="4" borderId="1" xfId="0" applyNumberFormat="1" applyFont="1" applyFill="1" applyBorder="1"/>
    <xf numFmtId="41" fontId="5" fillId="4" borderId="1" xfId="0" applyNumberFormat="1" applyFont="1" applyFill="1" applyBorder="1"/>
    <xf numFmtId="0" fontId="5" fillId="11" borderId="4" xfId="0" applyFont="1" applyFill="1" applyBorder="1" applyAlignment="1">
      <alignment horizontal="left" wrapText="1"/>
    </xf>
    <xf numFmtId="43" fontId="2" fillId="4" borderId="0" xfId="0" applyNumberFormat="1" applyFont="1" applyFill="1"/>
    <xf numFmtId="0" fontId="2" fillId="11" borderId="3" xfId="0" applyFont="1" applyFill="1" applyBorder="1" applyAlignment="1">
      <alignment wrapText="1"/>
    </xf>
    <xf numFmtId="0" fontId="28" fillId="0" borderId="0" xfId="0" applyFont="1" applyAlignment="1">
      <alignment horizontal="center"/>
    </xf>
    <xf numFmtId="165" fontId="28" fillId="0" borderId="0" xfId="2" applyNumberFormat="1" applyFont="1"/>
    <xf numFmtId="0" fontId="28" fillId="0" borderId="0" xfId="0" applyFont="1"/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6" fillId="0" borderId="3" xfId="3" quotePrefix="1" applyBorder="1" applyAlignment="1">
      <alignment horizontal="left" wrapText="1"/>
    </xf>
    <xf numFmtId="0" fontId="6" fillId="0" borderId="4" xfId="3" applyBorder="1" applyAlignment="1">
      <alignment horizontal="left" wrapText="1"/>
    </xf>
    <xf numFmtId="0" fontId="12" fillId="8" borderId="0" xfId="0" applyFont="1" applyFill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10" borderId="0" xfId="0" applyFont="1" applyFill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5" borderId="0" xfId="0" applyFont="1" applyFill="1" applyAlignment="1">
      <alignment horizontal="center" wrapText="1"/>
    </xf>
    <xf numFmtId="0" fontId="12" fillId="6" borderId="0" xfId="0" applyFont="1" applyFill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49" fontId="25" fillId="21" borderId="12" xfId="0" applyNumberFormat="1" applyFont="1" applyFill="1" applyBorder="1" applyAlignment="1">
      <alignment horizontal="center" vertical="center"/>
    </xf>
    <xf numFmtId="0" fontId="21" fillId="0" borderId="13" xfId="0" applyFont="1" applyBorder="1"/>
    <xf numFmtId="0" fontId="21" fillId="0" borderId="14" xfId="0" applyFont="1" applyBorder="1"/>
    <xf numFmtId="49" fontId="20" fillId="12" borderId="5" xfId="0" applyNumberFormat="1" applyFont="1" applyFill="1" applyBorder="1" applyAlignment="1">
      <alignment horizontal="center" vertical="center"/>
    </xf>
    <xf numFmtId="0" fontId="21" fillId="0" borderId="6" xfId="0" applyFont="1" applyBorder="1"/>
    <xf numFmtId="0" fontId="21" fillId="0" borderId="7" xfId="0" applyFont="1" applyBorder="1"/>
    <xf numFmtId="49" fontId="23" fillId="13" borderId="8" xfId="0" applyNumberFormat="1" applyFont="1" applyFill="1" applyBorder="1" applyAlignment="1">
      <alignment horizontal="right" vertical="center"/>
    </xf>
    <xf numFmtId="0" fontId="21" fillId="0" borderId="9" xfId="0" applyFont="1" applyBorder="1"/>
    <xf numFmtId="0" fontId="21" fillId="0" borderId="10" xfId="0" applyFont="1" applyBorder="1"/>
    <xf numFmtId="49" fontId="25" fillId="15" borderId="12" xfId="0" applyNumberFormat="1" applyFont="1" applyFill="1" applyBorder="1" applyAlignment="1">
      <alignment horizontal="center" vertical="center"/>
    </xf>
    <xf numFmtId="49" fontId="27" fillId="13" borderId="12" xfId="0" applyNumberFormat="1" applyFont="1" applyFill="1" applyBorder="1" applyAlignment="1">
      <alignment horizontal="center" vertical="center"/>
    </xf>
    <xf numFmtId="49" fontId="25" fillId="16" borderId="12" xfId="0" applyNumberFormat="1" applyFont="1" applyFill="1" applyBorder="1" applyAlignment="1">
      <alignment horizontal="center" vertical="center"/>
    </xf>
    <xf numFmtId="0" fontId="27" fillId="13" borderId="15" xfId="0" applyFont="1" applyFill="1" applyBorder="1" applyAlignment="1">
      <alignment horizontal="left" vertical="center"/>
    </xf>
    <xf numFmtId="0" fontId="21" fillId="0" borderId="16" xfId="0" applyFont="1" applyBorder="1"/>
    <xf numFmtId="49" fontId="25" fillId="18" borderId="12" xfId="0" applyNumberFormat="1" applyFont="1" applyFill="1" applyBorder="1" applyAlignment="1">
      <alignment horizontal="center" vertical="center"/>
    </xf>
    <xf numFmtId="49" fontId="25" fillId="19" borderId="12" xfId="0" applyNumberFormat="1" applyFont="1" applyFill="1" applyBorder="1" applyAlignment="1">
      <alignment horizontal="center" vertical="center"/>
    </xf>
    <xf numFmtId="49" fontId="25" fillId="20" borderId="1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165" fontId="9" fillId="0" borderId="0" xfId="2" applyNumberFormat="1" applyFont="1"/>
    <xf numFmtId="0" fontId="29" fillId="0" borderId="0" xfId="0" applyFont="1"/>
    <xf numFmtId="165" fontId="29" fillId="0" borderId="0" xfId="2" applyNumberFormat="1" applyFont="1"/>
    <xf numFmtId="0" fontId="6" fillId="0" borderId="2" xfId="3" quotePrefix="1" applyBorder="1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88900</xdr:rowOff>
    </xdr:from>
    <xdr:to>
      <xdr:col>1</xdr:col>
      <xdr:colOff>946150</xdr:colOff>
      <xdr:row>3</xdr:row>
      <xdr:rowOff>127000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19" b="19725"/>
        <a:stretch/>
      </xdr:blipFill>
      <xdr:spPr bwMode="auto">
        <a:xfrm>
          <a:off x="0" y="88900"/>
          <a:ext cx="1276350" cy="6223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781050</xdr:colOff>
      <xdr:row>2</xdr:row>
      <xdr:rowOff>174625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019" b="19725"/>
        <a:stretch/>
      </xdr:blipFill>
      <xdr:spPr bwMode="auto">
        <a:xfrm>
          <a:off x="0" y="0"/>
          <a:ext cx="1181100" cy="574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E%20NGUYEN/BOD%20DONG%20XANH/BAO%20CAO%20THU%20CHI/Bao%20cao%20chinh%20thuc/DONG%20XANH_BAO%20CAO%20QUAN%20TRI%20thang%2006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UE%20NGUYEN/BOD%20DONG%20XANH/BAO%20CAO%20THU%20CHI/H&#7885;c%20ph&#237;%20tr&#7885;n%20&#273;&#7901;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UE%20NGUYEN/BOD%20DONG%20XANH/BAO%20CAO%20THU%20CHI/Bao%20cao%20chinh%20thuc/DONG%20XANH_BAO%20CAO%20QUAN%20TRI%20thang%2001.2023%20&amp;%20KH%20Thu-Chi%202023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 NSACH"/>
      <sheetName val="Bao cao Thu-Chi"/>
      <sheetName val="Bao cao Thu-Chi T10 (2)"/>
      <sheetName val="Bao cao Thu-Chi T6"/>
      <sheetName val="TH chi T10"/>
      <sheetName val="Ket qua KD T10"/>
      <sheetName val="Ket qua KD T6"/>
      <sheetName val="Chi phi"/>
      <sheetName val="TH chi T6"/>
      <sheetName val="Thu"/>
      <sheetName val="Chi"/>
      <sheetName val="Nguon thu"/>
      <sheetName val="Lương t6"/>
      <sheetName val="Tai san"/>
      <sheetName val="BC cong no"/>
      <sheetName val="Danh sách nợ còn phải thu t6"/>
      <sheetName val="Danh sách nợ khó đòi"/>
      <sheetName val="Danh sách đóng trước nguyên năm"/>
      <sheetName val="Danh sách gói HP"/>
      <sheetName val="Các khoản vay mượ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H4">
            <v>76344000</v>
          </cell>
        </row>
        <row r="11">
          <cell r="H11">
            <v>248964000</v>
          </cell>
        </row>
        <row r="35">
          <cell r="H35">
            <v>114488727</v>
          </cell>
        </row>
        <row r="48">
          <cell r="H48">
            <v>93692000</v>
          </cell>
        </row>
        <row r="57">
          <cell r="H57">
            <v>22700000</v>
          </cell>
        </row>
        <row r="61">
          <cell r="H61">
            <v>9000000</v>
          </cell>
        </row>
        <row r="65">
          <cell r="H65">
            <v>10296000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ọc phí trọn đời"/>
      <sheetName val="Sheet2"/>
      <sheetName val="Sheet3"/>
    </sheetNames>
    <sheetDataSet>
      <sheetData sheetId="0">
        <row r="22">
          <cell r="N22">
            <v>182500000</v>
          </cell>
          <cell r="Q22">
            <v>928545833.33333325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 NSACH"/>
      <sheetName val="CPTTB"/>
      <sheetName val="Bao cao Thu-Chi"/>
      <sheetName val="Bao cao Thu-Chi T10 (2)"/>
      <sheetName val="Bao cao Thu-Chi T1"/>
      <sheetName val="TH chi T10"/>
      <sheetName val="Ket qua KD T10"/>
      <sheetName val="Ket qua KD T1"/>
      <sheetName val="Chi phi"/>
      <sheetName val="TH chi T1"/>
      <sheetName val="Thu"/>
      <sheetName val="Chi"/>
      <sheetName val="Nguon thu"/>
      <sheetName val="Lương t13"/>
      <sheetName val="Lương t1"/>
      <sheetName val="Tai san"/>
      <sheetName val="BC cong 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79565000</v>
          </cell>
        </row>
        <row r="9">
          <cell r="M9">
            <v>73730000</v>
          </cell>
        </row>
        <row r="10">
          <cell r="M10">
            <v>41245000</v>
          </cell>
        </row>
        <row r="12">
          <cell r="M12">
            <v>103740000</v>
          </cell>
        </row>
        <row r="13">
          <cell r="M13">
            <v>72640000</v>
          </cell>
        </row>
        <row r="14">
          <cell r="M14">
            <v>107580000</v>
          </cell>
        </row>
        <row r="15">
          <cell r="M15">
            <v>109600000</v>
          </cell>
        </row>
        <row r="22">
          <cell r="M22">
            <v>89880000</v>
          </cell>
        </row>
        <row r="26">
          <cell r="M26">
            <v>1450207500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5"/>
  <sheetViews>
    <sheetView tabSelected="1" zoomScale="90" zoomScaleNormal="90" workbookViewId="0">
      <selection activeCell="E11" sqref="E11"/>
    </sheetView>
  </sheetViews>
  <sheetFormatPr defaultColWidth="8.7265625" defaultRowHeight="14"/>
  <cols>
    <col min="1" max="1" width="4.7265625" style="1" customWidth="1"/>
    <col min="2" max="2" width="48.1796875" style="2" customWidth="1"/>
    <col min="3" max="3" width="18.7265625" style="2" customWidth="1"/>
    <col min="4" max="4" width="32" style="2" customWidth="1"/>
    <col min="5" max="5" width="25.54296875" style="2" customWidth="1"/>
    <col min="6" max="6" width="18.7265625" style="2" customWidth="1"/>
    <col min="7" max="16384" width="8.7265625" style="2"/>
  </cols>
  <sheetData>
    <row r="3" spans="1:4" ht="18">
      <c r="B3" s="103" t="s">
        <v>63</v>
      </c>
      <c r="C3" s="103"/>
      <c r="D3" s="103"/>
    </row>
    <row r="4" spans="1:4" ht="18">
      <c r="A4" s="3"/>
      <c r="B4" s="3"/>
      <c r="C4" s="3"/>
      <c r="D4" s="3"/>
    </row>
    <row r="6" spans="1:4" ht="30" customHeight="1">
      <c r="A6" s="4" t="s">
        <v>0</v>
      </c>
      <c r="B6" s="4" t="s">
        <v>1</v>
      </c>
      <c r="C6" s="5" t="s">
        <v>2</v>
      </c>
      <c r="D6" s="4" t="s">
        <v>3</v>
      </c>
    </row>
    <row r="7" spans="1:4" ht="21.65" customHeight="1">
      <c r="A7" s="6" t="s">
        <v>4</v>
      </c>
      <c r="B7" s="7" t="s">
        <v>5</v>
      </c>
      <c r="C7" s="8">
        <f>C8-C17</f>
        <v>101540509</v>
      </c>
      <c r="D7" s="7"/>
    </row>
    <row r="8" spans="1:4" ht="15" customHeight="1">
      <c r="A8" s="9" t="s">
        <v>6</v>
      </c>
      <c r="B8" s="10" t="s">
        <v>7</v>
      </c>
      <c r="C8" s="11">
        <f>SUM(C9:C16)</f>
        <v>16097573325</v>
      </c>
      <c r="D8" s="23"/>
    </row>
    <row r="9" spans="1:4" ht="15" customHeight="1">
      <c r="A9" s="12"/>
      <c r="B9" s="13" t="s">
        <v>8</v>
      </c>
      <c r="C9" s="14">
        <f>'Nguon thu t9.23'!H40</f>
        <v>17078859250</v>
      </c>
      <c r="D9" s="31" t="s">
        <v>162</v>
      </c>
    </row>
    <row r="10" spans="1:4" ht="15" customHeight="1">
      <c r="A10" s="12"/>
      <c r="B10" s="13" t="s">
        <v>9</v>
      </c>
      <c r="C10" s="58">
        <f>'Nguon thu t9.23'!S31*8.5</f>
        <v>411825000</v>
      </c>
      <c r="D10" s="99" t="s">
        <v>167</v>
      </c>
    </row>
    <row r="11" spans="1:4" ht="15" customHeight="1">
      <c r="A11" s="12"/>
      <c r="B11" s="13" t="s">
        <v>10</v>
      </c>
      <c r="C11" s="14">
        <f>'Nguon thu t9.23'!AC31*8.5</f>
        <v>740775000</v>
      </c>
      <c r="D11" s="24" t="s">
        <v>163</v>
      </c>
    </row>
    <row r="12" spans="1:4" ht="15" hidden="1" customHeight="1">
      <c r="A12" s="12"/>
      <c r="B12" s="13" t="s">
        <v>11</v>
      </c>
      <c r="C12" s="14">
        <f>0</f>
        <v>0</v>
      </c>
      <c r="D12" s="106" t="s">
        <v>164</v>
      </c>
    </row>
    <row r="13" spans="1:4" ht="15" customHeight="1">
      <c r="A13" s="12"/>
      <c r="B13" s="13" t="s">
        <v>12</v>
      </c>
      <c r="C13" s="14">
        <f>-'Nguon thu t9.23'!H41</f>
        <v>-136000000</v>
      </c>
      <c r="D13" s="107"/>
    </row>
    <row r="14" spans="1:4" ht="29.5" customHeight="1">
      <c r="A14" s="12"/>
      <c r="B14" s="13" t="s">
        <v>13</v>
      </c>
      <c r="C14" s="68">
        <f>-290000000</f>
        <v>-290000000</v>
      </c>
      <c r="D14" s="97" t="s">
        <v>82</v>
      </c>
    </row>
    <row r="15" spans="1:4" ht="32" customHeight="1">
      <c r="A15" s="12"/>
      <c r="B15" s="13" t="s">
        <v>14</v>
      </c>
      <c r="C15" s="14">
        <f>-C9*10%</f>
        <v>-1707885925</v>
      </c>
      <c r="D15" s="23" t="s">
        <v>15</v>
      </c>
    </row>
    <row r="16" spans="1:4" ht="15" customHeight="1">
      <c r="A16" s="12"/>
      <c r="B16" s="13"/>
      <c r="C16" s="14"/>
      <c r="D16" s="24"/>
    </row>
    <row r="17" spans="1:5" s="19" customFormat="1" ht="15" customHeight="1">
      <c r="A17" s="16" t="s">
        <v>16</v>
      </c>
      <c r="B17" s="17" t="s">
        <v>17</v>
      </c>
      <c r="C17" s="18">
        <f>SUM(C18:C37)</f>
        <v>15996032816</v>
      </c>
      <c r="D17" s="23"/>
    </row>
    <row r="18" spans="1:5" ht="15" customHeight="1">
      <c r="A18" s="12">
        <v>1</v>
      </c>
      <c r="B18" s="13" t="s">
        <v>18</v>
      </c>
      <c r="C18" s="14">
        <f>'Luong BH'!F3</f>
        <v>8514901451</v>
      </c>
      <c r="D18" s="108" t="s">
        <v>84</v>
      </c>
      <c r="E18" s="20"/>
    </row>
    <row r="19" spans="1:5" ht="15" customHeight="1">
      <c r="A19" s="12">
        <v>2</v>
      </c>
      <c r="B19" s="13" t="s">
        <v>19</v>
      </c>
      <c r="C19" s="14">
        <f>'Luong BH'!F4</f>
        <v>517104240</v>
      </c>
      <c r="D19" s="109"/>
      <c r="E19" s="20"/>
    </row>
    <row r="20" spans="1:5" ht="15" customHeight="1">
      <c r="A20" s="12">
        <v>3</v>
      </c>
      <c r="B20" s="13" t="s">
        <v>20</v>
      </c>
      <c r="C20" s="14">
        <f>'Nguon thu t9.23'!H43</f>
        <v>498407125</v>
      </c>
      <c r="D20" s="13" t="s">
        <v>21</v>
      </c>
      <c r="E20" s="20"/>
    </row>
    <row r="21" spans="1:5" ht="15" customHeight="1">
      <c r="A21" s="12">
        <v>4</v>
      </c>
      <c r="B21" s="13" t="s">
        <v>22</v>
      </c>
      <c r="C21" s="21">
        <v>165000000</v>
      </c>
      <c r="D21" s="30"/>
      <c r="E21" s="67"/>
    </row>
    <row r="22" spans="1:5" ht="15" customHeight="1">
      <c r="A22" s="12">
        <v>5</v>
      </c>
      <c r="B22" s="13" t="s">
        <v>301</v>
      </c>
      <c r="C22" s="21">
        <v>600000000</v>
      </c>
      <c r="D22" s="104"/>
      <c r="E22" s="98"/>
    </row>
    <row r="23" spans="1:5" ht="15" customHeight="1">
      <c r="A23" s="12">
        <v>6</v>
      </c>
      <c r="B23" s="13" t="s">
        <v>106</v>
      </c>
      <c r="C23" s="21">
        <v>200000000</v>
      </c>
      <c r="D23" s="105"/>
    </row>
    <row r="24" spans="1:5" ht="15" customHeight="1">
      <c r="A24" s="12">
        <v>7</v>
      </c>
      <c r="B24" s="13" t="s">
        <v>23</v>
      </c>
      <c r="C24" s="14">
        <v>60000000</v>
      </c>
      <c r="D24" s="15" t="s">
        <v>24</v>
      </c>
    </row>
    <row r="25" spans="1:5" ht="15" customHeight="1">
      <c r="A25" s="12">
        <v>8</v>
      </c>
      <c r="B25" s="13" t="s">
        <v>25</v>
      </c>
      <c r="C25" s="14">
        <v>150000000</v>
      </c>
      <c r="D25" s="13"/>
    </row>
    <row r="26" spans="1:5" ht="15" customHeight="1">
      <c r="A26" s="12">
        <v>9</v>
      </c>
      <c r="B26" s="13" t="s">
        <v>26</v>
      </c>
      <c r="C26" s="21">
        <v>1300000000</v>
      </c>
      <c r="D26" s="30"/>
    </row>
    <row r="27" spans="1:5" ht="15" customHeight="1">
      <c r="A27" s="12">
        <v>10</v>
      </c>
      <c r="B27" s="13" t="s">
        <v>27</v>
      </c>
      <c r="C27" s="14">
        <v>637500000</v>
      </c>
      <c r="D27" s="30"/>
    </row>
    <row r="28" spans="1:5" ht="15" customHeight="1">
      <c r="A28" s="12">
        <v>11</v>
      </c>
      <c r="B28" s="13" t="s">
        <v>28</v>
      </c>
      <c r="C28" s="14">
        <v>2313120000</v>
      </c>
      <c r="D28" s="13"/>
      <c r="E28" s="27"/>
    </row>
    <row r="29" spans="1:5" ht="15" customHeight="1">
      <c r="A29" s="12">
        <v>12</v>
      </c>
      <c r="B29" s="13" t="s">
        <v>29</v>
      </c>
      <c r="C29" s="95">
        <v>60000000</v>
      </c>
      <c r="D29" s="13"/>
      <c r="E29" s="27"/>
    </row>
    <row r="30" spans="1:5" ht="15" customHeight="1">
      <c r="A30" s="12">
        <v>13</v>
      </c>
      <c r="B30" s="13" t="s">
        <v>30</v>
      </c>
      <c r="C30" s="95">
        <v>250000000</v>
      </c>
      <c r="D30" s="13"/>
      <c r="E30" s="67"/>
    </row>
    <row r="31" spans="1:5" ht="15" customHeight="1">
      <c r="A31" s="12">
        <v>14</v>
      </c>
      <c r="B31" s="13" t="s">
        <v>31</v>
      </c>
      <c r="C31" s="95">
        <v>10000000</v>
      </c>
      <c r="D31" s="13"/>
      <c r="E31" s="67"/>
    </row>
    <row r="32" spans="1:5" ht="15" customHeight="1">
      <c r="A32" s="12">
        <v>15</v>
      </c>
      <c r="B32" s="13" t="s">
        <v>32</v>
      </c>
      <c r="C32" s="95">
        <v>300000000</v>
      </c>
      <c r="D32" s="13"/>
      <c r="E32" s="67"/>
    </row>
    <row r="33" spans="1:5" ht="15" customHeight="1">
      <c r="A33" s="12">
        <v>16</v>
      </c>
      <c r="B33" s="13" t="s">
        <v>33</v>
      </c>
      <c r="C33" s="95">
        <v>120000000</v>
      </c>
      <c r="D33" s="13" t="s">
        <v>88</v>
      </c>
      <c r="E33" s="67"/>
    </row>
    <row r="34" spans="1:5" ht="15" customHeight="1">
      <c r="A34" s="12">
        <v>17</v>
      </c>
      <c r="B34" s="13" t="s">
        <v>87</v>
      </c>
      <c r="C34" s="96">
        <v>300000000</v>
      </c>
      <c r="D34" s="25" t="s">
        <v>105</v>
      </c>
    </row>
    <row r="35" spans="1:5" ht="15" hidden="1" customHeight="1">
      <c r="A35" s="12">
        <v>18</v>
      </c>
      <c r="B35" s="13" t="s">
        <v>13</v>
      </c>
      <c r="C35" s="21"/>
      <c r="D35" s="13"/>
      <c r="E35" s="22"/>
    </row>
    <row r="36" spans="1:5" ht="15" hidden="1" customHeight="1">
      <c r="A36" s="12">
        <v>19</v>
      </c>
      <c r="B36" s="13" t="s">
        <v>14</v>
      </c>
      <c r="C36" s="21"/>
      <c r="D36" s="106" t="s">
        <v>15</v>
      </c>
    </row>
    <row r="37" spans="1:5" ht="15" hidden="1" customHeight="1">
      <c r="A37" s="12">
        <v>20</v>
      </c>
      <c r="B37" s="13" t="s">
        <v>34</v>
      </c>
      <c r="C37" s="14"/>
      <c r="D37" s="107"/>
      <c r="E37" s="20"/>
    </row>
    <row r="38" spans="1:5" ht="15" hidden="1" customHeight="1">
      <c r="A38" s="12"/>
      <c r="B38" s="13"/>
      <c r="C38" s="14"/>
      <c r="D38" s="13"/>
    </row>
    <row r="39" spans="1:5" ht="21" customHeight="1">
      <c r="A39" s="6" t="s">
        <v>35</v>
      </c>
      <c r="B39" s="7" t="s">
        <v>36</v>
      </c>
      <c r="C39" s="8">
        <f>C40-C44</f>
        <v>373000000</v>
      </c>
      <c r="D39" s="7"/>
      <c r="E39" s="20"/>
    </row>
    <row r="40" spans="1:5" ht="15" customHeight="1">
      <c r="A40" s="16" t="s">
        <v>37</v>
      </c>
      <c r="B40" s="17" t="s">
        <v>38</v>
      </c>
      <c r="C40" s="18">
        <f>SUM(C41:C42)</f>
        <v>843000000</v>
      </c>
      <c r="D40" s="23"/>
    </row>
    <row r="41" spans="1:5" ht="16.5" customHeight="1">
      <c r="A41" s="12"/>
      <c r="B41" s="13" t="s">
        <v>39</v>
      </c>
      <c r="C41" s="14">
        <f>'Nguon thu t9.23'!H52</f>
        <v>843000000</v>
      </c>
      <c r="D41" s="138" t="s">
        <v>162</v>
      </c>
    </row>
    <row r="42" spans="1:5" ht="15" hidden="1" customHeight="1">
      <c r="A42" s="12"/>
      <c r="B42" s="13" t="s">
        <v>40</v>
      </c>
      <c r="C42" s="14"/>
      <c r="D42" s="13"/>
    </row>
    <row r="43" spans="1:5" ht="15" hidden="1" customHeight="1">
      <c r="A43" s="12"/>
      <c r="B43" s="13" t="s">
        <v>41</v>
      </c>
      <c r="C43" s="14"/>
      <c r="D43" s="13"/>
    </row>
    <row r="44" spans="1:5" ht="15" customHeight="1">
      <c r="A44" s="16" t="s">
        <v>42</v>
      </c>
      <c r="B44" s="17" t="s">
        <v>43</v>
      </c>
      <c r="C44" s="18">
        <f>SUM(C45:C47)</f>
        <v>470000000</v>
      </c>
      <c r="D44" s="17"/>
      <c r="E44" s="20"/>
    </row>
    <row r="45" spans="1:5" ht="15" customHeight="1">
      <c r="A45" s="12"/>
      <c r="B45" s="13" t="s">
        <v>44</v>
      </c>
      <c r="C45" s="21">
        <v>400000000</v>
      </c>
      <c r="D45" s="134" t="s">
        <v>303</v>
      </c>
    </row>
    <row r="46" spans="1:5" ht="30.5" customHeight="1">
      <c r="A46" s="12"/>
      <c r="B46" s="13" t="s">
        <v>45</v>
      </c>
      <c r="C46" s="21">
        <v>30000000</v>
      </c>
      <c r="D46" s="134" t="s">
        <v>302</v>
      </c>
    </row>
    <row r="47" spans="1:5" ht="30.5" customHeight="1">
      <c r="A47" s="12"/>
      <c r="B47" s="13" t="s">
        <v>47</v>
      </c>
      <c r="C47" s="21">
        <v>40000000</v>
      </c>
      <c r="D47" s="134" t="s">
        <v>304</v>
      </c>
    </row>
    <row r="48" spans="1:5" ht="15" customHeight="1">
      <c r="A48" s="12"/>
      <c r="B48" s="13"/>
      <c r="C48" s="14"/>
      <c r="D48" s="13"/>
    </row>
    <row r="49" spans="1:5" ht="19.5" customHeight="1">
      <c r="A49" s="6" t="s">
        <v>48</v>
      </c>
      <c r="B49" s="7" t="s">
        <v>49</v>
      </c>
      <c r="C49" s="8">
        <f>C7+C39</f>
        <v>474540509</v>
      </c>
      <c r="D49" s="7"/>
    </row>
    <row r="50" spans="1:5" ht="15" customHeight="1">
      <c r="A50" s="12"/>
      <c r="B50" s="13"/>
      <c r="C50" s="14"/>
      <c r="D50" s="13"/>
      <c r="E50" s="20"/>
    </row>
    <row r="51" spans="1:5" ht="15" hidden="1" customHeight="1">
      <c r="A51" s="6" t="s">
        <v>50</v>
      </c>
      <c r="B51" s="7" t="s">
        <v>51</v>
      </c>
      <c r="C51" s="8"/>
      <c r="D51" s="7"/>
      <c r="E51" s="20"/>
    </row>
    <row r="52" spans="1:5" ht="15" hidden="1" customHeight="1">
      <c r="A52" s="12"/>
      <c r="B52" s="13"/>
      <c r="C52" s="14"/>
      <c r="D52" s="13"/>
    </row>
    <row r="53" spans="1:5" ht="15" hidden="1" customHeight="1">
      <c r="A53" s="6" t="s">
        <v>52</v>
      </c>
      <c r="B53" s="7" t="s">
        <v>53</v>
      </c>
      <c r="C53" s="8">
        <f>C49-C51</f>
        <v>474540509</v>
      </c>
      <c r="D53" s="7"/>
    </row>
    <row r="54" spans="1:5" ht="15" hidden="1" customHeight="1">
      <c r="A54" s="12"/>
      <c r="B54" s="13"/>
      <c r="C54" s="14"/>
      <c r="D54" s="13"/>
    </row>
    <row r="55" spans="1:5" ht="19" customHeight="1">
      <c r="A55" s="6" t="s">
        <v>50</v>
      </c>
      <c r="B55" s="7" t="s">
        <v>54</v>
      </c>
      <c r="C55" s="8">
        <f>C56+C57</f>
        <v>400000000</v>
      </c>
      <c r="D55" s="7"/>
      <c r="E55" s="20"/>
    </row>
    <row r="56" spans="1:5" ht="15" customHeight="1">
      <c r="A56" s="12"/>
      <c r="B56" s="13" t="s">
        <v>55</v>
      </c>
      <c r="C56" s="14">
        <f>400000000</f>
        <v>400000000</v>
      </c>
      <c r="D56" s="13" t="s">
        <v>83</v>
      </c>
    </row>
    <row r="57" spans="1:5" ht="15" hidden="1" customHeight="1">
      <c r="A57" s="12"/>
      <c r="B57" s="13" t="s">
        <v>56</v>
      </c>
      <c r="C57" s="14"/>
      <c r="D57" s="13"/>
    </row>
    <row r="58" spans="1:5" ht="15" hidden="1" customHeight="1">
      <c r="A58" s="12"/>
      <c r="B58" s="13" t="s">
        <v>57</v>
      </c>
      <c r="C58" s="14">
        <f>0</f>
        <v>0</v>
      </c>
      <c r="D58" s="13"/>
    </row>
    <row r="59" spans="1:5" ht="15" customHeight="1">
      <c r="A59" s="12"/>
      <c r="B59" s="13"/>
      <c r="C59" s="14"/>
      <c r="D59" s="13"/>
    </row>
    <row r="60" spans="1:5" ht="20.149999999999999" customHeight="1">
      <c r="A60" s="6" t="s">
        <v>52</v>
      </c>
      <c r="B60" s="7" t="s">
        <v>58</v>
      </c>
      <c r="C60" s="8">
        <f>C49-C55</f>
        <v>74540509</v>
      </c>
      <c r="D60" s="7"/>
    </row>
    <row r="61" spans="1:5" ht="17.5" hidden="1" customHeight="1">
      <c r="A61" s="12"/>
      <c r="B61" s="13"/>
      <c r="C61" s="14"/>
      <c r="D61" s="13"/>
    </row>
    <row r="62" spans="1:5" ht="18.649999999999999" hidden="1" customHeight="1">
      <c r="A62" s="6" t="s">
        <v>52</v>
      </c>
      <c r="B62" s="7" t="s">
        <v>59</v>
      </c>
      <c r="C62" s="8">
        <f>SUM(C63:C65)</f>
        <v>0</v>
      </c>
      <c r="D62" s="7"/>
    </row>
    <row r="63" spans="1:5" hidden="1">
      <c r="A63" s="12"/>
      <c r="B63" s="13" t="s">
        <v>60</v>
      </c>
      <c r="C63" s="13"/>
      <c r="D63" s="13"/>
    </row>
    <row r="64" spans="1:5" hidden="1">
      <c r="A64" s="12"/>
      <c r="B64" s="13" t="s">
        <v>61</v>
      </c>
      <c r="C64" s="13"/>
      <c r="D64" s="13"/>
    </row>
    <row r="65" spans="1:4" hidden="1">
      <c r="A65" s="12"/>
      <c r="B65" s="13" t="s">
        <v>62</v>
      </c>
      <c r="C65" s="13"/>
      <c r="D65" s="13"/>
    </row>
  </sheetData>
  <mergeCells count="5">
    <mergeCell ref="B3:D3"/>
    <mergeCell ref="D22:D23"/>
    <mergeCell ref="D36:D37"/>
    <mergeCell ref="D18:D19"/>
    <mergeCell ref="D12:D13"/>
  </mergeCells>
  <hyperlinks>
    <hyperlink ref="D18:D19" location="'Luong BH'!A1" display="'Luong BH'!A1"/>
    <hyperlink ref="D9" location="'Nguon thu t9.23'!A1" display="'Nguon thu t9.23'!A1"/>
    <hyperlink ref="D41" location="'Nguon thu t9.23'!A1" display="'Nguon thu t9.23'!A1"/>
  </hyperlinks>
  <pageMargins left="0.45" right="0.45" top="0.32" bottom="0.47" header="0.3" footer="0.3"/>
  <pageSetup paperSize="9" scale="9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2"/>
  <sheetViews>
    <sheetView topLeftCell="A38" workbookViewId="0">
      <selection activeCell="H52" sqref="H52"/>
    </sheetView>
  </sheetViews>
  <sheetFormatPr defaultColWidth="8.7265625" defaultRowHeight="14"/>
  <cols>
    <col min="1" max="1" width="5.7265625" style="35" customWidth="1"/>
    <col min="2" max="2" width="17.453125" style="35" customWidth="1"/>
    <col min="3" max="3" width="8.453125" style="35" customWidth="1"/>
    <col min="4" max="4" width="12.54296875" style="35" customWidth="1"/>
    <col min="5" max="5" width="14.26953125" style="35" customWidth="1"/>
    <col min="6" max="6" width="13.26953125" style="35" customWidth="1"/>
    <col min="7" max="7" width="12.81640625" style="35" customWidth="1"/>
    <col min="8" max="8" width="16.26953125" style="35" customWidth="1"/>
    <col min="9" max="10" width="12.81640625" style="35" customWidth="1"/>
    <col min="11" max="11" width="13.1796875" style="35" customWidth="1"/>
    <col min="12" max="12" width="12.7265625" style="35" customWidth="1"/>
    <col min="13" max="13" width="14" style="35" customWidth="1"/>
    <col min="14" max="14" width="13.26953125" style="35" customWidth="1"/>
    <col min="15" max="19" width="11.81640625" style="35" customWidth="1"/>
    <col min="20" max="20" width="8.7265625" style="35"/>
    <col min="21" max="21" width="11.54296875" style="35" customWidth="1"/>
    <col min="22" max="22" width="13" style="35" customWidth="1"/>
    <col min="23" max="23" width="6.81640625" style="35" customWidth="1"/>
    <col min="24" max="24" width="10.26953125" style="35" bestFit="1" customWidth="1"/>
    <col min="25" max="25" width="11.81640625" style="35" customWidth="1"/>
    <col min="26" max="26" width="11.1796875" style="35" customWidth="1"/>
    <col min="27" max="27" width="11.7265625" style="35" customWidth="1"/>
    <col min="28" max="28" width="11.81640625" style="35" customWidth="1"/>
    <col min="29" max="29" width="12.26953125" style="35" customWidth="1"/>
    <col min="30" max="30" width="14.54296875" style="35" customWidth="1"/>
    <col min="31" max="31" width="9.81640625" style="55" bestFit="1" customWidth="1"/>
    <col min="32" max="16384" width="8.7265625" style="35"/>
  </cols>
  <sheetData>
    <row r="2" spans="1:31" ht="17.5">
      <c r="C2" s="36" t="s">
        <v>107</v>
      </c>
      <c r="AE2" s="35"/>
    </row>
    <row r="3" spans="1:31">
      <c r="N3" s="60" t="s">
        <v>166</v>
      </c>
    </row>
    <row r="4" spans="1:31">
      <c r="N4" s="59">
        <f>N8/22</f>
        <v>51818.181818181816</v>
      </c>
    </row>
    <row r="5" spans="1:31">
      <c r="A5" s="37"/>
      <c r="B5" s="37"/>
      <c r="C5" s="113" t="s">
        <v>108</v>
      </c>
      <c r="D5" s="113"/>
      <c r="E5" s="113"/>
      <c r="F5" s="113" t="s">
        <v>109</v>
      </c>
      <c r="G5" s="113"/>
      <c r="H5" s="113"/>
      <c r="I5" s="113"/>
      <c r="J5" s="113"/>
      <c r="K5" s="113"/>
      <c r="L5" s="113"/>
      <c r="M5" s="114" t="s">
        <v>110</v>
      </c>
      <c r="N5" s="115" t="s">
        <v>111</v>
      </c>
      <c r="O5" s="115"/>
      <c r="P5" s="115" t="s">
        <v>112</v>
      </c>
      <c r="Q5" s="115"/>
      <c r="R5" s="115"/>
      <c r="S5" s="116" t="s">
        <v>113</v>
      </c>
      <c r="T5" s="110" t="s">
        <v>10</v>
      </c>
      <c r="U5" s="110"/>
      <c r="V5" s="110"/>
      <c r="W5" s="110" t="s">
        <v>114</v>
      </c>
      <c r="X5" s="110"/>
      <c r="Y5" s="110"/>
      <c r="Z5" s="110"/>
      <c r="AA5" s="110"/>
      <c r="AB5" s="110"/>
      <c r="AC5" s="111" t="s">
        <v>115</v>
      </c>
      <c r="AD5" s="112" t="s">
        <v>116</v>
      </c>
      <c r="AE5" s="35"/>
    </row>
    <row r="6" spans="1:31" ht="26">
      <c r="A6" s="38" t="s">
        <v>0</v>
      </c>
      <c r="B6" s="39" t="s">
        <v>117</v>
      </c>
      <c r="C6" s="40" t="s">
        <v>118</v>
      </c>
      <c r="D6" s="40" t="s">
        <v>108</v>
      </c>
      <c r="E6" s="40" t="s">
        <v>119</v>
      </c>
      <c r="F6" s="40" t="s">
        <v>120</v>
      </c>
      <c r="G6" s="40" t="s">
        <v>121</v>
      </c>
      <c r="H6" s="40" t="s">
        <v>122</v>
      </c>
      <c r="I6" s="40" t="s">
        <v>123</v>
      </c>
      <c r="J6" s="40" t="s">
        <v>124</v>
      </c>
      <c r="K6" s="40" t="s">
        <v>125</v>
      </c>
      <c r="L6" s="40" t="s">
        <v>126</v>
      </c>
      <c r="M6" s="114"/>
      <c r="N6" s="41" t="s">
        <v>127</v>
      </c>
      <c r="O6" s="41" t="s">
        <v>126</v>
      </c>
      <c r="P6" s="42" t="s">
        <v>120</v>
      </c>
      <c r="Q6" s="42" t="s">
        <v>128</v>
      </c>
      <c r="R6" s="42" t="s">
        <v>126</v>
      </c>
      <c r="S6" s="116"/>
      <c r="T6" s="43" t="s">
        <v>118</v>
      </c>
      <c r="U6" s="43" t="s">
        <v>129</v>
      </c>
      <c r="V6" s="43" t="s">
        <v>126</v>
      </c>
      <c r="W6" s="43" t="s">
        <v>118</v>
      </c>
      <c r="X6" s="43" t="s">
        <v>130</v>
      </c>
      <c r="Y6" s="43" t="s">
        <v>131</v>
      </c>
      <c r="Z6" s="43" t="s">
        <v>132</v>
      </c>
      <c r="AA6" s="43" t="s">
        <v>133</v>
      </c>
      <c r="AB6" s="43" t="s">
        <v>134</v>
      </c>
      <c r="AC6" s="111"/>
      <c r="AD6" s="112"/>
      <c r="AE6" s="35"/>
    </row>
    <row r="7" spans="1:31">
      <c r="A7" s="44" t="s">
        <v>4</v>
      </c>
      <c r="B7" s="45" t="s">
        <v>135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35"/>
    </row>
    <row r="8" spans="1:31">
      <c r="A8" s="47">
        <v>1</v>
      </c>
      <c r="B8" s="48" t="s">
        <v>136</v>
      </c>
      <c r="C8" s="49">
        <v>13</v>
      </c>
      <c r="D8" s="49">
        <v>7592000</v>
      </c>
      <c r="E8" s="49">
        <f>C8*D8</f>
        <v>98696000</v>
      </c>
      <c r="F8" s="49">
        <f>D8*1</f>
        <v>7592000</v>
      </c>
      <c r="G8" s="49">
        <v>0</v>
      </c>
      <c r="H8" s="49">
        <f>D8*5%*5</f>
        <v>1898000</v>
      </c>
      <c r="I8" s="49">
        <v>0</v>
      </c>
      <c r="J8" s="49">
        <f>1447195*4</f>
        <v>5788780</v>
      </c>
      <c r="K8" s="49">
        <f>1100000*2</f>
        <v>2200000</v>
      </c>
      <c r="L8" s="49">
        <f>SUM(F8:K8)</f>
        <v>17478780</v>
      </c>
      <c r="M8" s="49">
        <f>E8-L8</f>
        <v>81217220</v>
      </c>
      <c r="N8" s="57">
        <v>1140000</v>
      </c>
      <c r="O8" s="49">
        <f>N8*C8</f>
        <v>14820000</v>
      </c>
      <c r="P8" s="49">
        <f>N8*1</f>
        <v>1140000</v>
      </c>
      <c r="Q8" s="49">
        <v>0</v>
      </c>
      <c r="R8" s="49">
        <f>SUM(P8:Q8)</f>
        <v>1140000</v>
      </c>
      <c r="S8" s="49">
        <f>O8-R8</f>
        <v>13680000</v>
      </c>
      <c r="T8" s="49">
        <v>2</v>
      </c>
      <c r="U8" s="49">
        <v>3000000</v>
      </c>
      <c r="V8" s="49">
        <f>T8*U8</f>
        <v>6000000</v>
      </c>
      <c r="W8" s="49">
        <v>1</v>
      </c>
      <c r="X8" s="49">
        <v>0</v>
      </c>
      <c r="Y8" s="49">
        <v>0</v>
      </c>
      <c r="Z8" s="49">
        <f>U8*50%</f>
        <v>1500000</v>
      </c>
      <c r="AA8" s="49">
        <f>U8*60%</f>
        <v>1800000</v>
      </c>
      <c r="AB8" s="49">
        <f>SUM(X8:AA8)</f>
        <v>3300000</v>
      </c>
      <c r="AC8" s="49">
        <f>V8-AB8</f>
        <v>2700000</v>
      </c>
      <c r="AD8" s="49">
        <f>M8+S8+AC8</f>
        <v>97597220</v>
      </c>
      <c r="AE8" s="35"/>
    </row>
    <row r="9" spans="1:31">
      <c r="A9" s="47">
        <v>2</v>
      </c>
      <c r="B9" s="48" t="s">
        <v>137</v>
      </c>
      <c r="C9" s="49">
        <v>14</v>
      </c>
      <c r="D9" s="49">
        <v>7592000</v>
      </c>
      <c r="E9" s="49">
        <f>C9*D9</f>
        <v>106288000</v>
      </c>
      <c r="F9" s="49">
        <f>2*D9</f>
        <v>15184000</v>
      </c>
      <c r="G9" s="49">
        <f>D9*25%*1</f>
        <v>1898000</v>
      </c>
      <c r="H9" s="49">
        <f>D9*5%*3</f>
        <v>1138800</v>
      </c>
      <c r="I9" s="49">
        <v>0</v>
      </c>
      <c r="J9" s="49">
        <f>1124100*1</f>
        <v>1124100</v>
      </c>
      <c r="K9" s="49">
        <f>1100000*1</f>
        <v>1100000</v>
      </c>
      <c r="L9" s="49">
        <f>SUM(F9:K9)</f>
        <v>20444900</v>
      </c>
      <c r="M9" s="49">
        <f>E9-L9</f>
        <v>85843100</v>
      </c>
      <c r="N9" s="57">
        <v>1140000</v>
      </c>
      <c r="O9" s="49">
        <f>N9*C9</f>
        <v>15960000</v>
      </c>
      <c r="P9" s="49">
        <f>N9*2</f>
        <v>2280000</v>
      </c>
      <c r="Q9" s="49">
        <v>0</v>
      </c>
      <c r="R9" s="49">
        <f>SUM(P9:Q9)</f>
        <v>2280000</v>
      </c>
      <c r="S9" s="49">
        <f>O9-R9</f>
        <v>13680000</v>
      </c>
      <c r="T9" s="49">
        <v>0</v>
      </c>
      <c r="U9" s="49">
        <v>3000000</v>
      </c>
      <c r="V9" s="49">
        <f t="shared" ref="V9:V29" si="0">T9*U9</f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f>V9-AB9</f>
        <v>0</v>
      </c>
      <c r="AD9" s="49">
        <f>M9+S9+AC9</f>
        <v>99523100</v>
      </c>
      <c r="AE9" s="35"/>
    </row>
    <row r="10" spans="1:31">
      <c r="A10" s="47">
        <v>3</v>
      </c>
      <c r="B10" s="48" t="s">
        <v>138</v>
      </c>
      <c r="C10" s="49">
        <v>8</v>
      </c>
      <c r="D10" s="49">
        <v>7592000</v>
      </c>
      <c r="E10" s="49">
        <f>C10*D10</f>
        <v>60736000</v>
      </c>
      <c r="F10" s="49">
        <f>D10*1</f>
        <v>7592000</v>
      </c>
      <c r="G10" s="49">
        <v>0</v>
      </c>
      <c r="H10" s="49">
        <f>D10*5%*2</f>
        <v>759200</v>
      </c>
      <c r="I10" s="49">
        <v>0</v>
      </c>
      <c r="J10" s="49">
        <f>D10*10%*0</f>
        <v>0</v>
      </c>
      <c r="K10" s="49"/>
      <c r="L10" s="49">
        <f>SUM(F10:K10)</f>
        <v>8351200</v>
      </c>
      <c r="M10" s="49">
        <f>E10-L10</f>
        <v>52384800</v>
      </c>
      <c r="N10" s="57">
        <v>1140000</v>
      </c>
      <c r="O10" s="49">
        <f>N10*C10</f>
        <v>9120000</v>
      </c>
      <c r="P10" s="49">
        <f>N10*1</f>
        <v>1140000</v>
      </c>
      <c r="Q10" s="49">
        <v>0</v>
      </c>
      <c r="R10" s="49">
        <f>SUM(P10:Q10)</f>
        <v>1140000</v>
      </c>
      <c r="S10" s="49">
        <f>O10-R10</f>
        <v>7980000</v>
      </c>
      <c r="T10" s="49">
        <v>0</v>
      </c>
      <c r="U10" s="49">
        <v>3000000</v>
      </c>
      <c r="V10" s="49">
        <f t="shared" si="0"/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f>V10-AB10</f>
        <v>0</v>
      </c>
      <c r="AD10" s="49">
        <f>M10+S10+AC10</f>
        <v>60364800</v>
      </c>
      <c r="AE10" s="35"/>
    </row>
    <row r="11" spans="1:31">
      <c r="A11" s="44" t="s">
        <v>35</v>
      </c>
      <c r="B11" s="50" t="s">
        <v>139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35"/>
    </row>
    <row r="12" spans="1:31">
      <c r="A12" s="51">
        <v>4</v>
      </c>
      <c r="B12" s="52" t="s">
        <v>140</v>
      </c>
      <c r="C12" s="49">
        <v>15</v>
      </c>
      <c r="D12" s="49">
        <v>8360000</v>
      </c>
      <c r="E12" s="49">
        <f>C12*D12</f>
        <v>125400000</v>
      </c>
      <c r="F12" s="49">
        <f>D12*50%*1</f>
        <v>4180000</v>
      </c>
      <c r="G12" s="49">
        <v>0</v>
      </c>
      <c r="H12" s="49">
        <f>D12*5%*7</f>
        <v>2926000</v>
      </c>
      <c r="I12" s="49">
        <v>0</v>
      </c>
      <c r="J12" s="49">
        <f>1140000*2</f>
        <v>2280000</v>
      </c>
      <c r="K12" s="49"/>
      <c r="L12" s="49">
        <f t="shared" ref="L12:L23" si="1">SUM(F12:K12)</f>
        <v>9386000</v>
      </c>
      <c r="M12" s="49">
        <f t="shared" ref="M12:M23" si="2">E12-L12</f>
        <v>116014000</v>
      </c>
      <c r="N12" s="49">
        <v>0</v>
      </c>
      <c r="O12" s="49">
        <v>0</v>
      </c>
      <c r="P12" s="49">
        <f>380000*2</f>
        <v>760000</v>
      </c>
      <c r="Q12" s="49"/>
      <c r="R12" s="49">
        <f>SUM(P12:Q12)</f>
        <v>760000</v>
      </c>
      <c r="S12" s="49">
        <f>R12</f>
        <v>760000</v>
      </c>
      <c r="T12" s="49">
        <v>2</v>
      </c>
      <c r="U12" s="49">
        <v>3000000</v>
      </c>
      <c r="V12" s="49">
        <f>T12*U12</f>
        <v>6000000</v>
      </c>
      <c r="W12" s="49">
        <v>1</v>
      </c>
      <c r="X12" s="49">
        <v>0</v>
      </c>
      <c r="Y12" s="49">
        <f>U12*20%</f>
        <v>600000</v>
      </c>
      <c r="Z12" s="49">
        <v>0</v>
      </c>
      <c r="AA12" s="49">
        <v>0</v>
      </c>
      <c r="AB12" s="49">
        <f t="shared" ref="AB12:AB29" si="3">SUM(X12:AA12)</f>
        <v>600000</v>
      </c>
      <c r="AC12" s="49">
        <f t="shared" ref="AC12:AC27" si="4">V12-AB12</f>
        <v>5400000</v>
      </c>
      <c r="AD12" s="49">
        <f t="shared" ref="AD12:AD27" si="5">M12+S12+AC12</f>
        <v>122174000</v>
      </c>
      <c r="AE12" s="35"/>
    </row>
    <row r="13" spans="1:31">
      <c r="A13" s="51">
        <v>5</v>
      </c>
      <c r="B13" s="52" t="s">
        <v>141</v>
      </c>
      <c r="C13" s="49">
        <v>13</v>
      </c>
      <c r="D13" s="49">
        <v>8360000</v>
      </c>
      <c r="E13" s="49">
        <f>C13*D13</f>
        <v>108680000</v>
      </c>
      <c r="F13" s="49">
        <v>0</v>
      </c>
      <c r="G13" s="49">
        <v>0</v>
      </c>
      <c r="H13" s="49">
        <f>D13*5%*5</f>
        <v>2090000</v>
      </c>
      <c r="I13" s="49">
        <f>D13*10%*1</f>
        <v>836000</v>
      </c>
      <c r="J13" s="49">
        <f>1501000*1</f>
        <v>1501000</v>
      </c>
      <c r="K13" s="49"/>
      <c r="L13" s="49">
        <f t="shared" si="1"/>
        <v>4427000</v>
      </c>
      <c r="M13" s="49">
        <f t="shared" si="2"/>
        <v>104253000</v>
      </c>
      <c r="N13" s="49">
        <v>0</v>
      </c>
      <c r="O13" s="49">
        <v>0</v>
      </c>
      <c r="P13" s="49">
        <v>0</v>
      </c>
      <c r="Q13" s="49"/>
      <c r="R13" s="49">
        <v>0</v>
      </c>
      <c r="S13" s="49">
        <v>0</v>
      </c>
      <c r="T13" s="49">
        <v>1</v>
      </c>
      <c r="U13" s="49">
        <v>3000000</v>
      </c>
      <c r="V13" s="49">
        <f>T13*U13</f>
        <v>3000000</v>
      </c>
      <c r="W13" s="49">
        <v>1</v>
      </c>
      <c r="X13" s="49">
        <f>U13*5%*1</f>
        <v>150000</v>
      </c>
      <c r="Y13" s="49">
        <v>0</v>
      </c>
      <c r="Z13" s="49">
        <v>0</v>
      </c>
      <c r="AA13" s="49">
        <v>0</v>
      </c>
      <c r="AB13" s="49">
        <f t="shared" si="3"/>
        <v>150000</v>
      </c>
      <c r="AC13" s="49">
        <f t="shared" si="4"/>
        <v>2850000</v>
      </c>
      <c r="AD13" s="49">
        <f t="shared" si="5"/>
        <v>107103000</v>
      </c>
      <c r="AE13" s="35"/>
    </row>
    <row r="14" spans="1:31">
      <c r="A14" s="51">
        <v>6</v>
      </c>
      <c r="B14" s="48" t="s">
        <v>142</v>
      </c>
      <c r="C14" s="49">
        <v>12</v>
      </c>
      <c r="D14" s="49">
        <v>8360000</v>
      </c>
      <c r="E14" s="49">
        <f t="shared" ref="E14:E27" si="6">C14*D14</f>
        <v>100320000</v>
      </c>
      <c r="F14" s="49">
        <f>D14*3</f>
        <v>25080000</v>
      </c>
      <c r="G14" s="49">
        <v>0</v>
      </c>
      <c r="H14" s="49">
        <f>D14*5%*2</f>
        <v>836000</v>
      </c>
      <c r="I14" s="49">
        <v>0</v>
      </c>
      <c r="J14" s="49">
        <f>1140000*2</f>
        <v>2280000</v>
      </c>
      <c r="K14" s="49"/>
      <c r="L14" s="49">
        <f t="shared" si="1"/>
        <v>28196000</v>
      </c>
      <c r="M14" s="49">
        <f t="shared" si="2"/>
        <v>72124000</v>
      </c>
      <c r="N14" s="49">
        <v>0</v>
      </c>
      <c r="O14" s="49">
        <v>0</v>
      </c>
      <c r="P14" s="49">
        <f>380000*2</f>
        <v>760000</v>
      </c>
      <c r="Q14" s="49"/>
      <c r="R14" s="49">
        <f t="shared" ref="R14:R27" si="7">SUM(P14:Q14)</f>
        <v>760000</v>
      </c>
      <c r="S14" s="49">
        <f t="shared" ref="S14:S23" si="8">R14</f>
        <v>760000</v>
      </c>
      <c r="T14" s="49">
        <v>2</v>
      </c>
      <c r="U14" s="49">
        <v>3000000</v>
      </c>
      <c r="V14" s="49">
        <f t="shared" si="0"/>
        <v>6000000</v>
      </c>
      <c r="W14" s="49">
        <v>2</v>
      </c>
      <c r="X14" s="49">
        <v>0</v>
      </c>
      <c r="Y14" s="49">
        <f>U14*20%*2</f>
        <v>1200000</v>
      </c>
      <c r="Z14" s="49"/>
      <c r="AA14" s="49"/>
      <c r="AB14" s="49">
        <f t="shared" si="3"/>
        <v>1200000</v>
      </c>
      <c r="AC14" s="49">
        <f t="shared" si="4"/>
        <v>4800000</v>
      </c>
      <c r="AD14" s="49">
        <f t="shared" si="5"/>
        <v>77684000</v>
      </c>
      <c r="AE14" s="35"/>
    </row>
    <row r="15" spans="1:31">
      <c r="A15" s="51">
        <v>7</v>
      </c>
      <c r="B15" s="48" t="s">
        <v>143</v>
      </c>
      <c r="C15" s="49">
        <v>11</v>
      </c>
      <c r="D15" s="49">
        <v>8360000</v>
      </c>
      <c r="E15" s="49">
        <f t="shared" si="6"/>
        <v>91960000</v>
      </c>
      <c r="F15" s="49">
        <f>D15*1</f>
        <v>8360000</v>
      </c>
      <c r="G15" s="49">
        <f>D15*50%*1</f>
        <v>4180000</v>
      </c>
      <c r="H15" s="49">
        <f>D15*5%*5</f>
        <v>2090000</v>
      </c>
      <c r="I15" s="49">
        <f>D15*10%*1</f>
        <v>836000</v>
      </c>
      <c r="J15" s="49"/>
      <c r="K15" s="49">
        <v>4500000</v>
      </c>
      <c r="L15" s="49">
        <f t="shared" si="1"/>
        <v>19966000</v>
      </c>
      <c r="M15" s="49">
        <f t="shared" si="2"/>
        <v>71994000</v>
      </c>
      <c r="N15" s="49">
        <v>0</v>
      </c>
      <c r="O15" s="49">
        <v>0</v>
      </c>
      <c r="P15" s="49">
        <f>380000*2</f>
        <v>760000</v>
      </c>
      <c r="Q15" s="49"/>
      <c r="R15" s="49">
        <f t="shared" si="7"/>
        <v>760000</v>
      </c>
      <c r="S15" s="49">
        <f t="shared" si="8"/>
        <v>760000</v>
      </c>
      <c r="T15" s="49">
        <v>2</v>
      </c>
      <c r="U15" s="49">
        <v>3000000</v>
      </c>
      <c r="V15" s="49">
        <f t="shared" si="0"/>
        <v>6000000</v>
      </c>
      <c r="W15" s="49">
        <v>2</v>
      </c>
      <c r="X15" s="49">
        <v>0</v>
      </c>
      <c r="Y15" s="49"/>
      <c r="Z15" s="49">
        <f>U15*50%*1</f>
        <v>1500000</v>
      </c>
      <c r="AA15" s="49">
        <f>U15*60%*1</f>
        <v>1800000</v>
      </c>
      <c r="AB15" s="49">
        <f t="shared" si="3"/>
        <v>3300000</v>
      </c>
      <c r="AC15" s="49">
        <f t="shared" si="4"/>
        <v>2700000</v>
      </c>
      <c r="AD15" s="49">
        <f t="shared" si="5"/>
        <v>75454000</v>
      </c>
      <c r="AE15" s="35"/>
    </row>
    <row r="16" spans="1:31">
      <c r="A16" s="51">
        <v>8</v>
      </c>
      <c r="B16" s="48" t="s">
        <v>144</v>
      </c>
      <c r="C16" s="49">
        <v>15</v>
      </c>
      <c r="D16" s="49">
        <v>8635000</v>
      </c>
      <c r="E16" s="49">
        <f t="shared" si="6"/>
        <v>129525000</v>
      </c>
      <c r="F16" s="49">
        <f>D16*1</f>
        <v>8635000</v>
      </c>
      <c r="G16" s="49">
        <f>D16*25%*1</f>
        <v>2158750</v>
      </c>
      <c r="H16" s="49">
        <f>D16*5%*3</f>
        <v>1295250</v>
      </c>
      <c r="I16" s="49">
        <v>0</v>
      </c>
      <c r="J16" s="49">
        <f>1177500*1+1795000*1</f>
        <v>2972500</v>
      </c>
      <c r="K16" s="49">
        <v>1100000</v>
      </c>
      <c r="L16" s="49">
        <f t="shared" si="1"/>
        <v>16161500</v>
      </c>
      <c r="M16" s="49">
        <f t="shared" si="2"/>
        <v>113363500</v>
      </c>
      <c r="N16" s="49">
        <v>0</v>
      </c>
      <c r="O16" s="49">
        <v>0</v>
      </c>
      <c r="P16" s="49">
        <f>380000*1</f>
        <v>380000</v>
      </c>
      <c r="Q16" s="49"/>
      <c r="R16" s="49">
        <f t="shared" si="7"/>
        <v>380000</v>
      </c>
      <c r="S16" s="49">
        <f t="shared" si="8"/>
        <v>380000</v>
      </c>
      <c r="T16" s="49">
        <v>4</v>
      </c>
      <c r="U16" s="49">
        <v>3000000</v>
      </c>
      <c r="V16" s="49">
        <f t="shared" si="0"/>
        <v>12000000</v>
      </c>
      <c r="W16" s="49">
        <v>3</v>
      </c>
      <c r="X16" s="49">
        <v>0</v>
      </c>
      <c r="Y16" s="49">
        <f>U16*20%*3</f>
        <v>1800000</v>
      </c>
      <c r="Z16" s="49">
        <v>0</v>
      </c>
      <c r="AA16" s="49">
        <v>0</v>
      </c>
      <c r="AB16" s="49">
        <f t="shared" si="3"/>
        <v>1800000</v>
      </c>
      <c r="AC16" s="49">
        <f t="shared" si="4"/>
        <v>10200000</v>
      </c>
      <c r="AD16" s="49">
        <f t="shared" si="5"/>
        <v>123943500</v>
      </c>
      <c r="AE16" s="35"/>
    </row>
    <row r="17" spans="1:31">
      <c r="A17" s="51">
        <v>9</v>
      </c>
      <c r="B17" s="48" t="s">
        <v>145</v>
      </c>
      <c r="C17" s="49">
        <v>15</v>
      </c>
      <c r="D17" s="49">
        <v>8635000</v>
      </c>
      <c r="E17" s="49">
        <f t="shared" si="6"/>
        <v>129525000</v>
      </c>
      <c r="F17" s="49">
        <f>D17*3</f>
        <v>25905000</v>
      </c>
      <c r="G17" s="49">
        <f>D17*25%*1</f>
        <v>2158750</v>
      </c>
      <c r="H17" s="49">
        <f>D17*5%*1</f>
        <v>431750</v>
      </c>
      <c r="I17" s="49">
        <v>0</v>
      </c>
      <c r="J17" s="49">
        <f>1177500*1</f>
        <v>1177500</v>
      </c>
      <c r="K17" s="49">
        <v>2500000</v>
      </c>
      <c r="L17" s="49">
        <f t="shared" si="1"/>
        <v>32173000</v>
      </c>
      <c r="M17" s="49">
        <f t="shared" si="2"/>
        <v>97352000</v>
      </c>
      <c r="N17" s="49">
        <v>0</v>
      </c>
      <c r="O17" s="49">
        <v>0</v>
      </c>
      <c r="P17" s="49">
        <f>380000*4</f>
        <v>1520000</v>
      </c>
      <c r="Q17" s="49"/>
      <c r="R17" s="49">
        <f t="shared" si="7"/>
        <v>1520000</v>
      </c>
      <c r="S17" s="49">
        <f t="shared" si="8"/>
        <v>1520000</v>
      </c>
      <c r="T17" s="49">
        <v>1</v>
      </c>
      <c r="U17" s="49">
        <v>3000000</v>
      </c>
      <c r="V17" s="49">
        <f t="shared" si="0"/>
        <v>3000000</v>
      </c>
      <c r="W17" s="49">
        <v>0</v>
      </c>
      <c r="X17" s="49">
        <v>0</v>
      </c>
      <c r="Y17" s="49">
        <f>U17*20%*1</f>
        <v>600000</v>
      </c>
      <c r="Z17" s="49">
        <v>0</v>
      </c>
      <c r="AA17" s="49">
        <v>0</v>
      </c>
      <c r="AB17" s="49">
        <f t="shared" si="3"/>
        <v>600000</v>
      </c>
      <c r="AC17" s="49">
        <f t="shared" si="4"/>
        <v>2400000</v>
      </c>
      <c r="AD17" s="49">
        <f t="shared" si="5"/>
        <v>101272000</v>
      </c>
      <c r="AE17" s="35"/>
    </row>
    <row r="18" spans="1:31">
      <c r="A18" s="51">
        <v>10</v>
      </c>
      <c r="B18" s="46" t="s">
        <v>146</v>
      </c>
      <c r="C18" s="49">
        <v>19</v>
      </c>
      <c r="D18" s="49">
        <v>8635000</v>
      </c>
      <c r="E18" s="49">
        <f t="shared" si="6"/>
        <v>164065000</v>
      </c>
      <c r="F18" s="49">
        <f>D18*2</f>
        <v>17270000</v>
      </c>
      <c r="G18" s="49">
        <v>0</v>
      </c>
      <c r="H18" s="49">
        <f>D18*5%*3</f>
        <v>1295250</v>
      </c>
      <c r="I18" s="49">
        <v>0</v>
      </c>
      <c r="J18" s="49">
        <f>1177500*2</f>
        <v>2355000</v>
      </c>
      <c r="K18" s="49"/>
      <c r="L18" s="49">
        <f t="shared" si="1"/>
        <v>20920250</v>
      </c>
      <c r="M18" s="49">
        <f t="shared" si="2"/>
        <v>143144750</v>
      </c>
      <c r="N18" s="49">
        <v>0</v>
      </c>
      <c r="O18" s="49">
        <v>0</v>
      </c>
      <c r="P18" s="49">
        <f>380000*2</f>
        <v>760000</v>
      </c>
      <c r="Q18" s="49"/>
      <c r="R18" s="49">
        <f t="shared" si="7"/>
        <v>760000</v>
      </c>
      <c r="S18" s="49">
        <f t="shared" si="8"/>
        <v>760000</v>
      </c>
      <c r="T18" s="49">
        <v>3</v>
      </c>
      <c r="U18" s="49">
        <v>3000000</v>
      </c>
      <c r="V18" s="49">
        <f t="shared" si="0"/>
        <v>9000000</v>
      </c>
      <c r="W18" s="49">
        <v>2</v>
      </c>
      <c r="X18" s="49">
        <v>0</v>
      </c>
      <c r="Y18" s="49">
        <f>U18*20%*2</f>
        <v>1200000</v>
      </c>
      <c r="Z18" s="49">
        <v>0</v>
      </c>
      <c r="AA18" s="49">
        <v>0</v>
      </c>
      <c r="AB18" s="49">
        <f t="shared" si="3"/>
        <v>1200000</v>
      </c>
      <c r="AC18" s="49">
        <f t="shared" si="4"/>
        <v>7800000</v>
      </c>
      <c r="AD18" s="49">
        <f t="shared" si="5"/>
        <v>151704750</v>
      </c>
      <c r="AE18" s="35"/>
    </row>
    <row r="19" spans="1:31">
      <c r="A19" s="51">
        <v>11</v>
      </c>
      <c r="B19" s="46" t="s">
        <v>147</v>
      </c>
      <c r="C19" s="49">
        <v>15</v>
      </c>
      <c r="D19" s="49">
        <v>8635000</v>
      </c>
      <c r="E19" s="49">
        <f t="shared" si="6"/>
        <v>129525000</v>
      </c>
      <c r="F19" s="49">
        <v>0</v>
      </c>
      <c r="G19" s="49">
        <v>0</v>
      </c>
      <c r="H19" s="49">
        <f>D19*5%*3</f>
        <v>1295250</v>
      </c>
      <c r="I19" s="49">
        <v>0</v>
      </c>
      <c r="J19" s="49">
        <f>1177500*1</f>
        <v>1177500</v>
      </c>
      <c r="K19" s="49"/>
      <c r="L19" s="49">
        <f t="shared" si="1"/>
        <v>2472750</v>
      </c>
      <c r="M19" s="49">
        <f t="shared" si="2"/>
        <v>127052250</v>
      </c>
      <c r="N19" s="49">
        <v>0</v>
      </c>
      <c r="O19" s="49">
        <v>0</v>
      </c>
      <c r="P19" s="49">
        <f>380000*1</f>
        <v>380000</v>
      </c>
      <c r="Q19" s="49"/>
      <c r="R19" s="49">
        <f t="shared" si="7"/>
        <v>380000</v>
      </c>
      <c r="S19" s="49">
        <f t="shared" si="8"/>
        <v>380000</v>
      </c>
      <c r="T19" s="49">
        <v>3</v>
      </c>
      <c r="U19" s="49">
        <v>3000000</v>
      </c>
      <c r="V19" s="49">
        <f t="shared" si="0"/>
        <v>9000000</v>
      </c>
      <c r="W19" s="49">
        <v>2</v>
      </c>
      <c r="X19" s="49">
        <v>0</v>
      </c>
      <c r="Y19" s="49">
        <f>U19*20%*1</f>
        <v>600000</v>
      </c>
      <c r="Z19" s="49">
        <f>U19*50%*1</f>
        <v>1500000</v>
      </c>
      <c r="AA19" s="49">
        <v>0</v>
      </c>
      <c r="AB19" s="49">
        <f t="shared" si="3"/>
        <v>2100000</v>
      </c>
      <c r="AC19" s="49">
        <f t="shared" si="4"/>
        <v>6900000</v>
      </c>
      <c r="AD19" s="49">
        <f t="shared" si="5"/>
        <v>134332250</v>
      </c>
      <c r="AE19" s="35"/>
    </row>
    <row r="20" spans="1:31">
      <c r="A20" s="51">
        <v>12</v>
      </c>
      <c r="B20" s="46" t="s">
        <v>148</v>
      </c>
      <c r="C20" s="49">
        <v>12</v>
      </c>
      <c r="D20" s="49">
        <v>8635000</v>
      </c>
      <c r="E20" s="49">
        <f t="shared" si="6"/>
        <v>103620000</v>
      </c>
      <c r="F20" s="49">
        <f>D20*1</f>
        <v>8635000</v>
      </c>
      <c r="G20" s="49">
        <f>D20*25%*1</f>
        <v>2158750</v>
      </c>
      <c r="H20" s="49">
        <f>D20*5%*2</f>
        <v>863500</v>
      </c>
      <c r="I20" s="49">
        <v>0</v>
      </c>
      <c r="J20" s="49">
        <f>1177500*1</f>
        <v>1177500</v>
      </c>
      <c r="K20" s="49">
        <v>1100000</v>
      </c>
      <c r="L20" s="49">
        <f t="shared" si="1"/>
        <v>13934750</v>
      </c>
      <c r="M20" s="49">
        <f t="shared" si="2"/>
        <v>89685250</v>
      </c>
      <c r="N20" s="49">
        <v>0</v>
      </c>
      <c r="O20" s="49">
        <v>0</v>
      </c>
      <c r="P20" s="49">
        <f>380000*1+285000*1</f>
        <v>665000</v>
      </c>
      <c r="Q20" s="49"/>
      <c r="R20" s="49">
        <f t="shared" si="7"/>
        <v>665000</v>
      </c>
      <c r="S20" s="49">
        <f t="shared" si="8"/>
        <v>665000</v>
      </c>
      <c r="T20" s="49">
        <v>2</v>
      </c>
      <c r="U20" s="49">
        <v>3000000</v>
      </c>
      <c r="V20" s="49">
        <f t="shared" si="0"/>
        <v>6000000</v>
      </c>
      <c r="W20" s="49">
        <v>1</v>
      </c>
      <c r="X20" s="49">
        <v>0</v>
      </c>
      <c r="Y20" s="49">
        <f>U20*20%*1</f>
        <v>600000</v>
      </c>
      <c r="Z20" s="49">
        <v>0</v>
      </c>
      <c r="AA20" s="49">
        <v>0</v>
      </c>
      <c r="AB20" s="49">
        <f t="shared" si="3"/>
        <v>600000</v>
      </c>
      <c r="AC20" s="49">
        <f t="shared" si="4"/>
        <v>5400000</v>
      </c>
      <c r="AD20" s="49">
        <f t="shared" si="5"/>
        <v>95750250</v>
      </c>
      <c r="AE20" s="35"/>
    </row>
    <row r="21" spans="1:31">
      <c r="A21" s="51">
        <v>13</v>
      </c>
      <c r="B21" s="46" t="s">
        <v>149</v>
      </c>
      <c r="C21" s="49">
        <v>18</v>
      </c>
      <c r="D21" s="49">
        <v>8635000</v>
      </c>
      <c r="E21" s="49">
        <f t="shared" si="6"/>
        <v>155430000</v>
      </c>
      <c r="F21" s="49">
        <f>D21*2</f>
        <v>17270000</v>
      </c>
      <c r="G21" s="49">
        <v>0</v>
      </c>
      <c r="H21" s="49">
        <f>D21*5%*2</f>
        <v>863500</v>
      </c>
      <c r="I21" s="49">
        <v>0</v>
      </c>
      <c r="J21" s="49">
        <f>D21*10%*0</f>
        <v>0</v>
      </c>
      <c r="K21" s="49">
        <v>1100000</v>
      </c>
      <c r="L21" s="49">
        <f t="shared" si="1"/>
        <v>19233500</v>
      </c>
      <c r="M21" s="49">
        <f t="shared" si="2"/>
        <v>136196500</v>
      </c>
      <c r="N21" s="49">
        <v>0</v>
      </c>
      <c r="O21" s="49">
        <v>0</v>
      </c>
      <c r="P21" s="49">
        <f>380000*2+285000*1</f>
        <v>1045000</v>
      </c>
      <c r="Q21" s="49"/>
      <c r="R21" s="49">
        <f t="shared" si="7"/>
        <v>1045000</v>
      </c>
      <c r="S21" s="49">
        <f t="shared" si="8"/>
        <v>1045000</v>
      </c>
      <c r="T21" s="49">
        <v>4</v>
      </c>
      <c r="U21" s="49">
        <v>3000000</v>
      </c>
      <c r="V21" s="49">
        <f t="shared" si="0"/>
        <v>12000000</v>
      </c>
      <c r="W21" s="49">
        <v>3</v>
      </c>
      <c r="X21" s="49">
        <v>0</v>
      </c>
      <c r="Y21" s="49">
        <f>U21*20%*3</f>
        <v>1800000</v>
      </c>
      <c r="Z21" s="49"/>
      <c r="AA21" s="49">
        <v>0</v>
      </c>
      <c r="AB21" s="49">
        <f t="shared" si="3"/>
        <v>1800000</v>
      </c>
      <c r="AC21" s="49">
        <f t="shared" si="4"/>
        <v>10200000</v>
      </c>
      <c r="AD21" s="49">
        <f t="shared" si="5"/>
        <v>147441500</v>
      </c>
      <c r="AE21" s="35"/>
    </row>
    <row r="22" spans="1:31">
      <c r="A22" s="51">
        <v>14</v>
      </c>
      <c r="B22" s="46" t="s">
        <v>150</v>
      </c>
      <c r="C22" s="49">
        <v>13</v>
      </c>
      <c r="D22" s="49">
        <v>9020000</v>
      </c>
      <c r="E22" s="49">
        <f t="shared" si="6"/>
        <v>117260000</v>
      </c>
      <c r="F22" s="49">
        <f>D22*2</f>
        <v>18040000</v>
      </c>
      <c r="G22" s="49">
        <v>0</v>
      </c>
      <c r="H22" s="49">
        <f>D22*5%*4</f>
        <v>1804000</v>
      </c>
      <c r="I22" s="49">
        <v>0</v>
      </c>
      <c r="J22" s="49">
        <f>1230000*2</f>
        <v>2460000</v>
      </c>
      <c r="K22" s="49"/>
      <c r="L22" s="49">
        <f t="shared" si="1"/>
        <v>22304000</v>
      </c>
      <c r="M22" s="49">
        <f t="shared" si="2"/>
        <v>94956000</v>
      </c>
      <c r="N22" s="49">
        <v>0</v>
      </c>
      <c r="O22" s="49">
        <v>0</v>
      </c>
      <c r="P22" s="49">
        <f>380000*2</f>
        <v>760000</v>
      </c>
      <c r="Q22" s="49"/>
      <c r="R22" s="49">
        <f t="shared" si="7"/>
        <v>760000</v>
      </c>
      <c r="S22" s="49">
        <f t="shared" si="8"/>
        <v>760000</v>
      </c>
      <c r="T22" s="49">
        <v>4</v>
      </c>
      <c r="U22" s="49">
        <v>3000000</v>
      </c>
      <c r="V22" s="49">
        <f t="shared" si="0"/>
        <v>12000000</v>
      </c>
      <c r="W22" s="49">
        <v>1</v>
      </c>
      <c r="X22" s="49">
        <v>0</v>
      </c>
      <c r="Y22" s="49">
        <f>U22*20%*2</f>
        <v>1200000</v>
      </c>
      <c r="Z22" s="49">
        <v>0</v>
      </c>
      <c r="AA22" s="49">
        <v>0</v>
      </c>
      <c r="AB22" s="49">
        <f t="shared" si="3"/>
        <v>1200000</v>
      </c>
      <c r="AC22" s="49">
        <f t="shared" si="4"/>
        <v>10800000</v>
      </c>
      <c r="AD22" s="49">
        <f t="shared" si="5"/>
        <v>106516000</v>
      </c>
      <c r="AE22" s="35"/>
    </row>
    <row r="23" spans="1:31">
      <c r="A23" s="51">
        <v>15</v>
      </c>
      <c r="B23" s="46" t="s">
        <v>151</v>
      </c>
      <c r="C23" s="49">
        <v>12</v>
      </c>
      <c r="D23" s="49">
        <v>9020000</v>
      </c>
      <c r="E23" s="49">
        <f t="shared" si="6"/>
        <v>108240000</v>
      </c>
      <c r="F23" s="49">
        <f>D23*50%*1</f>
        <v>4510000</v>
      </c>
      <c r="G23" s="49">
        <f>D23*25%*1</f>
        <v>2255000</v>
      </c>
      <c r="H23" s="49">
        <f>D23*5%*1</f>
        <v>451000</v>
      </c>
      <c r="I23" s="49">
        <v>0</v>
      </c>
      <c r="J23" s="49">
        <f>1230000*2</f>
        <v>2460000</v>
      </c>
      <c r="K23" s="49"/>
      <c r="L23" s="49">
        <f t="shared" si="1"/>
        <v>9676000</v>
      </c>
      <c r="M23" s="49">
        <f t="shared" si="2"/>
        <v>98564000</v>
      </c>
      <c r="N23" s="49">
        <v>0</v>
      </c>
      <c r="O23" s="49">
        <v>0</v>
      </c>
      <c r="P23" s="49">
        <f>380000*2</f>
        <v>760000</v>
      </c>
      <c r="Q23" s="49"/>
      <c r="R23" s="49">
        <f t="shared" si="7"/>
        <v>760000</v>
      </c>
      <c r="S23" s="49">
        <f t="shared" si="8"/>
        <v>760000</v>
      </c>
      <c r="T23" s="49">
        <v>1</v>
      </c>
      <c r="U23" s="49">
        <v>3000000</v>
      </c>
      <c r="V23" s="49">
        <f t="shared" si="0"/>
        <v>3000000</v>
      </c>
      <c r="W23" s="49">
        <v>1</v>
      </c>
      <c r="X23" s="49">
        <v>0</v>
      </c>
      <c r="Y23" s="49">
        <v>0</v>
      </c>
      <c r="Z23" s="49">
        <v>0</v>
      </c>
      <c r="AA23" s="49">
        <v>0</v>
      </c>
      <c r="AB23" s="49">
        <f t="shared" si="3"/>
        <v>0</v>
      </c>
      <c r="AC23" s="49">
        <f t="shared" si="4"/>
        <v>3000000</v>
      </c>
      <c r="AD23" s="49">
        <f t="shared" si="5"/>
        <v>102324000</v>
      </c>
      <c r="AE23" s="35"/>
    </row>
    <row r="24" spans="1:31">
      <c r="A24" s="53" t="s">
        <v>48</v>
      </c>
      <c r="B24" s="54" t="s">
        <v>152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35"/>
    </row>
    <row r="25" spans="1:31">
      <c r="A25" s="51">
        <v>16</v>
      </c>
      <c r="B25" s="46" t="s">
        <v>153</v>
      </c>
      <c r="C25" s="49">
        <v>4</v>
      </c>
      <c r="D25" s="49">
        <v>9900000</v>
      </c>
      <c r="E25" s="49">
        <f t="shared" si="6"/>
        <v>39600000</v>
      </c>
      <c r="F25" s="49">
        <f>D25*50%*1</f>
        <v>4950000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f>SUM(F25:K25)</f>
        <v>4950000</v>
      </c>
      <c r="M25" s="49">
        <f>E25-L25</f>
        <v>34650000</v>
      </c>
      <c r="N25" s="49" t="s">
        <v>154</v>
      </c>
      <c r="O25" s="49"/>
      <c r="P25" s="49">
        <f>380000*1</f>
        <v>380000</v>
      </c>
      <c r="Q25" s="49"/>
      <c r="R25" s="49">
        <f t="shared" si="7"/>
        <v>380000</v>
      </c>
      <c r="S25" s="49">
        <f>R25</f>
        <v>380000</v>
      </c>
      <c r="T25" s="49">
        <v>0</v>
      </c>
      <c r="U25" s="49">
        <v>3000000</v>
      </c>
      <c r="V25" s="49"/>
      <c r="W25" s="49"/>
      <c r="X25" s="49"/>
      <c r="Y25" s="49"/>
      <c r="Z25" s="49"/>
      <c r="AA25" s="49"/>
      <c r="AB25" s="49">
        <f t="shared" si="3"/>
        <v>0</v>
      </c>
      <c r="AC25" s="49">
        <f t="shared" si="4"/>
        <v>0</v>
      </c>
      <c r="AD25" s="49">
        <f t="shared" si="5"/>
        <v>35030000</v>
      </c>
      <c r="AE25" s="35"/>
    </row>
    <row r="26" spans="1:31">
      <c r="A26" s="51">
        <v>17</v>
      </c>
      <c r="B26" s="48" t="s">
        <v>155</v>
      </c>
      <c r="C26" s="49">
        <v>4</v>
      </c>
      <c r="D26" s="49">
        <v>8990000</v>
      </c>
      <c r="E26" s="49">
        <f t="shared" si="6"/>
        <v>35960000</v>
      </c>
      <c r="F26" s="49"/>
      <c r="G26" s="49"/>
      <c r="H26" s="49"/>
      <c r="I26" s="49"/>
      <c r="J26" s="49"/>
      <c r="K26" s="49"/>
      <c r="L26" s="49">
        <f>SUM(F26:K26)</f>
        <v>0</v>
      </c>
      <c r="M26" s="49">
        <f>E26-L26</f>
        <v>35960000</v>
      </c>
      <c r="N26" s="49">
        <v>950000</v>
      </c>
      <c r="O26" s="49">
        <f>C26*N26</f>
        <v>3800000</v>
      </c>
      <c r="P26" s="49">
        <v>0</v>
      </c>
      <c r="Q26" s="49"/>
      <c r="R26" s="49">
        <f t="shared" si="7"/>
        <v>0</v>
      </c>
      <c r="S26" s="49">
        <f>O26-R26</f>
        <v>3800000</v>
      </c>
      <c r="T26" s="49">
        <v>1</v>
      </c>
      <c r="U26" s="49">
        <v>3000000</v>
      </c>
      <c r="V26" s="49">
        <f>T26*U26</f>
        <v>3000000</v>
      </c>
      <c r="W26" s="49">
        <v>1</v>
      </c>
      <c r="X26" s="49">
        <v>0</v>
      </c>
      <c r="Y26" s="49">
        <f>U26*20%*1</f>
        <v>600000</v>
      </c>
      <c r="Z26" s="49">
        <v>0</v>
      </c>
      <c r="AA26" s="49">
        <v>0</v>
      </c>
      <c r="AB26" s="49">
        <f t="shared" si="3"/>
        <v>600000</v>
      </c>
      <c r="AC26" s="49">
        <f t="shared" si="4"/>
        <v>2400000</v>
      </c>
      <c r="AD26" s="49">
        <f t="shared" si="5"/>
        <v>42160000</v>
      </c>
      <c r="AE26" s="35"/>
    </row>
    <row r="27" spans="1:31">
      <c r="A27" s="51">
        <v>18</v>
      </c>
      <c r="B27" s="48" t="s">
        <v>68</v>
      </c>
      <c r="C27" s="49">
        <v>6</v>
      </c>
      <c r="D27" s="49">
        <v>9900000</v>
      </c>
      <c r="E27" s="49">
        <f t="shared" si="6"/>
        <v>59400000</v>
      </c>
      <c r="F27" s="49">
        <v>0</v>
      </c>
      <c r="G27" s="49">
        <v>0</v>
      </c>
      <c r="H27" s="49">
        <v>0</v>
      </c>
      <c r="I27" s="49">
        <v>0</v>
      </c>
      <c r="J27" s="49">
        <f>2768445*1</f>
        <v>2768445</v>
      </c>
      <c r="K27" s="49"/>
      <c r="L27" s="49">
        <f>SUM(F27:K27)</f>
        <v>2768445</v>
      </c>
      <c r="M27" s="49">
        <f>E27-L27</f>
        <v>56631555</v>
      </c>
      <c r="N27" s="49"/>
      <c r="O27" s="49">
        <f>N27*C27</f>
        <v>0</v>
      </c>
      <c r="P27" s="49">
        <v>0</v>
      </c>
      <c r="Q27" s="49"/>
      <c r="R27" s="49">
        <f t="shared" si="7"/>
        <v>0</v>
      </c>
      <c r="S27" s="49">
        <f>O27-R27</f>
        <v>0</v>
      </c>
      <c r="T27" s="49">
        <v>4</v>
      </c>
      <c r="U27" s="49">
        <v>3000000</v>
      </c>
      <c r="V27" s="49">
        <f t="shared" si="0"/>
        <v>12000000</v>
      </c>
      <c r="W27" s="49">
        <v>3</v>
      </c>
      <c r="X27" s="49">
        <v>0</v>
      </c>
      <c r="Y27" s="49">
        <f>U27*20%*1</f>
        <v>600000</v>
      </c>
      <c r="Z27" s="49">
        <f>U27*50%*1</f>
        <v>1500000</v>
      </c>
      <c r="AA27" s="49">
        <f>U27*60%*1</f>
        <v>1800000</v>
      </c>
      <c r="AB27" s="49">
        <f t="shared" si="3"/>
        <v>3900000</v>
      </c>
      <c r="AC27" s="49">
        <f t="shared" si="4"/>
        <v>8100000</v>
      </c>
      <c r="AD27" s="49">
        <f t="shared" si="5"/>
        <v>64731555</v>
      </c>
      <c r="AE27" s="35"/>
    </row>
    <row r="28" spans="1:31">
      <c r="A28" s="44" t="s">
        <v>50</v>
      </c>
      <c r="B28" s="45" t="s">
        <v>46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35"/>
    </row>
    <row r="29" spans="1:31">
      <c r="A29" s="47">
        <v>19</v>
      </c>
      <c r="B29" s="46" t="s">
        <v>156</v>
      </c>
      <c r="C29" s="49">
        <v>8</v>
      </c>
      <c r="D29" s="49">
        <v>9900000</v>
      </c>
      <c r="E29" s="49">
        <f>C29*D29</f>
        <v>79200000</v>
      </c>
      <c r="F29" s="49">
        <f>D29*1</f>
        <v>9900000</v>
      </c>
      <c r="G29" s="49">
        <v>0</v>
      </c>
      <c r="H29" s="49">
        <v>0</v>
      </c>
      <c r="I29" s="49">
        <v>0</v>
      </c>
      <c r="J29" s="49">
        <v>0</v>
      </c>
      <c r="K29" s="49"/>
      <c r="L29" s="49">
        <f>SUM(F29:K29)</f>
        <v>9900000</v>
      </c>
      <c r="M29" s="49">
        <f>E29-L29</f>
        <v>69300000</v>
      </c>
      <c r="N29" s="49">
        <v>0</v>
      </c>
      <c r="O29" s="49">
        <v>0</v>
      </c>
      <c r="P29" s="49">
        <f>380000*1</f>
        <v>380000</v>
      </c>
      <c r="Q29" s="49"/>
      <c r="R29" s="49">
        <f>SUM(P29:Q29)</f>
        <v>380000</v>
      </c>
      <c r="S29" s="49">
        <f>R29</f>
        <v>380000</v>
      </c>
      <c r="T29" s="49">
        <v>1</v>
      </c>
      <c r="U29" s="49">
        <v>3000000</v>
      </c>
      <c r="V29" s="49">
        <f t="shared" si="0"/>
        <v>3000000</v>
      </c>
      <c r="W29" s="49">
        <v>1</v>
      </c>
      <c r="X29" s="49" t="s">
        <v>154</v>
      </c>
      <c r="Y29" s="49">
        <v>0</v>
      </c>
      <c r="Z29" s="49">
        <f>U29*50%*1</f>
        <v>1500000</v>
      </c>
      <c r="AA29" s="49">
        <v>0</v>
      </c>
      <c r="AB29" s="49">
        <f t="shared" si="3"/>
        <v>1500000</v>
      </c>
      <c r="AC29" s="49">
        <f>V29-AB29</f>
        <v>1500000</v>
      </c>
      <c r="AD29" s="49">
        <f>M29+S29+AC29</f>
        <v>71180000</v>
      </c>
      <c r="AE29" s="35"/>
    </row>
    <row r="30" spans="1:31">
      <c r="A30" s="46"/>
      <c r="B30" s="46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35"/>
    </row>
    <row r="31" spans="1:31" s="64" customFormat="1">
      <c r="A31" s="62"/>
      <c r="B31" s="62" t="s">
        <v>157</v>
      </c>
      <c r="C31" s="63">
        <f>SUM(C8:C29)</f>
        <v>227</v>
      </c>
      <c r="D31" s="63"/>
      <c r="E31" s="63">
        <f t="shared" ref="E31:K31" si="9">SUM(E8:E29)</f>
        <v>1943430000</v>
      </c>
      <c r="F31" s="63">
        <f>SUM(F8:F29)</f>
        <v>183103000</v>
      </c>
      <c r="G31" s="63">
        <f t="shared" si="9"/>
        <v>14809250</v>
      </c>
      <c r="H31" s="63">
        <f t="shared" si="9"/>
        <v>20037500</v>
      </c>
      <c r="I31" s="63">
        <v>1672000</v>
      </c>
      <c r="J31" s="63">
        <f t="shared" si="9"/>
        <v>29522325</v>
      </c>
      <c r="K31" s="63">
        <f t="shared" si="9"/>
        <v>13600000</v>
      </c>
      <c r="L31" s="63">
        <f>SUM(L8:L29)</f>
        <v>262744075</v>
      </c>
      <c r="M31" s="63">
        <f>SUM(M8:M29)+K31</f>
        <v>1694285925</v>
      </c>
      <c r="N31" s="63"/>
      <c r="O31" s="63">
        <f>SUM(O8:O29)</f>
        <v>43700000</v>
      </c>
      <c r="P31" s="63">
        <f>SUM(P12:P29)</f>
        <v>9310000</v>
      </c>
      <c r="Q31" s="63">
        <f>SUM(Q8:Q29)</f>
        <v>0</v>
      </c>
      <c r="R31" s="63">
        <f>SUM(R8:R29)</f>
        <v>13870000</v>
      </c>
      <c r="S31" s="63">
        <f>SUM(S8:S29)</f>
        <v>48450000</v>
      </c>
      <c r="T31" s="63">
        <f t="shared" ref="T31:AB31" si="10">SUM(T8:T29)</f>
        <v>37</v>
      </c>
      <c r="U31" s="63">
        <f t="shared" si="10"/>
        <v>57000000</v>
      </c>
      <c r="V31" s="61">
        <f t="shared" si="10"/>
        <v>111000000</v>
      </c>
      <c r="W31" s="63">
        <f t="shared" si="10"/>
        <v>25</v>
      </c>
      <c r="X31" s="63">
        <f t="shared" si="10"/>
        <v>150000</v>
      </c>
      <c r="Y31" s="63">
        <f t="shared" si="10"/>
        <v>10800000</v>
      </c>
      <c r="Z31" s="63">
        <f t="shared" si="10"/>
        <v>7500000</v>
      </c>
      <c r="AA31" s="63">
        <f t="shared" si="10"/>
        <v>5400000</v>
      </c>
      <c r="AB31" s="63">
        <f t="shared" si="10"/>
        <v>23850000</v>
      </c>
      <c r="AC31" s="63">
        <f>SUM(AC8:AC29)</f>
        <v>87150000</v>
      </c>
      <c r="AD31" s="61">
        <f>SUM(AD8:AD29)</f>
        <v>1816285925</v>
      </c>
    </row>
    <row r="32" spans="1:31">
      <c r="A32" s="46"/>
      <c r="B32" s="46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35"/>
    </row>
    <row r="33" spans="1:31">
      <c r="A33" s="46"/>
      <c r="B33" s="46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35"/>
    </row>
    <row r="34" spans="1:31">
      <c r="A34" s="46"/>
      <c r="B34" s="46"/>
      <c r="C34" s="46" t="s">
        <v>158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35"/>
    </row>
    <row r="35" spans="1:31">
      <c r="A35" s="46"/>
      <c r="B35" s="46"/>
      <c r="C35" s="46" t="s">
        <v>159</v>
      </c>
      <c r="D35" s="46"/>
      <c r="E35" s="46"/>
      <c r="F35" s="46"/>
      <c r="G35" s="46"/>
      <c r="H35" s="46"/>
      <c r="I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35"/>
    </row>
    <row r="36" spans="1:3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35"/>
    </row>
    <row r="37" spans="1:31">
      <c r="A37" s="46"/>
      <c r="B37" s="46" t="s">
        <v>160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35"/>
    </row>
    <row r="38" spans="1:3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35"/>
    </row>
    <row r="39" spans="1:31">
      <c r="A39" s="46"/>
      <c r="B39" s="46"/>
      <c r="C39" s="46"/>
      <c r="D39" s="46" t="s">
        <v>306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35"/>
    </row>
    <row r="40" spans="1:31">
      <c r="D40" s="35" t="s">
        <v>161</v>
      </c>
      <c r="H40" s="56">
        <f>M31*10+K31*10</f>
        <v>17078859250</v>
      </c>
    </row>
    <row r="41" spans="1:31">
      <c r="D41" s="35" t="s">
        <v>165</v>
      </c>
      <c r="H41" s="56">
        <f>K31*10</f>
        <v>136000000</v>
      </c>
    </row>
    <row r="43" spans="1:31">
      <c r="D43" s="35" t="s">
        <v>307</v>
      </c>
      <c r="H43" s="56">
        <f>(M31-M8-M9-M10-M12-M13-M14-M15-M25-M26-M27+K31)*10*5%</f>
        <v>498407125</v>
      </c>
    </row>
    <row r="45" spans="1:31">
      <c r="D45" s="35" t="s">
        <v>308</v>
      </c>
    </row>
    <row r="46" spans="1:31">
      <c r="H46" s="135"/>
    </row>
    <row r="47" spans="1:31">
      <c r="D47" s="35" t="s">
        <v>309</v>
      </c>
      <c r="F47" s="35">
        <v>236</v>
      </c>
      <c r="H47" s="135"/>
    </row>
    <row r="48" spans="1:31">
      <c r="D48" s="35" t="s">
        <v>310</v>
      </c>
      <c r="F48" s="35">
        <v>21</v>
      </c>
      <c r="G48" s="35">
        <f>0</f>
        <v>0</v>
      </c>
      <c r="H48" s="135">
        <f>F48*G48</f>
        <v>0</v>
      </c>
    </row>
    <row r="49" spans="4:8">
      <c r="D49" s="35" t="s">
        <v>311</v>
      </c>
      <c r="F49" s="35">
        <v>6</v>
      </c>
      <c r="G49" s="35">
        <f>4000000*50%</f>
        <v>2000000</v>
      </c>
      <c r="H49" s="135">
        <f t="shared" ref="H49:H51" si="11">F49*G49</f>
        <v>12000000</v>
      </c>
    </row>
    <row r="50" spans="4:8">
      <c r="D50" s="35" t="s">
        <v>312</v>
      </c>
      <c r="F50" s="35">
        <v>5</v>
      </c>
      <c r="G50" s="35">
        <f>4000000*75%</f>
        <v>3000000</v>
      </c>
      <c r="H50" s="135">
        <f t="shared" si="11"/>
        <v>15000000</v>
      </c>
    </row>
    <row r="51" spans="4:8">
      <c r="D51" s="35" t="s">
        <v>313</v>
      </c>
      <c r="F51" s="35">
        <f>F47-F48-F49-F50</f>
        <v>204</v>
      </c>
      <c r="G51" s="35">
        <v>4000000</v>
      </c>
      <c r="H51" s="135">
        <f t="shared" si="11"/>
        <v>816000000</v>
      </c>
    </row>
    <row r="52" spans="4:8">
      <c r="D52" s="136" t="s">
        <v>81</v>
      </c>
      <c r="E52" s="136"/>
      <c r="F52" s="136"/>
      <c r="G52" s="136"/>
      <c r="H52" s="137">
        <f>SUM(H48:H51)</f>
        <v>843000000</v>
      </c>
    </row>
  </sheetData>
  <mergeCells count="10">
    <mergeCell ref="T5:V5"/>
    <mergeCell ref="W5:AB5"/>
    <mergeCell ref="AC5:AC6"/>
    <mergeCell ref="AD5:AD6"/>
    <mergeCell ref="C5:E5"/>
    <mergeCell ref="F5:L5"/>
    <mergeCell ref="M5:M6"/>
    <mergeCell ref="N5:O5"/>
    <mergeCell ref="P5:R5"/>
    <mergeCell ref="S5:S6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D6" sqref="D6"/>
    </sheetView>
  </sheetViews>
  <sheetFormatPr defaultColWidth="8.7265625" defaultRowHeight="14"/>
  <cols>
    <col min="1" max="1" width="8.7265625" style="2"/>
    <col min="2" max="2" width="25.81640625" style="2" customWidth="1"/>
    <col min="3" max="3" width="16.453125" style="2" customWidth="1"/>
    <col min="4" max="5" width="16.26953125" style="2" customWidth="1"/>
    <col min="6" max="6" width="18" style="2" customWidth="1"/>
    <col min="7" max="7" width="20.81640625" style="2" hidden="1" customWidth="1"/>
    <col min="8" max="8" width="13" style="2" hidden="1" customWidth="1"/>
    <col min="9" max="16384" width="8.7265625" style="2"/>
  </cols>
  <sheetData>
    <row r="3" spans="2:8">
      <c r="B3" s="2" t="s">
        <v>8</v>
      </c>
      <c r="C3" s="2" t="s">
        <v>65</v>
      </c>
      <c r="D3" s="2" t="s">
        <v>64</v>
      </c>
      <c r="E3" s="2" t="s">
        <v>74</v>
      </c>
      <c r="F3" s="2" t="s">
        <v>72</v>
      </c>
    </row>
    <row r="4" spans="2:8">
      <c r="B4" s="2" t="s">
        <v>75</v>
      </c>
      <c r="C4" s="2">
        <f>204</f>
        <v>204</v>
      </c>
      <c r="D4" s="26">
        <f>1374017500*10</f>
        <v>13740175000</v>
      </c>
      <c r="E4" s="26">
        <v>1056255650</v>
      </c>
      <c r="F4" s="27">
        <f>(D4-E4)*1.1+E4</f>
        <v>15008566935.000002</v>
      </c>
    </row>
    <row r="5" spans="2:8">
      <c r="B5" s="2" t="s">
        <v>66</v>
      </c>
      <c r="C5" s="2">
        <v>5</v>
      </c>
      <c r="D5" s="26">
        <v>8690000</v>
      </c>
      <c r="E5" s="26"/>
      <c r="F5" s="27">
        <f t="shared" ref="F5:F10" si="0">C5*D5*10</f>
        <v>434500000</v>
      </c>
      <c r="G5" s="2">
        <v>38</v>
      </c>
      <c r="H5" s="27">
        <f>D5*G5</f>
        <v>330220000</v>
      </c>
    </row>
    <row r="6" spans="2:8">
      <c r="B6" s="2" t="s">
        <v>68</v>
      </c>
      <c r="C6" s="2">
        <v>3</v>
      </c>
      <c r="D6" s="26">
        <v>9900000</v>
      </c>
      <c r="E6" s="26"/>
      <c r="F6" s="27">
        <f t="shared" si="0"/>
        <v>297000000</v>
      </c>
      <c r="G6" s="2">
        <v>14</v>
      </c>
      <c r="H6" s="27">
        <f>D6*G6</f>
        <v>138600000</v>
      </c>
    </row>
    <row r="7" spans="2:8">
      <c r="B7" s="2" t="s">
        <v>67</v>
      </c>
      <c r="C7" s="2">
        <v>32</v>
      </c>
      <c r="D7" s="26">
        <v>8360000</v>
      </c>
      <c r="E7" s="26"/>
      <c r="F7" s="27">
        <f t="shared" si="0"/>
        <v>2675200000</v>
      </c>
      <c r="G7" s="2">
        <v>55</v>
      </c>
      <c r="H7" s="27">
        <f>D7*G7</f>
        <v>459800000</v>
      </c>
    </row>
    <row r="8" spans="2:8">
      <c r="B8" s="2" t="s">
        <v>69</v>
      </c>
      <c r="C8" s="2">
        <v>-2</v>
      </c>
      <c r="D8" s="26">
        <v>8635000</v>
      </c>
      <c r="E8" s="26"/>
      <c r="F8" s="27">
        <f t="shared" si="0"/>
        <v>-172700000</v>
      </c>
    </row>
    <row r="9" spans="2:8">
      <c r="B9" s="2" t="s">
        <v>70</v>
      </c>
      <c r="C9" s="2">
        <f>-2</f>
        <v>-2</v>
      </c>
      <c r="D9" s="26">
        <v>9020000</v>
      </c>
      <c r="E9" s="26"/>
      <c r="F9" s="27">
        <f t="shared" si="0"/>
        <v>-180400000</v>
      </c>
    </row>
    <row r="10" spans="2:8">
      <c r="B10" s="2" t="s">
        <v>71</v>
      </c>
      <c r="C10" s="2">
        <v>-1</v>
      </c>
      <c r="D10" s="26">
        <v>9900000</v>
      </c>
      <c r="E10" s="26"/>
      <c r="F10" s="27">
        <f t="shared" si="0"/>
        <v>-99000000</v>
      </c>
    </row>
    <row r="11" spans="2:8">
      <c r="F11" s="28">
        <f>SUM(F4:F10)</f>
        <v>17963166935</v>
      </c>
    </row>
    <row r="12" spans="2:8">
      <c r="B12" s="2" t="s">
        <v>73</v>
      </c>
    </row>
    <row r="14" spans="2:8">
      <c r="B14" s="2" t="s">
        <v>76</v>
      </c>
      <c r="F14" s="27">
        <f>H5+H6+H7</f>
        <v>928620000</v>
      </c>
    </row>
    <row r="15" spans="2:8">
      <c r="B15" s="2" t="s">
        <v>77</v>
      </c>
      <c r="F15" s="27">
        <f>F11-F14</f>
        <v>17034546935</v>
      </c>
    </row>
    <row r="16" spans="2:8">
      <c r="B16" s="2" t="s">
        <v>85</v>
      </c>
      <c r="F16" s="27">
        <f>F15*5%</f>
        <v>851727346.75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8"/>
  <sheetViews>
    <sheetView zoomScale="85" zoomScaleNormal="85" workbookViewId="0">
      <selection activeCell="E3" sqref="E3"/>
    </sheetView>
  </sheetViews>
  <sheetFormatPr defaultColWidth="8.7265625" defaultRowHeight="14"/>
  <cols>
    <col min="1" max="1" width="8.7265625" style="2"/>
    <col min="2" max="2" width="32.453125" style="2" customWidth="1"/>
    <col min="3" max="3" width="24.54296875" style="2" customWidth="1"/>
    <col min="4" max="4" width="19.453125" style="2" customWidth="1"/>
    <col min="5" max="5" width="17.7265625" style="2" customWidth="1"/>
    <col min="6" max="6" width="16.54296875" style="2" customWidth="1"/>
    <col min="7" max="16384" width="8.7265625" style="2"/>
  </cols>
  <sheetData>
    <row r="2" spans="2:6" ht="28">
      <c r="C2" s="2" t="s">
        <v>79</v>
      </c>
      <c r="D2" s="2" t="s">
        <v>80</v>
      </c>
      <c r="E2" s="32" t="s">
        <v>86</v>
      </c>
      <c r="F2" s="2" t="s">
        <v>81</v>
      </c>
    </row>
    <row r="3" spans="2:6">
      <c r="B3" s="2" t="s">
        <v>78</v>
      </c>
      <c r="C3" s="29">
        <f>'[1]Lương t6'!$H$4+'[1]Lương t6'!$H$11+'[1]Lương t6'!$H$35+'[1]Lương t6'!$H$48+'[1]Lương t6'!$H$57+'[1]Lương t6'!$H$61+'[1]Lương t6'!$H$65</f>
        <v>575484727</v>
      </c>
      <c r="D3" s="26">
        <f>C3*13</f>
        <v>7481301451</v>
      </c>
      <c r="E3" s="26">
        <f>'DS NV'!G81*13+'DS NV'!I81</f>
        <v>1033600000</v>
      </c>
      <c r="F3" s="27">
        <f>D3+E3</f>
        <v>8514901451</v>
      </c>
    </row>
    <row r="4" spans="2:6">
      <c r="B4" s="2" t="s">
        <v>305</v>
      </c>
      <c r="C4" s="26">
        <v>43092020</v>
      </c>
      <c r="D4" s="26">
        <f>C4*12</f>
        <v>517104240</v>
      </c>
      <c r="F4" s="27">
        <f>D4+E4</f>
        <v>517104240</v>
      </c>
    </row>
    <row r="5" spans="2:6">
      <c r="D5" s="26"/>
    </row>
    <row r="6" spans="2:6">
      <c r="D6" s="26"/>
    </row>
    <row r="7" spans="2:6">
      <c r="D7" s="26"/>
    </row>
    <row r="8" spans="2:6">
      <c r="D8" s="2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5" sqref="D25"/>
    </sheetView>
  </sheetViews>
  <sheetFormatPr defaultRowHeight="14.5"/>
  <cols>
    <col min="2" max="2" width="13.7265625" customWidth="1"/>
    <col min="3" max="3" width="12.81640625" customWidth="1"/>
    <col min="4" max="4" width="16.7265625" customWidth="1"/>
    <col min="5" max="5" width="15.453125" customWidth="1"/>
    <col min="6" max="6" width="15.26953125" customWidth="1"/>
    <col min="7" max="7" width="17" customWidth="1"/>
  </cols>
  <sheetData>
    <row r="1" spans="1:7">
      <c r="A1" t="s">
        <v>89</v>
      </c>
    </row>
    <row r="3" spans="1:7">
      <c r="A3" t="s">
        <v>79</v>
      </c>
      <c r="B3" t="s">
        <v>90</v>
      </c>
      <c r="C3" t="s">
        <v>91</v>
      </c>
      <c r="D3" t="s">
        <v>92</v>
      </c>
      <c r="E3" t="s">
        <v>93</v>
      </c>
      <c r="F3" t="s">
        <v>94</v>
      </c>
    </row>
    <row r="4" spans="1:7">
      <c r="A4" s="65">
        <v>8</v>
      </c>
      <c r="B4" s="33">
        <v>146146100</v>
      </c>
      <c r="C4" s="33">
        <v>110940000</v>
      </c>
      <c r="D4" s="33">
        <v>984015000</v>
      </c>
      <c r="E4" s="33"/>
      <c r="F4" s="33"/>
    </row>
    <row r="5" spans="1:7">
      <c r="A5" s="65">
        <v>9</v>
      </c>
      <c r="B5" s="33">
        <v>101344600</v>
      </c>
      <c r="C5" s="33">
        <v>75164665</v>
      </c>
      <c r="D5" s="33">
        <v>2800000</v>
      </c>
      <c r="E5" s="33"/>
      <c r="F5" s="33">
        <v>7162100</v>
      </c>
    </row>
    <row r="6" spans="1:7">
      <c r="A6" s="65">
        <v>10</v>
      </c>
      <c r="B6" s="33">
        <v>61862646</v>
      </c>
      <c r="C6" s="33">
        <v>16618000</v>
      </c>
      <c r="D6" s="33">
        <v>523915000</v>
      </c>
      <c r="E6" s="33"/>
      <c r="F6" s="33">
        <v>21018550</v>
      </c>
    </row>
    <row r="7" spans="1:7">
      <c r="A7" s="65">
        <v>11</v>
      </c>
      <c r="B7" s="33">
        <v>9855000</v>
      </c>
      <c r="C7" s="33"/>
      <c r="D7" s="33">
        <v>424912000</v>
      </c>
      <c r="E7" s="33"/>
      <c r="F7" s="33">
        <v>12730386</v>
      </c>
    </row>
    <row r="8" spans="1:7">
      <c r="A8" s="65">
        <v>12</v>
      </c>
      <c r="B8" s="33">
        <v>16621741</v>
      </c>
      <c r="C8" s="33">
        <v>33240000</v>
      </c>
      <c r="D8" s="33">
        <v>34100000</v>
      </c>
      <c r="E8" s="33">
        <v>98193000</v>
      </c>
      <c r="F8" s="33">
        <v>6394000</v>
      </c>
    </row>
    <row r="9" spans="1:7">
      <c r="A9" s="65">
        <v>1</v>
      </c>
      <c r="B9" s="33">
        <v>22039000</v>
      </c>
      <c r="C9" s="33">
        <v>13230000</v>
      </c>
      <c r="D9" s="33">
        <v>140145000</v>
      </c>
      <c r="E9" s="33"/>
      <c r="F9" s="33"/>
    </row>
    <row r="10" spans="1:7" s="102" customFormat="1">
      <c r="A10" s="100"/>
      <c r="B10" s="101">
        <f>SUM(B4:B9)</f>
        <v>357869087</v>
      </c>
      <c r="C10" s="101">
        <f>SUM(C4:C9)</f>
        <v>249192665</v>
      </c>
      <c r="D10" s="101">
        <f>SUM(D4:D9)</f>
        <v>2109887000</v>
      </c>
      <c r="E10" s="101">
        <f>SUM(E4:E9)</f>
        <v>98193000</v>
      </c>
      <c r="F10" s="101">
        <f>SUM(F4:F9)</f>
        <v>47305036</v>
      </c>
    </row>
    <row r="12" spans="1:7" hidden="1">
      <c r="E12" s="33" t="s">
        <v>95</v>
      </c>
      <c r="F12" t="s">
        <v>96</v>
      </c>
      <c r="G12" t="s">
        <v>97</v>
      </c>
    </row>
    <row r="13" spans="1:7" hidden="1">
      <c r="B13" t="s">
        <v>98</v>
      </c>
      <c r="E13" s="33">
        <f>'[2]Học phí trọn đời'!$Q$22</f>
        <v>928545833.33333325</v>
      </c>
    </row>
    <row r="14" spans="1:7" hidden="1">
      <c r="B14" t="s">
        <v>99</v>
      </c>
      <c r="E14" s="33">
        <f>'[2]Học phí trọn đời'!$N$22</f>
        <v>182500000</v>
      </c>
    </row>
    <row r="15" spans="1:7" hidden="1">
      <c r="B15" t="s">
        <v>100</v>
      </c>
      <c r="E15" s="33">
        <f>'[3]Nguon thu'!M26*10+7600000*28*10+8400000*10*3</f>
        <v>16882075000</v>
      </c>
      <c r="G15" s="34">
        <f>('[3]Nguon thu'!M26-'[3]Nguon thu'!M8-'[3]Nguon thu'!M9-'[3]Nguon thu'!M10-'[3]Nguon thu'!M12-'[3]Nguon thu'!M13-'[3]Nguon thu'!M14-'[3]Nguon thu'!M15-'[3]Nguon thu'!M22)*5</f>
        <v>3861137500</v>
      </c>
    </row>
    <row r="16" spans="1:7" hidden="1">
      <c r="B16" t="s">
        <v>101</v>
      </c>
      <c r="E16" s="33">
        <f>E15-F16</f>
        <v>10146075000</v>
      </c>
      <c r="F16" s="34">
        <f>('[3]Nguon thu'!M8+'[3]Nguon thu'!M9+'[3]Nguon thu'!M10+'[3]Nguon thu'!M12+'[3]Nguon thu'!M13+'[3]Nguon thu'!M22)*10+7600000*28*10</f>
        <v>6736000000</v>
      </c>
    </row>
    <row r="17" spans="2:6" hidden="1"/>
    <row r="18" spans="2:6" hidden="1"/>
    <row r="19" spans="2:6" hidden="1">
      <c r="B19" t="s">
        <v>102</v>
      </c>
    </row>
    <row r="20" spans="2:6" hidden="1">
      <c r="B20" t="s">
        <v>103</v>
      </c>
      <c r="C20">
        <v>2</v>
      </c>
    </row>
    <row r="21" spans="2:6" hidden="1">
      <c r="B21" t="s">
        <v>104</v>
      </c>
    </row>
    <row r="26" spans="2:6">
      <c r="C26" s="33"/>
      <c r="D26" s="33"/>
      <c r="E26" s="33"/>
      <c r="F26" s="66"/>
    </row>
    <row r="27" spans="2:6">
      <c r="C27" s="33"/>
      <c r="D27" s="33"/>
      <c r="E27" s="33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68" workbookViewId="0">
      <selection activeCell="G82" sqref="G82"/>
    </sheetView>
  </sheetViews>
  <sheetFormatPr defaultColWidth="14.453125" defaultRowHeight="14.5"/>
  <cols>
    <col min="1" max="1" width="8.81640625" style="70" customWidth="1"/>
    <col min="2" max="2" width="30.26953125" style="70" customWidth="1"/>
    <col min="3" max="3" width="35.1796875" style="70" customWidth="1"/>
    <col min="4" max="4" width="22.1796875" style="70" customWidth="1"/>
    <col min="5" max="5" width="24.54296875" style="70" customWidth="1"/>
    <col min="6" max="6" width="4.453125" style="70" customWidth="1"/>
    <col min="7" max="7" width="22.26953125" style="89" customWidth="1"/>
    <col min="8" max="9" width="14.453125" style="89"/>
    <col min="10" max="16384" width="14.453125" style="70"/>
  </cols>
  <sheetData>
    <row r="1" spans="1:6" ht="30" customHeight="1">
      <c r="A1" s="120" t="s">
        <v>168</v>
      </c>
      <c r="B1" s="121"/>
      <c r="C1" s="121"/>
      <c r="D1" s="121"/>
      <c r="E1" s="122"/>
      <c r="F1" s="69"/>
    </row>
    <row r="2" spans="1:6" ht="22.5" customHeight="1">
      <c r="A2" s="123" t="s">
        <v>169</v>
      </c>
      <c r="B2" s="124"/>
      <c r="C2" s="124"/>
      <c r="D2" s="124"/>
      <c r="E2" s="125"/>
      <c r="F2" s="69"/>
    </row>
    <row r="3" spans="1:6" ht="22.5" customHeight="1">
      <c r="A3" s="71" t="s">
        <v>0</v>
      </c>
      <c r="B3" s="71" t="s">
        <v>170</v>
      </c>
      <c r="C3" s="71" t="s">
        <v>171</v>
      </c>
      <c r="D3" s="71" t="s">
        <v>172</v>
      </c>
      <c r="E3" s="71" t="s">
        <v>3</v>
      </c>
      <c r="F3" s="69"/>
    </row>
    <row r="4" spans="1:6" ht="22.5" customHeight="1">
      <c r="A4" s="126" t="s">
        <v>173</v>
      </c>
      <c r="B4" s="118"/>
      <c r="C4" s="118"/>
      <c r="D4" s="118"/>
      <c r="E4" s="119"/>
      <c r="F4" s="72"/>
    </row>
    <row r="5" spans="1:6" ht="22.5" customHeight="1">
      <c r="A5" s="73">
        <v>1</v>
      </c>
      <c r="B5" s="74" t="s">
        <v>174</v>
      </c>
      <c r="C5" s="75" t="s">
        <v>173</v>
      </c>
      <c r="D5" s="75" t="s">
        <v>144</v>
      </c>
      <c r="E5" s="76"/>
      <c r="F5" s="69"/>
    </row>
    <row r="6" spans="1:6" ht="22.5" customHeight="1">
      <c r="A6" s="73">
        <v>2</v>
      </c>
      <c r="B6" s="74" t="s">
        <v>175</v>
      </c>
      <c r="C6" s="75" t="s">
        <v>173</v>
      </c>
      <c r="D6" s="75" t="s">
        <v>176</v>
      </c>
      <c r="E6" s="77"/>
      <c r="F6" s="69"/>
    </row>
    <row r="7" spans="1:6" ht="22.5" customHeight="1">
      <c r="A7" s="73">
        <v>3</v>
      </c>
      <c r="B7" s="74" t="s">
        <v>177</v>
      </c>
      <c r="C7" s="75" t="s">
        <v>173</v>
      </c>
      <c r="D7" s="75" t="s">
        <v>147</v>
      </c>
      <c r="E7" s="77"/>
      <c r="F7" s="69"/>
    </row>
    <row r="8" spans="1:6" ht="22.5" customHeight="1">
      <c r="A8" s="73">
        <v>4</v>
      </c>
      <c r="B8" s="74" t="s">
        <v>178</v>
      </c>
      <c r="C8" s="75" t="s">
        <v>173</v>
      </c>
      <c r="D8" s="75" t="s">
        <v>146</v>
      </c>
      <c r="E8" s="77"/>
      <c r="F8" s="69"/>
    </row>
    <row r="9" spans="1:6" ht="22.5" customHeight="1">
      <c r="A9" s="73">
        <v>5</v>
      </c>
      <c r="B9" s="74" t="s">
        <v>179</v>
      </c>
      <c r="C9" s="75" t="s">
        <v>173</v>
      </c>
      <c r="D9" s="75" t="s">
        <v>148</v>
      </c>
      <c r="E9" s="77"/>
      <c r="F9" s="69"/>
    </row>
    <row r="10" spans="1:6" ht="22.5" customHeight="1">
      <c r="A10" s="73">
        <v>6</v>
      </c>
      <c r="B10" s="74" t="s">
        <v>180</v>
      </c>
      <c r="C10" s="75" t="s">
        <v>173</v>
      </c>
      <c r="D10" s="75" t="s">
        <v>149</v>
      </c>
      <c r="E10" s="77"/>
      <c r="F10" s="69"/>
    </row>
    <row r="11" spans="1:6" ht="22.5" customHeight="1">
      <c r="A11" s="73">
        <v>7</v>
      </c>
      <c r="B11" s="74" t="s">
        <v>181</v>
      </c>
      <c r="C11" s="75" t="s">
        <v>173</v>
      </c>
      <c r="D11" s="75" t="s">
        <v>150</v>
      </c>
      <c r="E11" s="77"/>
      <c r="F11" s="69"/>
    </row>
    <row r="12" spans="1:6" ht="22.5" customHeight="1">
      <c r="A12" s="73">
        <v>8</v>
      </c>
      <c r="B12" s="74" t="s">
        <v>182</v>
      </c>
      <c r="C12" s="75" t="s">
        <v>173</v>
      </c>
      <c r="D12" s="75" t="s">
        <v>142</v>
      </c>
      <c r="E12" s="77"/>
      <c r="F12" s="69"/>
    </row>
    <row r="13" spans="1:6" ht="22.5" customHeight="1">
      <c r="A13" s="73">
        <v>9</v>
      </c>
      <c r="B13" s="74" t="s">
        <v>183</v>
      </c>
      <c r="C13" s="127" t="s">
        <v>184</v>
      </c>
      <c r="D13" s="119"/>
      <c r="E13" s="77"/>
      <c r="F13" s="69"/>
    </row>
    <row r="14" spans="1:6" ht="22.5" customHeight="1">
      <c r="A14" s="73">
        <v>10</v>
      </c>
      <c r="B14" s="74" t="s">
        <v>185</v>
      </c>
      <c r="C14" s="75" t="s">
        <v>173</v>
      </c>
      <c r="D14" s="75" t="s">
        <v>136</v>
      </c>
      <c r="E14" s="77"/>
      <c r="F14" s="69"/>
    </row>
    <row r="15" spans="1:6" ht="22.5" customHeight="1">
      <c r="A15" s="73">
        <v>11</v>
      </c>
      <c r="B15" s="74" t="s">
        <v>186</v>
      </c>
      <c r="C15" s="75" t="s">
        <v>173</v>
      </c>
      <c r="D15" s="75" t="s">
        <v>151</v>
      </c>
      <c r="E15" s="77"/>
      <c r="F15" s="69"/>
    </row>
    <row r="16" spans="1:6" ht="22.5" customHeight="1">
      <c r="A16" s="73">
        <v>12</v>
      </c>
      <c r="B16" s="74" t="s">
        <v>187</v>
      </c>
      <c r="C16" s="75" t="s">
        <v>173</v>
      </c>
      <c r="D16" s="75" t="s">
        <v>156</v>
      </c>
      <c r="E16" s="77"/>
      <c r="F16" s="69"/>
    </row>
    <row r="17" spans="1:9" ht="22.5" customHeight="1">
      <c r="A17" s="73">
        <v>13</v>
      </c>
      <c r="B17" s="74" t="s">
        <v>188</v>
      </c>
      <c r="C17" s="75" t="s">
        <v>173</v>
      </c>
      <c r="D17" s="75" t="s">
        <v>140</v>
      </c>
      <c r="E17" s="77"/>
      <c r="F17" s="69"/>
    </row>
    <row r="18" spans="1:9" ht="22.5" customHeight="1">
      <c r="A18" s="73">
        <v>14</v>
      </c>
      <c r="B18" s="74" t="s">
        <v>189</v>
      </c>
      <c r="C18" s="75" t="s">
        <v>173</v>
      </c>
      <c r="D18" s="75" t="s">
        <v>143</v>
      </c>
      <c r="E18" s="77"/>
      <c r="F18" s="69"/>
    </row>
    <row r="19" spans="1:9" ht="22.5" customHeight="1">
      <c r="A19" s="73">
        <v>15</v>
      </c>
      <c r="B19" s="74" t="s">
        <v>190</v>
      </c>
      <c r="C19" s="75" t="s">
        <v>173</v>
      </c>
      <c r="D19" s="75" t="s">
        <v>138</v>
      </c>
      <c r="E19" s="77"/>
      <c r="F19" s="69"/>
    </row>
    <row r="20" spans="1:9" ht="22.5" customHeight="1">
      <c r="A20" s="73">
        <v>16</v>
      </c>
      <c r="B20" s="74" t="s">
        <v>191</v>
      </c>
      <c r="C20" s="75" t="s">
        <v>173</v>
      </c>
      <c r="D20" s="75" t="s">
        <v>155</v>
      </c>
      <c r="E20" s="77"/>
      <c r="F20" s="69"/>
    </row>
    <row r="21" spans="1:9" ht="22.5" customHeight="1">
      <c r="A21" s="73">
        <v>17</v>
      </c>
      <c r="B21" s="74" t="s">
        <v>192</v>
      </c>
      <c r="C21" s="75" t="s">
        <v>173</v>
      </c>
      <c r="D21" s="75" t="s">
        <v>193</v>
      </c>
      <c r="E21" s="77"/>
      <c r="F21" s="69"/>
    </row>
    <row r="22" spans="1:9" ht="22.5" customHeight="1">
      <c r="A22" s="73">
        <v>18</v>
      </c>
      <c r="B22" s="74" t="s">
        <v>194</v>
      </c>
      <c r="C22" s="75" t="s">
        <v>173</v>
      </c>
      <c r="D22" s="75" t="s">
        <v>137</v>
      </c>
      <c r="E22" s="77"/>
      <c r="F22" s="69"/>
    </row>
    <row r="23" spans="1:9" ht="22.5" customHeight="1">
      <c r="A23" s="73">
        <v>19</v>
      </c>
      <c r="B23" s="74" t="s">
        <v>195</v>
      </c>
      <c r="C23" s="75" t="s">
        <v>173</v>
      </c>
      <c r="D23" s="75" t="s">
        <v>153</v>
      </c>
      <c r="E23" s="77"/>
      <c r="F23" s="69"/>
    </row>
    <row r="24" spans="1:9" s="85" customFormat="1" ht="22.5" customHeight="1">
      <c r="A24" s="79">
        <v>20</v>
      </c>
      <c r="B24" s="80" t="s">
        <v>196</v>
      </c>
      <c r="C24" s="81" t="s">
        <v>173</v>
      </c>
      <c r="D24" s="81" t="s">
        <v>141</v>
      </c>
      <c r="E24" s="83"/>
      <c r="F24" s="84"/>
      <c r="G24" s="90">
        <v>11000000</v>
      </c>
      <c r="H24" s="90"/>
      <c r="I24" s="90"/>
    </row>
    <row r="25" spans="1:9" ht="22.5" customHeight="1">
      <c r="A25" s="128" t="s">
        <v>197</v>
      </c>
      <c r="B25" s="118"/>
      <c r="C25" s="118"/>
      <c r="D25" s="118"/>
      <c r="E25" s="119"/>
      <c r="F25" s="72"/>
    </row>
    <row r="26" spans="1:9" ht="22.5" customHeight="1">
      <c r="A26" s="73">
        <v>1</v>
      </c>
      <c r="B26" s="74" t="s">
        <v>198</v>
      </c>
      <c r="C26" s="75" t="s">
        <v>199</v>
      </c>
      <c r="D26" s="129" t="s">
        <v>138</v>
      </c>
      <c r="E26" s="75"/>
      <c r="F26" s="69"/>
    </row>
    <row r="27" spans="1:9" ht="22.5" customHeight="1">
      <c r="A27" s="73">
        <v>2</v>
      </c>
      <c r="B27" s="74" t="s">
        <v>200</v>
      </c>
      <c r="C27" s="75" t="s">
        <v>199</v>
      </c>
      <c r="D27" s="130"/>
      <c r="E27" s="77"/>
      <c r="F27" s="69"/>
    </row>
    <row r="28" spans="1:9" ht="22.5" customHeight="1">
      <c r="A28" s="73">
        <v>3</v>
      </c>
      <c r="B28" s="74" t="s">
        <v>201</v>
      </c>
      <c r="C28" s="75" t="s">
        <v>202</v>
      </c>
      <c r="D28" s="78" t="s">
        <v>203</v>
      </c>
      <c r="E28" s="77"/>
      <c r="F28" s="69"/>
    </row>
    <row r="29" spans="1:9" ht="22.5" customHeight="1">
      <c r="A29" s="73">
        <v>4</v>
      </c>
      <c r="B29" s="74" t="s">
        <v>204</v>
      </c>
      <c r="C29" s="75" t="s">
        <v>205</v>
      </c>
      <c r="D29" s="78" t="s">
        <v>155</v>
      </c>
      <c r="E29" s="77"/>
      <c r="F29" s="69"/>
    </row>
    <row r="30" spans="1:9" ht="22.5" customHeight="1">
      <c r="A30" s="73">
        <v>5</v>
      </c>
      <c r="B30" s="74" t="s">
        <v>206</v>
      </c>
      <c r="C30" s="75" t="s">
        <v>205</v>
      </c>
      <c r="D30" s="78" t="s">
        <v>153</v>
      </c>
      <c r="E30" s="77"/>
      <c r="F30" s="69"/>
    </row>
    <row r="31" spans="1:9" ht="22.5" customHeight="1">
      <c r="A31" s="73">
        <v>6</v>
      </c>
      <c r="B31" s="74" t="s">
        <v>207</v>
      </c>
      <c r="C31" s="75" t="s">
        <v>202</v>
      </c>
      <c r="D31" s="78" t="s">
        <v>203</v>
      </c>
      <c r="E31" s="77"/>
      <c r="F31" s="69"/>
    </row>
    <row r="32" spans="1:9" ht="22.5" customHeight="1">
      <c r="A32" s="73">
        <v>7</v>
      </c>
      <c r="B32" s="74" t="s">
        <v>208</v>
      </c>
      <c r="C32" s="75" t="s">
        <v>209</v>
      </c>
      <c r="D32" s="78" t="s">
        <v>136</v>
      </c>
      <c r="E32" s="77"/>
      <c r="F32" s="69" t="s">
        <v>298</v>
      </c>
      <c r="G32" s="92" t="s">
        <v>297</v>
      </c>
      <c r="H32" s="89" t="s">
        <v>296</v>
      </c>
      <c r="I32" s="89" t="s">
        <v>295</v>
      </c>
    </row>
    <row r="33" spans="1:10" s="85" customFormat="1" ht="22.5" customHeight="1">
      <c r="A33" s="79">
        <v>8</v>
      </c>
      <c r="B33" s="80" t="s">
        <v>210</v>
      </c>
      <c r="C33" s="81" t="s">
        <v>209</v>
      </c>
      <c r="D33" s="82" t="s">
        <v>211</v>
      </c>
      <c r="E33" s="83"/>
      <c r="F33" s="84"/>
      <c r="G33" s="93">
        <v>9000000</v>
      </c>
      <c r="H33" s="90">
        <v>8690000</v>
      </c>
      <c r="I33" s="90"/>
      <c r="J33" s="85" t="s">
        <v>292</v>
      </c>
    </row>
    <row r="34" spans="1:10" s="85" customFormat="1" ht="22.5" customHeight="1">
      <c r="A34" s="79">
        <v>9</v>
      </c>
      <c r="B34" s="80" t="s">
        <v>212</v>
      </c>
      <c r="C34" s="81" t="s">
        <v>197</v>
      </c>
      <c r="D34" s="82" t="s">
        <v>193</v>
      </c>
      <c r="E34" s="83"/>
      <c r="F34" s="84"/>
      <c r="G34" s="93">
        <v>9000000</v>
      </c>
      <c r="H34" s="90"/>
      <c r="I34" s="90"/>
    </row>
    <row r="35" spans="1:10" ht="22.5" customHeight="1">
      <c r="A35" s="73">
        <v>10</v>
      </c>
      <c r="B35" s="74" t="s">
        <v>213</v>
      </c>
      <c r="C35" s="75" t="s">
        <v>202</v>
      </c>
      <c r="D35" s="78" t="s">
        <v>203</v>
      </c>
      <c r="E35" s="77"/>
      <c r="F35" s="69"/>
    </row>
    <row r="36" spans="1:10" ht="22.5" customHeight="1">
      <c r="A36" s="73">
        <v>11</v>
      </c>
      <c r="B36" s="74" t="s">
        <v>214</v>
      </c>
      <c r="C36" s="75" t="s">
        <v>202</v>
      </c>
      <c r="D36" s="78" t="s">
        <v>203</v>
      </c>
      <c r="E36" s="77"/>
      <c r="F36" s="69"/>
    </row>
    <row r="37" spans="1:10" ht="22.5" customHeight="1">
      <c r="A37" s="131" t="s">
        <v>215</v>
      </c>
      <c r="B37" s="118"/>
      <c r="C37" s="118"/>
      <c r="D37" s="118"/>
      <c r="E37" s="119"/>
      <c r="F37" s="72"/>
    </row>
    <row r="38" spans="1:10" ht="22.5" customHeight="1">
      <c r="A38" s="73">
        <v>1</v>
      </c>
      <c r="B38" s="74" t="s">
        <v>216</v>
      </c>
      <c r="C38" s="75" t="s">
        <v>217</v>
      </c>
      <c r="D38" s="78"/>
      <c r="E38" s="78"/>
      <c r="F38" s="69"/>
    </row>
    <row r="39" spans="1:10" ht="22.5" customHeight="1">
      <c r="A39" s="73">
        <v>2</v>
      </c>
      <c r="B39" s="74" t="s">
        <v>218</v>
      </c>
      <c r="C39" s="75" t="s">
        <v>217</v>
      </c>
      <c r="D39" s="78"/>
      <c r="E39" s="78"/>
      <c r="F39" s="69"/>
    </row>
    <row r="40" spans="1:10" ht="22.5" customHeight="1">
      <c r="A40" s="73">
        <v>3</v>
      </c>
      <c r="B40" s="74" t="s">
        <v>219</v>
      </c>
      <c r="C40" s="75" t="s">
        <v>220</v>
      </c>
      <c r="D40" s="78"/>
      <c r="E40" s="77"/>
      <c r="F40" s="69"/>
    </row>
    <row r="41" spans="1:10" ht="22.5" customHeight="1">
      <c r="A41" s="73">
        <v>4</v>
      </c>
      <c r="B41" s="74" t="s">
        <v>221</v>
      </c>
      <c r="C41" s="75" t="s">
        <v>222</v>
      </c>
      <c r="D41" s="78"/>
      <c r="E41" s="77"/>
      <c r="F41" s="69"/>
    </row>
    <row r="42" spans="1:10" ht="22.5" customHeight="1">
      <c r="A42" s="73">
        <v>5</v>
      </c>
      <c r="B42" s="74" t="s">
        <v>223</v>
      </c>
      <c r="C42" s="75" t="s">
        <v>222</v>
      </c>
      <c r="D42" s="78"/>
      <c r="E42" s="77"/>
      <c r="F42" s="69"/>
    </row>
    <row r="43" spans="1:10" ht="22.5" customHeight="1">
      <c r="A43" s="73">
        <v>6</v>
      </c>
      <c r="B43" s="74" t="s">
        <v>224</v>
      </c>
      <c r="C43" s="75" t="s">
        <v>225</v>
      </c>
      <c r="D43" s="78"/>
      <c r="E43" s="77"/>
      <c r="F43" s="69"/>
    </row>
    <row r="44" spans="1:10" ht="22.5" customHeight="1">
      <c r="A44" s="73">
        <v>7</v>
      </c>
      <c r="B44" s="74" t="s">
        <v>226</v>
      </c>
      <c r="C44" s="75" t="s">
        <v>227</v>
      </c>
      <c r="D44" s="78"/>
      <c r="E44" s="74" t="s">
        <v>228</v>
      </c>
      <c r="F44" s="69"/>
    </row>
    <row r="45" spans="1:10" ht="22.5" customHeight="1">
      <c r="A45" s="73">
        <v>8</v>
      </c>
      <c r="B45" s="74" t="s">
        <v>229</v>
      </c>
      <c r="C45" s="75" t="s">
        <v>230</v>
      </c>
      <c r="D45" s="78"/>
      <c r="E45" s="74" t="s">
        <v>228</v>
      </c>
      <c r="F45" s="69"/>
    </row>
    <row r="46" spans="1:10" ht="22.5" customHeight="1">
      <c r="A46" s="73">
        <v>9</v>
      </c>
      <c r="B46" s="74" t="s">
        <v>231</v>
      </c>
      <c r="C46" s="75" t="s">
        <v>227</v>
      </c>
      <c r="D46" s="78"/>
      <c r="E46" s="74" t="s">
        <v>228</v>
      </c>
      <c r="F46" s="69"/>
    </row>
    <row r="47" spans="1:10" ht="22.5" customHeight="1">
      <c r="A47" s="73">
        <v>10</v>
      </c>
      <c r="B47" s="74" t="s">
        <v>232</v>
      </c>
      <c r="C47" s="75" t="s">
        <v>222</v>
      </c>
      <c r="D47" s="78"/>
      <c r="E47" s="77"/>
      <c r="F47" s="69"/>
    </row>
    <row r="48" spans="1:10" ht="22.5" customHeight="1">
      <c r="A48" s="73">
        <v>11</v>
      </c>
      <c r="B48" s="74" t="s">
        <v>233</v>
      </c>
      <c r="C48" s="75" t="s">
        <v>234</v>
      </c>
      <c r="D48" s="78"/>
      <c r="E48" s="77"/>
      <c r="F48" s="69"/>
    </row>
    <row r="49" spans="1:10" ht="22.5" customHeight="1">
      <c r="A49" s="73">
        <v>12</v>
      </c>
      <c r="B49" s="74" t="s">
        <v>235</v>
      </c>
      <c r="C49" s="75" t="s">
        <v>236</v>
      </c>
      <c r="D49" s="78"/>
      <c r="E49" s="77"/>
      <c r="F49" s="69"/>
    </row>
    <row r="50" spans="1:10" ht="22.5" customHeight="1">
      <c r="A50" s="73">
        <v>13</v>
      </c>
      <c r="B50" s="74" t="s">
        <v>237</v>
      </c>
      <c r="C50" s="75" t="s">
        <v>238</v>
      </c>
      <c r="D50" s="75" t="s">
        <v>239</v>
      </c>
      <c r="E50" s="77"/>
      <c r="F50" s="69"/>
    </row>
    <row r="51" spans="1:10" ht="22.5" customHeight="1">
      <c r="A51" s="132" t="s">
        <v>240</v>
      </c>
      <c r="B51" s="118"/>
      <c r="C51" s="118"/>
      <c r="D51" s="118"/>
      <c r="E51" s="119"/>
      <c r="F51" s="72"/>
    </row>
    <row r="52" spans="1:10" ht="22.5" customHeight="1">
      <c r="A52" s="79">
        <v>1</v>
      </c>
      <c r="B52" s="80" t="s">
        <v>241</v>
      </c>
      <c r="C52" s="75" t="s">
        <v>222</v>
      </c>
      <c r="D52" s="75" t="s">
        <v>242</v>
      </c>
      <c r="E52" s="74" t="s">
        <v>228</v>
      </c>
      <c r="F52" s="69">
        <v>144</v>
      </c>
      <c r="G52" s="89">
        <v>500000</v>
      </c>
      <c r="H52" s="70"/>
      <c r="I52" s="91">
        <f>F52*G52</f>
        <v>72000000</v>
      </c>
      <c r="J52" s="89" t="s">
        <v>293</v>
      </c>
    </row>
    <row r="53" spans="1:10" ht="22.5" customHeight="1">
      <c r="A53" s="73">
        <v>2</v>
      </c>
      <c r="B53" s="74" t="s">
        <v>243</v>
      </c>
      <c r="C53" s="75" t="s">
        <v>244</v>
      </c>
      <c r="D53" s="75" t="s">
        <v>242</v>
      </c>
      <c r="E53" s="74" t="s">
        <v>228</v>
      </c>
      <c r="F53" s="69"/>
      <c r="I53" s="91">
        <f t="shared" ref="I53:I57" si="0">F53*G53</f>
        <v>0</v>
      </c>
    </row>
    <row r="54" spans="1:10" ht="22.5" customHeight="1">
      <c r="A54" s="73">
        <v>3</v>
      </c>
      <c r="B54" s="74" t="s">
        <v>245</v>
      </c>
      <c r="C54" s="75" t="s">
        <v>246</v>
      </c>
      <c r="D54" s="75" t="s">
        <v>242</v>
      </c>
      <c r="E54" s="74" t="s">
        <v>228</v>
      </c>
      <c r="F54" s="69"/>
      <c r="I54" s="91">
        <f t="shared" si="0"/>
        <v>0</v>
      </c>
    </row>
    <row r="55" spans="1:10" ht="22.5" customHeight="1">
      <c r="A55" s="79">
        <v>4</v>
      </c>
      <c r="B55" s="80" t="s">
        <v>247</v>
      </c>
      <c r="C55" s="75" t="s">
        <v>248</v>
      </c>
      <c r="D55" s="75" t="s">
        <v>242</v>
      </c>
      <c r="E55" s="74" t="s">
        <v>228</v>
      </c>
      <c r="F55" s="69">
        <v>108</v>
      </c>
      <c r="G55" s="89">
        <v>400000</v>
      </c>
      <c r="I55" s="91">
        <f t="shared" si="0"/>
        <v>43200000</v>
      </c>
    </row>
    <row r="56" spans="1:10" ht="22.5" customHeight="1">
      <c r="A56" s="79">
        <v>5</v>
      </c>
      <c r="B56" s="80" t="s">
        <v>249</v>
      </c>
      <c r="C56" s="75" t="s">
        <v>250</v>
      </c>
      <c r="D56" s="75" t="s">
        <v>242</v>
      </c>
      <c r="E56" s="74" t="s">
        <v>228</v>
      </c>
      <c r="F56" s="69">
        <v>108</v>
      </c>
      <c r="G56" s="89">
        <v>400000</v>
      </c>
      <c r="I56" s="91">
        <f t="shared" si="0"/>
        <v>43200000</v>
      </c>
    </row>
    <row r="57" spans="1:10" ht="22.5" customHeight="1">
      <c r="A57" s="79">
        <v>6</v>
      </c>
      <c r="B57" s="80" t="s">
        <v>251</v>
      </c>
      <c r="C57" s="75" t="s">
        <v>252</v>
      </c>
      <c r="D57" s="75" t="s">
        <v>242</v>
      </c>
      <c r="E57" s="74" t="s">
        <v>228</v>
      </c>
      <c r="F57" s="69">
        <v>108</v>
      </c>
      <c r="G57" s="89">
        <v>400000</v>
      </c>
      <c r="I57" s="91">
        <f t="shared" si="0"/>
        <v>43200000</v>
      </c>
    </row>
    <row r="58" spans="1:10" ht="22.5" customHeight="1">
      <c r="A58" s="79">
        <v>7</v>
      </c>
      <c r="B58" s="80" t="s">
        <v>253</v>
      </c>
      <c r="C58" s="75" t="s">
        <v>254</v>
      </c>
      <c r="D58" s="75" t="s">
        <v>242</v>
      </c>
      <c r="E58" s="86" t="s">
        <v>255</v>
      </c>
      <c r="F58" s="69"/>
      <c r="G58" s="94">
        <v>10000000</v>
      </c>
      <c r="H58" s="90">
        <v>8690000</v>
      </c>
      <c r="I58" s="90"/>
      <c r="J58" s="89" t="s">
        <v>294</v>
      </c>
    </row>
    <row r="59" spans="1:10" ht="22.5" customHeight="1">
      <c r="A59" s="73">
        <v>8</v>
      </c>
      <c r="B59" s="74" t="s">
        <v>256</v>
      </c>
      <c r="C59" s="75" t="s">
        <v>257</v>
      </c>
      <c r="D59" s="75" t="s">
        <v>242</v>
      </c>
      <c r="E59" s="74" t="s">
        <v>228</v>
      </c>
      <c r="F59" s="69"/>
    </row>
    <row r="60" spans="1:10" ht="22.5" customHeight="1">
      <c r="A60" s="73">
        <v>9</v>
      </c>
      <c r="B60" s="74" t="s">
        <v>258</v>
      </c>
      <c r="C60" s="75" t="s">
        <v>257</v>
      </c>
      <c r="D60" s="75" t="s">
        <v>242</v>
      </c>
      <c r="E60" s="74" t="s">
        <v>228</v>
      </c>
      <c r="F60" s="69"/>
    </row>
    <row r="61" spans="1:10" ht="22.5" customHeight="1">
      <c r="A61" s="133" t="s">
        <v>259</v>
      </c>
      <c r="B61" s="118"/>
      <c r="C61" s="118"/>
      <c r="D61" s="118"/>
      <c r="E61" s="119"/>
      <c r="F61" s="72"/>
    </row>
    <row r="62" spans="1:10" ht="22.5" customHeight="1">
      <c r="A62" s="73">
        <v>1</v>
      </c>
      <c r="B62" s="74" t="s">
        <v>260</v>
      </c>
      <c r="C62" s="75" t="s">
        <v>261</v>
      </c>
      <c r="D62" s="78"/>
      <c r="E62" s="77"/>
      <c r="F62" s="69"/>
    </row>
    <row r="63" spans="1:10" ht="22.5" customHeight="1">
      <c r="A63" s="73">
        <v>2</v>
      </c>
      <c r="B63" s="74" t="s">
        <v>262</v>
      </c>
      <c r="C63" s="75" t="s">
        <v>263</v>
      </c>
      <c r="D63" s="78"/>
      <c r="E63" s="77"/>
      <c r="F63" s="69"/>
    </row>
    <row r="64" spans="1:10" ht="22.5" customHeight="1">
      <c r="A64" s="73">
        <v>3</v>
      </c>
      <c r="B64" s="74" t="s">
        <v>264</v>
      </c>
      <c r="C64" s="75" t="s">
        <v>265</v>
      </c>
      <c r="D64" s="78"/>
      <c r="E64" s="77"/>
      <c r="F64" s="69"/>
    </row>
    <row r="65" spans="1:7" ht="22.5" customHeight="1">
      <c r="A65" s="73">
        <v>4</v>
      </c>
      <c r="B65" s="74" t="s">
        <v>266</v>
      </c>
      <c r="C65" s="75" t="s">
        <v>267</v>
      </c>
      <c r="D65" s="78"/>
      <c r="E65" s="77"/>
      <c r="F65" s="69"/>
    </row>
    <row r="66" spans="1:7" ht="22.5" customHeight="1">
      <c r="A66" s="73">
        <v>5</v>
      </c>
      <c r="B66" s="74" t="s">
        <v>268</v>
      </c>
      <c r="C66" s="75" t="s">
        <v>269</v>
      </c>
      <c r="D66" s="78"/>
      <c r="E66" s="77"/>
      <c r="F66" s="69"/>
    </row>
    <row r="67" spans="1:7" ht="22.5" customHeight="1">
      <c r="A67" s="73">
        <v>6</v>
      </c>
      <c r="B67" s="74" t="s">
        <v>270</v>
      </c>
      <c r="C67" s="75" t="s">
        <v>271</v>
      </c>
      <c r="D67" s="78"/>
      <c r="E67" s="77"/>
      <c r="F67" s="69"/>
    </row>
    <row r="68" spans="1:7" ht="22.5" customHeight="1">
      <c r="A68" s="73">
        <v>7</v>
      </c>
      <c r="B68" s="74" t="s">
        <v>272</v>
      </c>
      <c r="C68" s="75" t="s">
        <v>273</v>
      </c>
      <c r="D68" s="78"/>
      <c r="E68" s="77"/>
      <c r="F68" s="69"/>
    </row>
    <row r="69" spans="1:7" ht="22.5" customHeight="1">
      <c r="A69" s="73">
        <v>8</v>
      </c>
      <c r="B69" s="74" t="s">
        <v>274</v>
      </c>
      <c r="C69" s="75" t="s">
        <v>273</v>
      </c>
      <c r="D69" s="78"/>
      <c r="E69" s="77"/>
      <c r="F69" s="69"/>
    </row>
    <row r="70" spans="1:7" ht="22.5" customHeight="1">
      <c r="A70" s="73">
        <v>9</v>
      </c>
      <c r="B70" s="74" t="s">
        <v>275</v>
      </c>
      <c r="C70" s="75" t="s">
        <v>276</v>
      </c>
      <c r="D70" s="78"/>
      <c r="E70" s="77"/>
      <c r="F70" s="69"/>
    </row>
    <row r="71" spans="1:7" ht="22.5" customHeight="1">
      <c r="A71" s="73">
        <v>10</v>
      </c>
      <c r="B71" s="74" t="s">
        <v>277</v>
      </c>
      <c r="C71" s="75" t="s">
        <v>276</v>
      </c>
      <c r="D71" s="78"/>
      <c r="E71" s="77"/>
      <c r="F71" s="69"/>
    </row>
    <row r="72" spans="1:7" ht="22.5" customHeight="1">
      <c r="A72" s="73">
        <v>11</v>
      </c>
      <c r="B72" s="74" t="s">
        <v>278</v>
      </c>
      <c r="C72" s="75" t="s">
        <v>279</v>
      </c>
      <c r="D72" s="78"/>
      <c r="E72" s="77"/>
      <c r="F72" s="69"/>
    </row>
    <row r="73" spans="1:7" ht="22.5" customHeight="1">
      <c r="A73" s="117" t="s">
        <v>280</v>
      </c>
      <c r="B73" s="118"/>
      <c r="C73" s="118"/>
      <c r="D73" s="118"/>
      <c r="E73" s="119"/>
      <c r="F73" s="69"/>
    </row>
    <row r="74" spans="1:7" ht="22.5" customHeight="1">
      <c r="A74" s="73">
        <v>1</v>
      </c>
      <c r="B74" s="74" t="s">
        <v>281</v>
      </c>
      <c r="C74" s="75" t="s">
        <v>282</v>
      </c>
      <c r="D74" s="78"/>
      <c r="E74" s="77"/>
      <c r="F74" s="69"/>
    </row>
    <row r="75" spans="1:7" ht="22.5" customHeight="1">
      <c r="A75" s="79">
        <v>2</v>
      </c>
      <c r="B75" s="80" t="s">
        <v>283</v>
      </c>
      <c r="C75" s="75" t="s">
        <v>280</v>
      </c>
      <c r="D75" s="78"/>
      <c r="E75" s="77"/>
      <c r="F75" s="69"/>
      <c r="G75" s="94">
        <v>7500000</v>
      </c>
    </row>
    <row r="76" spans="1:7" ht="22.5" customHeight="1">
      <c r="A76" s="79">
        <v>3</v>
      </c>
      <c r="B76" s="80" t="s">
        <v>284</v>
      </c>
      <c r="C76" s="75" t="s">
        <v>280</v>
      </c>
      <c r="D76" s="78"/>
      <c r="E76" s="77"/>
      <c r="F76" s="69"/>
      <c r="G76" s="94">
        <v>7500000</v>
      </c>
    </row>
    <row r="77" spans="1:7" ht="22.5" customHeight="1">
      <c r="A77" s="79">
        <v>4</v>
      </c>
      <c r="B77" s="80" t="s">
        <v>285</v>
      </c>
      <c r="C77" s="75" t="s">
        <v>280</v>
      </c>
      <c r="D77" s="78"/>
      <c r="E77" s="77"/>
      <c r="F77" s="69"/>
      <c r="G77" s="94">
        <v>10000000</v>
      </c>
    </row>
    <row r="78" spans="1:7" ht="22.5" customHeight="1">
      <c r="A78" s="117" t="s">
        <v>286</v>
      </c>
      <c r="B78" s="118"/>
      <c r="C78" s="118"/>
      <c r="D78" s="118"/>
      <c r="E78" s="119"/>
      <c r="F78" s="72"/>
    </row>
    <row r="79" spans="1:7" ht="22.5" customHeight="1">
      <c r="A79" s="73">
        <v>1</v>
      </c>
      <c r="B79" s="74" t="s">
        <v>287</v>
      </c>
      <c r="C79" s="75" t="s">
        <v>173</v>
      </c>
      <c r="D79" s="75" t="s">
        <v>156</v>
      </c>
      <c r="E79" s="77"/>
      <c r="F79" s="69"/>
    </row>
    <row r="80" spans="1:7" ht="22.5" customHeight="1">
      <c r="A80" s="117" t="s">
        <v>288</v>
      </c>
      <c r="B80" s="118"/>
      <c r="C80" s="118"/>
      <c r="D80" s="118"/>
      <c r="E80" s="119"/>
      <c r="F80" s="69"/>
    </row>
    <row r="81" spans="1:9" ht="22.5" customHeight="1">
      <c r="A81" s="73">
        <v>1</v>
      </c>
      <c r="B81" s="74" t="s">
        <v>289</v>
      </c>
      <c r="C81" s="75" t="s">
        <v>290</v>
      </c>
      <c r="D81" s="75"/>
      <c r="E81" s="77" t="s">
        <v>291</v>
      </c>
      <c r="F81" s="69"/>
      <c r="G81" s="93">
        <f>SUM(G75:G80,G58,G33:G34)+G24</f>
        <v>64000000</v>
      </c>
      <c r="I81" s="90">
        <f>SUM(I52:I80)</f>
        <v>201600000</v>
      </c>
    </row>
    <row r="82" spans="1:9" ht="22.5" customHeight="1">
      <c r="A82" s="69"/>
      <c r="B82" s="69"/>
      <c r="C82" s="87"/>
      <c r="D82" s="88"/>
      <c r="E82" s="69"/>
      <c r="F82" s="69"/>
      <c r="G82" s="89" t="s">
        <v>299</v>
      </c>
      <c r="I82" s="89" t="s">
        <v>300</v>
      </c>
    </row>
  </sheetData>
  <mergeCells count="12">
    <mergeCell ref="A80:E80"/>
    <mergeCell ref="A1:E1"/>
    <mergeCell ref="A2:E2"/>
    <mergeCell ref="A4:E4"/>
    <mergeCell ref="C13:D13"/>
    <mergeCell ref="A25:E25"/>
    <mergeCell ref="D26:D27"/>
    <mergeCell ref="A37:E37"/>
    <mergeCell ref="A51:E51"/>
    <mergeCell ref="A61:E61"/>
    <mergeCell ref="A73:E73"/>
    <mergeCell ref="A78:E7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KH NSACH</vt:lpstr>
      <vt:lpstr>Nguon thu t9.23</vt:lpstr>
      <vt:lpstr>Hoc phi</vt:lpstr>
      <vt:lpstr>Luong BH</vt:lpstr>
      <vt:lpstr>CP Dcu Tbi</vt:lpstr>
      <vt:lpstr>DS NV</vt:lpstr>
      <vt:lpstr>'KH NSACH'!Print_Titles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HueNguyen</dc:creator>
  <cp:lastModifiedBy>HueNguyen</cp:lastModifiedBy>
  <cp:lastPrinted>2023-09-05T08:48:40Z</cp:lastPrinted>
  <dcterms:created xsi:type="dcterms:W3CDTF">2023-04-19T13:52:45Z</dcterms:created>
  <dcterms:modified xsi:type="dcterms:W3CDTF">2023-09-05T09:29:02Z</dcterms:modified>
</cp:coreProperties>
</file>