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ata generator" sheetId="1" r:id="rId4"/>
    <sheet state="hidden" name="Solution" sheetId="2" r:id="rId5"/>
    <sheet state="visible" name="Description" sheetId="3" r:id="rId6"/>
    <sheet state="visible" name="Process" sheetId="4" r:id="rId7"/>
    <sheet state="visible" name="Data" sheetId="5" r:id="rId8"/>
    <sheet state="visible" name="Assignment" sheetId="6" r:id="rId9"/>
    <sheet state="visible" name="Calc-1" sheetId="7" r:id="rId10"/>
    <sheet state="visible" name="Calc-2" sheetId="8" r:id="rId11"/>
    <sheet state="visible" name="Calc-3" sheetId="9" r:id="rId12"/>
    <sheet state="visible" name="Calc-4" sheetId="10" r:id="rId13"/>
    <sheet state="visible" name="Calc-5" sheetId="11" r:id="rId14"/>
  </sheets>
  <definedNames>
    <definedName localSheetId="10" name="Schedule6A">#REF!</definedName>
    <definedName localSheetId="9" name="InstructorAssessment4A">#REF!</definedName>
    <definedName localSheetId="10" name="LessonLearned4A">#REF!</definedName>
    <definedName name="OperationalSpecification6A">#REF!</definedName>
    <definedName localSheetId="10" name="ProjectPlanSummary4A">#REF!</definedName>
    <definedName name="HistoricalData4A">#REF!</definedName>
    <definedName localSheetId="9" name="TaskPlan6A">#REF!</definedName>
    <definedName localSheetId="10" name="HistoricalData4A">#REF!</definedName>
    <definedName localSheetId="10" name="SourceCode4A">#REF!</definedName>
    <definedName localSheetId="10" name="InstructorAssessment4A">#REF!</definedName>
    <definedName localSheetId="8" name="TimeLog4A">#REF!</definedName>
    <definedName name="DefectLog1A">#REF!</definedName>
    <definedName localSheetId="9" name="toc6A">#REF!</definedName>
    <definedName localSheetId="1" name="ProjectPlanSummary4A">#REF!</definedName>
    <definedName name="TimeLog1A">#REF!</definedName>
    <definedName name="ProjectPlan2A">#REF!</definedName>
    <definedName localSheetId="6" name="TaskPlan6A">#REF!</definedName>
    <definedName localSheetId="1" name="SourceCode4A">#REF!</definedName>
    <definedName localSheetId="8" name="Schedule6A">#REF!</definedName>
    <definedName localSheetId="6" name="FunctionalSpecification6A">#REF!</definedName>
    <definedName localSheetId="10" name="toc6A">#REF!</definedName>
    <definedName name="LessonLearned4A">#REF!</definedName>
    <definedName name="Source1A">#REF!</definedName>
    <definedName name="SizeEstimate4A">#REF!</definedName>
    <definedName localSheetId="10" name="FunctionalSpecification6A">#REF!</definedName>
    <definedName localSheetId="9" name="ProjectPlanSummary4A">#REF!</definedName>
    <definedName name="DefectLog4A">#REF!</definedName>
    <definedName localSheetId="10" name="TimeLog4A">#REF!</definedName>
    <definedName localSheetId="1" name="FunctionalSpecification6A">#REF!</definedName>
    <definedName name="TimeRecordingLog2A">#REF!</definedName>
    <definedName localSheetId="8" name="FunctionalSpecification6A">#REF!</definedName>
    <definedName localSheetId="10" name="SizeEstimate4A">#REF!</definedName>
    <definedName name="TestReport2A">#REF!</definedName>
    <definedName name="FunctionalSpecification6A">#REF!</definedName>
    <definedName localSheetId="1" name="toc6A">Solution!$A$14</definedName>
    <definedName localSheetId="1" name="SizeEstimate4A">#REF!</definedName>
    <definedName localSheetId="10" name="TestReport4A">#REF!</definedName>
    <definedName name="DefectLog2A">#REF!</definedName>
    <definedName localSheetId="6" name="Schedule6A">#REF!</definedName>
    <definedName localSheetId="9" name="DefectLog4A">#REF!</definedName>
    <definedName localSheetId="8" name="SourceCode4A">#REF!</definedName>
    <definedName localSheetId="6" name="ProjectPlanSummary4A">#REF!</definedName>
    <definedName localSheetId="8" name="ProjectPlanSummary4A">#REF!</definedName>
    <definedName name="TimeLog4A">#REF!</definedName>
    <definedName localSheetId="1" name="TestReport4A">#REF!</definedName>
    <definedName name="Lessons1A">#REF!</definedName>
    <definedName localSheetId="9" name="TimeLog4A">#REF!</definedName>
    <definedName localSheetId="8" name="toc6A">#REF!</definedName>
    <definedName localSheetId="1" name="Schedule6A">#REF!</definedName>
    <definedName name="go_to">#REF!</definedName>
    <definedName localSheetId="9" name="LessonLearned4A">#REF!</definedName>
    <definedName localSheetId="9" name="SizeEstimate4A">#REF!</definedName>
    <definedName localSheetId="9" name="Schedule6A">#REF!</definedName>
    <definedName localSheetId="8" name="InstructorAssessment4A">#REF!</definedName>
    <definedName localSheetId="10" name="OperationalSpecification6A">#REF!</definedName>
    <definedName localSheetId="9" name="OperationalSpecification6A">#REF!</definedName>
    <definedName name="TestReport4A">#REF!</definedName>
    <definedName localSheetId="6" name="HistoricalData4A">#REF!</definedName>
    <definedName name="TestReport1A">#REF!</definedName>
    <definedName localSheetId="1" name="OperationalSpecification6A">#REF!</definedName>
    <definedName localSheetId="1" name="HistoricalData4A">#REF!</definedName>
    <definedName localSheetId="8" name="SizeEstimate4A">#REF!</definedName>
    <definedName localSheetId="8" name="HistoricalData4A">#REF!</definedName>
    <definedName localSheetId="8" name="TaskPlan6A">#REF!</definedName>
    <definedName localSheetId="6" name="OperationalSpecification6A">#REF!</definedName>
    <definedName localSheetId="9" name="FunctionalSpecification6A">#REF!</definedName>
    <definedName localSheetId="1" name="InstructorAssessment4A">Solution!$A$39</definedName>
    <definedName name="InstructorAssessment4A">Assignment!$A$39</definedName>
    <definedName localSheetId="10" name="DefectLog4A">#REF!</definedName>
    <definedName localSheetId="6" name="TimeLog4A">#REF!</definedName>
    <definedName localSheetId="6" name="TestReport4A">#REF!</definedName>
    <definedName name="InstructorAssessment2A">#REF!</definedName>
    <definedName name="TaskPlan6A">#REF!</definedName>
    <definedName localSheetId="9" name="TestReport4A">#REF!</definedName>
    <definedName localSheetId="6" name="toc6A">#REF!</definedName>
    <definedName localSheetId="6" name="InstructorAssessment4A">#REF!</definedName>
    <definedName localSheetId="1" name="DefectLog4A">#REF!</definedName>
    <definedName name="toc6A">Assignment!$A$14</definedName>
    <definedName localSheetId="10" name="TaskPlan6A">#REF!</definedName>
    <definedName name="PlanSummary1A">#REF!</definedName>
    <definedName localSheetId="8" name="TestReport4A">#REF!</definedName>
    <definedName localSheetId="6" name="SourceCode4A">#REF!</definedName>
    <definedName name="ProjectPlanSummary4A">#REF!</definedName>
    <definedName name="SourceCode2A">#REF!</definedName>
    <definedName localSheetId="9" name="SourceCode4A">#REF!</definedName>
    <definedName localSheetId="1" name="TaskPlan6A">#REF!</definedName>
    <definedName localSheetId="6" name="SizeEstimate4A">#REF!</definedName>
    <definedName localSheetId="8" name="DefectLog4A">#REF!</definedName>
    <definedName name="SourceCode4A">#REF!</definedName>
    <definedName name="Standards1A">#REF!</definedName>
    <definedName localSheetId="9" name="HistoricalData4A">#REF!</definedName>
    <definedName localSheetId="8" name="OperationalSpecification6A">#REF!</definedName>
    <definedName localSheetId="6" name="LessonLearned4A">#REF!</definedName>
    <definedName localSheetId="1" name="TimeLog4A">#REF!</definedName>
    <definedName name="LessonsLearned2A">#REF!</definedName>
    <definedName localSheetId="6" name="DefectLog4A">#REF!</definedName>
    <definedName localSheetId="8" name="LessonLearned4A">#REF!</definedName>
    <definedName name="InstructorAssessment1A">#REF!</definedName>
    <definedName name="Schedule6A">#REF!</definedName>
    <definedName localSheetId="1" name="LessonLearned4A">#REF!</definedName>
  </definedNames>
  <calcPr/>
</workbook>
</file>

<file path=xl/sharedStrings.xml><?xml version="1.0" encoding="utf-8"?>
<sst xmlns="http://schemas.openxmlformats.org/spreadsheetml/2006/main" count="1161" uniqueCount="432">
  <si>
    <t>Solution</t>
  </si>
  <si>
    <t>Project History:  The following is a record of proxies used in past projects.</t>
  </si>
  <si>
    <t>CS 312 -- Software Engineering</t>
  </si>
  <si>
    <t>Name:</t>
  </si>
  <si>
    <t>Assignment:</t>
  </si>
  <si>
    <t>Due date:</t>
  </si>
  <si>
    <t>Identifier</t>
  </si>
  <si>
    <t>11:55am</t>
  </si>
  <si>
    <t>Name of this  file:</t>
  </si>
  <si>
    <t>Total Loc</t>
  </si>
  <si>
    <t>Methods</t>
  </si>
  <si>
    <t>Type</t>
  </si>
  <si>
    <t>loc/meth</t>
  </si>
  <si>
    <t>ave</t>
  </si>
  <si>
    <t>std</t>
  </si>
  <si>
    <t>type</t>
  </si>
  <si>
    <t>Proxy1</t>
  </si>
  <si>
    <t>Objective:</t>
  </si>
  <si>
    <t>to gain experience with estimating size and duration.</t>
  </si>
  <si>
    <t>The worksheets in this assignment provide you with a hypothetical historical development database as well as with a forecast of standard components for a hypothetical project.  Please use this information to determine the size and duration of the project.</t>
  </si>
  <si>
    <t>Notes:</t>
  </si>
  <si>
    <t xml:space="preserve"> - This homework assignment is be accomplished individually</t>
  </si>
  <si>
    <t>Calculation</t>
  </si>
  <si>
    <t>Deliverables:</t>
  </si>
  <si>
    <t xml:space="preserve"> - This spreadsheet with "Assignment" completed.</t>
  </si>
  <si>
    <t xml:space="preserve"> - Python code to read the historical data and calculate values necessary to complete the Xcel file.</t>
  </si>
  <si>
    <t xml:space="preserve"> - (Optional) Explanatory calculations on worksheets "Calc-1", "Calc-2", etc.</t>
  </si>
  <si>
    <t>Proxy2</t>
  </si>
  <si>
    <t xml:space="preserve"> - When complete, upload the spreadsheet to OneDrive.</t>
  </si>
  <si>
    <t>Language:</t>
  </si>
  <si>
    <t>WebCT login:</t>
  </si>
  <si>
    <t>Proxy3</t>
  </si>
  <si>
    <t xml:space="preserve">Changes have been made to 1.xls since the last homework submission:  </t>
  </si>
  <si>
    <t>Proxy4</t>
  </si>
  <si>
    <t>Proxy5</t>
  </si>
  <si>
    <t>Proxy6</t>
  </si>
  <si>
    <t>Proxy7</t>
  </si>
  <si>
    <t>Proxy8</t>
  </si>
  <si>
    <t>Proxy9</t>
  </si>
  <si>
    <t>Proxy10</t>
  </si>
  <si>
    <t>Proxy11</t>
  </si>
  <si>
    <t>Data</t>
  </si>
  <si>
    <t>6700 Due:</t>
  </si>
  <si>
    <t>Proxy12</t>
  </si>
  <si>
    <t>6706 Due:</t>
  </si>
  <si>
    <t>Proxy13</t>
  </si>
  <si>
    <t>Name of file:</t>
  </si>
  <si>
    <t>Proxy14</t>
  </si>
  <si>
    <t>Proxy15</t>
  </si>
  <si>
    <t>Proxy16</t>
  </si>
  <si>
    <t>Table of Contents</t>
  </si>
  <si>
    <t>Proxy17</t>
  </si>
  <si>
    <t>Proxy18</t>
  </si>
  <si>
    <t xml:space="preserve">go to </t>
  </si>
  <si>
    <t>Instructor Assessment:</t>
  </si>
  <si>
    <t>Proxy19</t>
  </si>
  <si>
    <t>Project Plan Summary</t>
  </si>
  <si>
    <t>Proxy20</t>
  </si>
  <si>
    <t>Time Log</t>
  </si>
  <si>
    <t>Proxy21</t>
  </si>
  <si>
    <t>Defect Log</t>
  </si>
  <si>
    <t>Size Estimation</t>
  </si>
  <si>
    <t>go to</t>
  </si>
  <si>
    <t>Task Plan</t>
  </si>
  <si>
    <t>Schedule</t>
  </si>
  <si>
    <t>Proxy22</t>
  </si>
  <si>
    <t>Operational Scenario</t>
  </si>
  <si>
    <t>Functional Specification</t>
  </si>
  <si>
    <t>Proxy23</t>
  </si>
  <si>
    <t>Test Report</t>
  </si>
  <si>
    <t>Proxy24</t>
  </si>
  <si>
    <t>I/O</t>
  </si>
  <si>
    <t>Lessons Learned</t>
  </si>
  <si>
    <t>LOC Counting Std</t>
  </si>
  <si>
    <t>Proxy25</t>
  </si>
  <si>
    <t>LOC Coding Std</t>
  </si>
  <si>
    <t>Proxy26</t>
  </si>
  <si>
    <t>Conceptual Design</t>
  </si>
  <si>
    <t>Proxy27</t>
  </si>
  <si>
    <t>Review Checklists</t>
  </si>
  <si>
    <t>Proxy28</t>
  </si>
  <si>
    <t>Proxy29</t>
  </si>
  <si>
    <t>Proxy30</t>
  </si>
  <si>
    <t>Operational Spec</t>
  </si>
  <si>
    <t>Proxy31</t>
  </si>
  <si>
    <t>Functional Spec</t>
  </si>
  <si>
    <t>Logic Spec</t>
  </si>
  <si>
    <t>Proxy32</t>
  </si>
  <si>
    <t>State spec</t>
  </si>
  <si>
    <t>Proxy33</t>
  </si>
  <si>
    <t>Source Code</t>
  </si>
  <si>
    <t>Instructor Assessment</t>
  </si>
  <si>
    <t>Project History:  The following is a record of actual/estimated performance on past projects.  Note:  times are in minutes.</t>
  </si>
  <si>
    <t>Aspect</t>
  </si>
  <si>
    <t>Criteria</t>
  </si>
  <si>
    <t>Possible Score</t>
  </si>
  <si>
    <t>Est. LOC</t>
  </si>
  <si>
    <t>Score</t>
  </si>
  <si>
    <t>Actual LOC</t>
  </si>
  <si>
    <t>Comment</t>
  </si>
  <si>
    <t>Est. Duration</t>
  </si>
  <si>
    <t>Actual Duration</t>
  </si>
  <si>
    <t>ExA</t>
  </si>
  <si>
    <t>Project1</t>
  </si>
  <si>
    <t>Proxy categorization</t>
  </si>
  <si>
    <t>r</t>
  </si>
  <si>
    <t>Project2</t>
  </si>
  <si>
    <t>r2</t>
  </si>
  <si>
    <t>Correct calculations</t>
  </si>
  <si>
    <t>Project3</t>
  </si>
  <si>
    <t>sig</t>
  </si>
  <si>
    <t>Project4</t>
  </si>
  <si>
    <t>Appropriate sizing</t>
  </si>
  <si>
    <t>Project5</t>
  </si>
  <si>
    <t>Size estimate</t>
  </si>
  <si>
    <t>ExT</t>
  </si>
  <si>
    <t>Project6</t>
  </si>
  <si>
    <t>E derived from db</t>
  </si>
  <si>
    <t>Correct regression</t>
  </si>
  <si>
    <t>Project7</t>
  </si>
  <si>
    <t>Project8</t>
  </si>
  <si>
    <t>Correct range</t>
  </si>
  <si>
    <t>Duration</t>
  </si>
  <si>
    <t>Project9</t>
  </si>
  <si>
    <t>Correct productivity</t>
  </si>
  <si>
    <t>Project10</t>
  </si>
  <si>
    <t>AxT</t>
  </si>
  <si>
    <t>Appropriate duration</t>
  </si>
  <si>
    <t>Project11</t>
  </si>
  <si>
    <t>Project12</t>
  </si>
  <si>
    <t>Time in Phase</t>
  </si>
  <si>
    <t>Project13</t>
  </si>
  <si>
    <t>Correct distribution</t>
  </si>
  <si>
    <t>Project14</t>
  </si>
  <si>
    <t>Supporting Calcs</t>
  </si>
  <si>
    <t>Project15</t>
  </si>
  <si>
    <t>Traceable if in error (max of -2)</t>
  </si>
  <si>
    <t>Project16</t>
  </si>
  <si>
    <t>Base</t>
  </si>
  <si>
    <t>Project17</t>
  </si>
  <si>
    <t>Project18</t>
  </si>
  <si>
    <t>Project19</t>
  </si>
  <si>
    <t>Project20</t>
  </si>
  <si>
    <t>Project History:  The following describes the to-date percentages for development time and defects.</t>
  </si>
  <si>
    <t>Phase</t>
  </si>
  <si>
    <t>Time in Phase To Date %</t>
  </si>
  <si>
    <t>Defects Injected To Date %</t>
  </si>
  <si>
    <t>Defects Removed To Date %</t>
  </si>
  <si>
    <t>Planning</t>
  </si>
  <si>
    <t>Total</t>
  </si>
  <si>
    <t>Process Script</t>
  </si>
  <si>
    <t>Design</t>
  </si>
  <si>
    <t>Entry</t>
  </si>
  <si>
    <r>
      <t xml:space="preserve">Estimates on New Development:  </t>
    </r>
    <r>
      <rPr>
        <rFont val="Arial"/>
        <sz val="14.0"/>
      </rPr>
      <t>Please provide answers to the questions below.  If a result is not calculable, please fill the box with a "NA" and defend your answer in the supporting calculations section.  Each cell should contain a number, "NA", or a val</t>
    </r>
  </si>
  <si>
    <t xml:space="preserve"> - this spreadsheet</t>
  </si>
  <si>
    <t>Code</t>
  </si>
  <si>
    <t>Parameters</t>
  </si>
  <si>
    <t>Compile</t>
  </si>
  <si>
    <t>Tasks</t>
  </si>
  <si>
    <t>normal</t>
  </si>
  <si>
    <t>1. Develop and record a database of proxy sizes for each proxy type.</t>
  </si>
  <si>
    <t>Test</t>
  </si>
  <si>
    <t>log-normal</t>
  </si>
  <si>
    <t>not applicable</t>
  </si>
  <si>
    <t>Postmortem</t>
  </si>
  <si>
    <r>
      <t>LOC</t>
    </r>
    <r>
      <rPr>
        <rFont val="Arial"/>
        <sz val="10.0"/>
        <vertAlign val="subscript"/>
      </rPr>
      <t>E</t>
    </r>
    <r>
      <rPr>
        <rFont val="Arial"/>
        <sz val="10.0"/>
      </rPr>
      <t xml:space="preserve"> x Time</t>
    </r>
  </si>
  <si>
    <t>Sort the proxies into types</t>
  </si>
  <si>
    <r>
      <t>LOC</t>
    </r>
    <r>
      <rPr>
        <rFont val="Arial"/>
        <sz val="10.0"/>
        <vertAlign val="subscript"/>
      </rPr>
      <t>A</t>
    </r>
    <r>
      <rPr>
        <rFont val="Arial"/>
        <sz val="10.0"/>
      </rPr>
      <t xml:space="preserve"> x Time</t>
    </r>
  </si>
  <si>
    <t xml:space="preserve">Total  </t>
  </si>
  <si>
    <t>For each type do:</t>
  </si>
  <si>
    <t>Productivity</t>
  </si>
  <si>
    <t xml:space="preserve">      calculate the average and standard deviation of the number of lines of code per method</t>
  </si>
  <si>
    <t>New Development:  The following information pertains to new development.  Specifically, it notes that the new development will build from pre-existing code, with some deletions and modifications.  New proxies (whether additions to the base code or totally new functionality) are also specified.</t>
  </si>
  <si>
    <t xml:space="preserve">      if the mean &gt; 2*std, then</t>
  </si>
  <si>
    <t>Base Program LOC</t>
  </si>
  <si>
    <t>Base Size (B)</t>
  </si>
  <si>
    <r>
      <t>Object Category Sizes</t>
    </r>
    <r>
      <rPr>
        <rFont val="Arial"/>
        <sz val="10.0"/>
      </rPr>
      <t xml:space="preserve"> (in LOC/Method)</t>
    </r>
  </si>
  <si>
    <t xml:space="preserve">        VS=mean-2*std, S=mean-std, M=mean, L=mean+std, VL=mean+2*std</t>
  </si>
  <si>
    <t>LOC Deleted (D)</t>
  </si>
  <si>
    <t xml:space="preserve">      else</t>
  </si>
  <si>
    <t>Category</t>
  </si>
  <si>
    <t>VS midpoint</t>
  </si>
  <si>
    <t>S midpoint</t>
  </si>
  <si>
    <t>M midpoint</t>
  </si>
  <si>
    <t>L midpoint</t>
  </si>
  <si>
    <t>VL midpoint</t>
  </si>
  <si>
    <t>LOC Modified (M)</t>
  </si>
  <si>
    <t>Method Used</t>
  </si>
  <si>
    <t xml:space="preserve">         calculate the average and standard deviation of the log of the number of lines of code per method</t>
  </si>
  <si>
    <t xml:space="preserve">         VS=antilog(mean-2*std), S=antilog(mean-std), M=antilog(mean), etc.</t>
  </si>
  <si>
    <t>Object LOC (BA)</t>
  </si>
  <si>
    <t xml:space="preserve">      end if</t>
  </si>
  <si>
    <t>Base Additions</t>
  </si>
  <si>
    <t>end do</t>
  </si>
  <si>
    <t>ensure all proxy sizes are calculated using a consistent method</t>
  </si>
  <si>
    <t>Relative Size</t>
  </si>
  <si>
    <t>BA1</t>
  </si>
  <si>
    <t>2.  Size the proxies</t>
  </si>
  <si>
    <t>Designate the size of each historical proxy as VS, S, M, L VL</t>
  </si>
  <si>
    <t>BA2</t>
  </si>
  <si>
    <t>IO</t>
  </si>
  <si>
    <t>For each Base Addition and New Object do:</t>
  </si>
  <si>
    <t xml:space="preserve">   designate the relative size of the proxy as the size of the proxy it is most similar to (see "similar to" column)</t>
  </si>
  <si>
    <t>Logic</t>
  </si>
  <si>
    <t>New Objects (NO)</t>
  </si>
  <si>
    <t xml:space="preserve">   designate the type of the proxy as the type of the proxy it is most similar to (see "similar to" column)</t>
  </si>
  <si>
    <t>New Objects</t>
  </si>
  <si>
    <t>Set-up</t>
  </si>
  <si>
    <t>NO0</t>
  </si>
  <si>
    <t xml:space="preserve">   determine the proxy size by multiplying the number of methods by the size in the size matrix</t>
  </si>
  <si>
    <t>Text</t>
  </si>
  <si>
    <t>NO1</t>
  </si>
  <si>
    <t>Size Estimate</t>
  </si>
  <si>
    <t>3.  Estimate the size</t>
  </si>
  <si>
    <t>Base Additions (BA)</t>
  </si>
  <si>
    <t>NO2</t>
  </si>
  <si>
    <t>LOC</t>
  </si>
  <si>
    <t>E=BA+NO+M</t>
  </si>
  <si>
    <t>New Object LOC (NO)</t>
  </si>
  <si>
    <t>NO3</t>
  </si>
  <si>
    <t>If LOCe is significantly correlated with LOCa</t>
  </si>
  <si>
    <t>Estimated Object LOC (E)</t>
  </si>
  <si>
    <t>NO4</t>
  </si>
  <si>
    <t xml:space="preserve">   calculate B0 and B1 as you did in previous assignment</t>
  </si>
  <si>
    <t>Regression Parm</t>
  </si>
  <si>
    <t>NO5</t>
  </si>
  <si>
    <r>
      <t>B</t>
    </r>
    <r>
      <rPr>
        <rFont val="Arial"/>
        <sz val="10.0"/>
        <vertAlign val="subscript"/>
      </rPr>
      <t>0</t>
    </r>
  </si>
  <si>
    <t>else</t>
  </si>
  <si>
    <r>
      <t>B</t>
    </r>
    <r>
      <rPr>
        <rFont val="Arial"/>
        <sz val="10.0"/>
        <vertAlign val="subscript"/>
      </rPr>
      <t>1</t>
    </r>
  </si>
  <si>
    <t xml:space="preserve">   B0=0 and B1=1</t>
  </si>
  <si>
    <t>Estimated New and Changed LOC (N)</t>
  </si>
  <si>
    <r>
      <t>N=B</t>
    </r>
    <r>
      <rPr>
        <rFont val="Arial"/>
        <sz val="10.0"/>
        <vertAlign val="subscript"/>
      </rPr>
      <t>0</t>
    </r>
    <r>
      <rPr>
        <rFont val="Arial"/>
        <sz val="10.0"/>
      </rPr>
      <t>+B</t>
    </r>
    <r>
      <rPr>
        <rFont val="Arial"/>
        <sz val="10.0"/>
        <vertAlign val="subscript"/>
      </rPr>
      <t>1</t>
    </r>
    <r>
      <rPr>
        <rFont val="Arial"/>
        <sz val="10.0"/>
      </rPr>
      <t>*E</t>
    </r>
  </si>
  <si>
    <t>Types</t>
  </si>
  <si>
    <t>end if</t>
  </si>
  <si>
    <t>N=B1*E+B0</t>
  </si>
  <si>
    <t>Estimated Total LOC (T)</t>
  </si>
  <si>
    <t>T=N+B-D-M</t>
  </si>
  <si>
    <t>If LOCe is significantly correlated with LOCa then</t>
  </si>
  <si>
    <r>
      <t>70% Prediction Range (Range</t>
    </r>
    <r>
      <rPr>
        <rFont val="Arial"/>
        <sz val="10.0"/>
        <vertAlign val="subscript"/>
      </rPr>
      <t>size</t>
    </r>
    <r>
      <rPr>
        <rFont val="Arial"/>
        <sz val="10.0"/>
      </rPr>
      <t>)</t>
    </r>
  </si>
  <si>
    <r>
      <t>Range</t>
    </r>
    <r>
      <rPr>
        <rFont val="Arial"/>
        <sz val="10.0"/>
        <vertAlign val="subscript"/>
      </rPr>
      <t>size</t>
    </r>
  </si>
  <si>
    <t xml:space="preserve">   calculate range according to table A29 (page 550)</t>
  </si>
  <si>
    <r>
      <t>Upper Prediction Interval (UPI</t>
    </r>
    <r>
      <rPr>
        <rFont val="Arial"/>
        <sz val="10.0"/>
        <vertAlign val="subscript"/>
      </rPr>
      <t>size</t>
    </r>
    <r>
      <rPr>
        <rFont val="Arial"/>
        <sz val="10.0"/>
      </rPr>
      <t>)</t>
    </r>
  </si>
  <si>
    <t xml:space="preserve">   calculate UPI and LPI</t>
  </si>
  <si>
    <r>
      <t>UPI</t>
    </r>
    <r>
      <rPr>
        <rFont val="Arial"/>
        <sz val="10.0"/>
        <vertAlign val="subscript"/>
      </rPr>
      <t>size</t>
    </r>
    <r>
      <rPr>
        <rFont val="Arial"/>
        <sz val="10.0"/>
      </rPr>
      <t>=N+Range</t>
    </r>
    <r>
      <rPr>
        <rFont val="Arial"/>
        <sz val="10.0"/>
        <vertAlign val="subscript"/>
      </rPr>
      <t>size</t>
    </r>
  </si>
  <si>
    <t>VS</t>
  </si>
  <si>
    <t>S</t>
  </si>
  <si>
    <t xml:space="preserve">   if LPI &lt; 1 then</t>
  </si>
  <si>
    <r>
      <t>Lower Prediction Interval (LPI</t>
    </r>
    <r>
      <rPr>
        <rFont val="Arial"/>
        <sz val="10.0"/>
        <vertAlign val="subscript"/>
      </rPr>
      <t>size</t>
    </r>
    <r>
      <rPr>
        <rFont val="Arial"/>
        <sz val="10.0"/>
      </rPr>
      <t>)</t>
    </r>
  </si>
  <si>
    <r>
      <t>LPI</t>
    </r>
    <r>
      <rPr>
        <rFont val="Arial"/>
        <sz val="10.0"/>
        <vertAlign val="subscript"/>
      </rPr>
      <t>size</t>
    </r>
    <r>
      <rPr>
        <rFont val="Arial"/>
        <sz val="10.0"/>
      </rPr>
      <t>=N-Range</t>
    </r>
    <r>
      <rPr>
        <rFont val="Arial"/>
        <sz val="10.0"/>
        <vertAlign val="subscript"/>
      </rPr>
      <t>size</t>
    </r>
  </si>
  <si>
    <t>M</t>
  </si>
  <si>
    <t xml:space="preserve">      LPI = "NA"</t>
  </si>
  <si>
    <t>Duration Estimate</t>
  </si>
  <si>
    <t>L</t>
  </si>
  <si>
    <t xml:space="preserve">   end if</t>
  </si>
  <si>
    <t>Planned LOC/hour</t>
  </si>
  <si>
    <t>LOC/hour</t>
  </si>
  <si>
    <t>VL</t>
  </si>
  <si>
    <t>Estimated Project Duration (minutes)</t>
  </si>
  <si>
    <t>method=</t>
  </si>
  <si>
    <t>Minutes</t>
  </si>
  <si>
    <t>proxies</t>
  </si>
  <si>
    <t xml:space="preserve">   range = "NA", LPI="NA", UPI="NA"</t>
  </si>
  <si>
    <r>
      <t>70% Prediction Range (Range</t>
    </r>
    <r>
      <rPr>
        <rFont val="Arial"/>
        <sz val="10.0"/>
        <vertAlign val="subscript"/>
      </rPr>
      <t>duration</t>
    </r>
    <r>
      <rPr>
        <rFont val="Arial"/>
        <sz val="10.0"/>
      </rPr>
      <t>)</t>
    </r>
  </si>
  <si>
    <r>
      <t>Range</t>
    </r>
    <r>
      <rPr>
        <rFont val="Arial"/>
        <sz val="10.0"/>
        <vertAlign val="subscript"/>
      </rPr>
      <t>duration</t>
    </r>
  </si>
  <si>
    <t xml:space="preserve">end if </t>
  </si>
  <si>
    <r>
      <t>Upper Prediction Interval (UPI</t>
    </r>
    <r>
      <rPr>
        <rFont val="Arial"/>
        <sz val="10.0"/>
        <vertAlign val="subscript"/>
      </rPr>
      <t>duration</t>
    </r>
    <r>
      <rPr>
        <rFont val="Arial"/>
        <sz val="10.0"/>
      </rPr>
      <t>)</t>
    </r>
  </si>
  <si>
    <r>
      <t>UPI</t>
    </r>
    <r>
      <rPr>
        <rFont val="Arial"/>
        <sz val="10.0"/>
        <vertAlign val="subscript"/>
      </rPr>
      <t>duration</t>
    </r>
    <r>
      <rPr>
        <rFont val="Arial"/>
        <sz val="10.0"/>
      </rPr>
      <t>=Time+Range</t>
    </r>
    <r>
      <rPr>
        <rFont val="Arial"/>
        <sz val="10.0"/>
        <vertAlign val="subscript"/>
      </rPr>
      <t>duration</t>
    </r>
  </si>
  <si>
    <t xml:space="preserve">4.  Estimate and record the duration of the new project. </t>
  </si>
  <si>
    <t>history</t>
  </si>
  <si>
    <r>
      <t>Lower Prediction Interval (LPI</t>
    </r>
    <r>
      <rPr>
        <rFont val="Arial"/>
        <sz val="10.0"/>
        <vertAlign val="subscript"/>
      </rPr>
      <t>duration</t>
    </r>
    <r>
      <rPr>
        <rFont val="Arial"/>
        <sz val="10.0"/>
      </rPr>
      <t>)</t>
    </r>
  </si>
  <si>
    <r>
      <t>LPI</t>
    </r>
    <r>
      <rPr>
        <rFont val="Arial"/>
        <sz val="10.0"/>
        <vertAlign val="subscript"/>
      </rPr>
      <t>duration</t>
    </r>
    <r>
      <rPr>
        <rFont val="Arial"/>
        <sz val="10.0"/>
      </rPr>
      <t>=Time-Range</t>
    </r>
    <r>
      <rPr>
        <rFont val="Arial"/>
        <sz val="10.0"/>
        <vertAlign val="subscript"/>
      </rPr>
      <t>duration</t>
    </r>
  </si>
  <si>
    <t>Time in Phase Estimate (minutes)</t>
  </si>
  <si>
    <t>Calculate productivity as sum(LOCa of all projects)/sum(actual duration of all projects)</t>
  </si>
  <si>
    <t>If LOCe is significantly correlated with actual duration then</t>
  </si>
  <si>
    <t xml:space="preserve">   record duration method as "LOCe x Time"</t>
  </si>
  <si>
    <t xml:space="preserve">   duration = N*B1+B0, where B1 and B0 are derived from LOCe and actual duration</t>
  </si>
  <si>
    <t xml:space="preserve">   calculate range</t>
  </si>
  <si>
    <t>else If LOCa is significantly correlated with actual duration then</t>
  </si>
  <si>
    <t xml:space="preserve">   record duration method as "LOCa x Time"</t>
  </si>
  <si>
    <t xml:space="preserve">   duration = N*B1+B0, where B1 and B0 are derived from LOCa and actual duration</t>
  </si>
  <si>
    <t xml:space="preserve">   record duration method as "Productivity"</t>
  </si>
  <si>
    <t xml:space="preserve">   duration = N/productivity, range = NA</t>
  </si>
  <si>
    <t>5.  Distribute and record time among project phases</t>
  </si>
  <si>
    <t>Exit</t>
  </si>
  <si>
    <t xml:space="preserve"> - complete "Assignment" worksheet</t>
  </si>
  <si>
    <t xml:space="preserve"> - (optional) intermediate calculations</t>
  </si>
  <si>
    <t>Quality checks</t>
  </si>
  <si>
    <t>General</t>
  </si>
  <si>
    <t>Are all regions highlighted in yellow complete?  (Either with a value, or NA if the cell is not applicable. No units of measure.)</t>
  </si>
  <si>
    <t>Are supporting calculations understandable?</t>
  </si>
  <si>
    <t>Object Category Sizes</t>
  </si>
  <si>
    <t>Are proxy buckets sized by either a normal or log-normal distribution?</t>
  </si>
  <si>
    <t>Is preference given to sizing proxy "buckets" along a normal distribution?</t>
  </si>
  <si>
    <t>Are proxy types sized consistently?</t>
  </si>
  <si>
    <t>Proxy Sizing</t>
  </si>
  <si>
    <t>Has each Base Addition and New Object been given a type and relative size?</t>
  </si>
  <si>
    <t>Are base additions and new objects sized according to the size matrix?</t>
  </si>
  <si>
    <t>Is the adjusted estimate of size calculated according to the relationship that exists between LOCe and LOCa?</t>
  </si>
  <si>
    <t>Are the regression parameters valid?  Are they correct?</t>
  </si>
  <si>
    <t>Is the range calculation valid?  It is correct?</t>
  </si>
  <si>
    <t>Does the Lower Prediction Interval (LPI) represent a valid concept?</t>
  </si>
  <si>
    <t>Is the method used for duration estimation appropriate given the historical data?</t>
  </si>
  <si>
    <t>Is duration based on the size of new code?</t>
  </si>
  <si>
    <t>Useful Excel Functions</t>
  </si>
  <si>
    <t>tdist</t>
  </si>
  <si>
    <t xml:space="preserve">parms:   </t>
  </si>
  <si>
    <t>t, degrees of freedom, number of tails (1 or 2)</t>
  </si>
  <si>
    <t xml:space="preserve">returns: </t>
  </si>
  <si>
    <t xml:space="preserve">area under tails </t>
  </si>
  <si>
    <t xml:space="preserve">example:  </t>
  </si>
  <si>
    <t xml:space="preserve">"=TDIST(1.325,20,2)" yields </t>
  </si>
  <si>
    <t>note:</t>
  </si>
  <si>
    <t>tdist returns 1-p(alpha) when tails=1 and</t>
  </si>
  <si>
    <t xml:space="preserve">1-p(alpha/2) when tails = 2.  </t>
  </si>
  <si>
    <t>tinv</t>
  </si>
  <si>
    <t>parms:</t>
  </si>
  <si>
    <t>probability, degrees of freedom</t>
  </si>
  <si>
    <t>returns:</t>
  </si>
  <si>
    <t>the value of t such that the area under the T-curve from [-t,t] is the probability</t>
  </si>
  <si>
    <t>example:</t>
  </si>
  <si>
    <t>"=TINV(0.200111,20)" yields</t>
  </si>
  <si>
    <t>correl</t>
  </si>
  <si>
    <t>x's, y's</t>
  </si>
  <si>
    <t>correlation coefficient</t>
  </si>
  <si>
    <t>given the data at right,</t>
  </si>
  <si>
    <t>X</t>
  </si>
  <si>
    <t>Y</t>
  </si>
  <si>
    <t>"=CORREL(F83:F88,G83:G88)"</t>
  </si>
  <si>
    <t>yields</t>
  </si>
  <si>
    <t>slope</t>
  </si>
  <si>
    <t>y's, x's</t>
  </si>
  <si>
    <t>regression value B1</t>
  </si>
  <si>
    <t>given the data above, "=SLOPE(G83:G88,F83:F88)" yields</t>
  </si>
  <si>
    <t>intercept</t>
  </si>
  <si>
    <t>regression value B0</t>
  </si>
  <si>
    <t>given the data above, "=INTERCEPT(G83:G88,F83:F88)" yields</t>
  </si>
  <si>
    <t>average</t>
  </si>
  <si>
    <t>values</t>
  </si>
  <si>
    <t>average of the values</t>
  </si>
  <si>
    <t>the average of the x's above is "=AVERAGE(F83:F88)", or</t>
  </si>
  <si>
    <t>stdev</t>
  </si>
  <si>
    <t>standard deviation of the values</t>
  </si>
  <si>
    <t>the std of the x's above is "=STDEV(F83:F88)", or</t>
  </si>
  <si>
    <t>sum</t>
  </si>
  <si>
    <t>sum of the values</t>
  </si>
  <si>
    <t>the sum of the x's above is "=SUM(F83:F88)", which yields</t>
  </si>
  <si>
    <t>^</t>
  </si>
  <si>
    <t>value, power</t>
  </si>
  <si>
    <t>value**power</t>
  </si>
  <si>
    <t>5 squared is 5^2</t>
  </si>
  <si>
    <t>Proxy01</t>
  </si>
  <si>
    <t>Proxy02</t>
  </si>
  <si>
    <t>Proxy03</t>
  </si>
  <si>
    <t>Proxy04</t>
  </si>
  <si>
    <t>Proxy05</t>
  </si>
  <si>
    <t>Proxy06</t>
  </si>
  <si>
    <t>Proxy07</t>
  </si>
  <si>
    <t>Proxy08</t>
  </si>
  <si>
    <t>Proxy09</t>
  </si>
  <si>
    <t>Est. LOC (LOCe)</t>
  </si>
  <si>
    <t>Actual LOC (LOCa)</t>
  </si>
  <si>
    <t>Est. Duration (De)</t>
  </si>
  <si>
    <t>Actual Duration (Da)</t>
  </si>
  <si>
    <t>Similar to</t>
  </si>
  <si>
    <t>Process Information</t>
  </si>
  <si>
    <t>Qurram</t>
  </si>
  <si>
    <t>Roll No:</t>
  </si>
  <si>
    <t>Due Date:</t>
  </si>
  <si>
    <t>Proxy sizing</t>
  </si>
  <si>
    <t>Supporting Calculations for "Object Category Sizes"</t>
  </si>
  <si>
    <t>LOG</t>
  </si>
  <si>
    <t>LOC/method</t>
  </si>
  <si>
    <t>Log Normal method</t>
  </si>
  <si>
    <t xml:space="preserve">Average
</t>
  </si>
  <si>
    <t>SD</t>
  </si>
  <si>
    <t>Average</t>
  </si>
  <si>
    <r>
      <t xml:space="preserve">Estimates on New Development:  </t>
    </r>
    <r>
      <rPr>
        <rFont val="Arial"/>
        <sz val="14.0"/>
      </rPr>
      <t>Please provide answers to the questions below.  If a result is not calculable, please fill the box with a "NA" and defend your answer in the supporting calculations section.  Each cell should contain a number, "NA", or a value from a drop-down menu; do not indicate units (such as "min", "hr", "LOC", etc.)  Please do not leave any boxes blank;  I will assume that an empty box means you did not answer the question.</t>
    </r>
  </si>
  <si>
    <r>
      <t>LOC</t>
    </r>
    <r>
      <rPr>
        <rFont val="Arial"/>
        <sz val="10.0"/>
        <vertAlign val="subscript"/>
      </rPr>
      <t>E</t>
    </r>
    <r>
      <rPr>
        <rFont val="Arial"/>
        <sz val="10.0"/>
      </rPr>
      <t xml:space="preserve"> x Time</t>
    </r>
  </si>
  <si>
    <r>
      <t>LOC</t>
    </r>
    <r>
      <rPr>
        <rFont val="Arial"/>
        <sz val="10.0"/>
        <vertAlign val="subscript"/>
      </rPr>
      <t>A</t>
    </r>
    <r>
      <rPr>
        <rFont val="Arial"/>
        <sz val="10.0"/>
      </rPr>
      <t xml:space="preserve"> x Time</t>
    </r>
  </si>
  <si>
    <t>TYPE: CALCULATION</t>
  </si>
  <si>
    <t>Midpoint</t>
  </si>
  <si>
    <t xml:space="preserve">VS
</t>
  </si>
  <si>
    <t>TYPE: DATA</t>
  </si>
  <si>
    <r>
      <t>Object Category Sizes</t>
    </r>
    <r>
      <rPr>
        <rFont val="Arial"/>
        <sz val="10.0"/>
      </rPr>
      <t xml:space="preserve"> (in LOC/Method)</t>
    </r>
  </si>
  <si>
    <t>TYPE: I/O</t>
  </si>
  <si>
    <t>Size</t>
  </si>
  <si>
    <r>
      <t>B</t>
    </r>
    <r>
      <rPr>
        <rFont val="Arial"/>
        <sz val="10.0"/>
        <vertAlign val="subscript"/>
      </rPr>
      <t>0</t>
    </r>
  </si>
  <si>
    <r>
      <t>B</t>
    </r>
    <r>
      <rPr>
        <rFont val="Arial"/>
        <sz val="10.0"/>
        <vertAlign val="subscript"/>
      </rPr>
      <t>1</t>
    </r>
  </si>
  <si>
    <r>
      <t>N=B</t>
    </r>
    <r>
      <rPr>
        <rFont val="Arial"/>
        <sz val="10.0"/>
        <vertAlign val="subscript"/>
      </rPr>
      <t>0</t>
    </r>
    <r>
      <rPr>
        <rFont val="Arial"/>
        <sz val="10.0"/>
      </rPr>
      <t>+B</t>
    </r>
    <r>
      <rPr>
        <rFont val="Arial"/>
        <sz val="10.0"/>
        <vertAlign val="subscript"/>
      </rPr>
      <t>1</t>
    </r>
    <r>
      <rPr>
        <rFont val="Arial"/>
        <sz val="10.0"/>
      </rPr>
      <t>*E</t>
    </r>
  </si>
  <si>
    <r>
      <t>70% Prediction Range (Range</t>
    </r>
    <r>
      <rPr>
        <rFont val="Arial"/>
        <sz val="10.0"/>
        <vertAlign val="subscript"/>
      </rPr>
      <t>size</t>
    </r>
    <r>
      <rPr>
        <rFont val="Arial"/>
        <sz val="10.0"/>
      </rPr>
      <t>)</t>
    </r>
  </si>
  <si>
    <r>
      <t>Range</t>
    </r>
    <r>
      <rPr>
        <rFont val="Arial"/>
        <sz val="10.0"/>
        <vertAlign val="subscript"/>
      </rPr>
      <t>size</t>
    </r>
  </si>
  <si>
    <r>
      <t>Upper Prediction Interval (UPI</t>
    </r>
    <r>
      <rPr>
        <rFont val="Arial"/>
        <sz val="10.0"/>
        <vertAlign val="subscript"/>
      </rPr>
      <t>size</t>
    </r>
    <r>
      <rPr>
        <rFont val="Arial"/>
        <sz val="10.0"/>
      </rPr>
      <t>)</t>
    </r>
  </si>
  <si>
    <r>
      <t>UPI</t>
    </r>
    <r>
      <rPr>
        <rFont val="Arial"/>
        <sz val="10.0"/>
        <vertAlign val="subscript"/>
      </rPr>
      <t>size</t>
    </r>
    <r>
      <rPr>
        <rFont val="Arial"/>
        <sz val="10.0"/>
      </rPr>
      <t>=N+Range</t>
    </r>
    <r>
      <rPr>
        <rFont val="Arial"/>
        <sz val="10.0"/>
        <vertAlign val="subscript"/>
      </rPr>
      <t>size</t>
    </r>
  </si>
  <si>
    <r>
      <t>Lower Prediction Interval (LPI</t>
    </r>
    <r>
      <rPr>
        <rFont val="Arial"/>
        <sz val="10.0"/>
        <vertAlign val="subscript"/>
      </rPr>
      <t>size</t>
    </r>
    <r>
      <rPr>
        <rFont val="Arial"/>
        <sz val="10.0"/>
      </rPr>
      <t>)</t>
    </r>
  </si>
  <si>
    <r>
      <t>LPI</t>
    </r>
    <r>
      <rPr>
        <rFont val="Arial"/>
        <sz val="10.0"/>
        <vertAlign val="subscript"/>
      </rPr>
      <t>size</t>
    </r>
    <r>
      <rPr>
        <rFont val="Arial"/>
        <sz val="10.0"/>
      </rPr>
      <t>=N-Range</t>
    </r>
    <r>
      <rPr>
        <rFont val="Arial"/>
        <sz val="10.0"/>
        <vertAlign val="subscript"/>
      </rPr>
      <t>size</t>
    </r>
  </si>
  <si>
    <t>LOCE x Time</t>
  </si>
  <si>
    <r>
      <t>70% Prediction Range (Range</t>
    </r>
    <r>
      <rPr>
        <rFont val="Arial"/>
        <sz val="10.0"/>
        <vertAlign val="subscript"/>
      </rPr>
      <t>duration</t>
    </r>
    <r>
      <rPr>
        <rFont val="Arial"/>
        <sz val="10.0"/>
      </rPr>
      <t>)</t>
    </r>
  </si>
  <si>
    <r>
      <t>Range</t>
    </r>
    <r>
      <rPr>
        <rFont val="Arial"/>
        <sz val="10.0"/>
        <vertAlign val="subscript"/>
      </rPr>
      <t>duration</t>
    </r>
  </si>
  <si>
    <r>
      <t>Upper Prediction Interval (UPI</t>
    </r>
    <r>
      <rPr>
        <rFont val="Arial"/>
        <sz val="10.0"/>
        <vertAlign val="subscript"/>
      </rPr>
      <t>duration</t>
    </r>
    <r>
      <rPr>
        <rFont val="Arial"/>
        <sz val="10.0"/>
      </rPr>
      <t>)</t>
    </r>
  </si>
  <si>
    <r>
      <t>UPI</t>
    </r>
    <r>
      <rPr>
        <rFont val="Arial"/>
        <sz val="10.0"/>
        <vertAlign val="subscript"/>
      </rPr>
      <t>duration</t>
    </r>
    <r>
      <rPr>
        <rFont val="Arial"/>
        <sz val="10.0"/>
      </rPr>
      <t>=Time+Range</t>
    </r>
    <r>
      <rPr>
        <rFont val="Arial"/>
        <sz val="10.0"/>
        <vertAlign val="subscript"/>
      </rPr>
      <t>duration</t>
    </r>
  </si>
  <si>
    <r>
      <t>Lower Prediction Interval (LPI</t>
    </r>
    <r>
      <rPr>
        <rFont val="Arial"/>
        <sz val="10.0"/>
        <vertAlign val="subscript"/>
      </rPr>
      <t>duration</t>
    </r>
    <r>
      <rPr>
        <rFont val="Arial"/>
        <sz val="10.0"/>
      </rPr>
      <t>)</t>
    </r>
  </si>
  <si>
    <r>
      <t>LPI</t>
    </r>
    <r>
      <rPr>
        <rFont val="Arial"/>
        <sz val="10.0"/>
        <vertAlign val="subscript"/>
      </rPr>
      <t>duration</t>
    </r>
    <r>
      <rPr>
        <rFont val="Arial"/>
        <sz val="10.0"/>
      </rPr>
      <t>=Time-Range</t>
    </r>
    <r>
      <rPr>
        <rFont val="Arial"/>
        <sz val="10.0"/>
        <vertAlign val="subscript"/>
      </rPr>
      <t>duration</t>
    </r>
  </si>
  <si>
    <t>Supporting Calculations for "Proxy Sizing"</t>
  </si>
  <si>
    <t>LB</t>
  </si>
  <si>
    <t>UB</t>
  </si>
  <si>
    <t xml:space="preserve">Relative LOC
</t>
  </si>
  <si>
    <t>Proxy size</t>
  </si>
  <si>
    <t>Supporting Calculations for "Size Estimate"</t>
  </si>
  <si>
    <t>x</t>
  </si>
  <si>
    <t>y</t>
  </si>
  <si>
    <t>Correlation between LOCe and LOCa</t>
  </si>
  <si>
    <t>B1</t>
  </si>
  <si>
    <t>B0</t>
  </si>
  <si>
    <t>E</t>
  </si>
  <si>
    <t>N</t>
  </si>
  <si>
    <t>t_crit</t>
  </si>
  <si>
    <t>t_stat</t>
  </si>
  <si>
    <t>Correlated?</t>
  </si>
  <si>
    <t>Range</t>
  </si>
  <si>
    <t>LPI</t>
  </si>
  <si>
    <t>UPI</t>
  </si>
  <si>
    <t>Yes</t>
  </si>
  <si>
    <t>Mean</t>
  </si>
  <si>
    <t>Std</t>
  </si>
  <si>
    <t>Supporting Calculations for "Duration Estimate"</t>
  </si>
  <si>
    <t>Est. Duration after linear regression</t>
  </si>
  <si>
    <t>De</t>
  </si>
  <si>
    <t>MSE</t>
  </si>
  <si>
    <t>x - avg(x)</t>
  </si>
  <si>
    <t>Yes, LOCe and Da are correlated</t>
  </si>
  <si>
    <t>Supporting Calculations for "Time in Phase Estimations"</t>
  </si>
  <si>
    <t>Range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</si>
</sst>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"/>
  </numFmts>
  <fonts count="22">
    <font>
      <sz val="10.0"/>
      <color rgb="FF000000"/>
      <name val="Arial"/>
    </font>
    <font>
      <b/>
      <sz val="16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4.0"/>
      <color theme="1"/>
      <name val="Arial"/>
    </font>
    <font>
      <sz val="12.0"/>
      <color theme="1"/>
      <name val="Arial"/>
    </font>
    <font/>
    <font>
      <u/>
      <sz val="10.0"/>
      <color rgb="FF0000FF"/>
      <name val="Arial"/>
    </font>
    <font>
      <i/>
      <sz val="10.0"/>
      <color theme="1"/>
      <name val="Arial"/>
    </font>
    <font>
      <color theme="1"/>
      <name val="Calibri"/>
    </font>
    <font>
      <b/>
      <sz val="12.0"/>
      <color theme="1"/>
      <name val="Arial"/>
    </font>
    <font>
      <b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0.0"/>
      <name val="Arial"/>
    </font>
    <font>
      <sz val="10.0"/>
      <color rgb="FF980000"/>
      <name val="Arial"/>
    </font>
    <font>
      <color rgb="FF7E3794"/>
      <name val="Calibri"/>
    </font>
    <font>
      <sz val="11.0"/>
      <color rgb="FF7E3794"/>
      <name val="Calibri"/>
    </font>
    <font>
      <sz val="11.0"/>
      <color rgb="FF980000"/>
      <name val="Calibri"/>
    </font>
    <font>
      <sz val="10.0"/>
      <color rgb="FF7E3794"/>
      <name val="Arial"/>
    </font>
    <font>
      <sz val="10.0"/>
      <color rgb="FF11A9CC"/>
      <name val="Arial"/>
    </font>
    <font>
      <sz val="11.0"/>
      <color rgb="FF11A9CC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969696"/>
        <bgColor rgb="FF969696"/>
      </patternFill>
    </fill>
    <fill>
      <patternFill patternType="solid">
        <fgColor rgb="FFCC99FF"/>
        <bgColor rgb="FFCC99FF"/>
      </patternFill>
    </fill>
  </fills>
  <borders count="23">
    <border/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4" numFmtId="1" xfId="0" applyAlignment="1" applyFont="1" applyNumberFormat="1">
      <alignment horizontal="left" shrinkToFit="0" vertical="bottom" wrapText="1"/>
    </xf>
    <xf borderId="1" fillId="0" fontId="3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5" xfId="0" applyAlignment="1" applyFont="1" applyNumberFormat="1">
      <alignment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3" fillId="0" fontId="2" numFmtId="15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horizontal="left" shrinkToFit="0" vertical="bottom" wrapText="0"/>
    </xf>
    <xf borderId="1" fillId="0" fontId="3" numFmtId="0" xfId="0" applyAlignment="1" applyBorder="1" applyFont="1">
      <alignment horizontal="right" shrinkToFit="0" vertical="top" wrapText="0"/>
    </xf>
    <xf borderId="0" fillId="0" fontId="2" numFmtId="1" xfId="0" applyAlignment="1" applyFont="1" applyNumberFormat="1">
      <alignment shrinkToFit="0" vertical="bottom" wrapText="0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center" shrinkToFit="0" vertical="bottom" wrapText="0"/>
    </xf>
    <xf borderId="4" fillId="2" fontId="2" numFmtId="0" xfId="0" applyAlignment="1" applyBorder="1" applyFill="1" applyFont="1">
      <alignment horizontal="left" shrinkToFit="0" vertical="bottom" wrapText="0"/>
    </xf>
    <xf borderId="0" fillId="0" fontId="2" numFmtId="164" xfId="0" applyAlignment="1" applyFont="1" applyNumberFormat="1">
      <alignment shrinkToFit="0" vertical="bottom" wrapText="0"/>
    </xf>
    <xf borderId="5" fillId="0" fontId="6" numFmtId="0" xfId="0" applyBorder="1" applyFont="1"/>
    <xf borderId="0" fillId="0" fontId="2" numFmtId="2" xfId="0" applyAlignment="1" applyFont="1" applyNumberFormat="1">
      <alignment shrinkToFit="0" vertical="bottom" wrapText="0"/>
    </xf>
    <xf borderId="3" fillId="0" fontId="2" numFmtId="0" xfId="0" applyAlignment="1" applyBorder="1" applyFont="1">
      <alignment horizontal="left" shrinkToFit="0" vertical="top" wrapText="1"/>
    </xf>
    <xf borderId="6" fillId="0" fontId="6" numFmtId="0" xfId="0" applyBorder="1" applyFont="1"/>
    <xf borderId="1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right" shrinkToFit="0" vertical="top" wrapText="1"/>
    </xf>
    <xf borderId="0" fillId="0" fontId="2" numFmtId="0" xfId="0" applyAlignment="1" applyFont="1">
      <alignment horizontal="left" shrinkToFit="0" vertical="top" wrapText="0"/>
    </xf>
    <xf borderId="4" fillId="2" fontId="2" numFmtId="0" xfId="0" applyAlignment="1" applyBorder="1" applyFont="1">
      <alignment horizontal="center" shrinkToFit="0" vertical="bottom" wrapText="0"/>
    </xf>
    <xf borderId="0" fillId="0" fontId="2" numFmtId="15" xfId="0" applyAlignment="1" applyFont="1" applyNumberFormat="1">
      <alignment horizontal="right" shrinkToFit="0" vertical="bottom" wrapText="0"/>
    </xf>
    <xf borderId="0" fillId="0" fontId="7" numFmtId="0" xfId="0" applyAlignment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0" fillId="0" fontId="4" numFmtId="1" xfId="0" applyAlignment="1" applyFont="1" applyNumberFormat="1">
      <alignment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left" shrinkToFit="0" vertical="bottom" wrapText="0"/>
    </xf>
    <xf borderId="9" fillId="0" fontId="3" numFmtId="0" xfId="0" applyAlignment="1" applyBorder="1" applyFont="1">
      <alignment horizontal="center" shrinkToFit="0" vertical="bottom" wrapText="1"/>
    </xf>
    <xf borderId="10" fillId="0" fontId="6" numFmtId="0" xfId="0" applyBorder="1" applyFont="1"/>
    <xf borderId="11" fillId="0" fontId="6" numFmtId="0" xfId="0" applyBorder="1" applyFont="1"/>
    <xf borderId="4" fillId="0" fontId="3" numFmtId="0" xfId="0" applyAlignment="1" applyBorder="1" applyFont="1">
      <alignment horizontal="left" shrinkToFit="0" vertical="top" wrapText="0"/>
    </xf>
    <xf borderId="5" fillId="0" fontId="2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horizontal="left" shrinkToFit="0" vertical="bottom" wrapText="0"/>
    </xf>
    <xf borderId="12" fillId="0" fontId="2" numFmtId="0" xfId="0" applyAlignment="1" applyBorder="1" applyFont="1">
      <alignment horizontal="left" shrinkToFit="0" vertical="top" wrapText="1"/>
    </xf>
    <xf borderId="12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3" fillId="0" fontId="2" numFmtId="0" xfId="0" applyAlignment="1" applyBorder="1" applyFont="1">
      <alignment horizontal="left" shrinkToFit="0" vertical="top" wrapText="1"/>
    </xf>
    <xf borderId="14" fillId="0" fontId="2" numFmtId="0" xfId="0" applyAlignment="1" applyBorder="1" applyFont="1">
      <alignment horizontal="left" shrinkToFit="0" vertical="top" wrapText="0"/>
    </xf>
    <xf borderId="14" fillId="0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2" fillId="0" fontId="6" numFmtId="0" xfId="0" applyBorder="1" applyFont="1"/>
    <xf borderId="16" fillId="0" fontId="6" numFmtId="0" xfId="0" applyBorder="1" applyFont="1"/>
    <xf borderId="12" fillId="0" fontId="2" numFmtId="0" xfId="0" applyAlignment="1" applyBorder="1" applyFont="1">
      <alignment horizontal="left" shrinkToFit="0" vertical="top" wrapText="0"/>
    </xf>
    <xf borderId="6" fillId="0" fontId="2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center" shrinkToFit="0" vertical="center" wrapText="0"/>
    </xf>
    <xf borderId="12" fillId="0" fontId="2" numFmtId="0" xfId="0" applyAlignment="1" applyBorder="1" applyFont="1">
      <alignment horizontal="right" shrinkToFit="0" vertical="bottom" wrapText="0"/>
    </xf>
    <xf borderId="0" fillId="0" fontId="2" numFmtId="9" xfId="0" applyAlignment="1" applyFont="1" applyNumberFormat="1">
      <alignment shrinkToFit="0" vertical="bottom" wrapText="0"/>
    </xf>
    <xf borderId="2" fillId="0" fontId="1" numFmtId="0" xfId="0" applyAlignment="1" applyBorder="1" applyFont="1">
      <alignment horizontal="left" shrinkToFit="0" vertical="bottom" wrapText="0"/>
    </xf>
    <xf borderId="4" fillId="0" fontId="2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1"/>
    </xf>
    <xf borderId="7" fillId="0" fontId="6" numFmtId="0" xfId="0" applyBorder="1" applyFont="1"/>
    <xf borderId="4" fillId="0" fontId="2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9" fillId="0" fontId="2" numFmtId="0" xfId="0" applyAlignment="1" applyBorder="1" applyFont="1">
      <alignment horizontal="left" shrinkToFit="0" vertical="center" wrapText="0"/>
    </xf>
    <xf borderId="4" fillId="0" fontId="2" numFmtId="0" xfId="0" applyAlignment="1" applyBorder="1" applyFont="1">
      <alignment horizontal="left" shrinkToFit="0" vertical="bottom" wrapText="1"/>
    </xf>
    <xf borderId="3" fillId="0" fontId="6" numFmtId="0" xfId="0" applyBorder="1" applyFont="1"/>
    <xf borderId="1" fillId="0" fontId="6" numFmtId="0" xfId="0" applyBorder="1" applyFont="1"/>
    <xf borderId="5" fillId="0" fontId="2" numFmtId="0" xfId="0" applyAlignment="1" applyBorder="1" applyFont="1">
      <alignment horizontal="left" shrinkToFit="0" vertical="bottom" wrapText="1"/>
    </xf>
    <xf borderId="17" fillId="0" fontId="3" numFmtId="0" xfId="0" applyAlignment="1" applyBorder="1" applyFont="1">
      <alignment horizontal="left" shrinkToFit="0" vertical="bottom" wrapText="0"/>
    </xf>
    <xf borderId="17" fillId="0" fontId="6" numFmtId="0" xfId="0" applyBorder="1" applyFont="1"/>
    <xf borderId="12" fillId="2" fontId="2" numFmtId="2" xfId="0" applyAlignment="1" applyBorder="1" applyFont="1" applyNumberFormat="1">
      <alignment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12" fillId="2" fontId="2" numFmtId="0" xfId="0" applyAlignment="1" applyBorder="1" applyFont="1">
      <alignment shrinkToFit="0" vertical="bottom" wrapText="0"/>
    </xf>
    <xf borderId="0" fillId="0" fontId="2" numFmtId="22" xfId="0" applyAlignment="1" applyFont="1" applyNumberFormat="1">
      <alignment shrinkToFit="0" vertical="bottom" wrapText="0"/>
    </xf>
    <xf borderId="12" fillId="2" fontId="2" numFmtId="1" xfId="0" applyAlignment="1" applyBorder="1" applyFont="1" applyNumberFormat="1">
      <alignment shrinkToFit="0" vertical="bottom" wrapText="0"/>
    </xf>
    <xf borderId="6" fillId="0" fontId="2" numFmtId="0" xfId="0" applyAlignment="1" applyBorder="1" applyFont="1">
      <alignment horizontal="left" shrinkToFit="0" vertical="bottom" wrapText="1"/>
    </xf>
    <xf borderId="4" fillId="0" fontId="2" numFmtId="0" xfId="0" applyAlignment="1" applyBorder="1" applyFont="1">
      <alignment horizontal="left" shrinkToFit="0" vertical="top" wrapText="1"/>
    </xf>
    <xf borderId="15" fillId="0" fontId="6" numFmtId="0" xfId="0" applyBorder="1" applyFont="1"/>
    <xf borderId="0" fillId="0" fontId="8" numFmtId="0" xfId="0" applyAlignment="1" applyFont="1">
      <alignment horizontal="left"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Font="1"/>
    <xf borderId="0" fillId="0" fontId="5" numFmtId="1" xfId="0" applyAlignment="1" applyFont="1" applyNumberFormat="1">
      <alignment shrinkToFit="0" vertical="bottom" wrapText="0"/>
    </xf>
    <xf borderId="2" fillId="0" fontId="3" numFmtId="1" xfId="0" applyAlignment="1" applyBorder="1" applyFont="1" applyNumberFormat="1">
      <alignment horizontal="center" shrinkToFit="0" vertical="bottom" wrapText="0"/>
    </xf>
    <xf borderId="2" fillId="0" fontId="3" numFmtId="1" xfId="0" applyAlignment="1" applyBorder="1" applyFont="1" applyNumberFormat="1">
      <alignment shrinkToFit="0" vertical="bottom" wrapText="0"/>
    </xf>
    <xf borderId="16" fillId="0" fontId="3" numFmtId="1" xfId="0" applyAlignment="1" applyBorder="1" applyFont="1" applyNumberFormat="1">
      <alignment shrinkToFit="0" vertical="bottom" wrapText="0"/>
    </xf>
    <xf borderId="1" fillId="0" fontId="2" numFmtId="1" xfId="0" applyAlignment="1" applyBorder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2" fillId="0" fontId="3" numFmtId="1" xfId="0" applyAlignment="1" applyBorder="1" applyFont="1" applyNumberFormat="1">
      <alignment shrinkToFit="0" vertical="bottom" wrapText="1"/>
    </xf>
    <xf borderId="2" fillId="0" fontId="3" numFmtId="1" xfId="0" applyAlignment="1" applyBorder="1" applyFont="1" applyNumberFormat="1">
      <alignment horizontal="center" shrinkToFit="0" vertical="bottom" wrapText="1"/>
    </xf>
    <xf borderId="16" fillId="0" fontId="3" numFmtId="1" xfId="0" applyAlignment="1" applyBorder="1" applyFont="1" applyNumberFormat="1">
      <alignment horizontal="center" shrinkToFit="0" vertical="bottom" wrapText="1"/>
    </xf>
    <xf borderId="0" fillId="0" fontId="3" numFmtId="1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horizontal="right" shrinkToFit="0" vertical="bottom" wrapText="0"/>
    </xf>
    <xf borderId="0" fillId="0" fontId="2" numFmtId="1" xfId="0" applyAlignment="1" applyFont="1" applyNumberFormat="1">
      <alignment shrinkToFit="0" vertical="bottom" wrapText="1"/>
    </xf>
    <xf borderId="0" fillId="0" fontId="3" numFmtId="1" xfId="0" applyAlignment="1" applyFont="1" applyNumberFormat="1">
      <alignment horizontal="left" shrinkToFit="0" vertical="bottom" wrapText="1"/>
    </xf>
    <xf borderId="0" fillId="0" fontId="3" numFmtId="1" xfId="0" applyAlignment="1" applyFont="1" applyNumberFormat="1">
      <alignment readingOrder="0" shrinkToFit="0" vertical="bottom" wrapText="0"/>
    </xf>
    <xf borderId="4" fillId="2" fontId="2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horizontal="left" shrinkToFit="0" vertical="top" wrapText="1"/>
    </xf>
    <xf borderId="0" fillId="0" fontId="10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3" fontId="9" numFmtId="0" xfId="0" applyFill="1" applyFont="1"/>
    <xf borderId="0" fillId="3" fontId="2" numFmtId="0" xfId="0" applyAlignment="1" applyFont="1">
      <alignment horizontal="center" shrinkToFit="0" vertical="bottom" wrapText="0"/>
    </xf>
    <xf borderId="0" fillId="4" fontId="9" numFmtId="0" xfId="0" applyFill="1" applyFont="1"/>
    <xf borderId="0" fillId="4" fontId="2" numFmtId="0" xfId="0" applyAlignment="1" applyFont="1">
      <alignment horizontal="center" shrinkToFit="0" vertical="bottom" wrapText="0"/>
    </xf>
    <xf borderId="0" fillId="5" fontId="9" numFmtId="0" xfId="0" applyFill="1" applyFont="1"/>
    <xf borderId="0" fillId="5" fontId="2" numFmtId="0" xfId="0" applyAlignment="1" applyFont="1">
      <alignment horizontal="center" shrinkToFit="0" vertical="bottom" wrapText="0"/>
    </xf>
    <xf borderId="0" fillId="6" fontId="9" numFmtId="0" xfId="0" applyFill="1" applyFont="1"/>
    <xf borderId="0" fillId="6" fontId="2" numFmtId="0" xfId="0" applyAlignment="1" applyFont="1">
      <alignment horizontal="center" shrinkToFit="0" vertical="bottom" wrapText="0"/>
    </xf>
    <xf borderId="18" fillId="7" fontId="4" numFmtId="0" xfId="0" applyAlignment="1" applyBorder="1" applyFill="1" applyFont="1">
      <alignment horizontal="left" shrinkToFit="0" vertical="center" wrapText="1"/>
    </xf>
    <xf borderId="19" fillId="0" fontId="6" numFmtId="0" xfId="0" applyBorder="1" applyFont="1"/>
    <xf borderId="20" fillId="0" fontId="6" numFmtId="0" xfId="0" applyBorder="1" applyFont="1"/>
    <xf borderId="0" fillId="0" fontId="3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2" numFmtId="2" xfId="0" applyAlignment="1" applyFont="1" applyNumberFormat="1">
      <alignment horizontal="left" shrinkToFit="0" vertical="bottom" wrapText="0"/>
    </xf>
    <xf borderId="0" fillId="0" fontId="11" numFmtId="0" xfId="0" applyAlignment="1" applyFont="1">
      <alignment readingOrder="0"/>
    </xf>
    <xf borderId="0" fillId="0" fontId="2" numFmtId="2" xfId="0" applyAlignment="1" applyFont="1" applyNumberFormat="1">
      <alignment horizontal="center" readingOrder="0" shrinkToFit="0" vertical="bottom" wrapText="0"/>
    </xf>
    <xf borderId="0" fillId="0" fontId="11" numFmtId="0" xfId="0" applyAlignment="1" applyFont="1">
      <alignment horizontal="right" readingOrder="0"/>
    </xf>
    <xf borderId="0" fillId="0" fontId="12" numFmtId="2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/>
    </xf>
    <xf borderId="0" fillId="0" fontId="3" numFmtId="2" xfId="0" applyAlignment="1" applyFont="1" applyNumberFormat="1">
      <alignment horizontal="left" readingOrder="0" shrinkToFit="0" vertical="bottom" wrapText="0"/>
    </xf>
    <xf borderId="0" fillId="0" fontId="9" numFmtId="2" xfId="0" applyFont="1" applyNumberFormat="1"/>
    <xf borderId="21" fillId="8" fontId="3" numFmtId="0" xfId="0" applyAlignment="1" applyBorder="1" applyFill="1" applyFont="1">
      <alignment horizontal="left" shrinkToFit="0" vertical="bottom" wrapText="0"/>
    </xf>
    <xf borderId="12" fillId="2" fontId="2" numFmtId="2" xfId="0" applyAlignment="1" applyBorder="1" applyFont="1" applyNumberFormat="1">
      <alignment readingOrder="0" shrinkToFit="0" vertical="bottom" wrapText="0"/>
    </xf>
    <xf borderId="0" fillId="0" fontId="2" numFmtId="0" xfId="0" applyAlignment="1" applyFont="1">
      <alignment horizontal="center" shrinkToFit="0" vertical="center" wrapText="0"/>
    </xf>
    <xf borderId="12" fillId="2" fontId="2" numFmtId="0" xfId="0" applyAlignment="1" applyBorder="1" applyFont="1">
      <alignment readingOrder="0" shrinkToFit="0" vertical="bottom" wrapText="0"/>
    </xf>
    <xf borderId="12" fillId="2" fontId="2" numFmtId="0" xfId="0" applyAlignment="1" applyBorder="1" applyFont="1">
      <alignment horizontal="left" readingOrder="0" shrinkToFit="0" vertical="center" wrapText="0"/>
    </xf>
    <xf borderId="22" fillId="8" fontId="3" numFmtId="0" xfId="0" applyAlignment="1" applyBorder="1" applyFont="1">
      <alignment horizontal="left" shrinkToFit="0" vertical="bottom" wrapText="0"/>
    </xf>
    <xf borderId="12" fillId="2" fontId="2" numFmtId="1" xfId="0" applyAlignment="1" applyBorder="1" applyFont="1" applyNumberFormat="1">
      <alignment readingOrder="0" shrinkToFit="0" vertical="bottom" wrapText="0"/>
    </xf>
    <xf borderId="22" fillId="8" fontId="2" numFmtId="0" xfId="0" applyAlignment="1" applyBorder="1" applyFont="1">
      <alignment shrinkToFit="0" vertical="bottom" wrapText="0"/>
    </xf>
    <xf borderId="0" fillId="0" fontId="13" numFmtId="2" xfId="0" applyAlignment="1" applyFont="1" applyNumberFormat="1">
      <alignment horizontal="right" shrinkToFit="0" vertical="bottom" wrapText="0"/>
    </xf>
    <xf borderId="0" fillId="0" fontId="13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/>
    </xf>
    <xf borderId="0" fillId="0" fontId="9" numFmtId="0" xfId="0" applyAlignment="1" applyFont="1">
      <alignment horizontal="right"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2" numFmtId="1" xfId="0" applyAlignment="1" applyFont="1" applyNumberFormat="1">
      <alignment readingOrder="0" shrinkToFit="0" vertical="bottom" wrapText="0"/>
    </xf>
    <xf borderId="0" fillId="0" fontId="15" numFmtId="2" xfId="0" applyAlignment="1" applyFont="1" applyNumberFormat="1">
      <alignment shrinkToFit="0" vertical="bottom" wrapText="0"/>
    </xf>
    <xf borderId="0" fillId="0" fontId="16" numFmtId="0" xfId="0" applyFont="1"/>
    <xf borderId="0" fillId="0" fontId="17" numFmtId="0" xfId="0" applyFont="1"/>
    <xf borderId="0" fillId="0" fontId="18" numFmtId="2" xfId="0" applyFont="1" applyNumberFormat="1"/>
    <xf borderId="0" fillId="0" fontId="17" numFmtId="0" xfId="0" applyFont="1"/>
    <xf borderId="0" fillId="0" fontId="19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shrinkToFit="0" vertical="bottom" wrapText="0"/>
    </xf>
    <xf borderId="0" fillId="0" fontId="21" numFmtId="0" xfId="0" applyFont="1"/>
    <xf borderId="10" fillId="0" fontId="2" numFmtId="1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3.43"/>
    <col customWidth="1" min="3" max="3" width="15.29"/>
    <col customWidth="1" min="4" max="4" width="16.43"/>
    <col customWidth="1" min="5" max="5" width="16.0"/>
    <col customWidth="1" min="6" max="6" width="17.57"/>
    <col customWidth="1" min="7" max="9" width="12.43"/>
    <col customWidth="1" min="10" max="10" width="9.14"/>
    <col customWidth="1" min="11" max="26" width="8.0"/>
  </cols>
  <sheetData>
    <row r="1" ht="41.25" customHeight="1">
      <c r="A1" s="4" t="s">
        <v>1</v>
      </c>
      <c r="G1" s="6"/>
      <c r="H1" s="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9" t="s">
        <v>6</v>
      </c>
      <c r="C2" s="9" t="s">
        <v>9</v>
      </c>
      <c r="D2" s="9" t="s">
        <v>10</v>
      </c>
      <c r="E2" s="9" t="s">
        <v>11</v>
      </c>
      <c r="F2" s="2"/>
      <c r="G2" s="10" t="s">
        <v>12</v>
      </c>
      <c r="H2" s="10" t="s">
        <v>13</v>
      </c>
      <c r="I2" s="10" t="s">
        <v>14</v>
      </c>
      <c r="J2" s="10" t="s">
        <v>15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 t="s">
        <v>16</v>
      </c>
      <c r="C3" s="14">
        <f t="shared" ref="C3:C35" si="1">TRUNC(ABS(NORMINV(RAND(),100,27)))</f>
        <v>95</v>
      </c>
      <c r="D3" s="14">
        <f t="shared" ref="D3:D35" si="2">MAX(1,TRUNC(ABS(NORMINV(RAND(),5,2))))</f>
        <v>3</v>
      </c>
      <c r="E3" s="16" t="s">
        <v>22</v>
      </c>
      <c r="F3" s="2"/>
      <c r="G3" s="18">
        <f t="shared" ref="G3:G35" si="3">C3/D3</f>
        <v>31.66666667</v>
      </c>
      <c r="H3" s="20">
        <f>AVERAGE(G3:G12)</f>
        <v>25.3925</v>
      </c>
      <c r="I3" s="20">
        <f>STDEV(G3:G12)</f>
        <v>13.86624179</v>
      </c>
      <c r="J3" s="2" t="str">
        <f>IF(H3&lt;2*I3,"LOG","NORM")</f>
        <v>LOG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2" t="s">
        <v>27</v>
      </c>
      <c r="C4" s="14">
        <f t="shared" si="1"/>
        <v>114</v>
      </c>
      <c r="D4" s="14">
        <f t="shared" si="2"/>
        <v>5</v>
      </c>
      <c r="E4" s="16" t="s">
        <v>22</v>
      </c>
      <c r="F4" s="2"/>
      <c r="G4" s="18">
        <f t="shared" si="3"/>
        <v>22.8</v>
      </c>
      <c r="H4" s="20"/>
      <c r="I4" s="2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2" t="s">
        <v>31</v>
      </c>
      <c r="C5" s="14">
        <f t="shared" si="1"/>
        <v>86</v>
      </c>
      <c r="D5" s="14">
        <f t="shared" si="2"/>
        <v>2</v>
      </c>
      <c r="E5" s="16" t="s">
        <v>22</v>
      </c>
      <c r="F5" s="2"/>
      <c r="G5" s="18">
        <f t="shared" si="3"/>
        <v>43</v>
      </c>
      <c r="H5" s="20"/>
      <c r="I5" s="2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2" t="s">
        <v>33</v>
      </c>
      <c r="C6" s="14">
        <f t="shared" si="1"/>
        <v>65</v>
      </c>
      <c r="D6" s="14">
        <f t="shared" si="2"/>
        <v>6</v>
      </c>
      <c r="E6" s="16" t="s">
        <v>22</v>
      </c>
      <c r="F6" s="2"/>
      <c r="G6" s="18">
        <f t="shared" si="3"/>
        <v>10.83333333</v>
      </c>
      <c r="H6" s="20"/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 t="s">
        <v>34</v>
      </c>
      <c r="C7" s="14">
        <f t="shared" si="1"/>
        <v>94</v>
      </c>
      <c r="D7" s="14">
        <f t="shared" si="2"/>
        <v>3</v>
      </c>
      <c r="E7" s="16" t="s">
        <v>22</v>
      </c>
      <c r="F7" s="2"/>
      <c r="G7" s="18">
        <f t="shared" si="3"/>
        <v>31.33333333</v>
      </c>
      <c r="H7" s="20"/>
      <c r="I7" s="2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 t="s">
        <v>35</v>
      </c>
      <c r="C8" s="14">
        <f t="shared" si="1"/>
        <v>91</v>
      </c>
      <c r="D8" s="14">
        <f t="shared" si="2"/>
        <v>7</v>
      </c>
      <c r="E8" s="16" t="s">
        <v>22</v>
      </c>
      <c r="F8" s="2"/>
      <c r="G8" s="18">
        <f t="shared" si="3"/>
        <v>13</v>
      </c>
      <c r="H8" s="20"/>
      <c r="I8" s="2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 t="s">
        <v>36</v>
      </c>
      <c r="C9" s="14">
        <f t="shared" si="1"/>
        <v>85</v>
      </c>
      <c r="D9" s="14">
        <f t="shared" si="2"/>
        <v>5</v>
      </c>
      <c r="E9" s="16" t="s">
        <v>22</v>
      </c>
      <c r="F9" s="2"/>
      <c r="G9" s="18">
        <f t="shared" si="3"/>
        <v>17</v>
      </c>
      <c r="H9" s="20"/>
      <c r="I9" s="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 t="s">
        <v>37</v>
      </c>
      <c r="C10" s="14">
        <f t="shared" si="1"/>
        <v>157</v>
      </c>
      <c r="D10" s="14">
        <f t="shared" si="2"/>
        <v>3</v>
      </c>
      <c r="E10" s="16" t="s">
        <v>22</v>
      </c>
      <c r="F10" s="2"/>
      <c r="G10" s="18">
        <f t="shared" si="3"/>
        <v>52.33333333</v>
      </c>
      <c r="H10" s="20"/>
      <c r="I10" s="2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 t="s">
        <v>38</v>
      </c>
      <c r="C11" s="14">
        <f t="shared" si="1"/>
        <v>95</v>
      </c>
      <c r="D11" s="14">
        <f t="shared" si="2"/>
        <v>6</v>
      </c>
      <c r="E11" s="16" t="s">
        <v>22</v>
      </c>
      <c r="F11" s="2"/>
      <c r="G11" s="18">
        <f t="shared" si="3"/>
        <v>15.83333333</v>
      </c>
      <c r="H11" s="20"/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 t="s">
        <v>39</v>
      </c>
      <c r="C12" s="14">
        <f t="shared" si="1"/>
        <v>129</v>
      </c>
      <c r="D12" s="14">
        <f t="shared" si="2"/>
        <v>8</v>
      </c>
      <c r="E12" s="16" t="s">
        <v>22</v>
      </c>
      <c r="F12" s="2"/>
      <c r="G12" s="18">
        <f t="shared" si="3"/>
        <v>16.125</v>
      </c>
      <c r="H12" s="20"/>
      <c r="I12" s="2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 t="s">
        <v>40</v>
      </c>
      <c r="C13" s="14">
        <f t="shared" si="1"/>
        <v>124</v>
      </c>
      <c r="D13" s="14">
        <f t="shared" si="2"/>
        <v>3</v>
      </c>
      <c r="E13" s="16" t="s">
        <v>41</v>
      </c>
      <c r="F13" s="2"/>
      <c r="G13" s="18">
        <f t="shared" si="3"/>
        <v>41.33333333</v>
      </c>
      <c r="H13" s="20">
        <f>AVERAGE(G13:G25)</f>
        <v>25.16452991</v>
      </c>
      <c r="I13" s="20">
        <f>STDEV(G13:G25)</f>
        <v>9.73562873</v>
      </c>
      <c r="J13" s="2" t="str">
        <f>IF(H13&lt;2*I13,"LOG","NORM")</f>
        <v>NORM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 t="s">
        <v>43</v>
      </c>
      <c r="C14" s="14">
        <f t="shared" si="1"/>
        <v>110</v>
      </c>
      <c r="D14" s="14">
        <f t="shared" si="2"/>
        <v>5</v>
      </c>
      <c r="E14" s="16" t="s">
        <v>41</v>
      </c>
      <c r="F14" s="2"/>
      <c r="G14" s="18">
        <f t="shared" si="3"/>
        <v>22</v>
      </c>
      <c r="H14" s="20"/>
      <c r="I14" s="2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 t="s">
        <v>45</v>
      </c>
      <c r="C15" s="14">
        <f t="shared" si="1"/>
        <v>68</v>
      </c>
      <c r="D15" s="14">
        <f t="shared" si="2"/>
        <v>6</v>
      </c>
      <c r="E15" s="16" t="s">
        <v>41</v>
      </c>
      <c r="F15" s="2"/>
      <c r="G15" s="18">
        <f t="shared" si="3"/>
        <v>11.33333333</v>
      </c>
      <c r="H15" s="20"/>
      <c r="I15" s="2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 t="s">
        <v>47</v>
      </c>
      <c r="C16" s="14">
        <f t="shared" si="1"/>
        <v>91</v>
      </c>
      <c r="D16" s="14">
        <f t="shared" si="2"/>
        <v>3</v>
      </c>
      <c r="E16" s="16" t="s">
        <v>41</v>
      </c>
      <c r="F16" s="2"/>
      <c r="G16" s="18">
        <f t="shared" si="3"/>
        <v>30.33333333</v>
      </c>
      <c r="H16" s="20"/>
      <c r="I16" s="2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 t="s">
        <v>48</v>
      </c>
      <c r="C17" s="14">
        <f t="shared" si="1"/>
        <v>97</v>
      </c>
      <c r="D17" s="14">
        <f t="shared" si="2"/>
        <v>3</v>
      </c>
      <c r="E17" s="16" t="s">
        <v>41</v>
      </c>
      <c r="F17" s="2"/>
      <c r="G17" s="18">
        <f t="shared" si="3"/>
        <v>32.33333333</v>
      </c>
      <c r="H17" s="20"/>
      <c r="I17" s="2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 t="s">
        <v>49</v>
      </c>
      <c r="C18" s="14">
        <f t="shared" si="1"/>
        <v>73</v>
      </c>
      <c r="D18" s="14">
        <f t="shared" si="2"/>
        <v>4</v>
      </c>
      <c r="E18" s="16" t="s">
        <v>41</v>
      </c>
      <c r="F18" s="2"/>
      <c r="G18" s="18">
        <f t="shared" si="3"/>
        <v>18.25</v>
      </c>
      <c r="H18" s="20"/>
      <c r="I18" s="2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 t="s">
        <v>51</v>
      </c>
      <c r="C19" s="14">
        <f t="shared" si="1"/>
        <v>86</v>
      </c>
      <c r="D19" s="14">
        <f t="shared" si="2"/>
        <v>3</v>
      </c>
      <c r="E19" s="16" t="s">
        <v>41</v>
      </c>
      <c r="F19" s="2"/>
      <c r="G19" s="18">
        <f t="shared" si="3"/>
        <v>28.66666667</v>
      </c>
      <c r="H19" s="20"/>
      <c r="I19" s="20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 t="s">
        <v>52</v>
      </c>
      <c r="C20" s="14">
        <f t="shared" si="1"/>
        <v>134</v>
      </c>
      <c r="D20" s="14">
        <f t="shared" si="2"/>
        <v>9</v>
      </c>
      <c r="E20" s="16" t="s">
        <v>41</v>
      </c>
      <c r="F20" s="2"/>
      <c r="G20" s="18">
        <f t="shared" si="3"/>
        <v>14.88888889</v>
      </c>
      <c r="H20" s="20"/>
      <c r="I20" s="2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 t="s">
        <v>55</v>
      </c>
      <c r="C21" s="14">
        <f t="shared" si="1"/>
        <v>102</v>
      </c>
      <c r="D21" s="14">
        <f t="shared" si="2"/>
        <v>4</v>
      </c>
      <c r="E21" s="16" t="s">
        <v>41</v>
      </c>
      <c r="F21" s="2"/>
      <c r="G21" s="18">
        <f t="shared" si="3"/>
        <v>25.5</v>
      </c>
      <c r="H21" s="20"/>
      <c r="I21" s="2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 t="s">
        <v>57</v>
      </c>
      <c r="C22" s="14">
        <f t="shared" si="1"/>
        <v>115</v>
      </c>
      <c r="D22" s="14">
        <f t="shared" si="2"/>
        <v>3</v>
      </c>
      <c r="E22" s="16" t="s">
        <v>41</v>
      </c>
      <c r="F22" s="2"/>
      <c r="G22" s="18">
        <f t="shared" si="3"/>
        <v>38.33333333</v>
      </c>
      <c r="H22" s="20"/>
      <c r="I22" s="2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 t="s">
        <v>59</v>
      </c>
      <c r="C23" s="14">
        <f t="shared" si="1"/>
        <v>48</v>
      </c>
      <c r="D23" s="14">
        <f t="shared" si="2"/>
        <v>4</v>
      </c>
      <c r="E23" s="16" t="s">
        <v>41</v>
      </c>
      <c r="F23" s="2"/>
      <c r="G23" s="18">
        <f t="shared" si="3"/>
        <v>12</v>
      </c>
      <c r="H23" s="20"/>
      <c r="I23" s="20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 t="s">
        <v>65</v>
      </c>
      <c r="C24" s="14">
        <f t="shared" si="1"/>
        <v>130</v>
      </c>
      <c r="D24" s="14">
        <f t="shared" si="2"/>
        <v>4</v>
      </c>
      <c r="E24" s="16" t="s">
        <v>41</v>
      </c>
      <c r="F24" s="2"/>
      <c r="G24" s="18">
        <f t="shared" si="3"/>
        <v>32.5</v>
      </c>
      <c r="H24" s="20"/>
      <c r="I24" s="2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 t="s">
        <v>68</v>
      </c>
      <c r="C25" s="14">
        <f t="shared" si="1"/>
        <v>118</v>
      </c>
      <c r="D25" s="14">
        <f t="shared" si="2"/>
        <v>6</v>
      </c>
      <c r="E25" s="16" t="s">
        <v>41</v>
      </c>
      <c r="F25" s="2"/>
      <c r="G25" s="18">
        <f t="shared" si="3"/>
        <v>19.66666667</v>
      </c>
      <c r="H25" s="20"/>
      <c r="I25" s="2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 t="s">
        <v>70</v>
      </c>
      <c r="C26" s="14">
        <f t="shared" si="1"/>
        <v>94</v>
      </c>
      <c r="D26" s="14">
        <f t="shared" si="2"/>
        <v>4</v>
      </c>
      <c r="E26" s="16" t="s">
        <v>71</v>
      </c>
      <c r="F26" s="2"/>
      <c r="G26" s="18">
        <f t="shared" si="3"/>
        <v>23.5</v>
      </c>
      <c r="H26" s="20">
        <f>AVERAGE(G26:G35)</f>
        <v>30.7147619</v>
      </c>
      <c r="I26" s="20">
        <f>STDEV(G26:G35)</f>
        <v>34.18020816</v>
      </c>
      <c r="J26" s="2" t="str">
        <f>IF(H26&lt;2*I26,"LOG","NORM")</f>
        <v>LOG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 t="s">
        <v>74</v>
      </c>
      <c r="C27" s="14">
        <f t="shared" si="1"/>
        <v>52</v>
      </c>
      <c r="D27" s="14">
        <f t="shared" si="2"/>
        <v>6</v>
      </c>
      <c r="E27" s="16" t="s">
        <v>71</v>
      </c>
      <c r="F27" s="2"/>
      <c r="G27" s="18">
        <f t="shared" si="3"/>
        <v>8.666666667</v>
      </c>
      <c r="H27" s="20"/>
      <c r="I27" s="2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 t="s">
        <v>76</v>
      </c>
      <c r="C28" s="14">
        <f t="shared" si="1"/>
        <v>66</v>
      </c>
      <c r="D28" s="14">
        <f t="shared" si="2"/>
        <v>1</v>
      </c>
      <c r="E28" s="16" t="s">
        <v>71</v>
      </c>
      <c r="F28" s="2"/>
      <c r="G28" s="18">
        <f t="shared" si="3"/>
        <v>66</v>
      </c>
      <c r="H28" s="20"/>
      <c r="I28" s="20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 t="s">
        <v>78</v>
      </c>
      <c r="C29" s="14">
        <f t="shared" si="1"/>
        <v>78</v>
      </c>
      <c r="D29" s="14">
        <f t="shared" si="2"/>
        <v>5</v>
      </c>
      <c r="E29" s="16" t="s">
        <v>71</v>
      </c>
      <c r="F29" s="2"/>
      <c r="G29" s="18">
        <f t="shared" si="3"/>
        <v>15.6</v>
      </c>
      <c r="H29" s="20"/>
      <c r="I29" s="2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 t="s">
        <v>80</v>
      </c>
      <c r="C30" s="14">
        <f t="shared" si="1"/>
        <v>77</v>
      </c>
      <c r="D30" s="14">
        <f t="shared" si="2"/>
        <v>4</v>
      </c>
      <c r="E30" s="16" t="s">
        <v>71</v>
      </c>
      <c r="F30" s="2"/>
      <c r="G30" s="18">
        <f t="shared" si="3"/>
        <v>19.25</v>
      </c>
      <c r="H30" s="20"/>
      <c r="I30" s="2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 t="s">
        <v>81</v>
      </c>
      <c r="C31" s="14">
        <f t="shared" si="1"/>
        <v>116</v>
      </c>
      <c r="D31" s="14">
        <f t="shared" si="2"/>
        <v>1</v>
      </c>
      <c r="E31" s="16" t="s">
        <v>71</v>
      </c>
      <c r="F31" s="2"/>
      <c r="G31" s="18">
        <f t="shared" si="3"/>
        <v>116</v>
      </c>
      <c r="H31" s="20"/>
      <c r="I31" s="2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 t="s">
        <v>82</v>
      </c>
      <c r="C32" s="14">
        <f t="shared" si="1"/>
        <v>78</v>
      </c>
      <c r="D32" s="14">
        <f t="shared" si="2"/>
        <v>8</v>
      </c>
      <c r="E32" s="16" t="s">
        <v>71</v>
      </c>
      <c r="F32" s="2"/>
      <c r="G32" s="18">
        <f t="shared" si="3"/>
        <v>9.75</v>
      </c>
      <c r="H32" s="20"/>
      <c r="I32" s="2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 t="s">
        <v>84</v>
      </c>
      <c r="C33" s="14">
        <f t="shared" si="1"/>
        <v>114</v>
      </c>
      <c r="D33" s="14">
        <f t="shared" si="2"/>
        <v>9</v>
      </c>
      <c r="E33" s="16" t="s">
        <v>71</v>
      </c>
      <c r="F33" s="2"/>
      <c r="G33" s="18">
        <f t="shared" si="3"/>
        <v>12.66666667</v>
      </c>
      <c r="H33" s="20"/>
      <c r="I33" s="2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 t="s">
        <v>87</v>
      </c>
      <c r="C34" s="14">
        <f t="shared" si="1"/>
        <v>132</v>
      </c>
      <c r="D34" s="14">
        <f t="shared" si="2"/>
        <v>7</v>
      </c>
      <c r="E34" s="16" t="s">
        <v>71</v>
      </c>
      <c r="F34" s="2"/>
      <c r="G34" s="18">
        <f t="shared" si="3"/>
        <v>18.85714286</v>
      </c>
      <c r="H34" s="20"/>
      <c r="I34" s="20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 t="s">
        <v>89</v>
      </c>
      <c r="C35" s="14">
        <f t="shared" si="1"/>
        <v>118</v>
      </c>
      <c r="D35" s="14">
        <f t="shared" si="2"/>
        <v>7</v>
      </c>
      <c r="E35" s="16" t="s">
        <v>71</v>
      </c>
      <c r="F35" s="2"/>
      <c r="G35" s="18">
        <f t="shared" si="3"/>
        <v>16.85714286</v>
      </c>
      <c r="H35" s="20"/>
      <c r="I35" s="2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14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41.25" customHeight="1">
      <c r="A37" s="30" t="s">
        <v>92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2"/>
      <c r="B38" s="9" t="s">
        <v>6</v>
      </c>
      <c r="C38" s="9" t="s">
        <v>96</v>
      </c>
      <c r="D38" s="9" t="s">
        <v>98</v>
      </c>
      <c r="E38" s="9" t="s">
        <v>100</v>
      </c>
      <c r="F38" s="9" t="s">
        <v>101</v>
      </c>
      <c r="G38" s="2"/>
      <c r="H38" s="32" t="s">
        <v>102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 t="s">
        <v>103</v>
      </c>
      <c r="C39" s="14">
        <f t="shared" ref="C39:C58" si="4">TRUNC(ABS(NORMINV(RAND(),300,100))+10)</f>
        <v>512</v>
      </c>
      <c r="D39" s="14">
        <f t="shared" ref="D39:D58" si="5">TRUNC(NORMINV(RAND(),1,0.25)*C39)</f>
        <v>723</v>
      </c>
      <c r="E39" s="14">
        <f t="shared" ref="E39:E58" si="6">TRUNC(ABS(C39/NORMINV(RAND(),25,1))+1)*60</f>
        <v>1200</v>
      </c>
      <c r="F39" s="14">
        <f t="shared" ref="F39:F58" si="7">TRUNC(ABS(D39/NORMINV(RAND(),25,3))+1)*60</f>
        <v>1800</v>
      </c>
      <c r="G39" s="2"/>
      <c r="H39" s="2" t="s">
        <v>105</v>
      </c>
      <c r="I39" s="2">
        <f>CORREL(C39:C58,D39:D58)</f>
        <v>0.8049775687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 t="s">
        <v>106</v>
      </c>
      <c r="C40" s="14">
        <f t="shared" si="4"/>
        <v>255</v>
      </c>
      <c r="D40" s="14">
        <f t="shared" si="5"/>
        <v>200</v>
      </c>
      <c r="E40" s="14">
        <f t="shared" si="6"/>
        <v>660</v>
      </c>
      <c r="F40" s="14">
        <f t="shared" si="7"/>
        <v>540</v>
      </c>
      <c r="G40" s="2"/>
      <c r="H40" s="2" t="s">
        <v>107</v>
      </c>
      <c r="I40" s="2">
        <f>I39^2</f>
        <v>0.6479888861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 t="s">
        <v>109</v>
      </c>
      <c r="C41" s="14">
        <f t="shared" si="4"/>
        <v>304</v>
      </c>
      <c r="D41" s="14">
        <f t="shared" si="5"/>
        <v>292</v>
      </c>
      <c r="E41" s="14">
        <f t="shared" si="6"/>
        <v>720</v>
      </c>
      <c r="F41" s="14">
        <f t="shared" si="7"/>
        <v>720</v>
      </c>
      <c r="G41" s="2"/>
      <c r="H41" s="2" t="s">
        <v>110</v>
      </c>
      <c r="I41" s="2">
        <f>TDIST(ABS(I39)*SQRT(COUNTA(B39:B58)-2)/SQRT(1-I40),12,2)</f>
        <v>0.00009073546882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 t="s">
        <v>111</v>
      </c>
      <c r="C42" s="14">
        <f t="shared" si="4"/>
        <v>157</v>
      </c>
      <c r="D42" s="14">
        <f t="shared" si="5"/>
        <v>246</v>
      </c>
      <c r="E42" s="14">
        <f t="shared" si="6"/>
        <v>420</v>
      </c>
      <c r="F42" s="14">
        <f t="shared" si="7"/>
        <v>540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 t="s">
        <v>113</v>
      </c>
      <c r="C43" s="14">
        <f t="shared" si="4"/>
        <v>412</v>
      </c>
      <c r="D43" s="14">
        <f t="shared" si="5"/>
        <v>489</v>
      </c>
      <c r="E43" s="14">
        <f t="shared" si="6"/>
        <v>1020</v>
      </c>
      <c r="F43" s="14">
        <f t="shared" si="7"/>
        <v>1140</v>
      </c>
      <c r="G43" s="2"/>
      <c r="H43" s="43" t="s">
        <v>115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 t="s">
        <v>116</v>
      </c>
      <c r="C44" s="14">
        <f t="shared" si="4"/>
        <v>315</v>
      </c>
      <c r="D44" s="14">
        <f t="shared" si="5"/>
        <v>386</v>
      </c>
      <c r="E44" s="14">
        <f t="shared" si="6"/>
        <v>780</v>
      </c>
      <c r="F44" s="14">
        <f t="shared" si="7"/>
        <v>1020</v>
      </c>
      <c r="G44" s="2"/>
      <c r="H44" s="2" t="s">
        <v>105</v>
      </c>
      <c r="I44" s="2">
        <f>CORREL(C39:C58,F39:F58)</f>
        <v>0.8038525209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 t="s">
        <v>119</v>
      </c>
      <c r="C45" s="14">
        <f t="shared" si="4"/>
        <v>110</v>
      </c>
      <c r="D45" s="14">
        <f t="shared" si="5"/>
        <v>67</v>
      </c>
      <c r="E45" s="14">
        <f t="shared" si="6"/>
        <v>300</v>
      </c>
      <c r="F45" s="14">
        <f t="shared" si="7"/>
        <v>180</v>
      </c>
      <c r="G45" s="2"/>
      <c r="H45" s="2" t="s">
        <v>107</v>
      </c>
      <c r="I45" s="2">
        <f>I44^2</f>
        <v>0.6461788754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 t="s">
        <v>120</v>
      </c>
      <c r="C46" s="14">
        <f t="shared" si="4"/>
        <v>333</v>
      </c>
      <c r="D46" s="14">
        <f t="shared" si="5"/>
        <v>258</v>
      </c>
      <c r="E46" s="14">
        <f t="shared" si="6"/>
        <v>840</v>
      </c>
      <c r="F46" s="14">
        <f t="shared" si="7"/>
        <v>780</v>
      </c>
      <c r="G46" s="2"/>
      <c r="H46" s="2" t="s">
        <v>110</v>
      </c>
      <c r="I46" s="2">
        <f>TDIST(ABS(I39)*SQRT(COUNTA(B39:B58)-2)/SQRT(1-I45),12,2)</f>
        <v>0.00009285942355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 t="s">
        <v>123</v>
      </c>
      <c r="C47" s="14">
        <f t="shared" si="4"/>
        <v>428</v>
      </c>
      <c r="D47" s="14">
        <f t="shared" si="5"/>
        <v>466</v>
      </c>
      <c r="E47" s="14">
        <f t="shared" si="6"/>
        <v>1080</v>
      </c>
      <c r="F47" s="14">
        <f t="shared" si="7"/>
        <v>1200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 t="s">
        <v>125</v>
      </c>
      <c r="C48" s="14">
        <f t="shared" si="4"/>
        <v>429</v>
      </c>
      <c r="D48" s="14">
        <f t="shared" si="5"/>
        <v>178</v>
      </c>
      <c r="E48" s="14">
        <f t="shared" si="6"/>
        <v>1080</v>
      </c>
      <c r="F48" s="14">
        <f t="shared" si="7"/>
        <v>540</v>
      </c>
      <c r="G48" s="2"/>
      <c r="H48" s="43" t="s">
        <v>126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 t="s">
        <v>128</v>
      </c>
      <c r="C49" s="14">
        <f t="shared" si="4"/>
        <v>324</v>
      </c>
      <c r="D49" s="14">
        <f t="shared" si="5"/>
        <v>390</v>
      </c>
      <c r="E49" s="14">
        <f t="shared" si="6"/>
        <v>780</v>
      </c>
      <c r="F49" s="14">
        <f t="shared" si="7"/>
        <v>1020</v>
      </c>
      <c r="G49" s="2"/>
      <c r="H49" s="2" t="s">
        <v>105</v>
      </c>
      <c r="I49" s="2">
        <f>CORREL(D39:D58,F39:F58)</f>
        <v>0.9747125039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 t="s">
        <v>129</v>
      </c>
      <c r="C50" s="14">
        <f t="shared" si="4"/>
        <v>236</v>
      </c>
      <c r="D50" s="14">
        <f t="shared" si="5"/>
        <v>280</v>
      </c>
      <c r="E50" s="14">
        <f t="shared" si="6"/>
        <v>600</v>
      </c>
      <c r="F50" s="14">
        <f t="shared" si="7"/>
        <v>780</v>
      </c>
      <c r="G50" s="2"/>
      <c r="H50" s="2" t="s">
        <v>107</v>
      </c>
      <c r="I50" s="2">
        <f>I49^2</f>
        <v>0.9500644653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 t="s">
        <v>131</v>
      </c>
      <c r="C51" s="14">
        <f t="shared" si="4"/>
        <v>435</v>
      </c>
      <c r="D51" s="14">
        <f t="shared" si="5"/>
        <v>432</v>
      </c>
      <c r="E51" s="14">
        <f t="shared" si="6"/>
        <v>1080</v>
      </c>
      <c r="F51" s="14">
        <f t="shared" si="7"/>
        <v>1020</v>
      </c>
      <c r="G51" s="2"/>
      <c r="H51" s="2" t="s">
        <v>110</v>
      </c>
      <c r="I51" s="2">
        <f>TDIST(ABS(I49)*SQRT(COUNTA(B39:B58)-2)/SQRT(1-I50),12,2)</f>
        <v>0.0000000003446343211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 t="s">
        <v>133</v>
      </c>
      <c r="C52" s="14">
        <f t="shared" si="4"/>
        <v>277</v>
      </c>
      <c r="D52" s="14">
        <f t="shared" si="5"/>
        <v>339</v>
      </c>
      <c r="E52" s="14">
        <f t="shared" si="6"/>
        <v>660</v>
      </c>
      <c r="F52" s="14">
        <f t="shared" si="7"/>
        <v>1020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 t="s">
        <v>135</v>
      </c>
      <c r="C53" s="14">
        <f t="shared" si="4"/>
        <v>259</v>
      </c>
      <c r="D53" s="14">
        <f t="shared" si="5"/>
        <v>179</v>
      </c>
      <c r="E53" s="14">
        <f t="shared" si="6"/>
        <v>660</v>
      </c>
      <c r="F53" s="14">
        <f t="shared" si="7"/>
        <v>480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 t="s">
        <v>137</v>
      </c>
      <c r="C54" s="14">
        <f t="shared" si="4"/>
        <v>332</v>
      </c>
      <c r="D54" s="14">
        <f t="shared" si="5"/>
        <v>302</v>
      </c>
      <c r="E54" s="14">
        <f t="shared" si="6"/>
        <v>840</v>
      </c>
      <c r="F54" s="14">
        <f t="shared" si="7"/>
        <v>840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 t="s">
        <v>139</v>
      </c>
      <c r="C55" s="14">
        <f t="shared" si="4"/>
        <v>308</v>
      </c>
      <c r="D55" s="14">
        <f t="shared" si="5"/>
        <v>306</v>
      </c>
      <c r="E55" s="14">
        <f t="shared" si="6"/>
        <v>720</v>
      </c>
      <c r="F55" s="14">
        <f t="shared" si="7"/>
        <v>1020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 t="s">
        <v>140</v>
      </c>
      <c r="C56" s="14">
        <f t="shared" si="4"/>
        <v>298</v>
      </c>
      <c r="D56" s="14">
        <f t="shared" si="5"/>
        <v>232</v>
      </c>
      <c r="E56" s="14">
        <f t="shared" si="6"/>
        <v>780</v>
      </c>
      <c r="F56" s="14">
        <f t="shared" si="7"/>
        <v>540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 t="s">
        <v>141</v>
      </c>
      <c r="C57" s="14">
        <f t="shared" si="4"/>
        <v>386</v>
      </c>
      <c r="D57" s="14">
        <f t="shared" si="5"/>
        <v>459</v>
      </c>
      <c r="E57" s="14">
        <f t="shared" si="6"/>
        <v>960</v>
      </c>
      <c r="F57" s="14">
        <f t="shared" si="7"/>
        <v>1320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 t="s">
        <v>142</v>
      </c>
      <c r="C58" s="14">
        <f t="shared" si="4"/>
        <v>94</v>
      </c>
      <c r="D58" s="14">
        <f t="shared" si="5"/>
        <v>62</v>
      </c>
      <c r="E58" s="14">
        <f t="shared" si="6"/>
        <v>240</v>
      </c>
      <c r="F58" s="14">
        <f t="shared" si="7"/>
        <v>180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14"/>
      <c r="D59" s="14"/>
      <c r="E59" s="14"/>
      <c r="F59" s="1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41.25" customHeight="1">
      <c r="A60" s="4" t="s">
        <v>143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2"/>
      <c r="B61" s="2"/>
      <c r="C61" s="52" t="s">
        <v>144</v>
      </c>
      <c r="D61" s="9" t="s">
        <v>145</v>
      </c>
      <c r="E61" s="9" t="s">
        <v>146</v>
      </c>
      <c r="F61" s="9" t="s">
        <v>147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 t="s">
        <v>148</v>
      </c>
      <c r="D62" s="54">
        <f>MAX(TRUNC(ABS(NORMINV(RAND(),15,3))),1)/100</f>
        <v>0.1</v>
      </c>
      <c r="E62" s="54">
        <f t="shared" ref="E62:F62" si="8">MAX(TRUNC(ABS(NORMINV(RAND(),0,0.01))),0)/100</f>
        <v>0</v>
      </c>
      <c r="F62" s="54">
        <f t="shared" si="8"/>
        <v>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 t="s">
        <v>151</v>
      </c>
      <c r="D63" s="54">
        <f>MAX(TRUNC(ABS(NORMINV(RAND(),20,3))),1)/100</f>
        <v>0.18</v>
      </c>
      <c r="E63" s="54">
        <f>MAX(TRUNC(ABS(NORMINV(RAND(),5,3))),1)/100</f>
        <v>0.01</v>
      </c>
      <c r="F63" s="54">
        <f>MAX(TRUNC(ABS(NORMINV(RAND(),1,3))),1)/100</f>
        <v>0.01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 t="s">
        <v>155</v>
      </c>
      <c r="D64" s="54">
        <f>MAX(TRUNC(ABS(NORMINV(RAND(),5,3))),1)/100</f>
        <v>0.01</v>
      </c>
      <c r="E64" s="54">
        <f>E68-(SUM(E62:E63)+SUM(E65:E67))</f>
        <v>0.76</v>
      </c>
      <c r="F64" s="54">
        <f>MAX(TRUNC(ABS(NORMINV(RAND(),5,3))),1)/100</f>
        <v>0.05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 t="s">
        <v>157</v>
      </c>
      <c r="D65" s="54">
        <f t="shared" ref="D65:E65" si="9">MAX(TRUNC(ABS(NORMINV(RAND(),3,3))),1)/100</f>
        <v>0.01</v>
      </c>
      <c r="E65" s="54">
        <f t="shared" si="9"/>
        <v>0.06</v>
      </c>
      <c r="F65" s="54">
        <f>MAX(TRUNC(ABS(NORMINV(RAND(),30,3))),1)/100</f>
        <v>0.28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 t="s">
        <v>161</v>
      </c>
      <c r="D66" s="54">
        <f>D68-(SUM(D62:D65)+SUM(D67))</f>
        <v>0.69</v>
      </c>
      <c r="E66" s="54">
        <f>MAX(TRUNC(ABS(NORMINV(RAND(),20,3))),1)/100</f>
        <v>0.17</v>
      </c>
      <c r="F66" s="54">
        <f>F68-(SUM(F62:F65)+SUM(F67))</f>
        <v>0.66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 t="s">
        <v>164</v>
      </c>
      <c r="D67" s="54">
        <f>MAX(TRUNC(ABS(NORMINV(RAND(),3,3))),1)/100</f>
        <v>0.01</v>
      </c>
      <c r="E67" s="54">
        <f t="shared" ref="E67:F67" si="10">MAX(TRUNC(ABS(NORMINV(RAND(),0,0.01))),0)/100</f>
        <v>0</v>
      </c>
      <c r="F67" s="54">
        <f t="shared" si="10"/>
        <v>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 t="s">
        <v>168</v>
      </c>
      <c r="D68" s="54">
        <v>1.0</v>
      </c>
      <c r="E68" s="54">
        <v>1.0</v>
      </c>
      <c r="F68" s="54">
        <v>1.0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54"/>
      <c r="E69" s="54"/>
      <c r="F69" s="5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14.75" customHeight="1">
      <c r="A70" s="4" t="s">
        <v>172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2"/>
      <c r="B71" s="2" t="s">
        <v>174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 t="s">
        <v>175</v>
      </c>
      <c r="D72" s="2"/>
      <c r="E72" s="14">
        <f>D46</f>
        <v>258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 t="s">
        <v>178</v>
      </c>
      <c r="D73" s="2"/>
      <c r="E73" s="14">
        <f>TRUNC(E72/25)</f>
        <v>10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 t="s">
        <v>186</v>
      </c>
      <c r="D74" s="2"/>
      <c r="E74" s="14">
        <f>TRUNC(E72/25)</f>
        <v>10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 t="s">
        <v>190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70" t="s">
        <v>192</v>
      </c>
      <c r="D77" s="70" t="s">
        <v>11</v>
      </c>
      <c r="E77" s="70" t="s">
        <v>10</v>
      </c>
      <c r="F77" s="70" t="s">
        <v>195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 t="s">
        <v>196</v>
      </c>
      <c r="D78" s="2" t="str">
        <f t="shared" ref="D78:D79" si="11">VLOOKUP((ROUNDUP(RAND()*3,0)),$A$92:$B$94,2)</f>
        <v>Calculation</v>
      </c>
      <c r="E78" s="14">
        <f t="shared" ref="E78:E79" si="12">TRUNC(ABS(NORMINV(RAND(),4,3))+1)</f>
        <v>2</v>
      </c>
      <c r="F78" s="16" t="str">
        <f t="shared" ref="F78:F79" si="13">VLOOKUP((ROUNDUP(RAND()*5,0)),$A$96:$B$100,2)</f>
        <v>S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 t="s">
        <v>199</v>
      </c>
      <c r="D79" s="2" t="str">
        <f t="shared" si="11"/>
        <v>Data</v>
      </c>
      <c r="E79" s="14">
        <f t="shared" si="12"/>
        <v>7</v>
      </c>
      <c r="F79" s="16" t="str">
        <f t="shared" si="13"/>
        <v>M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16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 t="s">
        <v>204</v>
      </c>
      <c r="C81" s="2"/>
      <c r="D81" s="2"/>
      <c r="E81" s="2"/>
      <c r="F81" s="16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70" t="s">
        <v>206</v>
      </c>
      <c r="D82" s="70" t="s">
        <v>11</v>
      </c>
      <c r="E82" s="70" t="s">
        <v>10</v>
      </c>
      <c r="F82" s="70" t="s">
        <v>195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 t="s">
        <v>208</v>
      </c>
      <c r="D83" s="2" t="str">
        <f t="shared" ref="D83:D88" si="14">VLOOKUP((ROUNDUP(RAND()*3,0)),$A$92:$B$94,2)</f>
        <v>Data</v>
      </c>
      <c r="E83" s="14">
        <f t="shared" ref="E83:E88" si="15">TRUNC(ABS(NORMINV(RAND(),4,3))+1)</f>
        <v>6</v>
      </c>
      <c r="F83" s="16" t="str">
        <f t="shared" ref="F83:F88" si="16">VLOOKUP((ROUNDUP(RAND()*5,0)),$A$96:$B$100,2)</f>
        <v>VS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 t="s">
        <v>211</v>
      </c>
      <c r="D84" s="2" t="str">
        <f t="shared" si="14"/>
        <v>Data</v>
      </c>
      <c r="E84" s="14">
        <f t="shared" si="15"/>
        <v>3</v>
      </c>
      <c r="F84" s="16" t="str">
        <f t="shared" si="16"/>
        <v>S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 t="s">
        <v>215</v>
      </c>
      <c r="D85" s="2" t="str">
        <f t="shared" si="14"/>
        <v>Data</v>
      </c>
      <c r="E85" s="14">
        <f t="shared" si="15"/>
        <v>1</v>
      </c>
      <c r="F85" s="16" t="str">
        <f t="shared" si="16"/>
        <v>L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 t="s">
        <v>219</v>
      </c>
      <c r="D86" s="2" t="str">
        <f t="shared" si="14"/>
        <v>IO</v>
      </c>
      <c r="E86" s="14">
        <f t="shared" si="15"/>
        <v>5</v>
      </c>
      <c r="F86" s="16" t="str">
        <f t="shared" si="16"/>
        <v>VS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 t="s">
        <v>222</v>
      </c>
      <c r="D87" s="2" t="str">
        <f t="shared" si="14"/>
        <v>Data</v>
      </c>
      <c r="E87" s="14">
        <f t="shared" si="15"/>
        <v>8</v>
      </c>
      <c r="F87" s="16" t="str">
        <f t="shared" si="16"/>
        <v>VS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 t="s">
        <v>225</v>
      </c>
      <c r="D88" s="2" t="str">
        <f t="shared" si="14"/>
        <v>IO</v>
      </c>
      <c r="E88" s="14">
        <f t="shared" si="15"/>
        <v>1</v>
      </c>
      <c r="F88" s="16" t="str">
        <f t="shared" si="16"/>
        <v>L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14"/>
      <c r="F89" s="16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7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 t="s">
        <v>232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>
        <v>1.0</v>
      </c>
      <c r="B92" s="2" t="s">
        <v>22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>
        <v>2.0</v>
      </c>
      <c r="B93" s="2" t="s">
        <v>200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>
        <v>3.0</v>
      </c>
      <c r="B94" s="2" t="s">
        <v>41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>
        <v>1.0</v>
      </c>
      <c r="B96" s="2" t="s">
        <v>244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>
        <v>2.0</v>
      </c>
      <c r="B97" s="2" t="s">
        <v>245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>
        <v>3.0</v>
      </c>
      <c r="B98" s="2" t="s">
        <v>249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>
        <v>4.0</v>
      </c>
      <c r="B99" s="2" t="s">
        <v>252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>
        <v>5.0</v>
      </c>
      <c r="B100" s="2" t="s">
        <v>256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 t="s">
        <v>260</v>
      </c>
      <c r="B103" s="2" t="b">
        <f>NOT(AND(C103=D103,E103=C103))</f>
        <v>1</v>
      </c>
      <c r="C103" s="2" t="str">
        <f>J3</f>
        <v>LOG</v>
      </c>
      <c r="D103" s="2" t="str">
        <f>J13</f>
        <v>NORM</v>
      </c>
      <c r="E103" s="2" t="str">
        <f>J26</f>
        <v>LOG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 t="s">
        <v>268</v>
      </c>
      <c r="B104" s="2" t="b">
        <f>AND(AND(C104&gt;0.5,D104&lt;0.2),OR(E104&lt;0.5,F104&gt;0.2),AND(G104&gt;0.5,H104&lt;0.2))</f>
        <v>0</v>
      </c>
      <c r="C104" s="2">
        <f>I40</f>
        <v>0.6479888861</v>
      </c>
      <c r="D104" s="2">
        <f>I41</f>
        <v>0.00009073546882</v>
      </c>
      <c r="E104" s="2">
        <f>I45</f>
        <v>0.6461788754</v>
      </c>
      <c r="F104" s="2">
        <f>I46</f>
        <v>0.00009285942355</v>
      </c>
      <c r="G104" s="2">
        <f>I50</f>
        <v>0.9500644653</v>
      </c>
      <c r="H104" s="2">
        <f>I51</f>
        <v>0.0000000003446343211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1:F1"/>
    <mergeCell ref="A37:F37"/>
    <mergeCell ref="A60:F60"/>
    <mergeCell ref="A70:F70"/>
  </mergeCells>
  <conditionalFormatting sqref="I3">
    <cfRule type="expression" dxfId="0" priority="1">
      <formula>"&gt;$H$3+2*$I$3"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71"/>
    <col customWidth="1" min="2" max="2" width="15.14"/>
    <col customWidth="1" min="3" max="5" width="12.71"/>
    <col customWidth="1" min="6" max="6" width="14.14"/>
    <col customWidth="1" min="7" max="7" width="21.29"/>
    <col customWidth="1" min="8" max="8" width="12.71"/>
    <col customWidth="1" min="9" max="9" width="14.71"/>
    <col customWidth="1" min="10" max="10" width="9.14"/>
    <col customWidth="1" min="11" max="11" width="15.0"/>
    <col customWidth="1" min="12" max="12" width="29.29"/>
    <col customWidth="1" min="13" max="13" width="11.86"/>
    <col customWidth="1" min="14" max="14" width="14.86"/>
    <col customWidth="1" min="15" max="15" width="8.0"/>
    <col customWidth="1" min="16" max="16" width="13.14"/>
    <col customWidth="1" min="17" max="17" width="12.0"/>
    <col customWidth="1" min="18" max="18" width="10.14"/>
    <col customWidth="1" min="19" max="19" width="10.71"/>
    <col customWidth="1" min="20" max="20" width="11.71"/>
    <col customWidth="1" min="21" max="22" width="8.0"/>
    <col customWidth="1" min="23" max="23" width="13.14"/>
    <col customWidth="1" min="24" max="26" width="8.0"/>
  </cols>
  <sheetData>
    <row r="1" ht="15.75" customHeight="1">
      <c r="A1" s="96" t="s">
        <v>424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86"/>
      <c r="B2" s="87"/>
      <c r="C2" s="87"/>
      <c r="D2" s="87"/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82"/>
      <c r="B3" s="86" t="s">
        <v>6</v>
      </c>
      <c r="C3" s="87" t="s">
        <v>359</v>
      </c>
      <c r="D3" s="87" t="s">
        <v>360</v>
      </c>
      <c r="E3" s="87" t="s">
        <v>361</v>
      </c>
      <c r="F3" s="88" t="s">
        <v>362</v>
      </c>
      <c r="G3" s="147" t="s">
        <v>425</v>
      </c>
      <c r="H3" s="136" t="s">
        <v>170</v>
      </c>
      <c r="I3" s="136" t="s">
        <v>105</v>
      </c>
      <c r="J3" s="136" t="s">
        <v>416</v>
      </c>
      <c r="K3" s="148" t="s">
        <v>415</v>
      </c>
      <c r="L3" s="148" t="s">
        <v>417</v>
      </c>
      <c r="M3" s="136" t="s">
        <v>411</v>
      </c>
      <c r="N3" s="136" t="s">
        <v>412</v>
      </c>
      <c r="O3" s="136" t="s">
        <v>414</v>
      </c>
      <c r="P3" s="136" t="s">
        <v>426</v>
      </c>
      <c r="Q3" s="119" t="s">
        <v>413</v>
      </c>
      <c r="R3" s="119" t="s">
        <v>427</v>
      </c>
      <c r="S3" s="119" t="s">
        <v>428</v>
      </c>
      <c r="T3" s="2"/>
      <c r="U3" s="2"/>
      <c r="V3" s="2"/>
      <c r="W3" s="136" t="s">
        <v>418</v>
      </c>
      <c r="X3" s="136" t="s">
        <v>419</v>
      </c>
      <c r="Y3" s="136" t="s">
        <v>420</v>
      </c>
      <c r="Z3" s="2"/>
    </row>
    <row r="4" ht="12.75" customHeight="1">
      <c r="A4" s="14"/>
      <c r="B4" s="79" t="s">
        <v>103</v>
      </c>
      <c r="C4" s="79">
        <v>124.0</v>
      </c>
      <c r="D4" s="79">
        <v>98.0</v>
      </c>
      <c r="E4" s="79">
        <v>360.0</v>
      </c>
      <c r="F4" s="79">
        <v>300.0</v>
      </c>
      <c r="G4" s="149">
        <f>M13*C4+N13</f>
        <v>444.3252379</v>
      </c>
      <c r="H4" s="2"/>
      <c r="I4" s="2"/>
      <c r="J4" s="2"/>
      <c r="K4" s="2"/>
      <c r="L4" s="2"/>
      <c r="M4" s="2"/>
      <c r="N4" s="2"/>
      <c r="O4" s="2"/>
      <c r="P4" s="2"/>
      <c r="Q4" s="79">
        <f t="shared" ref="Q4:Q23" si="1">F4-G4</f>
        <v>-144.3252379</v>
      </c>
      <c r="R4" s="79">
        <f t="shared" ref="R4:R23" si="2">pow(Q4,2)</f>
        <v>20829.77429</v>
      </c>
      <c r="S4" s="79">
        <f>G4-G25</f>
        <v>-337.6161817</v>
      </c>
      <c r="T4" s="2">
        <f t="shared" ref="T4:T23" si="3">pow(S4,2)</f>
        <v>113984.6861</v>
      </c>
      <c r="U4" s="2"/>
      <c r="V4" s="2"/>
      <c r="W4" s="2"/>
      <c r="X4" s="2"/>
      <c r="Y4" s="2"/>
      <c r="Z4" s="2"/>
    </row>
    <row r="5" ht="12.75" customHeight="1">
      <c r="A5" s="14"/>
      <c r="B5" s="79" t="s">
        <v>106</v>
      </c>
      <c r="C5" s="79">
        <v>360.0</v>
      </c>
      <c r="D5" s="79">
        <v>284.0</v>
      </c>
      <c r="E5" s="79">
        <v>900.0</v>
      </c>
      <c r="F5" s="79">
        <v>720.0</v>
      </c>
      <c r="G5" s="150">
        <f>M13*C5+N13</f>
        <v>899.2348518</v>
      </c>
      <c r="H5" s="2"/>
      <c r="I5" s="2"/>
      <c r="J5" s="2"/>
      <c r="K5" s="2"/>
      <c r="L5" s="2"/>
      <c r="M5" s="2"/>
      <c r="N5" s="2"/>
      <c r="O5" s="2"/>
      <c r="P5" s="2"/>
      <c r="Q5" s="79">
        <f t="shared" si="1"/>
        <v>-179.2348518</v>
      </c>
      <c r="R5" s="79">
        <f t="shared" si="2"/>
        <v>32125.1321</v>
      </c>
      <c r="S5" s="79">
        <f>G5-G25</f>
        <v>117.2934322</v>
      </c>
      <c r="T5" s="2">
        <f t="shared" si="3"/>
        <v>13757.74924</v>
      </c>
      <c r="U5" s="2"/>
      <c r="V5" s="2"/>
      <c r="W5" s="2"/>
      <c r="X5" s="2"/>
      <c r="Y5" s="2"/>
      <c r="Z5" s="2"/>
    </row>
    <row r="6" ht="12.75" customHeight="1">
      <c r="A6" s="14"/>
      <c r="B6" s="79" t="s">
        <v>109</v>
      </c>
      <c r="C6" s="79">
        <v>229.0</v>
      </c>
      <c r="D6" s="79">
        <v>292.0</v>
      </c>
      <c r="E6" s="79">
        <v>540.0</v>
      </c>
      <c r="F6" s="79">
        <v>720.0</v>
      </c>
      <c r="G6" s="150">
        <f>M13*C6+N13</f>
        <v>646.7214644</v>
      </c>
      <c r="H6" s="2"/>
      <c r="I6" s="2"/>
      <c r="J6" s="2"/>
      <c r="K6" s="2"/>
      <c r="L6" s="2"/>
      <c r="M6" s="2"/>
      <c r="N6" s="2"/>
      <c r="O6" s="2"/>
      <c r="P6" s="2"/>
      <c r="Q6" s="79">
        <f t="shared" si="1"/>
        <v>73.27853558</v>
      </c>
      <c r="R6" s="79">
        <f t="shared" si="2"/>
        <v>5369.743776</v>
      </c>
      <c r="S6" s="79">
        <f>G6-G25</f>
        <v>-135.2199552</v>
      </c>
      <c r="T6" s="2">
        <f t="shared" si="3"/>
        <v>18284.43627</v>
      </c>
      <c r="U6" s="2"/>
      <c r="V6" s="2"/>
      <c r="W6" s="2"/>
      <c r="X6" s="2"/>
      <c r="Y6" s="2"/>
      <c r="Z6" s="2"/>
    </row>
    <row r="7" ht="12.75" customHeight="1">
      <c r="A7" s="14"/>
      <c r="B7" s="79" t="s">
        <v>111</v>
      </c>
      <c r="C7" s="79">
        <v>321.0</v>
      </c>
      <c r="D7" s="79">
        <v>286.0</v>
      </c>
      <c r="E7" s="79">
        <v>840.0</v>
      </c>
      <c r="F7" s="79">
        <v>780.0</v>
      </c>
      <c r="G7" s="150">
        <f>M13*C7+N13</f>
        <v>824.0591105</v>
      </c>
      <c r="H7" s="2"/>
      <c r="I7" s="2"/>
      <c r="J7" s="2"/>
      <c r="K7" s="2"/>
      <c r="L7" s="2"/>
      <c r="M7" s="2"/>
      <c r="N7" s="2"/>
      <c r="O7" s="2"/>
      <c r="P7" s="2"/>
      <c r="Q7" s="79">
        <f t="shared" si="1"/>
        <v>-44.05911052</v>
      </c>
      <c r="R7" s="79">
        <f t="shared" si="2"/>
        <v>1941.20522</v>
      </c>
      <c r="S7" s="79">
        <f>G7-G25</f>
        <v>42.11769095</v>
      </c>
      <c r="T7" s="2">
        <f t="shared" si="3"/>
        <v>1773.899891</v>
      </c>
      <c r="U7" s="2"/>
      <c r="V7" s="2"/>
      <c r="W7" s="2"/>
      <c r="X7" s="2"/>
      <c r="Y7" s="2"/>
      <c r="Z7" s="2"/>
    </row>
    <row r="8" ht="12.75" customHeight="1">
      <c r="A8" s="14"/>
      <c r="B8" s="79" t="s">
        <v>113</v>
      </c>
      <c r="C8" s="79">
        <v>279.0</v>
      </c>
      <c r="D8" s="79">
        <v>350.0</v>
      </c>
      <c r="E8" s="79">
        <v>720.0</v>
      </c>
      <c r="F8" s="79">
        <v>900.0</v>
      </c>
      <c r="G8" s="150">
        <f>M13*C8+N13</f>
        <v>743.1006199</v>
      </c>
      <c r="H8" s="2"/>
      <c r="I8" s="2"/>
      <c r="J8" s="2"/>
      <c r="K8" s="2"/>
      <c r="L8" s="2"/>
      <c r="M8" s="2"/>
      <c r="N8" s="2"/>
      <c r="O8" s="2"/>
      <c r="P8" s="2"/>
      <c r="Q8" s="79">
        <f t="shared" si="1"/>
        <v>156.8993801</v>
      </c>
      <c r="R8" s="79">
        <f t="shared" si="2"/>
        <v>24617.41547</v>
      </c>
      <c r="S8" s="79">
        <f>G8-G25</f>
        <v>-38.84079966</v>
      </c>
      <c r="T8" s="2">
        <f t="shared" si="3"/>
        <v>1508.607718</v>
      </c>
      <c r="U8" s="2"/>
      <c r="V8" s="2"/>
      <c r="W8" s="2"/>
      <c r="X8" s="2"/>
      <c r="Y8" s="2"/>
      <c r="Z8" s="2"/>
    </row>
    <row r="9" ht="12.75" customHeight="1">
      <c r="A9" s="14"/>
      <c r="B9" s="79" t="s">
        <v>116</v>
      </c>
      <c r="C9" s="79">
        <v>352.0</v>
      </c>
      <c r="D9" s="79">
        <v>464.0</v>
      </c>
      <c r="E9" s="79">
        <v>780.0</v>
      </c>
      <c r="F9" s="79">
        <v>1380.0</v>
      </c>
      <c r="G9" s="150">
        <f>M13*C9+N13</f>
        <v>883.8141869</v>
      </c>
      <c r="H9" s="2"/>
      <c r="I9" s="2"/>
      <c r="J9" s="2"/>
      <c r="K9" s="2"/>
      <c r="L9" s="2"/>
      <c r="M9" s="2"/>
      <c r="N9" s="2"/>
      <c r="O9" s="2"/>
      <c r="P9" s="2"/>
      <c r="Q9" s="79">
        <f t="shared" si="1"/>
        <v>496.1858131</v>
      </c>
      <c r="R9" s="79">
        <f t="shared" si="2"/>
        <v>246200.3611</v>
      </c>
      <c r="S9" s="79">
        <f>G9-G25</f>
        <v>101.8727674</v>
      </c>
      <c r="T9" s="2">
        <f t="shared" si="3"/>
        <v>10378.06073</v>
      </c>
      <c r="U9" s="2"/>
      <c r="V9" s="2"/>
      <c r="W9" s="2"/>
      <c r="X9" s="2"/>
      <c r="Y9" s="2"/>
      <c r="Z9" s="2"/>
    </row>
    <row r="10" ht="12.75" customHeight="1">
      <c r="A10" s="14"/>
      <c r="B10" s="79" t="s">
        <v>119</v>
      </c>
      <c r="C10" s="79">
        <v>297.0</v>
      </c>
      <c r="D10" s="79">
        <v>381.0</v>
      </c>
      <c r="E10" s="79">
        <v>780.0</v>
      </c>
      <c r="F10" s="79">
        <v>1020.0</v>
      </c>
      <c r="G10" s="150">
        <f>M13*C10+N13</f>
        <v>777.7971159</v>
      </c>
      <c r="H10" s="2"/>
      <c r="I10" s="2"/>
      <c r="J10" s="2"/>
      <c r="K10" s="2"/>
      <c r="L10" s="2"/>
      <c r="M10" s="2"/>
      <c r="N10" s="2"/>
      <c r="O10" s="2"/>
      <c r="P10" s="2"/>
      <c r="Q10" s="79">
        <f t="shared" si="1"/>
        <v>242.2028841</v>
      </c>
      <c r="R10" s="79">
        <f t="shared" si="2"/>
        <v>58662.23707</v>
      </c>
      <c r="S10" s="79">
        <f>G10-G25</f>
        <v>-4.144303686</v>
      </c>
      <c r="T10" s="2">
        <f t="shared" si="3"/>
        <v>17.17525304</v>
      </c>
      <c r="U10" s="2"/>
      <c r="V10" s="2"/>
      <c r="W10" s="2"/>
      <c r="X10" s="2"/>
      <c r="Y10" s="2"/>
      <c r="Z10" s="2"/>
    </row>
    <row r="11" ht="12.75" customHeight="1">
      <c r="A11" s="14"/>
      <c r="B11" s="79" t="s">
        <v>120</v>
      </c>
      <c r="C11" s="79">
        <v>263.0</v>
      </c>
      <c r="D11" s="79">
        <v>369.0</v>
      </c>
      <c r="E11" s="79">
        <v>660.0</v>
      </c>
      <c r="F11" s="79">
        <v>960.0</v>
      </c>
      <c r="G11" s="150">
        <f>M13*C11+N13</f>
        <v>712.2592902</v>
      </c>
      <c r="H11" s="2"/>
      <c r="I11" s="2"/>
      <c r="J11" s="2"/>
      <c r="K11" s="2"/>
      <c r="L11" s="2"/>
      <c r="M11" s="2"/>
      <c r="N11" s="2"/>
      <c r="O11" s="2"/>
      <c r="P11" s="2"/>
      <c r="Q11" s="79">
        <f t="shared" si="1"/>
        <v>247.7407098</v>
      </c>
      <c r="R11" s="79">
        <f t="shared" si="2"/>
        <v>61375.45931</v>
      </c>
      <c r="S11" s="79">
        <f>G11-G25</f>
        <v>-69.68212942</v>
      </c>
      <c r="T11" s="2">
        <f t="shared" si="3"/>
        <v>4855.59916</v>
      </c>
      <c r="U11" s="2"/>
      <c r="V11" s="2"/>
      <c r="W11" s="2"/>
      <c r="X11" s="2"/>
      <c r="Y11" s="2"/>
      <c r="Z11" s="2"/>
    </row>
    <row r="12" ht="12.75" customHeight="1">
      <c r="A12" s="14"/>
      <c r="B12" s="79" t="s">
        <v>123</v>
      </c>
      <c r="C12" s="79">
        <v>357.0</v>
      </c>
      <c r="D12" s="79">
        <v>365.0</v>
      </c>
      <c r="E12" s="79">
        <v>900.0</v>
      </c>
      <c r="F12" s="79">
        <v>900.0</v>
      </c>
      <c r="G12" s="150">
        <f>M13*C12+N13</f>
        <v>893.4521025</v>
      </c>
      <c r="H12" s="2"/>
      <c r="I12" s="2"/>
      <c r="J12" s="2"/>
      <c r="K12" s="2"/>
      <c r="L12" s="2"/>
      <c r="M12" s="2"/>
      <c r="N12" s="2"/>
      <c r="O12" s="2"/>
      <c r="P12" s="2"/>
      <c r="Q12" s="79">
        <f t="shared" si="1"/>
        <v>6.547897527</v>
      </c>
      <c r="R12" s="79">
        <f t="shared" si="2"/>
        <v>42.87496202</v>
      </c>
      <c r="S12" s="79">
        <f>G12-G25</f>
        <v>111.5106829</v>
      </c>
      <c r="T12" s="2">
        <f t="shared" si="3"/>
        <v>12434.6324</v>
      </c>
      <c r="U12" s="2"/>
      <c r="V12" s="2"/>
      <c r="W12" s="2"/>
      <c r="X12" s="2"/>
      <c r="Y12" s="2"/>
      <c r="Z12" s="2"/>
    </row>
    <row r="13" ht="12.75" customHeight="1">
      <c r="A13" s="14"/>
      <c r="B13" s="79" t="s">
        <v>125</v>
      </c>
      <c r="C13" s="79">
        <v>311.0</v>
      </c>
      <c r="D13" s="79">
        <v>284.0</v>
      </c>
      <c r="E13" s="79">
        <v>780.0</v>
      </c>
      <c r="F13" s="79">
        <v>720.0</v>
      </c>
      <c r="G13" s="150">
        <f>M13*C13+N13</f>
        <v>804.7832794</v>
      </c>
      <c r="H13" s="2">
        <f>D24/F24</f>
        <v>0.391016109</v>
      </c>
      <c r="I13" s="2">
        <f>CORREL(C4:C23,F4:F23)</f>
        <v>0.6408282607</v>
      </c>
      <c r="J13" s="2">
        <f>ABS(I13)*SQRT(18)/SQRT(1-pow(I13,2))</f>
        <v>3.541565399</v>
      </c>
      <c r="K13" s="2">
        <f>_xlfn.T.INV.2T(0.3,18)</f>
        <v>1.067169516</v>
      </c>
      <c r="L13" s="148" t="s">
        <v>429</v>
      </c>
      <c r="M13" s="136">
        <v>1.92758310977306</v>
      </c>
      <c r="N13" s="136">
        <v>205.304932284338</v>
      </c>
      <c r="O13" s="136">
        <f>'Calc-3'!O14</f>
        <v>2122.997616</v>
      </c>
      <c r="P13" s="2">
        <f>O13*M13+N13</f>
        <v>4297.559279</v>
      </c>
      <c r="Q13" s="79">
        <f t="shared" si="1"/>
        <v>-84.78327942</v>
      </c>
      <c r="R13" s="79">
        <f t="shared" si="2"/>
        <v>7188.20447</v>
      </c>
      <c r="S13" s="79">
        <f>G13-G25</f>
        <v>22.84185985</v>
      </c>
      <c r="T13" s="2">
        <f t="shared" si="3"/>
        <v>521.7505614</v>
      </c>
      <c r="U13" s="2"/>
      <c r="V13" s="2"/>
      <c r="W13" s="2">
        <f>K13*SQRT((sum(R4:R23))/20)*SQRT(1+(1/18)+(H13/sum(T4:T23)))</f>
        <v>260.142948</v>
      </c>
      <c r="X13" s="2">
        <f>P13-W13</f>
        <v>4037.416331</v>
      </c>
      <c r="Y13" s="2">
        <f>P13+W13</f>
        <v>4557.702227</v>
      </c>
      <c r="Z13" s="2"/>
    </row>
    <row r="14" ht="12.75" customHeight="1">
      <c r="A14" s="14"/>
      <c r="B14" s="79" t="s">
        <v>128</v>
      </c>
      <c r="C14" s="79">
        <v>341.0</v>
      </c>
      <c r="D14" s="79">
        <v>277.0</v>
      </c>
      <c r="E14" s="79">
        <v>840.0</v>
      </c>
      <c r="F14" s="79">
        <v>600.0</v>
      </c>
      <c r="G14" s="150">
        <f>M13*C14+N13</f>
        <v>862.6107727</v>
      </c>
      <c r="H14" s="2"/>
      <c r="I14" s="2"/>
      <c r="J14" s="2"/>
      <c r="K14" s="2"/>
      <c r="L14" s="2"/>
      <c r="M14" s="2"/>
      <c r="N14" s="2"/>
      <c r="O14" s="2"/>
      <c r="P14" s="2"/>
      <c r="Q14" s="79">
        <f t="shared" si="1"/>
        <v>-262.6107727</v>
      </c>
      <c r="R14" s="79">
        <f t="shared" si="2"/>
        <v>68964.41795</v>
      </c>
      <c r="S14" s="79">
        <f>G14-G25</f>
        <v>80.66935314</v>
      </c>
      <c r="T14" s="2">
        <f t="shared" si="3"/>
        <v>6507.544537</v>
      </c>
      <c r="U14" s="2"/>
      <c r="V14" s="2"/>
      <c r="W14" s="2"/>
      <c r="X14" s="2"/>
      <c r="Y14" s="2"/>
      <c r="Z14" s="2"/>
    </row>
    <row r="15" ht="12.75" customHeight="1">
      <c r="A15" s="14"/>
      <c r="B15" s="79" t="s">
        <v>129</v>
      </c>
      <c r="C15" s="79">
        <v>153.0</v>
      </c>
      <c r="D15" s="79">
        <v>212.0</v>
      </c>
      <c r="E15" s="79">
        <v>420.0</v>
      </c>
      <c r="F15" s="79">
        <v>480.0</v>
      </c>
      <c r="G15" s="150">
        <f>M13*C15+N13</f>
        <v>500.2251481</v>
      </c>
      <c r="H15" s="2"/>
      <c r="I15" s="2"/>
      <c r="J15" s="2"/>
      <c r="K15" s="2"/>
      <c r="L15" s="2"/>
      <c r="M15" s="2"/>
      <c r="N15" s="2"/>
      <c r="O15" s="2"/>
      <c r="P15" s="2"/>
      <c r="Q15" s="79">
        <f t="shared" si="1"/>
        <v>-20.22514808</v>
      </c>
      <c r="R15" s="79">
        <f t="shared" si="2"/>
        <v>409.0566148</v>
      </c>
      <c r="S15" s="79">
        <f>G15-G25</f>
        <v>-281.7162715</v>
      </c>
      <c r="T15" s="2">
        <f t="shared" si="3"/>
        <v>79364.05762</v>
      </c>
      <c r="U15" s="2"/>
      <c r="V15" s="2"/>
      <c r="W15" s="2"/>
      <c r="X15" s="2"/>
      <c r="Y15" s="2"/>
      <c r="Z15" s="2"/>
    </row>
    <row r="16" ht="12.75" customHeight="1">
      <c r="A16" s="14"/>
      <c r="B16" s="79" t="s">
        <v>131</v>
      </c>
      <c r="C16" s="79">
        <v>390.0</v>
      </c>
      <c r="D16" s="79">
        <v>319.0</v>
      </c>
      <c r="E16" s="79">
        <v>1020.0</v>
      </c>
      <c r="F16" s="79">
        <v>720.0</v>
      </c>
      <c r="G16" s="150">
        <f>M13*C16+N13</f>
        <v>957.0623451</v>
      </c>
      <c r="H16" s="2"/>
      <c r="I16" s="2"/>
      <c r="J16" s="2"/>
      <c r="K16" s="2"/>
      <c r="L16" s="2"/>
      <c r="M16" s="2"/>
      <c r="N16" s="2"/>
      <c r="O16" s="2"/>
      <c r="P16" s="2"/>
      <c r="Q16" s="79">
        <f t="shared" si="1"/>
        <v>-237.0623451</v>
      </c>
      <c r="R16" s="79">
        <f t="shared" si="2"/>
        <v>56198.55546</v>
      </c>
      <c r="S16" s="79">
        <f>G16-G25</f>
        <v>175.1209255</v>
      </c>
      <c r="T16" s="2">
        <f t="shared" si="3"/>
        <v>30667.33856</v>
      </c>
      <c r="U16" s="2"/>
      <c r="V16" s="2"/>
      <c r="W16" s="2"/>
      <c r="X16" s="2"/>
      <c r="Y16" s="2"/>
      <c r="Z16" s="2"/>
    </row>
    <row r="17" ht="12.75" customHeight="1">
      <c r="A17" s="14"/>
      <c r="B17" s="79" t="s">
        <v>133</v>
      </c>
      <c r="C17" s="79">
        <v>260.0</v>
      </c>
      <c r="D17" s="79">
        <v>218.0</v>
      </c>
      <c r="E17" s="79">
        <v>660.0</v>
      </c>
      <c r="F17" s="79">
        <v>540.0</v>
      </c>
      <c r="G17" s="150">
        <f>M13*C174+N13</f>
        <v>205.3049323</v>
      </c>
      <c r="H17" s="2"/>
      <c r="I17" s="2"/>
      <c r="J17" s="2"/>
      <c r="K17" s="2"/>
      <c r="L17" s="2"/>
      <c r="M17" s="2"/>
      <c r="N17" s="2"/>
      <c r="O17" s="2"/>
      <c r="P17" s="2"/>
      <c r="Q17" s="79">
        <f t="shared" si="1"/>
        <v>334.6950677</v>
      </c>
      <c r="R17" s="79">
        <f t="shared" si="2"/>
        <v>112020.7884</v>
      </c>
      <c r="S17" s="79">
        <f>G17-G25</f>
        <v>-576.6364873</v>
      </c>
      <c r="T17" s="2">
        <f t="shared" si="3"/>
        <v>332509.6385</v>
      </c>
      <c r="U17" s="2"/>
      <c r="V17" s="2"/>
      <c r="W17" s="2"/>
      <c r="X17" s="2"/>
      <c r="Y17" s="2"/>
      <c r="Z17" s="2"/>
    </row>
    <row r="18" ht="12.75" customHeight="1">
      <c r="A18" s="14"/>
      <c r="B18" s="79" t="s">
        <v>135</v>
      </c>
      <c r="C18" s="79">
        <v>215.0</v>
      </c>
      <c r="D18" s="79">
        <v>238.0</v>
      </c>
      <c r="E18" s="79">
        <v>540.0</v>
      </c>
      <c r="F18" s="79">
        <v>600.0</v>
      </c>
      <c r="G18" s="150">
        <f>M13*C18+N13</f>
        <v>619.7353009</v>
      </c>
      <c r="H18" s="2"/>
      <c r="I18" s="2"/>
      <c r="J18" s="2"/>
      <c r="K18" s="2"/>
      <c r="L18" s="2"/>
      <c r="M18" s="2"/>
      <c r="N18" s="2"/>
      <c r="O18" s="2"/>
      <c r="P18" s="2"/>
      <c r="Q18" s="79">
        <f t="shared" si="1"/>
        <v>-19.73530089</v>
      </c>
      <c r="R18" s="79">
        <f t="shared" si="2"/>
        <v>389.482101</v>
      </c>
      <c r="S18" s="79">
        <f>G18-G25</f>
        <v>-162.2061187</v>
      </c>
      <c r="T18" s="2">
        <f t="shared" si="3"/>
        <v>26310.82494</v>
      </c>
      <c r="U18" s="2"/>
      <c r="V18" s="2"/>
      <c r="W18" s="2"/>
      <c r="X18" s="2"/>
      <c r="Y18" s="2"/>
      <c r="Z18" s="2"/>
    </row>
    <row r="19" ht="12.75" customHeight="1">
      <c r="A19" s="14"/>
      <c r="B19" s="79" t="s">
        <v>137</v>
      </c>
      <c r="C19" s="79">
        <v>468.0</v>
      </c>
      <c r="D19" s="79">
        <v>312.0</v>
      </c>
      <c r="E19" s="79">
        <v>1200.0</v>
      </c>
      <c r="F19" s="79">
        <v>660.0</v>
      </c>
      <c r="G19" s="150">
        <f>M13*C19+N13</f>
        <v>1107.413828</v>
      </c>
      <c r="H19" s="2"/>
      <c r="I19" s="2"/>
      <c r="J19" s="2"/>
      <c r="K19" s="2"/>
      <c r="L19" s="2"/>
      <c r="M19" s="2"/>
      <c r="N19" s="2"/>
      <c r="O19" s="2"/>
      <c r="P19" s="2"/>
      <c r="Q19" s="79">
        <f t="shared" si="1"/>
        <v>-447.4138277</v>
      </c>
      <c r="R19" s="79">
        <f t="shared" si="2"/>
        <v>200179.1332</v>
      </c>
      <c r="S19" s="79">
        <f>G19-G25</f>
        <v>325.4724081</v>
      </c>
      <c r="T19" s="2">
        <f t="shared" si="3"/>
        <v>105932.2884</v>
      </c>
      <c r="U19" s="2"/>
      <c r="V19" s="2"/>
      <c r="W19" s="2"/>
      <c r="X19" s="2"/>
      <c r="Y19" s="2"/>
      <c r="Z19" s="2"/>
    </row>
    <row r="20" ht="12.75" customHeight="1">
      <c r="A20" s="14"/>
      <c r="B20" s="79" t="s">
        <v>139</v>
      </c>
      <c r="C20" s="79">
        <v>528.0</v>
      </c>
      <c r="D20" s="79">
        <v>676.0</v>
      </c>
      <c r="E20" s="79">
        <v>1260.0</v>
      </c>
      <c r="F20" s="79">
        <v>1620.0</v>
      </c>
      <c r="G20" s="150">
        <f>M13*C20+N13</f>
        <v>1223.068814</v>
      </c>
      <c r="H20" s="2"/>
      <c r="I20" s="2"/>
      <c r="J20" s="2"/>
      <c r="K20" s="2"/>
      <c r="L20" s="2"/>
      <c r="M20" s="2"/>
      <c r="N20" s="2"/>
      <c r="O20" s="2"/>
      <c r="P20" s="2"/>
      <c r="Q20" s="79">
        <f t="shared" si="1"/>
        <v>396.9311858</v>
      </c>
      <c r="R20" s="79">
        <f t="shared" si="2"/>
        <v>157554.3662</v>
      </c>
      <c r="S20" s="79">
        <f>G20-G25</f>
        <v>441.1273947</v>
      </c>
      <c r="T20" s="2">
        <f t="shared" si="3"/>
        <v>194593.3783</v>
      </c>
      <c r="U20" s="2"/>
      <c r="V20" s="2"/>
      <c r="W20" s="2"/>
      <c r="X20" s="2"/>
      <c r="Y20" s="2"/>
      <c r="Z20" s="2"/>
    </row>
    <row r="21" ht="12.75" customHeight="1">
      <c r="A21" s="14"/>
      <c r="B21" s="79" t="s">
        <v>140</v>
      </c>
      <c r="C21" s="79">
        <v>232.0</v>
      </c>
      <c r="D21" s="79">
        <v>266.0</v>
      </c>
      <c r="E21" s="79">
        <v>600.0</v>
      </c>
      <c r="F21" s="79">
        <v>840.0</v>
      </c>
      <c r="G21" s="150">
        <f>M13*C21+N13</f>
        <v>652.5042138</v>
      </c>
      <c r="H21" s="2"/>
      <c r="I21" s="2"/>
      <c r="J21" s="2"/>
      <c r="K21" s="2"/>
      <c r="L21" s="2"/>
      <c r="M21" s="2"/>
      <c r="N21" s="2"/>
      <c r="O21" s="2"/>
      <c r="P21" s="2"/>
      <c r="Q21" s="79">
        <f t="shared" si="1"/>
        <v>187.4957862</v>
      </c>
      <c r="R21" s="79">
        <f t="shared" si="2"/>
        <v>35154.66986</v>
      </c>
      <c r="S21" s="79">
        <f>G21-G25</f>
        <v>-129.4372058</v>
      </c>
      <c r="T21" s="2">
        <f t="shared" si="3"/>
        <v>16753.99025</v>
      </c>
      <c r="U21" s="2"/>
      <c r="V21" s="2"/>
      <c r="W21" s="2"/>
      <c r="X21" s="2"/>
      <c r="Y21" s="2"/>
      <c r="Z21" s="2"/>
    </row>
    <row r="22" ht="12.75" customHeight="1">
      <c r="A22" s="14"/>
      <c r="B22" s="79" t="s">
        <v>141</v>
      </c>
      <c r="C22" s="79">
        <v>304.0</v>
      </c>
      <c r="D22" s="79">
        <v>225.0</v>
      </c>
      <c r="E22" s="79">
        <v>780.0</v>
      </c>
      <c r="F22" s="79">
        <v>600.0</v>
      </c>
      <c r="G22" s="150">
        <f>M13*C22+N13</f>
        <v>791.2901977</v>
      </c>
      <c r="H22" s="2"/>
      <c r="I22" s="2"/>
      <c r="J22" s="2"/>
      <c r="K22" s="2"/>
      <c r="L22" s="2"/>
      <c r="M22" s="2"/>
      <c r="N22" s="2"/>
      <c r="O22" s="2"/>
      <c r="P22" s="2"/>
      <c r="Q22" s="79">
        <f t="shared" si="1"/>
        <v>-191.2901977</v>
      </c>
      <c r="R22" s="79">
        <f t="shared" si="2"/>
        <v>36591.93972</v>
      </c>
      <c r="S22" s="79">
        <f>G22-G25</f>
        <v>9.348778082</v>
      </c>
      <c r="T22" s="2">
        <f t="shared" si="3"/>
        <v>87.39965163</v>
      </c>
      <c r="U22" s="2"/>
      <c r="V22" s="2"/>
      <c r="W22" s="2"/>
      <c r="X22" s="2"/>
      <c r="Y22" s="2"/>
      <c r="Z22" s="2"/>
    </row>
    <row r="23" ht="12.75" customHeight="1">
      <c r="A23" s="14"/>
      <c r="B23" s="79" t="s">
        <v>142</v>
      </c>
      <c r="C23" s="79">
        <v>459.0</v>
      </c>
      <c r="D23" s="79">
        <v>395.0</v>
      </c>
      <c r="E23" s="79">
        <v>1080.0</v>
      </c>
      <c r="F23" s="79">
        <v>1080.0</v>
      </c>
      <c r="G23" s="150">
        <f>M13*C23+N13</f>
        <v>1090.06558</v>
      </c>
      <c r="H23" s="2"/>
      <c r="I23" s="2"/>
      <c r="J23" s="2"/>
      <c r="K23" s="2"/>
      <c r="L23" s="2"/>
      <c r="M23" s="2"/>
      <c r="N23" s="2"/>
      <c r="O23" s="2"/>
      <c r="P23" s="2"/>
      <c r="Q23" s="79">
        <f t="shared" si="1"/>
        <v>-10.06557967</v>
      </c>
      <c r="R23" s="79">
        <f t="shared" si="2"/>
        <v>101.3158941</v>
      </c>
      <c r="S23" s="79">
        <f>G23-G25</f>
        <v>308.1241601</v>
      </c>
      <c r="T23" s="2">
        <f t="shared" si="3"/>
        <v>94940.49804</v>
      </c>
      <c r="U23" s="2"/>
      <c r="V23" s="2"/>
      <c r="W23" s="2"/>
      <c r="X23" s="2"/>
      <c r="Y23" s="2"/>
      <c r="Z23" s="2"/>
    </row>
    <row r="24" ht="12.75" customHeight="1">
      <c r="A24" s="2"/>
      <c r="B24" s="136" t="s">
        <v>149</v>
      </c>
      <c r="C24" s="2">
        <f t="shared" ref="C24:F24" si="4">SUM(C4:C23)</f>
        <v>6243</v>
      </c>
      <c r="D24" s="2">
        <f t="shared" si="4"/>
        <v>6311</v>
      </c>
      <c r="E24" s="2">
        <f t="shared" si="4"/>
        <v>15660</v>
      </c>
      <c r="F24" s="2">
        <f t="shared" si="4"/>
        <v>16140</v>
      </c>
      <c r="G24" s="150"/>
      <c r="H24" s="2"/>
      <c r="I24" s="2"/>
      <c r="J24" s="2"/>
      <c r="K24" s="2"/>
      <c r="L24" s="2"/>
      <c r="M24" s="2"/>
      <c r="N24" s="2"/>
      <c r="O24" s="2"/>
      <c r="P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136" t="s">
        <v>375</v>
      </c>
      <c r="C25" s="2"/>
      <c r="D25" s="2"/>
      <c r="E25" s="2"/>
      <c r="F25" s="2"/>
      <c r="G25" s="2">
        <f>AVERAGE(G4:G23)</f>
        <v>781.9414196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4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43"/>
      <c r="B33" s="2"/>
      <c r="C33" s="2"/>
      <c r="D33" s="2"/>
      <c r="E33" s="2"/>
      <c r="F33" s="2"/>
      <c r="G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14"/>
      <c r="C78" s="151"/>
      <c r="D78" s="2"/>
      <c r="E78" s="2"/>
      <c r="F78" s="2"/>
      <c r="G78" s="2"/>
      <c r="H78" s="2"/>
      <c r="I78" s="1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14"/>
      <c r="C79" s="90"/>
      <c r="D79" s="2"/>
      <c r="E79" s="2"/>
      <c r="F79" s="2"/>
      <c r="G79" s="2"/>
      <c r="H79" s="2"/>
      <c r="I79" s="1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14"/>
      <c r="C80" s="90"/>
      <c r="D80" s="2"/>
      <c r="E80" s="2"/>
      <c r="F80" s="2"/>
      <c r="G80" s="2"/>
      <c r="H80" s="2"/>
      <c r="I80" s="1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14"/>
      <c r="C81" s="90"/>
      <c r="D81" s="2"/>
      <c r="E81" s="2"/>
      <c r="F81" s="2"/>
      <c r="G81" s="2"/>
      <c r="H81" s="2"/>
      <c r="I81" s="1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14"/>
      <c r="C82" s="90"/>
      <c r="D82" s="2"/>
      <c r="E82" s="2"/>
      <c r="F82" s="2"/>
      <c r="G82" s="2"/>
      <c r="H82" s="2"/>
      <c r="I82" s="1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14"/>
      <c r="C83" s="90"/>
      <c r="D83" s="2"/>
      <c r="E83" s="2"/>
      <c r="F83" s="2"/>
      <c r="G83" s="2"/>
      <c r="H83" s="2"/>
      <c r="I83" s="1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14"/>
      <c r="C84" s="90"/>
      <c r="D84" s="2"/>
      <c r="E84" s="2"/>
      <c r="F84" s="2"/>
      <c r="G84" s="2"/>
      <c r="H84" s="2"/>
      <c r="I84" s="1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14"/>
      <c r="C85" s="90"/>
      <c r="D85" s="2"/>
      <c r="E85" s="2"/>
      <c r="F85" s="2"/>
      <c r="G85" s="2"/>
      <c r="H85" s="2"/>
      <c r="I85" s="1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14"/>
      <c r="C86" s="90"/>
      <c r="D86" s="2"/>
      <c r="E86" s="2"/>
      <c r="F86" s="2"/>
      <c r="G86" s="2"/>
      <c r="H86" s="2"/>
      <c r="I86" s="1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14"/>
      <c r="C87" s="90"/>
      <c r="D87" s="2"/>
      <c r="E87" s="2"/>
      <c r="F87" s="2"/>
      <c r="G87" s="2"/>
      <c r="H87" s="2"/>
      <c r="I87" s="1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14"/>
      <c r="C88" s="90"/>
      <c r="D88" s="2"/>
      <c r="E88" s="2"/>
      <c r="F88" s="2"/>
      <c r="G88" s="2"/>
      <c r="H88" s="2"/>
      <c r="I88" s="1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14"/>
      <c r="C89" s="90"/>
      <c r="D89" s="2"/>
      <c r="E89" s="2"/>
      <c r="F89" s="2"/>
      <c r="G89" s="2"/>
      <c r="H89" s="2"/>
      <c r="I89" s="1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14"/>
      <c r="C90" s="90"/>
      <c r="D90" s="2"/>
      <c r="E90" s="2"/>
      <c r="F90" s="2"/>
      <c r="G90" s="2"/>
      <c r="H90" s="2"/>
      <c r="I90" s="1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14"/>
      <c r="C91" s="90"/>
      <c r="D91" s="2"/>
      <c r="E91" s="2"/>
      <c r="F91" s="2"/>
      <c r="G91" s="2"/>
      <c r="H91" s="2"/>
      <c r="I91" s="1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14"/>
      <c r="C92" s="90"/>
      <c r="D92" s="2"/>
      <c r="E92" s="2"/>
      <c r="F92" s="2"/>
      <c r="G92" s="2"/>
      <c r="H92" s="2"/>
      <c r="I92" s="1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14"/>
      <c r="C93" s="90"/>
      <c r="D93" s="2"/>
      <c r="E93" s="2"/>
      <c r="F93" s="2"/>
      <c r="G93" s="2"/>
      <c r="H93" s="2"/>
      <c r="I93" s="1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14"/>
      <c r="C94" s="90"/>
      <c r="D94" s="2"/>
      <c r="E94" s="2"/>
      <c r="F94" s="2"/>
      <c r="G94" s="2"/>
      <c r="H94" s="2"/>
      <c r="I94" s="1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14"/>
      <c r="C95" s="90"/>
      <c r="D95" s="2"/>
      <c r="E95" s="2"/>
      <c r="F95" s="2"/>
      <c r="G95" s="2"/>
      <c r="H95" s="2"/>
      <c r="I95" s="1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14"/>
      <c r="C96" s="90"/>
      <c r="D96" s="2"/>
      <c r="E96" s="2"/>
      <c r="F96" s="2"/>
      <c r="G96" s="2"/>
      <c r="H96" s="2"/>
      <c r="I96" s="1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14"/>
      <c r="C97" s="90"/>
      <c r="D97" s="2"/>
      <c r="E97" s="2"/>
      <c r="F97" s="2"/>
      <c r="G97" s="2"/>
      <c r="H97" s="2"/>
      <c r="I97" s="1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14"/>
      <c r="C99" s="14"/>
      <c r="D99" s="2"/>
      <c r="E99" s="2"/>
      <c r="F99" s="2"/>
      <c r="G99" s="2"/>
      <c r="H99" s="2"/>
      <c r="I99" s="20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0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 t="s">
        <v>431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71">
        <v>42.0</v>
      </c>
      <c r="B117" s="71">
        <v>105.0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71">
        <v>31.0</v>
      </c>
      <c r="B118" s="71">
        <v>130.0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71">
        <v>47.0</v>
      </c>
      <c r="B119" s="71">
        <v>235.0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71">
        <v>58.0</v>
      </c>
      <c r="B120" s="71">
        <v>202.0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71"/>
      <c r="B121" s="7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71"/>
      <c r="B122" s="7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71">
        <v>75.0</v>
      </c>
      <c r="B123" s="71">
        <v>250.0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4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4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4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71"/>
    <col customWidth="1" min="2" max="2" width="15.14"/>
    <col customWidth="1" min="3" max="5" width="12.71"/>
    <col customWidth="1" min="6" max="6" width="14.14"/>
    <col customWidth="1" min="7" max="26" width="8.0"/>
  </cols>
  <sheetData>
    <row r="1" ht="15.75" customHeight="1">
      <c r="A1" s="96" t="s">
        <v>430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71"/>
    <col customWidth="1" min="2" max="2" width="15.14"/>
    <col customWidth="1" min="3" max="5" width="12.71"/>
    <col customWidth="1" min="6" max="6" width="14.14"/>
    <col customWidth="1" min="7" max="8" width="12.71"/>
    <col customWidth="1" min="9" max="11" width="9.14"/>
    <col customWidth="1" min="12" max="26" width="8.0"/>
  </cols>
  <sheetData>
    <row r="1" ht="21.0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hidden="1" customHeight="1">
      <c r="A2" s="2" t="s">
        <v>3</v>
      </c>
      <c r="B2" s="12"/>
      <c r="C2" s="17"/>
      <c r="D2" s="19"/>
      <c r="E2" s="2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hidden="1" customHeight="1">
      <c r="A3" s="2" t="s">
        <v>29</v>
      </c>
      <c r="B3" s="12"/>
      <c r="C3" s="17"/>
      <c r="D3" s="19"/>
      <c r="E3" s="2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hidden="1" customHeight="1">
      <c r="A4" s="2" t="s">
        <v>30</v>
      </c>
      <c r="B4" s="12"/>
      <c r="C4" s="17"/>
      <c r="D4" s="19"/>
      <c r="E4" s="2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hidden="1" customHeight="1">
      <c r="A5" s="15" t="s">
        <v>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hidden="1" customHeight="1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hidden="1" customHeight="1">
      <c r="C7" s="26"/>
      <c r="D7" s="2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hidden="1" customHeight="1">
      <c r="A8" s="15"/>
      <c r="B8" s="1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hidden="1" customHeight="1">
      <c r="A9" s="2" t="s">
        <v>4</v>
      </c>
      <c r="B9" s="2"/>
      <c r="C9" s="2">
        <f>Description!B3</f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hidden="1" customHeight="1">
      <c r="A10" s="2" t="s">
        <v>42</v>
      </c>
      <c r="B10" s="2"/>
      <c r="C10" s="8">
        <f>Description!B4</f>
        <v>43906</v>
      </c>
      <c r="D10" s="8" t="str">
        <f>Description!C4</f>
        <v>11:55am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hidden="1" customHeight="1">
      <c r="A11" s="2" t="s">
        <v>44</v>
      </c>
      <c r="B11" s="2"/>
      <c r="C11" s="8" t="str">
        <f>Description!B5</f>
        <v/>
      </c>
      <c r="D11" s="8" t="str">
        <f>Description!C5</f>
        <v/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hidden="1" customHeight="1">
      <c r="A12" s="2" t="s">
        <v>46</v>
      </c>
      <c r="B12" s="2"/>
      <c r="C12" s="27" t="str">
        <f>Description!B6</f>
        <v>5.xls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hidden="1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0.25" hidden="1" customHeight="1">
      <c r="A14" s="1" t="s">
        <v>50</v>
      </c>
      <c r="B14" s="1"/>
      <c r="C14" s="1"/>
      <c r="D14" s="1"/>
      <c r="E14" s="1"/>
      <c r="F14" s="1"/>
      <c r="G14" s="1"/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hidden="1" customHeight="1">
      <c r="A15" s="28" t="s">
        <v>53</v>
      </c>
      <c r="B15" s="2" t="s">
        <v>54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hidden="1" customHeight="1">
      <c r="A16" s="28" t="s">
        <v>53</v>
      </c>
      <c r="B16" s="2" t="s">
        <v>56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hidden="1" customHeight="1">
      <c r="A17" s="28" t="s">
        <v>53</v>
      </c>
      <c r="B17" s="2" t="s">
        <v>58</v>
      </c>
      <c r="C17" s="28"/>
      <c r="D17" s="28"/>
      <c r="E17" s="28"/>
      <c r="F17" s="28"/>
      <c r="G17" s="28"/>
      <c r="H17" s="2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hidden="1" customHeight="1">
      <c r="A18" s="28" t="s">
        <v>53</v>
      </c>
      <c r="B18" s="2" t="s">
        <v>60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hidden="1" customHeight="1">
      <c r="A19" s="28" t="s">
        <v>53</v>
      </c>
      <c r="B19" s="2" t="s">
        <v>61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hidden="1" customHeight="1">
      <c r="A20" s="28" t="s">
        <v>62</v>
      </c>
      <c r="B20" s="2" t="s">
        <v>63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hidden="1" customHeight="1">
      <c r="A21" s="28" t="s">
        <v>62</v>
      </c>
      <c r="B21" s="2" t="s">
        <v>64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hidden="1" customHeight="1">
      <c r="A22" s="28" t="s">
        <v>62</v>
      </c>
      <c r="B22" s="2" t="s">
        <v>66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hidden="1" customHeight="1">
      <c r="A23" s="28" t="s">
        <v>62</v>
      </c>
      <c r="B23" s="2" t="s">
        <v>67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hidden="1" customHeight="1">
      <c r="A24" s="28" t="s">
        <v>53</v>
      </c>
      <c r="B24" s="2" t="s">
        <v>69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hidden="1" customHeight="1">
      <c r="A25" s="28" t="s">
        <v>53</v>
      </c>
      <c r="B25" s="2" t="s">
        <v>72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hidden="1" customHeight="1">
      <c r="A26" s="2" t="s">
        <v>53</v>
      </c>
      <c r="B26" s="2" t="s">
        <v>73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hidden="1" customHeight="1">
      <c r="A27" s="2" t="s">
        <v>53</v>
      </c>
      <c r="B27" s="2" t="s">
        <v>75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hidden="1" customHeight="1">
      <c r="A28" s="2" t="s">
        <v>53</v>
      </c>
      <c r="B28" s="2" t="s">
        <v>61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hidden="1" customHeight="1">
      <c r="A29" s="2" t="s">
        <v>53</v>
      </c>
      <c r="B29" s="2" t="s">
        <v>77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hidden="1" customHeight="1">
      <c r="A30" s="2" t="s">
        <v>53</v>
      </c>
      <c r="B30" s="2" t="s">
        <v>79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hidden="1" customHeight="1">
      <c r="A31" s="2" t="s">
        <v>53</v>
      </c>
      <c r="B31" s="2" t="s">
        <v>63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hidden="1" customHeight="1">
      <c r="A32" s="2" t="s">
        <v>53</v>
      </c>
      <c r="B32" s="2" t="s">
        <v>64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hidden="1" customHeight="1">
      <c r="A33" s="2" t="s">
        <v>53</v>
      </c>
      <c r="B33" s="2" t="s">
        <v>83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hidden="1" customHeight="1">
      <c r="A34" s="2" t="s">
        <v>53</v>
      </c>
      <c r="B34" s="2" t="s">
        <v>85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hidden="1" customHeight="1">
      <c r="A35" s="2" t="s">
        <v>53</v>
      </c>
      <c r="B35" s="2" t="s">
        <v>86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hidden="1" customHeight="1">
      <c r="A36" s="2" t="s">
        <v>53</v>
      </c>
      <c r="B36" s="2" t="s">
        <v>88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hidden="1" customHeight="1">
      <c r="A37" s="28" t="s">
        <v>53</v>
      </c>
      <c r="B37" s="2" t="s">
        <v>90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hidden="1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0.25" hidden="1" customHeight="1">
      <c r="A39" s="1" t="s">
        <v>91</v>
      </c>
      <c r="B39" s="1"/>
      <c r="C39" s="1"/>
      <c r="D39" s="1"/>
      <c r="E39" s="1"/>
      <c r="F39" s="1"/>
      <c r="G39" s="1"/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5.5" hidden="1" customHeight="1">
      <c r="A40" s="31" t="s">
        <v>93</v>
      </c>
      <c r="B40" s="31" t="s">
        <v>94</v>
      </c>
      <c r="C40" s="31" t="s">
        <v>95</v>
      </c>
      <c r="D40" s="31" t="s">
        <v>97</v>
      </c>
      <c r="E40" s="33" t="s">
        <v>99</v>
      </c>
      <c r="F40" s="34"/>
      <c r="G40" s="34"/>
      <c r="H40" s="34"/>
      <c r="I40" s="34"/>
      <c r="J40" s="34"/>
      <c r="K40" s="3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hidden="1" customHeight="1">
      <c r="A41" s="36" t="s">
        <v>104</v>
      </c>
      <c r="B41" s="37"/>
      <c r="C41" s="38"/>
      <c r="D41" s="38"/>
      <c r="E41" s="39"/>
      <c r="F41" s="19"/>
      <c r="G41" s="19"/>
      <c r="H41" s="19"/>
      <c r="I41" s="19"/>
      <c r="J41" s="19"/>
      <c r="K41" s="2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5.5" hidden="1" customHeight="1">
      <c r="A42" s="40"/>
      <c r="B42" s="40" t="s">
        <v>108</v>
      </c>
      <c r="C42" s="41">
        <v>2.0</v>
      </c>
      <c r="D42" s="41"/>
      <c r="E42" s="42"/>
      <c r="F42" s="19"/>
      <c r="G42" s="19"/>
      <c r="H42" s="19"/>
      <c r="I42" s="19"/>
      <c r="J42" s="19"/>
      <c r="K42" s="2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5.5" hidden="1" customHeight="1">
      <c r="A43" s="40"/>
      <c r="B43" s="40" t="s">
        <v>112</v>
      </c>
      <c r="C43" s="41">
        <v>2.0</v>
      </c>
      <c r="D43" s="41"/>
      <c r="E43" s="42"/>
      <c r="F43" s="19"/>
      <c r="G43" s="19"/>
      <c r="H43" s="19"/>
      <c r="I43" s="19"/>
      <c r="J43" s="19"/>
      <c r="K43" s="2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hidden="1" customHeight="1">
      <c r="A44" s="36" t="s">
        <v>114</v>
      </c>
      <c r="B44" s="37"/>
      <c r="C44" s="38"/>
      <c r="D44" s="38"/>
      <c r="E44" s="38"/>
      <c r="F44" s="19"/>
      <c r="G44" s="19"/>
      <c r="H44" s="19"/>
      <c r="I44" s="19"/>
      <c r="J44" s="19"/>
      <c r="K44" s="2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hidden="1" customHeight="1">
      <c r="A45" s="40"/>
      <c r="B45" s="40" t="s">
        <v>117</v>
      </c>
      <c r="C45" s="41">
        <v>2.0</v>
      </c>
      <c r="D45" s="41"/>
      <c r="E45" s="42"/>
      <c r="F45" s="19"/>
      <c r="G45" s="19"/>
      <c r="H45" s="19"/>
      <c r="I45" s="19"/>
      <c r="J45" s="19"/>
      <c r="K45" s="2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5.5" hidden="1" customHeight="1">
      <c r="A46" s="40"/>
      <c r="B46" s="40" t="s">
        <v>118</v>
      </c>
      <c r="C46" s="41">
        <v>2.0</v>
      </c>
      <c r="D46" s="41"/>
      <c r="E46" s="42"/>
      <c r="F46" s="19"/>
      <c r="G46" s="19"/>
      <c r="H46" s="19"/>
      <c r="I46" s="19"/>
      <c r="J46" s="19"/>
      <c r="K46" s="2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hidden="1" customHeight="1">
      <c r="A47" s="40"/>
      <c r="B47" s="40" t="s">
        <v>121</v>
      </c>
      <c r="C47" s="41">
        <v>2.0</v>
      </c>
      <c r="D47" s="41"/>
      <c r="E47" s="42"/>
      <c r="F47" s="19"/>
      <c r="G47" s="19"/>
      <c r="H47" s="19"/>
      <c r="I47" s="19"/>
      <c r="J47" s="19"/>
      <c r="K47" s="2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hidden="1" customHeight="1">
      <c r="A48" s="36" t="s">
        <v>122</v>
      </c>
      <c r="B48" s="37"/>
      <c r="C48" s="38"/>
      <c r="D48" s="38"/>
      <c r="E48" s="38"/>
      <c r="F48" s="19"/>
      <c r="G48" s="19"/>
      <c r="H48" s="19"/>
      <c r="I48" s="19"/>
      <c r="J48" s="19"/>
      <c r="K48" s="2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5.5" hidden="1" customHeight="1">
      <c r="A49" s="40"/>
      <c r="B49" s="40" t="s">
        <v>124</v>
      </c>
      <c r="C49" s="41">
        <v>2.0</v>
      </c>
      <c r="D49" s="41"/>
      <c r="E49" s="42"/>
      <c r="F49" s="19"/>
      <c r="G49" s="19"/>
      <c r="H49" s="19"/>
      <c r="I49" s="19"/>
      <c r="J49" s="19"/>
      <c r="K49" s="2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5.5" hidden="1" customHeight="1">
      <c r="A50" s="40"/>
      <c r="B50" s="40" t="s">
        <v>127</v>
      </c>
      <c r="C50" s="41">
        <v>2.0</v>
      </c>
      <c r="D50" s="41"/>
      <c r="E50" s="42"/>
      <c r="F50" s="19"/>
      <c r="G50" s="19"/>
      <c r="H50" s="19"/>
      <c r="I50" s="19"/>
      <c r="J50" s="19"/>
      <c r="K50" s="2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hidden="1" customHeight="1">
      <c r="A51" s="40"/>
      <c r="B51" s="40" t="s">
        <v>121</v>
      </c>
      <c r="C51" s="41">
        <v>2.0</v>
      </c>
      <c r="D51" s="41"/>
      <c r="E51" s="42"/>
      <c r="F51" s="19"/>
      <c r="G51" s="19"/>
      <c r="H51" s="19"/>
      <c r="I51" s="19"/>
      <c r="J51" s="19"/>
      <c r="K51" s="2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hidden="1" customHeight="1">
      <c r="A52" s="36" t="s">
        <v>130</v>
      </c>
      <c r="B52" s="37"/>
      <c r="C52" s="38"/>
      <c r="D52" s="38"/>
      <c r="E52" s="38"/>
      <c r="F52" s="19"/>
      <c r="G52" s="19"/>
      <c r="H52" s="19"/>
      <c r="I52" s="19"/>
      <c r="J52" s="19"/>
      <c r="K52" s="2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5.5" hidden="1" customHeight="1">
      <c r="A53" s="40"/>
      <c r="B53" s="40" t="s">
        <v>132</v>
      </c>
      <c r="C53" s="41">
        <v>2.0</v>
      </c>
      <c r="D53" s="41"/>
      <c r="E53" s="42"/>
      <c r="F53" s="19"/>
      <c r="G53" s="19"/>
      <c r="H53" s="19"/>
      <c r="I53" s="19"/>
      <c r="J53" s="19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hidden="1" customHeight="1">
      <c r="A54" s="36" t="s">
        <v>134</v>
      </c>
      <c r="B54" s="37"/>
      <c r="C54" s="38"/>
      <c r="D54" s="38"/>
      <c r="E54" s="38"/>
      <c r="F54" s="19"/>
      <c r="G54" s="19"/>
      <c r="H54" s="19"/>
      <c r="I54" s="19"/>
      <c r="J54" s="19"/>
      <c r="K54" s="2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5.5" hidden="1" customHeight="1">
      <c r="A55" s="40"/>
      <c r="B55" s="40" t="s">
        <v>136</v>
      </c>
      <c r="C55" s="41">
        <v>0.0</v>
      </c>
      <c r="D55" s="41"/>
      <c r="E55" s="42"/>
      <c r="F55" s="19"/>
      <c r="G55" s="19"/>
      <c r="H55" s="19"/>
      <c r="I55" s="19"/>
      <c r="J55" s="19"/>
      <c r="K55" s="2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hidden="1" customHeight="1">
      <c r="A56" s="44" t="s">
        <v>138</v>
      </c>
      <c r="B56" s="45"/>
      <c r="C56" s="46">
        <v>0.0</v>
      </c>
      <c r="D56" s="46"/>
      <c r="E56" s="47"/>
      <c r="F56" s="48"/>
      <c r="G56" s="48"/>
      <c r="H56" s="48"/>
      <c r="I56" s="48"/>
      <c r="J56" s="48"/>
      <c r="K56" s="4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hidden="1" customHeight="1">
      <c r="A57" s="40"/>
      <c r="B57" s="50"/>
      <c r="C57" s="41">
        <v>0.0</v>
      </c>
      <c r="D57" s="41"/>
      <c r="E57" s="42"/>
      <c r="F57" s="38"/>
      <c r="G57" s="38"/>
      <c r="H57" s="38"/>
      <c r="I57" s="38"/>
      <c r="J57" s="38"/>
      <c r="K57" s="5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hidden="1" customHeight="1">
      <c r="A58" s="40"/>
      <c r="B58" s="50"/>
      <c r="C58" s="41"/>
      <c r="D58" s="41"/>
      <c r="E58" s="42"/>
      <c r="F58" s="38"/>
      <c r="G58" s="38"/>
      <c r="H58" s="38"/>
      <c r="I58" s="38"/>
      <c r="J58" s="38"/>
      <c r="K58" s="5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hidden="1" customHeight="1">
      <c r="A59" s="2"/>
      <c r="B59" s="53" t="s">
        <v>149</v>
      </c>
      <c r="C59" s="53">
        <f>SUM(C42:C53)</f>
        <v>18</v>
      </c>
      <c r="D59" s="41">
        <f>SUM(D42:D55)</f>
        <v>0</v>
      </c>
      <c r="E59" s="42"/>
      <c r="F59" s="19"/>
      <c r="G59" s="19"/>
      <c r="H59" s="19"/>
      <c r="I59" s="19"/>
      <c r="J59" s="19"/>
      <c r="K59" s="2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hidden="1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11.75" hidden="1" customHeight="1">
      <c r="A61" s="57" t="s">
        <v>153</v>
      </c>
      <c r="B61" s="58"/>
      <c r="C61" s="58"/>
      <c r="D61" s="58"/>
      <c r="E61" s="58"/>
      <c r="F61" s="58"/>
      <c r="G61" s="58"/>
      <c r="H61" s="5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hidden="1" customHeight="1">
      <c r="A62" s="60" t="s">
        <v>156</v>
      </c>
      <c r="B62" s="60"/>
      <c r="C62" s="60"/>
      <c r="D62" s="60"/>
      <c r="E62" s="60"/>
      <c r="F62" s="60"/>
      <c r="G62" s="60"/>
      <c r="H62" s="6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hidden="1" customHeight="1">
      <c r="A63" s="61" t="s">
        <v>159</v>
      </c>
      <c r="B63" s="61"/>
      <c r="C63" s="61"/>
      <c r="D63" s="61"/>
      <c r="E63" s="61"/>
      <c r="F63" s="61"/>
      <c r="G63" s="61"/>
      <c r="H63" s="6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hidden="1" customHeight="1">
      <c r="A64" s="61" t="s">
        <v>162</v>
      </c>
      <c r="B64" s="61"/>
      <c r="C64" s="61"/>
      <c r="D64" s="61"/>
      <c r="E64" s="61"/>
      <c r="F64" s="61"/>
      <c r="G64" s="61"/>
      <c r="H64" s="6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hidden="1" customHeight="1">
      <c r="A65" s="61" t="s">
        <v>163</v>
      </c>
      <c r="B65" s="61"/>
      <c r="C65" s="61"/>
      <c r="D65" s="61"/>
      <c r="E65" s="61"/>
      <c r="F65" s="61"/>
      <c r="G65" s="61"/>
      <c r="H65" s="6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hidden="1" customHeight="1">
      <c r="A66" s="61" t="s">
        <v>165</v>
      </c>
      <c r="B66" s="61"/>
      <c r="C66" s="61"/>
      <c r="D66" s="61"/>
      <c r="E66" s="61"/>
      <c r="F66" s="61"/>
      <c r="G66" s="61"/>
      <c r="H66" s="6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hidden="1" customHeight="1">
      <c r="A67" s="61" t="s">
        <v>167</v>
      </c>
      <c r="B67" s="61"/>
      <c r="C67" s="61"/>
      <c r="D67" s="61"/>
      <c r="E67" s="61"/>
      <c r="F67" s="61"/>
      <c r="G67" s="61"/>
      <c r="H67" s="6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hidden="1" customHeight="1">
      <c r="A68" s="61" t="s">
        <v>170</v>
      </c>
      <c r="B68" s="61"/>
      <c r="C68" s="61"/>
      <c r="D68" s="61"/>
      <c r="E68" s="61"/>
      <c r="F68" s="61"/>
      <c r="G68" s="61"/>
      <c r="H68" s="6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hidden="1" customHeight="1">
      <c r="A69" s="61" t="s">
        <v>163</v>
      </c>
      <c r="B69" s="61"/>
      <c r="C69" s="61"/>
      <c r="D69" s="61"/>
      <c r="E69" s="61"/>
      <c r="F69" s="61"/>
      <c r="G69" s="61"/>
      <c r="H69" s="6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hidden="1" customHeight="1">
      <c r="A70" s="61"/>
      <c r="B70" s="61"/>
      <c r="C70" s="61"/>
      <c r="D70" s="61"/>
      <c r="E70" s="61"/>
      <c r="F70" s="61"/>
      <c r="G70" s="61"/>
      <c r="H70" s="6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67" t="s">
        <v>176</v>
      </c>
      <c r="B71" s="68"/>
      <c r="C71" s="68"/>
      <c r="D71" s="68"/>
      <c r="E71" s="68"/>
      <c r="F71" s="68"/>
      <c r="G71" s="68"/>
      <c r="H71" s="6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 t="s">
        <v>180</v>
      </c>
      <c r="C72" s="16" t="s">
        <v>181</v>
      </c>
      <c r="D72" s="16" t="s">
        <v>182</v>
      </c>
      <c r="E72" s="16" t="s">
        <v>183</v>
      </c>
      <c r="F72" s="16" t="s">
        <v>184</v>
      </c>
      <c r="G72" s="16" t="s">
        <v>185</v>
      </c>
      <c r="H72" s="16" t="s">
        <v>187</v>
      </c>
      <c r="I72" s="1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 t="s">
        <v>22</v>
      </c>
      <c r="C73" s="69"/>
      <c r="D73" s="69"/>
      <c r="E73" s="69"/>
      <c r="F73" s="69"/>
      <c r="G73" s="69"/>
      <c r="H73" s="7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 t="s">
        <v>41</v>
      </c>
      <c r="C74" s="69"/>
      <c r="D74" s="69"/>
      <c r="E74" s="69"/>
      <c r="F74" s="69"/>
      <c r="G74" s="69"/>
      <c r="H74" s="7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 t="s">
        <v>200</v>
      </c>
      <c r="C75" s="69"/>
      <c r="D75" s="69"/>
      <c r="E75" s="69"/>
      <c r="F75" s="69"/>
      <c r="G75" s="69"/>
      <c r="H75" s="7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 t="s">
        <v>203</v>
      </c>
      <c r="C76" s="69"/>
      <c r="D76" s="69"/>
      <c r="E76" s="69"/>
      <c r="F76" s="69"/>
      <c r="G76" s="69"/>
      <c r="H76" s="7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 t="s">
        <v>207</v>
      </c>
      <c r="C77" s="69"/>
      <c r="D77" s="69"/>
      <c r="E77" s="69"/>
      <c r="F77" s="69"/>
      <c r="G77" s="69"/>
      <c r="H77" s="7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 t="s">
        <v>210</v>
      </c>
      <c r="C78" s="69"/>
      <c r="D78" s="69"/>
      <c r="E78" s="69"/>
      <c r="F78" s="69"/>
      <c r="G78" s="69"/>
      <c r="H78" s="7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32" t="s">
        <v>212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 t="s">
        <v>214</v>
      </c>
      <c r="C80" s="2"/>
      <c r="D80" s="2"/>
      <c r="E80" s="2"/>
      <c r="F80" s="2"/>
      <c r="G80" s="2"/>
      <c r="H80" s="69"/>
      <c r="I80" s="2" t="s">
        <v>216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 t="s">
        <v>218</v>
      </c>
      <c r="C81" s="2"/>
      <c r="D81" s="2"/>
      <c r="E81" s="2"/>
      <c r="F81" s="2"/>
      <c r="G81" s="2"/>
      <c r="H81" s="69"/>
      <c r="I81" s="2" t="s">
        <v>216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 t="s">
        <v>221</v>
      </c>
      <c r="C82" s="2"/>
      <c r="D82" s="2"/>
      <c r="E82" s="2" t="s">
        <v>217</v>
      </c>
      <c r="F82" s="2"/>
      <c r="G82" s="2"/>
      <c r="H82" s="69"/>
      <c r="I82" s="2" t="s">
        <v>216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 t="s">
        <v>224</v>
      </c>
      <c r="C83" s="2"/>
      <c r="D83" s="2"/>
      <c r="E83" s="2" t="s">
        <v>226</v>
      </c>
      <c r="F83" s="2"/>
      <c r="G83" s="2"/>
      <c r="H83" s="6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 t="s">
        <v>224</v>
      </c>
      <c r="C84" s="2"/>
      <c r="D84" s="2"/>
      <c r="E84" s="2" t="s">
        <v>228</v>
      </c>
      <c r="F84" s="2"/>
      <c r="G84" s="2"/>
      <c r="H84" s="6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 t="s">
        <v>230</v>
      </c>
      <c r="C85" s="2"/>
      <c r="D85" s="2"/>
      <c r="E85" s="2" t="s">
        <v>231</v>
      </c>
      <c r="F85" s="2"/>
      <c r="G85" s="2"/>
      <c r="H85" s="73"/>
      <c r="I85" s="2" t="s">
        <v>216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 t="s">
        <v>235</v>
      </c>
      <c r="C86" s="2"/>
      <c r="D86" s="2"/>
      <c r="E86" s="2" t="s">
        <v>236</v>
      </c>
      <c r="F86" s="2"/>
      <c r="G86" s="2"/>
      <c r="H86" s="73"/>
      <c r="I86" s="2" t="s">
        <v>216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 t="s">
        <v>238</v>
      </c>
      <c r="C87" s="2"/>
      <c r="D87" s="2"/>
      <c r="E87" s="2" t="s">
        <v>239</v>
      </c>
      <c r="F87" s="2"/>
      <c r="G87" s="2"/>
      <c r="H87" s="69"/>
      <c r="I87" s="2" t="s">
        <v>216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 t="s">
        <v>241</v>
      </c>
      <c r="C88" s="2"/>
      <c r="D88" s="2"/>
      <c r="E88" s="2" t="s">
        <v>243</v>
      </c>
      <c r="F88" s="2"/>
      <c r="G88" s="2"/>
      <c r="H88" s="69"/>
      <c r="I88" s="2" t="s">
        <v>216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 t="s">
        <v>247</v>
      </c>
      <c r="C89" s="2"/>
      <c r="D89" s="2"/>
      <c r="E89" s="2" t="s">
        <v>248</v>
      </c>
      <c r="F89" s="2"/>
      <c r="G89" s="2"/>
      <c r="H89" s="69"/>
      <c r="I89" s="2" t="s">
        <v>216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32" t="s">
        <v>251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 t="s">
        <v>170</v>
      </c>
      <c r="C91" s="2"/>
      <c r="D91" s="2"/>
      <c r="E91" s="2" t="s">
        <v>254</v>
      </c>
      <c r="F91" s="2"/>
      <c r="G91" s="2"/>
      <c r="H91" s="69"/>
      <c r="I91" s="2" t="s">
        <v>255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6.5" customHeight="1">
      <c r="A92" s="2"/>
      <c r="B92" s="2" t="s">
        <v>257</v>
      </c>
      <c r="C92" s="2"/>
      <c r="D92" s="2"/>
      <c r="E92" s="7" t="s">
        <v>258</v>
      </c>
      <c r="F92" s="71"/>
      <c r="G92" s="2"/>
      <c r="H92" s="73"/>
      <c r="I92" s="2" t="s">
        <v>259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 t="s">
        <v>262</v>
      </c>
      <c r="C93" s="2"/>
      <c r="D93" s="2"/>
      <c r="E93" s="2" t="s">
        <v>263</v>
      </c>
      <c r="F93" s="2"/>
      <c r="G93" s="2"/>
      <c r="H93" s="73"/>
      <c r="I93" s="2" t="s">
        <v>259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 t="s">
        <v>265</v>
      </c>
      <c r="C94" s="2"/>
      <c r="D94" s="2"/>
      <c r="E94" s="2" t="s">
        <v>266</v>
      </c>
      <c r="F94" s="2"/>
      <c r="G94" s="2"/>
      <c r="H94" s="73"/>
      <c r="I94" s="2" t="s">
        <v>259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 t="s">
        <v>269</v>
      </c>
      <c r="C95" s="2"/>
      <c r="D95" s="2"/>
      <c r="E95" s="2" t="s">
        <v>270</v>
      </c>
      <c r="F95" s="2"/>
      <c r="G95" s="2"/>
      <c r="H95" s="73"/>
      <c r="I95" s="2" t="s">
        <v>259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32" t="s">
        <v>271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 t="s">
        <v>148</v>
      </c>
      <c r="C97" s="73"/>
      <c r="D97" s="2" t="s">
        <v>259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 t="s">
        <v>151</v>
      </c>
      <c r="C98" s="73"/>
      <c r="D98" s="2" t="s">
        <v>259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 t="s">
        <v>155</v>
      </c>
      <c r="C99" s="73"/>
      <c r="D99" s="2" t="s">
        <v>259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 t="s">
        <v>157</v>
      </c>
      <c r="C100" s="73"/>
      <c r="D100" s="2" t="s">
        <v>259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 t="s">
        <v>161</v>
      </c>
      <c r="C101" s="73"/>
      <c r="D101" s="2" t="s">
        <v>259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 t="s">
        <v>164</v>
      </c>
      <c r="C102" s="73"/>
      <c r="D102" s="2" t="s">
        <v>259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 t="s">
        <v>168</v>
      </c>
      <c r="C103" s="73"/>
      <c r="D103" s="2" t="s">
        <v>259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9">
    <mergeCell ref="A1:G1"/>
    <mergeCell ref="C2:E2"/>
    <mergeCell ref="C3:E3"/>
    <mergeCell ref="C4:E4"/>
    <mergeCell ref="A5:B7"/>
    <mergeCell ref="C7:D7"/>
    <mergeCell ref="E40:K40"/>
    <mergeCell ref="E41:K41"/>
    <mergeCell ref="E42:K42"/>
    <mergeCell ref="E43:K43"/>
    <mergeCell ref="E44:K44"/>
    <mergeCell ref="E45:K45"/>
    <mergeCell ref="E46:K46"/>
    <mergeCell ref="E47:K47"/>
    <mergeCell ref="E55:K55"/>
    <mergeCell ref="E56:K56"/>
    <mergeCell ref="E59:K59"/>
    <mergeCell ref="A61:H61"/>
    <mergeCell ref="A71:H71"/>
    <mergeCell ref="A79:H79"/>
    <mergeCell ref="A90:H90"/>
    <mergeCell ref="A96:H96"/>
    <mergeCell ref="E48:K48"/>
    <mergeCell ref="E49:K49"/>
    <mergeCell ref="E50:K50"/>
    <mergeCell ref="E51:K51"/>
    <mergeCell ref="E52:K52"/>
    <mergeCell ref="E53:K53"/>
    <mergeCell ref="E54:K54"/>
  </mergeCells>
  <dataValidations>
    <dataValidation type="list" allowBlank="1" showInputMessage="1" showErrorMessage="1" prompt=" - " sqref="G92">
      <formula1>$B$42:$B$44</formula1>
    </dataValidation>
    <dataValidation type="list" allowBlank="1" showInputMessage="1" showErrorMessage="1" prompt=" - " sqref="H73:H78">
      <formula1>$A$63:$A$65</formula1>
    </dataValidation>
    <dataValidation type="list" allowBlank="1" showInputMessage="1" showErrorMessage="1" prompt=" - " sqref="F92">
      <formula1>$A$66:$A$69</formula1>
    </dataValidation>
    <dataValidation type="list" allowBlank="1" showInputMessage="1" showErrorMessage="1" prompt=" - " sqref="C7">
      <formula1>$B$89:$B$90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7.43"/>
    <col customWidth="1" min="2" max="2" width="11.0"/>
    <col customWidth="1" min="3" max="3" width="10.14"/>
    <col customWidth="1" min="4" max="4" width="11.29"/>
    <col customWidth="1" min="5" max="5" width="11.57"/>
    <col customWidth="1" min="6" max="6" width="12.43"/>
    <col customWidth="1" min="7" max="7" width="10.43"/>
    <col customWidth="1" min="8" max="8" width="10.71"/>
    <col customWidth="1" min="9" max="26" width="8.0"/>
  </cols>
  <sheetData>
    <row r="1" ht="20.25" customHeight="1">
      <c r="A1" s="1" t="s">
        <v>2</v>
      </c>
    </row>
    <row r="2" ht="12.75" customHeight="1">
      <c r="A2" s="3"/>
    </row>
    <row r="3" ht="12.75" customHeight="1">
      <c r="A3" s="5" t="s">
        <v>4</v>
      </c>
      <c r="B3" s="7">
        <v>5.0</v>
      </c>
    </row>
    <row r="4" ht="12.75" customHeight="1">
      <c r="A4" s="5" t="s">
        <v>5</v>
      </c>
      <c r="B4" s="8">
        <v>43906.0</v>
      </c>
      <c r="C4" s="8" t="s">
        <v>7</v>
      </c>
    </row>
    <row r="5" ht="12.75" customHeight="1">
      <c r="A5" s="5"/>
      <c r="B5" s="8"/>
      <c r="C5" s="8"/>
    </row>
    <row r="6" ht="12.75" customHeight="1">
      <c r="A6" s="3" t="s">
        <v>8</v>
      </c>
      <c r="B6" s="11" t="str">
        <f>CONCATENATE(B3,".xls")</f>
        <v>5.xls</v>
      </c>
    </row>
    <row r="7" ht="12.75" customHeight="1">
      <c r="A7" s="5"/>
    </row>
    <row r="8" ht="12.75" customHeight="1">
      <c r="A8" s="5" t="s">
        <v>17</v>
      </c>
      <c r="B8" s="12" t="s">
        <v>18</v>
      </c>
    </row>
    <row r="9" ht="12.75" customHeight="1">
      <c r="A9" s="5"/>
      <c r="B9" s="12"/>
      <c r="C9" s="12"/>
      <c r="D9" s="12"/>
      <c r="E9" s="12"/>
      <c r="F9" s="12"/>
      <c r="G9" s="12"/>
      <c r="H9" s="12"/>
      <c r="I9" s="12"/>
    </row>
    <row r="10" ht="43.5" customHeight="1">
      <c r="A10" s="13" t="s">
        <v>4</v>
      </c>
      <c r="B10" s="15" t="s">
        <v>19</v>
      </c>
    </row>
    <row r="11" ht="12.75" customHeight="1">
      <c r="A11" s="5" t="s">
        <v>20</v>
      </c>
      <c r="B11" s="15" t="s">
        <v>21</v>
      </c>
    </row>
    <row r="12" ht="12.75" customHeight="1">
      <c r="A12" s="5"/>
      <c r="C12" s="2"/>
      <c r="D12" s="2"/>
      <c r="E12" s="16"/>
      <c r="F12" s="16"/>
      <c r="G12" s="16"/>
      <c r="H12" s="16"/>
      <c r="I12" s="2"/>
    </row>
    <row r="13" ht="12.0" customHeight="1">
      <c r="A13" s="13" t="s">
        <v>23</v>
      </c>
      <c r="B13" s="15" t="s">
        <v>24</v>
      </c>
    </row>
    <row r="14" ht="12.0" customHeight="1">
      <c r="A14" s="13"/>
      <c r="B14" s="21" t="s">
        <v>25</v>
      </c>
    </row>
    <row r="15" ht="12.75" customHeight="1">
      <c r="A15" s="13"/>
      <c r="B15" s="15" t="s">
        <v>26</v>
      </c>
    </row>
    <row r="16" ht="12.75" customHeight="1">
      <c r="A16" s="23"/>
      <c r="B16" s="15" t="s">
        <v>28</v>
      </c>
    </row>
    <row r="17" ht="12.75" customHeight="1">
      <c r="A17" s="23"/>
      <c r="B17" s="15"/>
      <c r="C17" s="15"/>
      <c r="D17" s="15"/>
      <c r="E17" s="15"/>
      <c r="F17" s="15"/>
      <c r="G17" s="15"/>
    </row>
    <row r="18" ht="49.5" customHeight="1">
      <c r="A18" s="24"/>
      <c r="B18" s="1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2.75" customHeight="1">
      <c r="A19" s="3"/>
    </row>
    <row r="20" ht="12.75" customHeight="1">
      <c r="A20" s="3"/>
    </row>
    <row r="21" ht="12.75" customHeight="1">
      <c r="A21" s="3"/>
    </row>
    <row r="22" ht="12.75" customHeight="1">
      <c r="A22" s="3"/>
    </row>
    <row r="23" ht="12.75" customHeight="1">
      <c r="A23" s="3"/>
    </row>
    <row r="24" ht="12.75" customHeight="1">
      <c r="A24" s="3"/>
    </row>
    <row r="25" ht="12.75" customHeight="1">
      <c r="A25" s="3"/>
    </row>
    <row r="26" ht="12.75" customHeight="1">
      <c r="A26" s="3"/>
    </row>
    <row r="27" ht="12.75" customHeight="1">
      <c r="A27" s="3"/>
    </row>
    <row r="28" ht="12.75" customHeight="1">
      <c r="A28" s="3"/>
    </row>
    <row r="29" ht="12.75" customHeight="1">
      <c r="A29" s="3"/>
    </row>
    <row r="30" ht="12.75" customHeight="1">
      <c r="A30" s="3"/>
    </row>
    <row r="31" ht="12.75" customHeight="1">
      <c r="A31" s="3"/>
    </row>
    <row r="32" ht="12.75" customHeight="1">
      <c r="A32" s="3"/>
    </row>
    <row r="33" ht="12.75" customHeight="1">
      <c r="A33" s="3"/>
    </row>
    <row r="34" ht="12.75" customHeight="1">
      <c r="A34" s="3"/>
    </row>
    <row r="35" ht="12.75" customHeight="1">
      <c r="A35" s="3"/>
    </row>
    <row r="36" ht="12.75" customHeight="1">
      <c r="A36" s="3"/>
    </row>
    <row r="37" ht="12.75" customHeight="1">
      <c r="A37" s="3"/>
    </row>
    <row r="38" ht="12.75" customHeight="1">
      <c r="A38" s="3"/>
    </row>
    <row r="39" ht="12.75" customHeight="1">
      <c r="A39" s="3"/>
    </row>
    <row r="40" ht="12.75" customHeight="1">
      <c r="A40" s="3"/>
    </row>
    <row r="41" ht="12.75" customHeight="1">
      <c r="A41" s="3"/>
    </row>
    <row r="42" ht="12.75" customHeight="1">
      <c r="A42" s="3"/>
    </row>
    <row r="43" ht="12.75" customHeight="1">
      <c r="A43" s="3"/>
    </row>
    <row r="44" ht="12.75" customHeight="1">
      <c r="A44" s="3"/>
    </row>
    <row r="45" ht="12.75" customHeight="1">
      <c r="A45" s="3"/>
    </row>
    <row r="46" ht="12.75" customHeight="1">
      <c r="A46" s="3"/>
    </row>
    <row r="47" ht="12.75" customHeight="1">
      <c r="A47" s="3"/>
    </row>
    <row r="48" ht="12.75" customHeight="1">
      <c r="A48" s="3"/>
    </row>
    <row r="49" ht="12.75" customHeight="1">
      <c r="A49" s="3"/>
    </row>
    <row r="50" ht="12.75" customHeight="1">
      <c r="A50" s="3"/>
    </row>
    <row r="51" ht="12.75" customHeight="1">
      <c r="A51" s="3"/>
    </row>
    <row r="52" ht="12.75" customHeight="1">
      <c r="A52" s="3"/>
    </row>
    <row r="53" ht="12.75" customHeight="1">
      <c r="A53" s="3"/>
    </row>
    <row r="54" ht="12.75" customHeight="1">
      <c r="A54" s="3"/>
    </row>
    <row r="55" ht="12.75" customHeight="1">
      <c r="A55" s="3"/>
    </row>
    <row r="56" ht="12.75" customHeight="1">
      <c r="A56" s="3"/>
    </row>
    <row r="57" ht="12.75" customHeight="1">
      <c r="A57" s="3"/>
    </row>
    <row r="58" ht="12.75" customHeight="1">
      <c r="A58" s="3"/>
    </row>
    <row r="59" ht="12.75" customHeight="1">
      <c r="A59" s="3"/>
    </row>
    <row r="60" ht="12.75" customHeight="1">
      <c r="A60" s="3"/>
    </row>
    <row r="61" ht="12.75" customHeight="1">
      <c r="A61" s="3"/>
    </row>
    <row r="62" ht="12.75" customHeight="1">
      <c r="A62" s="3"/>
    </row>
    <row r="63" ht="12.75" customHeight="1">
      <c r="A63" s="3"/>
    </row>
    <row r="64" ht="12.75" customHeight="1">
      <c r="A64" s="3"/>
    </row>
    <row r="65" ht="12.75" customHeight="1">
      <c r="A65" s="3"/>
    </row>
    <row r="66" ht="12.75" customHeight="1">
      <c r="A66" s="3"/>
    </row>
    <row r="67" ht="12.75" customHeight="1">
      <c r="A67" s="3"/>
    </row>
    <row r="68" ht="12.75" customHeight="1">
      <c r="A68" s="3"/>
    </row>
    <row r="69" ht="12.75" customHeight="1">
      <c r="A69" s="3"/>
    </row>
    <row r="70" ht="12.75" customHeight="1">
      <c r="A70" s="3"/>
    </row>
    <row r="71" ht="12.75" customHeight="1">
      <c r="A71" s="3"/>
    </row>
    <row r="72" ht="12.75" customHeight="1">
      <c r="A72" s="3"/>
    </row>
    <row r="73" ht="12.75" customHeight="1">
      <c r="A73" s="3"/>
    </row>
    <row r="74" ht="12.75" customHeight="1">
      <c r="A74" s="3"/>
    </row>
    <row r="75" ht="12.75" customHeight="1">
      <c r="A75" s="3"/>
    </row>
    <row r="76" ht="12.75" customHeight="1">
      <c r="A76" s="3"/>
    </row>
    <row r="77" ht="12.75" customHeight="1">
      <c r="A77" s="3"/>
    </row>
    <row r="78" ht="12.75" customHeight="1">
      <c r="A78" s="3"/>
    </row>
    <row r="79" ht="12.75" customHeight="1">
      <c r="A79" s="3"/>
    </row>
    <row r="80" ht="12.75" customHeight="1">
      <c r="A80" s="3"/>
    </row>
    <row r="81" ht="12.75" customHeight="1">
      <c r="A81" s="3"/>
    </row>
    <row r="82" ht="12.75" customHeight="1">
      <c r="A82" s="3"/>
    </row>
    <row r="83" ht="12.75" customHeight="1">
      <c r="A83" s="3"/>
    </row>
    <row r="84" ht="12.75" customHeight="1">
      <c r="A84" s="3"/>
    </row>
    <row r="85" ht="12.75" customHeight="1">
      <c r="A85" s="3"/>
    </row>
    <row r="86" ht="12.75" customHeight="1">
      <c r="A86" s="3"/>
    </row>
    <row r="87" ht="12.75" customHeight="1">
      <c r="A87" s="3"/>
    </row>
    <row r="88" ht="12.75" customHeight="1">
      <c r="A88" s="3"/>
    </row>
    <row r="89" ht="12.75" customHeight="1">
      <c r="A89" s="3"/>
    </row>
    <row r="90" ht="12.75" customHeight="1">
      <c r="A90" s="3"/>
    </row>
    <row r="91" ht="12.75" customHeight="1">
      <c r="A91" s="3"/>
    </row>
    <row r="92" ht="12.75" customHeight="1">
      <c r="A92" s="3"/>
    </row>
    <row r="93" ht="12.75" customHeight="1">
      <c r="A93" s="3"/>
    </row>
    <row r="94" ht="12.75" customHeight="1">
      <c r="A94" s="3"/>
    </row>
    <row r="95" ht="12.75" customHeight="1">
      <c r="A95" s="3"/>
    </row>
    <row r="96" ht="12.75" customHeight="1">
      <c r="A96" s="3"/>
    </row>
    <row r="97" ht="12.75" customHeight="1">
      <c r="A97" s="3"/>
    </row>
    <row r="98" ht="12.75" customHeight="1">
      <c r="A98" s="3"/>
    </row>
    <row r="99" ht="12.75" customHeight="1">
      <c r="A99" s="3"/>
    </row>
    <row r="100" ht="12.75" customHeight="1">
      <c r="A100" s="3"/>
    </row>
    <row r="101" ht="12.75" customHeight="1">
      <c r="A101" s="3"/>
    </row>
    <row r="102" ht="12.75" customHeight="1">
      <c r="A102" s="3"/>
    </row>
    <row r="103" ht="12.75" customHeight="1">
      <c r="A103" s="3"/>
    </row>
    <row r="104" ht="12.75" customHeight="1">
      <c r="A104" s="3"/>
    </row>
    <row r="105" ht="12.75" customHeight="1">
      <c r="A105" s="3"/>
    </row>
    <row r="106" ht="12.75" customHeight="1">
      <c r="A106" s="3"/>
    </row>
    <row r="107" ht="12.75" customHeight="1">
      <c r="A107" s="3"/>
    </row>
    <row r="108" ht="12.75" customHeight="1">
      <c r="A108" s="3"/>
    </row>
    <row r="109" ht="12.75" customHeight="1">
      <c r="A109" s="3"/>
    </row>
    <row r="110" ht="12.75" customHeight="1">
      <c r="A110" s="3"/>
    </row>
    <row r="111" ht="12.75" customHeight="1">
      <c r="A111" s="3"/>
    </row>
    <row r="112" ht="12.75" customHeight="1">
      <c r="A112" s="3"/>
    </row>
    <row r="113" ht="12.75" customHeight="1">
      <c r="A113" s="3"/>
    </row>
    <row r="114" ht="12.75" customHeight="1">
      <c r="A114" s="3"/>
    </row>
    <row r="115" ht="12.75" customHeight="1">
      <c r="A115" s="3"/>
    </row>
    <row r="116" ht="12.75" customHeight="1">
      <c r="A116" s="3"/>
    </row>
    <row r="117" ht="12.75" customHeight="1">
      <c r="A117" s="3"/>
    </row>
    <row r="118" ht="12.75" customHeight="1">
      <c r="A118" s="3"/>
    </row>
    <row r="119" ht="12.75" customHeight="1">
      <c r="A119" s="3"/>
    </row>
    <row r="120" ht="12.75" customHeight="1">
      <c r="A120" s="3"/>
    </row>
    <row r="121" ht="12.75" customHeight="1">
      <c r="A121" s="3"/>
    </row>
    <row r="122" ht="12.75" customHeight="1">
      <c r="A122" s="3"/>
    </row>
    <row r="123" ht="12.75" customHeight="1">
      <c r="A123" s="3"/>
    </row>
    <row r="124" ht="12.75" customHeight="1">
      <c r="A124" s="3"/>
    </row>
    <row r="125" ht="12.75" customHeight="1">
      <c r="A125" s="3"/>
    </row>
    <row r="126" ht="12.75" customHeight="1">
      <c r="A126" s="3"/>
    </row>
    <row r="127" ht="12.75" customHeight="1">
      <c r="A127" s="3"/>
    </row>
    <row r="128" ht="12.75" customHeight="1">
      <c r="A128" s="3"/>
    </row>
    <row r="129" ht="12.75" customHeight="1">
      <c r="A129" s="3"/>
    </row>
    <row r="130" ht="12.75" customHeight="1">
      <c r="A130" s="3"/>
    </row>
    <row r="131" ht="12.75" customHeight="1">
      <c r="A131" s="3"/>
    </row>
    <row r="132" ht="12.75" customHeight="1">
      <c r="A132" s="3"/>
    </row>
    <row r="133" ht="12.75" customHeight="1">
      <c r="A133" s="3"/>
    </row>
    <row r="134" ht="12.75" customHeight="1">
      <c r="A134" s="3"/>
    </row>
    <row r="135" ht="12.75" customHeight="1">
      <c r="A135" s="3"/>
    </row>
    <row r="136" ht="12.75" customHeight="1">
      <c r="A136" s="3"/>
    </row>
    <row r="137" ht="12.75" customHeight="1">
      <c r="A137" s="3"/>
    </row>
    <row r="138" ht="12.75" customHeight="1">
      <c r="A138" s="3"/>
    </row>
    <row r="139" ht="12.75" customHeight="1">
      <c r="A139" s="3"/>
    </row>
    <row r="140" ht="12.75" customHeight="1">
      <c r="A140" s="3"/>
    </row>
    <row r="141" ht="12.75" customHeight="1">
      <c r="A141" s="3"/>
    </row>
    <row r="142" ht="12.75" customHeight="1">
      <c r="A142" s="3"/>
    </row>
    <row r="143" ht="12.75" customHeight="1">
      <c r="A143" s="3"/>
    </row>
    <row r="144" ht="12.75" customHeight="1">
      <c r="A144" s="3"/>
    </row>
    <row r="145" ht="12.75" customHeight="1">
      <c r="A145" s="3"/>
    </row>
    <row r="146" ht="12.75" customHeight="1">
      <c r="A146" s="3"/>
    </row>
    <row r="147" ht="12.75" customHeight="1">
      <c r="A147" s="3"/>
    </row>
    <row r="148" ht="12.75" customHeight="1">
      <c r="A148" s="3"/>
    </row>
    <row r="149" ht="12.75" customHeight="1">
      <c r="A149" s="3"/>
    </row>
    <row r="150" ht="12.75" customHeight="1">
      <c r="A150" s="3"/>
    </row>
    <row r="151" ht="12.75" customHeight="1">
      <c r="A151" s="3"/>
    </row>
    <row r="152" ht="12.75" customHeight="1">
      <c r="A152" s="3"/>
    </row>
    <row r="153" ht="12.75" customHeight="1">
      <c r="A153" s="3"/>
    </row>
    <row r="154" ht="12.75" customHeight="1">
      <c r="A154" s="3"/>
    </row>
    <row r="155" ht="12.75" customHeight="1">
      <c r="A155" s="3"/>
    </row>
    <row r="156" ht="12.75" customHeight="1">
      <c r="A156" s="3"/>
    </row>
    <row r="157" ht="12.75" customHeight="1">
      <c r="A157" s="3"/>
    </row>
    <row r="158" ht="12.75" customHeight="1">
      <c r="A158" s="3"/>
    </row>
    <row r="159" ht="12.75" customHeight="1">
      <c r="A159" s="3"/>
    </row>
    <row r="160" ht="12.75" customHeight="1">
      <c r="A160" s="3"/>
    </row>
    <row r="161" ht="12.75" customHeight="1">
      <c r="A161" s="3"/>
    </row>
    <row r="162" ht="12.75" customHeight="1">
      <c r="A162" s="3"/>
    </row>
    <row r="163" ht="12.75" customHeight="1">
      <c r="A163" s="3"/>
    </row>
    <row r="164" ht="12.75" customHeight="1">
      <c r="A164" s="3"/>
    </row>
    <row r="165" ht="12.75" customHeight="1">
      <c r="A165" s="3"/>
    </row>
    <row r="166" ht="12.75" customHeight="1">
      <c r="A166" s="3"/>
    </row>
    <row r="167" ht="12.75" customHeight="1">
      <c r="A167" s="3"/>
    </row>
    <row r="168" ht="12.75" customHeight="1">
      <c r="A168" s="3"/>
    </row>
    <row r="169" ht="12.75" customHeight="1">
      <c r="A169" s="3"/>
    </row>
    <row r="170" ht="12.75" customHeight="1">
      <c r="A170" s="3"/>
    </row>
    <row r="171" ht="12.75" customHeight="1">
      <c r="A171" s="3"/>
    </row>
    <row r="172" ht="12.75" customHeight="1">
      <c r="A172" s="3"/>
    </row>
    <row r="173" ht="12.75" customHeight="1">
      <c r="A173" s="3"/>
    </row>
    <row r="174" ht="12.75" customHeight="1">
      <c r="A174" s="3"/>
    </row>
    <row r="175" ht="12.75" customHeight="1">
      <c r="A175" s="3"/>
    </row>
    <row r="176" ht="12.75" customHeight="1">
      <c r="A176" s="3"/>
    </row>
    <row r="177" ht="12.75" customHeight="1">
      <c r="A177" s="3"/>
    </row>
    <row r="178" ht="12.75" customHeight="1">
      <c r="A178" s="3"/>
    </row>
    <row r="179" ht="12.75" customHeight="1">
      <c r="A179" s="3"/>
    </row>
    <row r="180" ht="12.75" customHeight="1">
      <c r="A180" s="3"/>
    </row>
    <row r="181" ht="12.75" customHeight="1">
      <c r="A181" s="3"/>
    </row>
    <row r="182" ht="12.75" customHeight="1">
      <c r="A182" s="3"/>
    </row>
    <row r="183" ht="12.75" customHeight="1">
      <c r="A183" s="3"/>
    </row>
    <row r="184" ht="12.75" customHeight="1">
      <c r="A184" s="3"/>
    </row>
    <row r="185" ht="12.75" customHeight="1">
      <c r="A185" s="3"/>
    </row>
    <row r="186" ht="12.75" customHeight="1">
      <c r="A186" s="3"/>
    </row>
    <row r="187" ht="12.75" customHeight="1">
      <c r="A187" s="3"/>
    </row>
    <row r="188" ht="12.75" customHeight="1">
      <c r="A188" s="3"/>
    </row>
    <row r="189" ht="12.75" customHeight="1">
      <c r="A189" s="3"/>
    </row>
    <row r="190" ht="12.75" customHeight="1">
      <c r="A190" s="3"/>
    </row>
    <row r="191" ht="12.75" customHeight="1">
      <c r="A191" s="3"/>
    </row>
    <row r="192" ht="12.75" customHeight="1">
      <c r="A192" s="3"/>
    </row>
    <row r="193" ht="12.75" customHeight="1">
      <c r="A193" s="3"/>
    </row>
    <row r="194" ht="12.75" customHeight="1">
      <c r="A194" s="3"/>
    </row>
    <row r="195" ht="12.75" customHeight="1">
      <c r="A195" s="3"/>
    </row>
    <row r="196" ht="12.75" customHeight="1">
      <c r="A196" s="3"/>
    </row>
    <row r="197" ht="12.75" customHeight="1">
      <c r="A197" s="3"/>
    </row>
    <row r="198" ht="12.75" customHeight="1">
      <c r="A198" s="3"/>
    </row>
    <row r="199" ht="12.75" customHeight="1">
      <c r="A199" s="3"/>
    </row>
    <row r="200" ht="12.75" customHeight="1">
      <c r="A200" s="3"/>
    </row>
    <row r="201" ht="12.75" customHeight="1">
      <c r="A201" s="3"/>
    </row>
    <row r="202" ht="12.75" customHeight="1">
      <c r="A202" s="3"/>
    </row>
    <row r="203" ht="12.75" customHeight="1">
      <c r="A203" s="3"/>
    </row>
    <row r="204" ht="12.75" customHeight="1">
      <c r="A204" s="3"/>
    </row>
    <row r="205" ht="12.75" customHeight="1">
      <c r="A205" s="3"/>
    </row>
    <row r="206" ht="12.75" customHeight="1">
      <c r="A206" s="3"/>
    </row>
    <row r="207" ht="12.75" customHeight="1">
      <c r="A207" s="3"/>
    </row>
    <row r="208" ht="12.75" customHeight="1">
      <c r="A208" s="3"/>
    </row>
    <row r="209" ht="12.75" customHeight="1">
      <c r="A209" s="3"/>
    </row>
    <row r="210" ht="12.75" customHeight="1">
      <c r="A210" s="3"/>
    </row>
    <row r="211" ht="12.75" customHeight="1">
      <c r="A211" s="3"/>
    </row>
    <row r="212" ht="12.75" customHeight="1">
      <c r="A212" s="3"/>
    </row>
    <row r="213" ht="12.75" customHeight="1">
      <c r="A213" s="3"/>
    </row>
    <row r="214" ht="12.75" customHeight="1">
      <c r="A214" s="3"/>
    </row>
    <row r="215" ht="12.75" customHeight="1">
      <c r="A215" s="3"/>
    </row>
    <row r="216" ht="12.75" customHeight="1">
      <c r="A216" s="3"/>
    </row>
    <row r="217" ht="12.75" customHeight="1">
      <c r="A217" s="3"/>
    </row>
    <row r="218" ht="12.75" customHeight="1">
      <c r="A218" s="3"/>
    </row>
    <row r="219" ht="12.75" customHeight="1">
      <c r="A219" s="3"/>
    </row>
    <row r="220" ht="12.75" customHeight="1">
      <c r="A220" s="3"/>
    </row>
    <row r="221" ht="12.75" customHeight="1">
      <c r="A221" s="3"/>
    </row>
    <row r="222" ht="12.75" customHeight="1">
      <c r="A222" s="3"/>
    </row>
    <row r="223" ht="12.75" customHeight="1">
      <c r="A223" s="3"/>
    </row>
    <row r="224" ht="12.75" customHeight="1">
      <c r="A224" s="3"/>
    </row>
    <row r="225" ht="12.75" customHeight="1">
      <c r="A225" s="3"/>
    </row>
    <row r="226" ht="12.75" customHeight="1">
      <c r="A226" s="3"/>
    </row>
    <row r="227" ht="12.75" customHeight="1">
      <c r="A227" s="3"/>
    </row>
    <row r="228" ht="12.75" customHeight="1">
      <c r="A228" s="3"/>
    </row>
    <row r="229" ht="12.75" customHeight="1">
      <c r="A229" s="3"/>
    </row>
    <row r="230" ht="12.75" customHeight="1">
      <c r="A230" s="3"/>
    </row>
    <row r="231" ht="12.75" customHeight="1">
      <c r="A231" s="3"/>
    </row>
    <row r="232" ht="12.75" customHeight="1">
      <c r="A232" s="3"/>
    </row>
    <row r="233" ht="12.75" customHeight="1">
      <c r="A233" s="3"/>
    </row>
    <row r="234" ht="12.75" customHeight="1">
      <c r="A234" s="3"/>
    </row>
    <row r="235" ht="12.75" customHeight="1">
      <c r="A235" s="3"/>
    </row>
    <row r="236" ht="12.75" customHeight="1">
      <c r="A236" s="3"/>
    </row>
    <row r="237" ht="12.75" customHeight="1">
      <c r="A237" s="3"/>
    </row>
    <row r="238" ht="12.75" customHeight="1">
      <c r="A238" s="3"/>
    </row>
    <row r="239" ht="12.75" customHeight="1">
      <c r="A239" s="3"/>
    </row>
    <row r="240" ht="12.75" customHeight="1">
      <c r="A240" s="3"/>
    </row>
    <row r="241" ht="12.75" customHeight="1">
      <c r="A241" s="3"/>
    </row>
    <row r="242" ht="12.75" customHeight="1">
      <c r="A242" s="3"/>
    </row>
    <row r="243" ht="12.75" customHeight="1">
      <c r="A243" s="3"/>
    </row>
    <row r="244" ht="12.75" customHeight="1">
      <c r="A244" s="3"/>
    </row>
    <row r="245" ht="12.75" customHeight="1">
      <c r="A245" s="3"/>
    </row>
    <row r="246" ht="12.75" customHeight="1">
      <c r="A246" s="3"/>
    </row>
    <row r="247" ht="12.75" customHeight="1">
      <c r="A247" s="3"/>
    </row>
    <row r="248" ht="12.75" customHeight="1">
      <c r="A248" s="3"/>
    </row>
    <row r="249" ht="12.75" customHeight="1">
      <c r="A249" s="3"/>
    </row>
    <row r="250" ht="12.75" customHeight="1">
      <c r="A250" s="3"/>
    </row>
    <row r="251" ht="12.75" customHeight="1">
      <c r="A251" s="3"/>
    </row>
    <row r="252" ht="12.75" customHeight="1">
      <c r="A252" s="3"/>
    </row>
    <row r="253" ht="12.75" customHeight="1">
      <c r="A253" s="3"/>
    </row>
    <row r="254" ht="12.75" customHeight="1">
      <c r="A254" s="3"/>
    </row>
    <row r="255" ht="12.75" customHeight="1">
      <c r="A255" s="3"/>
    </row>
    <row r="256" ht="12.75" customHeight="1">
      <c r="A256" s="3"/>
    </row>
    <row r="257" ht="12.75" customHeight="1">
      <c r="A257" s="3"/>
    </row>
    <row r="258" ht="12.75" customHeight="1">
      <c r="A258" s="3"/>
    </row>
    <row r="259" ht="12.75" customHeight="1">
      <c r="A259" s="3"/>
    </row>
    <row r="260" ht="12.75" customHeight="1">
      <c r="A260" s="3"/>
    </row>
    <row r="261" ht="12.75" customHeight="1">
      <c r="A261" s="3"/>
    </row>
    <row r="262" ht="12.75" customHeight="1">
      <c r="A262" s="3"/>
    </row>
    <row r="263" ht="12.75" customHeight="1">
      <c r="A263" s="3"/>
    </row>
    <row r="264" ht="12.75" customHeight="1">
      <c r="A264" s="3"/>
    </row>
    <row r="265" ht="12.75" customHeight="1">
      <c r="A265" s="3"/>
    </row>
    <row r="266" ht="12.75" customHeight="1">
      <c r="A266" s="3"/>
    </row>
    <row r="267" ht="12.75" customHeight="1">
      <c r="A267" s="3"/>
    </row>
    <row r="268" ht="12.75" customHeight="1">
      <c r="A268" s="3"/>
    </row>
    <row r="269" ht="12.75" customHeight="1">
      <c r="A269" s="3"/>
    </row>
    <row r="270" ht="12.75" customHeight="1">
      <c r="A270" s="3"/>
    </row>
    <row r="271" ht="12.75" customHeight="1">
      <c r="A271" s="3"/>
    </row>
    <row r="272" ht="12.75" customHeight="1">
      <c r="A272" s="3"/>
    </row>
    <row r="273" ht="12.75" customHeight="1">
      <c r="A273" s="3"/>
    </row>
    <row r="274" ht="12.75" customHeight="1">
      <c r="A274" s="3"/>
    </row>
    <row r="275" ht="12.75" customHeight="1">
      <c r="A275" s="3"/>
    </row>
    <row r="276" ht="12.75" customHeight="1">
      <c r="A276" s="3"/>
    </row>
    <row r="277" ht="12.75" customHeight="1">
      <c r="A277" s="3"/>
    </row>
    <row r="278" ht="12.75" customHeight="1">
      <c r="A278" s="3"/>
    </row>
    <row r="279" ht="12.75" customHeight="1">
      <c r="A279" s="3"/>
    </row>
    <row r="280" ht="12.75" customHeight="1">
      <c r="A280" s="3"/>
    </row>
    <row r="281" ht="12.75" customHeight="1">
      <c r="A281" s="3"/>
    </row>
    <row r="282" ht="12.75" customHeight="1">
      <c r="A282" s="3"/>
    </row>
    <row r="283" ht="12.75" customHeight="1">
      <c r="A283" s="3"/>
    </row>
    <row r="284" ht="12.75" customHeight="1">
      <c r="A284" s="3"/>
    </row>
    <row r="285" ht="12.75" customHeight="1">
      <c r="A285" s="3"/>
    </row>
    <row r="286" ht="12.75" customHeight="1">
      <c r="A286" s="3"/>
    </row>
    <row r="287" ht="12.75" customHeight="1">
      <c r="A287" s="3"/>
    </row>
    <row r="288" ht="12.75" customHeight="1">
      <c r="A288" s="3"/>
    </row>
    <row r="289" ht="12.75" customHeight="1">
      <c r="A289" s="3"/>
    </row>
    <row r="290" ht="12.75" customHeight="1">
      <c r="A290" s="3"/>
    </row>
    <row r="291" ht="12.75" customHeight="1">
      <c r="A291" s="3"/>
    </row>
    <row r="292" ht="12.75" customHeight="1">
      <c r="A292" s="3"/>
    </row>
    <row r="293" ht="12.75" customHeight="1">
      <c r="A293" s="3"/>
    </row>
    <row r="294" ht="12.75" customHeight="1">
      <c r="A294" s="3"/>
    </row>
    <row r="295" ht="12.75" customHeight="1">
      <c r="A295" s="3"/>
    </row>
    <row r="296" ht="12.75" customHeight="1">
      <c r="A296" s="3"/>
    </row>
    <row r="297" ht="12.75" customHeight="1">
      <c r="A297" s="3"/>
    </row>
    <row r="298" ht="12.75" customHeight="1">
      <c r="A298" s="3"/>
    </row>
    <row r="299" ht="12.75" customHeight="1">
      <c r="A299" s="3"/>
    </row>
    <row r="300" ht="12.75" customHeight="1">
      <c r="A300" s="3"/>
    </row>
    <row r="301" ht="12.75" customHeight="1">
      <c r="A301" s="3"/>
    </row>
    <row r="302" ht="12.75" customHeight="1">
      <c r="A302" s="3"/>
    </row>
    <row r="303" ht="12.75" customHeight="1">
      <c r="A303" s="3"/>
    </row>
    <row r="304" ht="12.75" customHeight="1">
      <c r="A304" s="3"/>
    </row>
    <row r="305" ht="12.75" customHeight="1">
      <c r="A305" s="3"/>
    </row>
    <row r="306" ht="12.75" customHeight="1">
      <c r="A306" s="3"/>
    </row>
    <row r="307" ht="12.75" customHeight="1">
      <c r="A307" s="3"/>
    </row>
    <row r="308" ht="12.75" customHeight="1">
      <c r="A308" s="3"/>
    </row>
    <row r="309" ht="12.75" customHeight="1">
      <c r="A309" s="3"/>
    </row>
    <row r="310" ht="12.75" customHeight="1">
      <c r="A310" s="3"/>
    </row>
    <row r="311" ht="12.75" customHeight="1">
      <c r="A311" s="3"/>
    </row>
    <row r="312" ht="12.75" customHeight="1">
      <c r="A312" s="3"/>
    </row>
    <row r="313" ht="12.75" customHeight="1">
      <c r="A313" s="3"/>
    </row>
    <row r="314" ht="12.75" customHeight="1">
      <c r="A314" s="3"/>
    </row>
    <row r="315" ht="12.75" customHeight="1">
      <c r="A315" s="3"/>
    </row>
    <row r="316" ht="12.75" customHeight="1">
      <c r="A316" s="3"/>
    </row>
    <row r="317" ht="12.75" customHeight="1">
      <c r="A317" s="3"/>
    </row>
    <row r="318" ht="12.75" customHeight="1">
      <c r="A318" s="3"/>
    </row>
    <row r="319" ht="12.75" customHeight="1">
      <c r="A319" s="3"/>
    </row>
    <row r="320" ht="12.75" customHeight="1">
      <c r="A320" s="3"/>
    </row>
    <row r="321" ht="12.75" customHeight="1">
      <c r="A321" s="3"/>
    </row>
    <row r="322" ht="12.75" customHeight="1">
      <c r="A322" s="3"/>
    </row>
    <row r="323" ht="12.75" customHeight="1">
      <c r="A323" s="3"/>
    </row>
    <row r="324" ht="12.75" customHeight="1">
      <c r="A324" s="3"/>
    </row>
    <row r="325" ht="12.75" customHeight="1">
      <c r="A325" s="3"/>
    </row>
    <row r="326" ht="12.75" customHeight="1">
      <c r="A326" s="3"/>
    </row>
    <row r="327" ht="12.75" customHeight="1">
      <c r="A327" s="3"/>
    </row>
    <row r="328" ht="12.75" customHeight="1">
      <c r="A328" s="3"/>
    </row>
    <row r="329" ht="12.75" customHeight="1">
      <c r="A329" s="3"/>
    </row>
    <row r="330" ht="12.75" customHeight="1">
      <c r="A330" s="3"/>
    </row>
    <row r="331" ht="12.75" customHeight="1">
      <c r="A331" s="3"/>
    </row>
    <row r="332" ht="12.75" customHeight="1">
      <c r="A332" s="3"/>
    </row>
    <row r="333" ht="12.75" customHeight="1">
      <c r="A333" s="3"/>
    </row>
    <row r="334" ht="12.75" customHeight="1">
      <c r="A334" s="3"/>
    </row>
    <row r="335" ht="12.75" customHeight="1">
      <c r="A335" s="3"/>
    </row>
    <row r="336" ht="12.75" customHeight="1">
      <c r="A336" s="3"/>
    </row>
    <row r="337" ht="12.75" customHeight="1">
      <c r="A337" s="3"/>
    </row>
    <row r="338" ht="12.75" customHeight="1">
      <c r="A338" s="3"/>
    </row>
    <row r="339" ht="12.75" customHeight="1">
      <c r="A339" s="3"/>
    </row>
    <row r="340" ht="12.75" customHeight="1">
      <c r="A340" s="3"/>
    </row>
    <row r="341" ht="12.75" customHeight="1">
      <c r="A341" s="3"/>
    </row>
    <row r="342" ht="12.75" customHeight="1">
      <c r="A342" s="3"/>
    </row>
    <row r="343" ht="12.75" customHeight="1">
      <c r="A343" s="3"/>
    </row>
    <row r="344" ht="12.75" customHeight="1">
      <c r="A344" s="3"/>
    </row>
    <row r="345" ht="12.75" customHeight="1">
      <c r="A345" s="3"/>
    </row>
    <row r="346" ht="12.75" customHeight="1">
      <c r="A346" s="3"/>
    </row>
    <row r="347" ht="12.75" customHeight="1">
      <c r="A347" s="3"/>
    </row>
    <row r="348" ht="12.75" customHeight="1">
      <c r="A348" s="3"/>
    </row>
    <row r="349" ht="12.75" customHeight="1">
      <c r="A349" s="3"/>
    </row>
    <row r="350" ht="12.75" customHeight="1">
      <c r="A350" s="3"/>
    </row>
    <row r="351" ht="12.75" customHeight="1">
      <c r="A351" s="3"/>
    </row>
    <row r="352" ht="12.75" customHeight="1">
      <c r="A352" s="3"/>
    </row>
    <row r="353" ht="12.75" customHeight="1">
      <c r="A353" s="3"/>
    </row>
    <row r="354" ht="12.75" customHeight="1">
      <c r="A354" s="3"/>
    </row>
    <row r="355" ht="12.75" customHeight="1">
      <c r="A355" s="3"/>
    </row>
    <row r="356" ht="12.75" customHeight="1">
      <c r="A356" s="3"/>
    </row>
    <row r="357" ht="12.75" customHeight="1">
      <c r="A357" s="3"/>
    </row>
    <row r="358" ht="12.75" customHeight="1">
      <c r="A358" s="3"/>
    </row>
    <row r="359" ht="12.75" customHeight="1">
      <c r="A359" s="3"/>
    </row>
    <row r="360" ht="12.75" customHeight="1">
      <c r="A360" s="3"/>
    </row>
    <row r="361" ht="12.75" customHeight="1">
      <c r="A361" s="3"/>
    </row>
    <row r="362" ht="12.75" customHeight="1">
      <c r="A362" s="3"/>
    </row>
    <row r="363" ht="12.75" customHeight="1">
      <c r="A363" s="3"/>
    </row>
    <row r="364" ht="12.75" customHeight="1">
      <c r="A364" s="3"/>
    </row>
    <row r="365" ht="12.75" customHeight="1">
      <c r="A365" s="3"/>
    </row>
    <row r="366" ht="12.75" customHeight="1">
      <c r="A366" s="3"/>
    </row>
    <row r="367" ht="12.75" customHeight="1">
      <c r="A367" s="3"/>
    </row>
    <row r="368" ht="12.75" customHeight="1">
      <c r="A368" s="3"/>
    </row>
    <row r="369" ht="12.75" customHeight="1">
      <c r="A369" s="3"/>
    </row>
    <row r="370" ht="12.75" customHeight="1">
      <c r="A370" s="3"/>
    </row>
    <row r="371" ht="12.75" customHeight="1">
      <c r="A371" s="3"/>
    </row>
    <row r="372" ht="12.75" customHeight="1">
      <c r="A372" s="3"/>
    </row>
    <row r="373" ht="12.75" customHeight="1">
      <c r="A373" s="3"/>
    </row>
    <row r="374" ht="12.75" customHeight="1">
      <c r="A374" s="3"/>
    </row>
    <row r="375" ht="12.75" customHeight="1">
      <c r="A375" s="3"/>
    </row>
    <row r="376" ht="12.75" customHeight="1">
      <c r="A376" s="3"/>
    </row>
    <row r="377" ht="12.75" customHeight="1">
      <c r="A377" s="3"/>
    </row>
    <row r="378" ht="12.75" customHeight="1">
      <c r="A378" s="3"/>
    </row>
    <row r="379" ht="12.75" customHeight="1">
      <c r="A379" s="3"/>
    </row>
    <row r="380" ht="12.75" customHeight="1">
      <c r="A380" s="3"/>
    </row>
    <row r="381" ht="12.75" customHeight="1">
      <c r="A381" s="3"/>
    </row>
    <row r="382" ht="12.75" customHeight="1">
      <c r="A382" s="3"/>
    </row>
    <row r="383" ht="12.75" customHeight="1">
      <c r="A383" s="3"/>
    </row>
    <row r="384" ht="12.75" customHeight="1">
      <c r="A384" s="3"/>
    </row>
    <row r="385" ht="12.75" customHeight="1">
      <c r="A385" s="3"/>
    </row>
    <row r="386" ht="12.75" customHeight="1">
      <c r="A386" s="3"/>
    </row>
    <row r="387" ht="12.75" customHeight="1">
      <c r="A387" s="3"/>
    </row>
    <row r="388" ht="12.75" customHeight="1">
      <c r="A388" s="3"/>
    </row>
    <row r="389" ht="12.75" customHeight="1">
      <c r="A389" s="3"/>
    </row>
    <row r="390" ht="12.75" customHeight="1">
      <c r="A390" s="3"/>
    </row>
    <row r="391" ht="12.75" customHeight="1">
      <c r="A391" s="3"/>
    </row>
    <row r="392" ht="12.75" customHeight="1">
      <c r="A392" s="3"/>
    </row>
    <row r="393" ht="12.75" customHeight="1">
      <c r="A393" s="3"/>
    </row>
    <row r="394" ht="12.75" customHeight="1">
      <c r="A394" s="3"/>
    </row>
    <row r="395" ht="12.75" customHeight="1">
      <c r="A395" s="3"/>
    </row>
    <row r="396" ht="12.75" customHeight="1">
      <c r="A396" s="3"/>
    </row>
    <row r="397" ht="12.75" customHeight="1">
      <c r="A397" s="3"/>
    </row>
    <row r="398" ht="12.75" customHeight="1">
      <c r="A398" s="3"/>
    </row>
    <row r="399" ht="12.75" customHeight="1">
      <c r="A399" s="3"/>
    </row>
    <row r="400" ht="12.75" customHeight="1">
      <c r="A400" s="3"/>
    </row>
    <row r="401" ht="12.75" customHeight="1">
      <c r="A401" s="3"/>
    </row>
    <row r="402" ht="12.75" customHeight="1">
      <c r="A402" s="3"/>
    </row>
    <row r="403" ht="12.75" customHeight="1">
      <c r="A403" s="3"/>
    </row>
    <row r="404" ht="12.75" customHeight="1">
      <c r="A404" s="3"/>
    </row>
    <row r="405" ht="12.75" customHeight="1">
      <c r="A405" s="3"/>
    </row>
    <row r="406" ht="12.75" customHeight="1">
      <c r="A406" s="3"/>
    </row>
    <row r="407" ht="12.75" customHeight="1">
      <c r="A407" s="3"/>
    </row>
    <row r="408" ht="12.75" customHeight="1">
      <c r="A408" s="3"/>
    </row>
    <row r="409" ht="12.75" customHeight="1">
      <c r="A409" s="3"/>
    </row>
    <row r="410" ht="12.75" customHeight="1">
      <c r="A410" s="3"/>
    </row>
    <row r="411" ht="12.75" customHeight="1">
      <c r="A411" s="3"/>
    </row>
    <row r="412" ht="12.75" customHeight="1">
      <c r="A412" s="3"/>
    </row>
    <row r="413" ht="12.75" customHeight="1">
      <c r="A413" s="3"/>
    </row>
    <row r="414" ht="12.75" customHeight="1">
      <c r="A414" s="3"/>
    </row>
    <row r="415" ht="12.75" customHeight="1">
      <c r="A415" s="3"/>
    </row>
    <row r="416" ht="12.75" customHeight="1">
      <c r="A416" s="3"/>
    </row>
    <row r="417" ht="12.75" customHeight="1">
      <c r="A417" s="3"/>
    </row>
    <row r="418" ht="12.75" customHeight="1">
      <c r="A418" s="3"/>
    </row>
    <row r="419" ht="12.75" customHeight="1">
      <c r="A419" s="3"/>
    </row>
    <row r="420" ht="12.75" customHeight="1">
      <c r="A420" s="3"/>
    </row>
    <row r="421" ht="12.75" customHeight="1">
      <c r="A421" s="3"/>
    </row>
    <row r="422" ht="12.75" customHeight="1">
      <c r="A422" s="3"/>
    </row>
    <row r="423" ht="12.75" customHeight="1">
      <c r="A423" s="3"/>
    </row>
    <row r="424" ht="12.75" customHeight="1">
      <c r="A424" s="3"/>
    </row>
    <row r="425" ht="12.75" customHeight="1">
      <c r="A425" s="3"/>
    </row>
    <row r="426" ht="12.75" customHeight="1">
      <c r="A426" s="3"/>
    </row>
    <row r="427" ht="12.75" customHeight="1">
      <c r="A427" s="3"/>
    </row>
    <row r="428" ht="12.75" customHeight="1">
      <c r="A428" s="3"/>
    </row>
    <row r="429" ht="12.75" customHeight="1">
      <c r="A429" s="3"/>
    </row>
    <row r="430" ht="12.75" customHeight="1">
      <c r="A430" s="3"/>
    </row>
    <row r="431" ht="12.75" customHeight="1">
      <c r="A431" s="3"/>
    </row>
    <row r="432" ht="12.75" customHeight="1">
      <c r="A432" s="3"/>
    </row>
    <row r="433" ht="12.75" customHeight="1">
      <c r="A433" s="3"/>
    </row>
    <row r="434" ht="12.75" customHeight="1">
      <c r="A434" s="3"/>
    </row>
    <row r="435" ht="12.75" customHeight="1">
      <c r="A435" s="3"/>
    </row>
    <row r="436" ht="12.75" customHeight="1">
      <c r="A436" s="3"/>
    </row>
    <row r="437" ht="12.75" customHeight="1">
      <c r="A437" s="3"/>
    </row>
    <row r="438" ht="12.75" customHeight="1">
      <c r="A438" s="3"/>
    </row>
    <row r="439" ht="12.75" customHeight="1">
      <c r="A439" s="3"/>
    </row>
    <row r="440" ht="12.75" customHeight="1">
      <c r="A440" s="3"/>
    </row>
    <row r="441" ht="12.75" customHeight="1">
      <c r="A441" s="3"/>
    </row>
    <row r="442" ht="12.75" customHeight="1">
      <c r="A442" s="3"/>
    </row>
    <row r="443" ht="12.75" customHeight="1">
      <c r="A443" s="3"/>
    </row>
    <row r="444" ht="12.75" customHeight="1">
      <c r="A444" s="3"/>
    </row>
    <row r="445" ht="12.75" customHeight="1">
      <c r="A445" s="3"/>
    </row>
    <row r="446" ht="12.75" customHeight="1">
      <c r="A446" s="3"/>
    </row>
    <row r="447" ht="12.75" customHeight="1">
      <c r="A447" s="3"/>
    </row>
    <row r="448" ht="12.75" customHeight="1">
      <c r="A448" s="3"/>
    </row>
    <row r="449" ht="12.75" customHeight="1">
      <c r="A449" s="3"/>
    </row>
    <row r="450" ht="12.75" customHeight="1">
      <c r="A450" s="3"/>
    </row>
    <row r="451" ht="12.75" customHeight="1">
      <c r="A451" s="3"/>
    </row>
    <row r="452" ht="12.75" customHeight="1">
      <c r="A452" s="3"/>
    </row>
    <row r="453" ht="12.75" customHeight="1">
      <c r="A453" s="3"/>
    </row>
    <row r="454" ht="12.75" customHeight="1">
      <c r="A454" s="3"/>
    </row>
    <row r="455" ht="12.75" customHeight="1">
      <c r="A455" s="3"/>
    </row>
    <row r="456" ht="12.75" customHeight="1">
      <c r="A456" s="3"/>
    </row>
    <row r="457" ht="12.75" customHeight="1">
      <c r="A457" s="3"/>
    </row>
    <row r="458" ht="12.75" customHeight="1">
      <c r="A458" s="3"/>
    </row>
    <row r="459" ht="12.75" customHeight="1">
      <c r="A459" s="3"/>
    </row>
    <row r="460" ht="12.75" customHeight="1">
      <c r="A460" s="3"/>
    </row>
    <row r="461" ht="12.75" customHeight="1">
      <c r="A461" s="3"/>
    </row>
    <row r="462" ht="12.75" customHeight="1">
      <c r="A462" s="3"/>
    </row>
    <row r="463" ht="12.75" customHeight="1">
      <c r="A463" s="3"/>
    </row>
    <row r="464" ht="12.75" customHeight="1">
      <c r="A464" s="3"/>
    </row>
    <row r="465" ht="12.75" customHeight="1">
      <c r="A465" s="3"/>
    </row>
    <row r="466" ht="12.75" customHeight="1">
      <c r="A466" s="3"/>
    </row>
    <row r="467" ht="12.75" customHeight="1">
      <c r="A467" s="3"/>
    </row>
    <row r="468" ht="12.75" customHeight="1">
      <c r="A468" s="3"/>
    </row>
    <row r="469" ht="12.75" customHeight="1">
      <c r="A469" s="3"/>
    </row>
    <row r="470" ht="12.75" customHeight="1">
      <c r="A470" s="3"/>
    </row>
    <row r="471" ht="12.75" customHeight="1">
      <c r="A471" s="3"/>
    </row>
    <row r="472" ht="12.75" customHeight="1">
      <c r="A472" s="3"/>
    </row>
    <row r="473" ht="12.75" customHeight="1">
      <c r="A473" s="3"/>
    </row>
    <row r="474" ht="12.75" customHeight="1">
      <c r="A474" s="3"/>
    </row>
    <row r="475" ht="12.75" customHeight="1">
      <c r="A475" s="3"/>
    </row>
    <row r="476" ht="12.75" customHeight="1">
      <c r="A476" s="3"/>
    </row>
    <row r="477" ht="12.75" customHeight="1">
      <c r="A477" s="3"/>
    </row>
    <row r="478" ht="12.75" customHeight="1">
      <c r="A478" s="3"/>
    </row>
    <row r="479" ht="12.75" customHeight="1">
      <c r="A479" s="3"/>
    </row>
    <row r="480" ht="12.75" customHeight="1">
      <c r="A480" s="3"/>
    </row>
    <row r="481" ht="12.75" customHeight="1">
      <c r="A481" s="3"/>
    </row>
    <row r="482" ht="12.75" customHeight="1">
      <c r="A482" s="3"/>
    </row>
    <row r="483" ht="12.75" customHeight="1">
      <c r="A483" s="3"/>
    </row>
    <row r="484" ht="12.75" customHeight="1">
      <c r="A484" s="3"/>
    </row>
    <row r="485" ht="12.75" customHeight="1">
      <c r="A485" s="3"/>
    </row>
    <row r="486" ht="12.75" customHeight="1">
      <c r="A486" s="3"/>
    </row>
    <row r="487" ht="12.75" customHeight="1">
      <c r="A487" s="3"/>
    </row>
    <row r="488" ht="12.75" customHeight="1">
      <c r="A488" s="3"/>
    </row>
    <row r="489" ht="12.75" customHeight="1">
      <c r="A489" s="3"/>
    </row>
    <row r="490" ht="12.75" customHeight="1">
      <c r="A490" s="3"/>
    </row>
    <row r="491" ht="12.75" customHeight="1">
      <c r="A491" s="3"/>
    </row>
    <row r="492" ht="12.75" customHeight="1">
      <c r="A492" s="3"/>
    </row>
    <row r="493" ht="12.75" customHeight="1">
      <c r="A493" s="3"/>
    </row>
    <row r="494" ht="12.75" customHeight="1">
      <c r="A494" s="3"/>
    </row>
    <row r="495" ht="12.75" customHeight="1">
      <c r="A495" s="3"/>
    </row>
    <row r="496" ht="12.75" customHeight="1">
      <c r="A496" s="3"/>
    </row>
    <row r="497" ht="12.75" customHeight="1">
      <c r="A497" s="3"/>
    </row>
    <row r="498" ht="12.75" customHeight="1">
      <c r="A498" s="3"/>
    </row>
    <row r="499" ht="12.75" customHeight="1">
      <c r="A499" s="3"/>
    </row>
    <row r="500" ht="12.75" customHeight="1">
      <c r="A500" s="3"/>
    </row>
    <row r="501" ht="12.75" customHeight="1">
      <c r="A501" s="3"/>
    </row>
    <row r="502" ht="12.75" customHeight="1">
      <c r="A502" s="3"/>
    </row>
    <row r="503" ht="12.75" customHeight="1">
      <c r="A503" s="3"/>
    </row>
    <row r="504" ht="12.75" customHeight="1">
      <c r="A504" s="3"/>
    </row>
    <row r="505" ht="12.75" customHeight="1">
      <c r="A505" s="3"/>
    </row>
    <row r="506" ht="12.75" customHeight="1">
      <c r="A506" s="3"/>
    </row>
    <row r="507" ht="12.75" customHeight="1">
      <c r="A507" s="3"/>
    </row>
    <row r="508" ht="12.75" customHeight="1">
      <c r="A508" s="3"/>
    </row>
    <row r="509" ht="12.75" customHeight="1">
      <c r="A509" s="3"/>
    </row>
    <row r="510" ht="12.75" customHeight="1">
      <c r="A510" s="3"/>
    </row>
    <row r="511" ht="12.75" customHeight="1">
      <c r="A511" s="3"/>
    </row>
    <row r="512" ht="12.75" customHeight="1">
      <c r="A512" s="3"/>
    </row>
    <row r="513" ht="12.75" customHeight="1">
      <c r="A513" s="3"/>
    </row>
    <row r="514" ht="12.75" customHeight="1">
      <c r="A514" s="3"/>
    </row>
    <row r="515" ht="12.75" customHeight="1">
      <c r="A515" s="3"/>
    </row>
    <row r="516" ht="12.75" customHeight="1">
      <c r="A516" s="3"/>
    </row>
    <row r="517" ht="12.75" customHeight="1">
      <c r="A517" s="3"/>
    </row>
    <row r="518" ht="12.75" customHeight="1">
      <c r="A518" s="3"/>
    </row>
    <row r="519" ht="12.75" customHeight="1">
      <c r="A519" s="3"/>
    </row>
    <row r="520" ht="12.75" customHeight="1">
      <c r="A520" s="3"/>
    </row>
    <row r="521" ht="12.75" customHeight="1">
      <c r="A521" s="3"/>
    </row>
    <row r="522" ht="12.75" customHeight="1">
      <c r="A522" s="3"/>
    </row>
    <row r="523" ht="12.75" customHeight="1">
      <c r="A523" s="3"/>
    </row>
    <row r="524" ht="12.75" customHeight="1">
      <c r="A524" s="3"/>
    </row>
    <row r="525" ht="12.75" customHeight="1">
      <c r="A525" s="3"/>
    </row>
    <row r="526" ht="12.75" customHeight="1">
      <c r="A526" s="3"/>
    </row>
    <row r="527" ht="12.75" customHeight="1">
      <c r="A527" s="3"/>
    </row>
    <row r="528" ht="12.75" customHeight="1">
      <c r="A528" s="3"/>
    </row>
    <row r="529" ht="12.75" customHeight="1">
      <c r="A529" s="3"/>
    </row>
    <row r="530" ht="12.75" customHeight="1">
      <c r="A530" s="3"/>
    </row>
    <row r="531" ht="12.75" customHeight="1">
      <c r="A531" s="3"/>
    </row>
    <row r="532" ht="12.75" customHeight="1">
      <c r="A532" s="3"/>
    </row>
    <row r="533" ht="12.75" customHeight="1">
      <c r="A533" s="3"/>
    </row>
    <row r="534" ht="12.75" customHeight="1">
      <c r="A534" s="3"/>
    </row>
    <row r="535" ht="12.75" customHeight="1">
      <c r="A535" s="3"/>
    </row>
    <row r="536" ht="12.75" customHeight="1">
      <c r="A536" s="3"/>
    </row>
    <row r="537" ht="12.75" customHeight="1">
      <c r="A537" s="3"/>
    </row>
    <row r="538" ht="12.75" customHeight="1">
      <c r="A538" s="3"/>
    </row>
    <row r="539" ht="12.75" customHeight="1">
      <c r="A539" s="3"/>
    </row>
    <row r="540" ht="12.75" customHeight="1">
      <c r="A540" s="3"/>
    </row>
    <row r="541" ht="12.75" customHeight="1">
      <c r="A541" s="3"/>
    </row>
    <row r="542" ht="12.75" customHeight="1">
      <c r="A542" s="3"/>
    </row>
    <row r="543" ht="12.75" customHeight="1">
      <c r="A543" s="3"/>
    </row>
    <row r="544" ht="12.75" customHeight="1">
      <c r="A544" s="3"/>
    </row>
    <row r="545" ht="12.75" customHeight="1">
      <c r="A545" s="3"/>
    </row>
    <row r="546" ht="12.75" customHeight="1">
      <c r="A546" s="3"/>
    </row>
    <row r="547" ht="12.75" customHeight="1">
      <c r="A547" s="3"/>
    </row>
    <row r="548" ht="12.75" customHeight="1">
      <c r="A548" s="3"/>
    </row>
    <row r="549" ht="12.75" customHeight="1">
      <c r="A549" s="3"/>
    </row>
    <row r="550" ht="12.75" customHeight="1">
      <c r="A550" s="3"/>
    </row>
    <row r="551" ht="12.75" customHeight="1">
      <c r="A551" s="3"/>
    </row>
    <row r="552" ht="12.75" customHeight="1">
      <c r="A552" s="3"/>
    </row>
    <row r="553" ht="12.75" customHeight="1">
      <c r="A553" s="3"/>
    </row>
    <row r="554" ht="12.75" customHeight="1">
      <c r="A554" s="3"/>
    </row>
    <row r="555" ht="12.75" customHeight="1">
      <c r="A555" s="3"/>
    </row>
    <row r="556" ht="12.75" customHeight="1">
      <c r="A556" s="3"/>
    </row>
    <row r="557" ht="12.75" customHeight="1">
      <c r="A557" s="3"/>
    </row>
    <row r="558" ht="12.75" customHeight="1">
      <c r="A558" s="3"/>
    </row>
    <row r="559" ht="12.75" customHeight="1">
      <c r="A559" s="3"/>
    </row>
    <row r="560" ht="12.75" customHeight="1">
      <c r="A560" s="3"/>
    </row>
    <row r="561" ht="12.75" customHeight="1">
      <c r="A561" s="3"/>
    </row>
    <row r="562" ht="12.75" customHeight="1">
      <c r="A562" s="3"/>
    </row>
    <row r="563" ht="12.75" customHeight="1">
      <c r="A563" s="3"/>
    </row>
    <row r="564" ht="12.75" customHeight="1">
      <c r="A564" s="3"/>
    </row>
    <row r="565" ht="12.75" customHeight="1">
      <c r="A565" s="3"/>
    </row>
    <row r="566" ht="12.75" customHeight="1">
      <c r="A566" s="3"/>
    </row>
    <row r="567" ht="12.75" customHeight="1">
      <c r="A567" s="3"/>
    </row>
    <row r="568" ht="12.75" customHeight="1">
      <c r="A568" s="3"/>
    </row>
    <row r="569" ht="12.75" customHeight="1">
      <c r="A569" s="3"/>
    </row>
    <row r="570" ht="12.75" customHeight="1">
      <c r="A570" s="3"/>
    </row>
    <row r="571" ht="12.75" customHeight="1">
      <c r="A571" s="3"/>
    </row>
    <row r="572" ht="12.75" customHeight="1">
      <c r="A572" s="3"/>
    </row>
    <row r="573" ht="12.75" customHeight="1">
      <c r="A573" s="3"/>
    </row>
    <row r="574" ht="12.75" customHeight="1">
      <c r="A574" s="3"/>
    </row>
    <row r="575" ht="12.75" customHeight="1">
      <c r="A575" s="3"/>
    </row>
    <row r="576" ht="12.75" customHeight="1">
      <c r="A576" s="3"/>
    </row>
    <row r="577" ht="12.75" customHeight="1">
      <c r="A577" s="3"/>
    </row>
    <row r="578" ht="12.75" customHeight="1">
      <c r="A578" s="3"/>
    </row>
    <row r="579" ht="12.75" customHeight="1">
      <c r="A579" s="3"/>
    </row>
    <row r="580" ht="12.75" customHeight="1">
      <c r="A580" s="3"/>
    </row>
    <row r="581" ht="12.75" customHeight="1">
      <c r="A581" s="3"/>
    </row>
    <row r="582" ht="12.75" customHeight="1">
      <c r="A582" s="3"/>
    </row>
    <row r="583" ht="12.75" customHeight="1">
      <c r="A583" s="3"/>
    </row>
    <row r="584" ht="12.75" customHeight="1">
      <c r="A584" s="3"/>
    </row>
    <row r="585" ht="12.75" customHeight="1">
      <c r="A585" s="3"/>
    </row>
    <row r="586" ht="12.75" customHeight="1">
      <c r="A586" s="3"/>
    </row>
    <row r="587" ht="12.75" customHeight="1">
      <c r="A587" s="3"/>
    </row>
    <row r="588" ht="12.75" customHeight="1">
      <c r="A588" s="3"/>
    </row>
    <row r="589" ht="12.75" customHeight="1">
      <c r="A589" s="3"/>
    </row>
    <row r="590" ht="12.75" customHeight="1">
      <c r="A590" s="3"/>
    </row>
    <row r="591" ht="12.75" customHeight="1">
      <c r="A591" s="3"/>
    </row>
    <row r="592" ht="12.75" customHeight="1">
      <c r="A592" s="3"/>
    </row>
    <row r="593" ht="12.75" customHeight="1">
      <c r="A593" s="3"/>
    </row>
    <row r="594" ht="12.75" customHeight="1">
      <c r="A594" s="3"/>
    </row>
    <row r="595" ht="12.75" customHeight="1">
      <c r="A595" s="3"/>
    </row>
    <row r="596" ht="12.75" customHeight="1">
      <c r="A596" s="3"/>
    </row>
    <row r="597" ht="12.75" customHeight="1">
      <c r="A597" s="3"/>
    </row>
    <row r="598" ht="12.75" customHeight="1">
      <c r="A598" s="3"/>
    </row>
    <row r="599" ht="12.75" customHeight="1">
      <c r="A599" s="3"/>
    </row>
    <row r="600" ht="12.75" customHeight="1">
      <c r="A600" s="3"/>
    </row>
    <row r="601" ht="12.75" customHeight="1">
      <c r="A601" s="3"/>
    </row>
    <row r="602" ht="12.75" customHeight="1">
      <c r="A602" s="3"/>
    </row>
    <row r="603" ht="12.75" customHeight="1">
      <c r="A603" s="3"/>
    </row>
    <row r="604" ht="12.75" customHeight="1">
      <c r="A604" s="3"/>
    </row>
    <row r="605" ht="12.75" customHeight="1">
      <c r="A605" s="3"/>
    </row>
    <row r="606" ht="12.75" customHeight="1">
      <c r="A606" s="3"/>
    </row>
    <row r="607" ht="12.75" customHeight="1">
      <c r="A607" s="3"/>
    </row>
    <row r="608" ht="12.75" customHeight="1">
      <c r="A608" s="3"/>
    </row>
    <row r="609" ht="12.75" customHeight="1">
      <c r="A609" s="3"/>
    </row>
    <row r="610" ht="12.75" customHeight="1">
      <c r="A610" s="3"/>
    </row>
    <row r="611" ht="12.75" customHeight="1">
      <c r="A611" s="3"/>
    </row>
    <row r="612" ht="12.75" customHeight="1">
      <c r="A612" s="3"/>
    </row>
    <row r="613" ht="12.75" customHeight="1">
      <c r="A613" s="3"/>
    </row>
    <row r="614" ht="12.75" customHeight="1">
      <c r="A614" s="3"/>
    </row>
    <row r="615" ht="12.75" customHeight="1">
      <c r="A615" s="3"/>
    </row>
    <row r="616" ht="12.75" customHeight="1">
      <c r="A616" s="3"/>
    </row>
    <row r="617" ht="12.75" customHeight="1">
      <c r="A617" s="3"/>
    </row>
    <row r="618" ht="12.75" customHeight="1">
      <c r="A618" s="3"/>
    </row>
    <row r="619" ht="12.75" customHeight="1">
      <c r="A619" s="3"/>
    </row>
    <row r="620" ht="12.75" customHeight="1">
      <c r="A620" s="3"/>
    </row>
    <row r="621" ht="12.75" customHeight="1">
      <c r="A621" s="3"/>
    </row>
    <row r="622" ht="12.75" customHeight="1">
      <c r="A622" s="3"/>
    </row>
    <row r="623" ht="12.75" customHeight="1">
      <c r="A623" s="3"/>
    </row>
    <row r="624" ht="12.75" customHeight="1">
      <c r="A624" s="3"/>
    </row>
    <row r="625" ht="12.75" customHeight="1">
      <c r="A625" s="3"/>
    </row>
    <row r="626" ht="12.75" customHeight="1">
      <c r="A626" s="3"/>
    </row>
    <row r="627" ht="12.75" customHeight="1">
      <c r="A627" s="3"/>
    </row>
    <row r="628" ht="12.75" customHeight="1">
      <c r="A628" s="3"/>
    </row>
    <row r="629" ht="12.75" customHeight="1">
      <c r="A629" s="3"/>
    </row>
    <row r="630" ht="12.75" customHeight="1">
      <c r="A630" s="3"/>
    </row>
    <row r="631" ht="12.75" customHeight="1">
      <c r="A631" s="3"/>
    </row>
    <row r="632" ht="12.75" customHeight="1">
      <c r="A632" s="3"/>
    </row>
    <row r="633" ht="12.75" customHeight="1">
      <c r="A633" s="3"/>
    </row>
    <row r="634" ht="12.75" customHeight="1">
      <c r="A634" s="3"/>
    </row>
    <row r="635" ht="12.75" customHeight="1">
      <c r="A635" s="3"/>
    </row>
    <row r="636" ht="12.75" customHeight="1">
      <c r="A636" s="3"/>
    </row>
    <row r="637" ht="12.75" customHeight="1">
      <c r="A637" s="3"/>
    </row>
    <row r="638" ht="12.75" customHeight="1">
      <c r="A638" s="3"/>
    </row>
    <row r="639" ht="12.75" customHeight="1">
      <c r="A639" s="3"/>
    </row>
    <row r="640" ht="12.75" customHeight="1">
      <c r="A640" s="3"/>
    </row>
    <row r="641" ht="12.75" customHeight="1">
      <c r="A641" s="3"/>
    </row>
    <row r="642" ht="12.75" customHeight="1">
      <c r="A642" s="3"/>
    </row>
    <row r="643" ht="12.75" customHeight="1">
      <c r="A643" s="3"/>
    </row>
    <row r="644" ht="12.75" customHeight="1">
      <c r="A644" s="3"/>
    </row>
    <row r="645" ht="12.75" customHeight="1">
      <c r="A645" s="3"/>
    </row>
    <row r="646" ht="12.75" customHeight="1">
      <c r="A646" s="3"/>
    </row>
    <row r="647" ht="12.75" customHeight="1">
      <c r="A647" s="3"/>
    </row>
    <row r="648" ht="12.75" customHeight="1">
      <c r="A648" s="3"/>
    </row>
    <row r="649" ht="12.75" customHeight="1">
      <c r="A649" s="3"/>
    </row>
    <row r="650" ht="12.75" customHeight="1">
      <c r="A650" s="3"/>
    </row>
    <row r="651" ht="12.75" customHeight="1">
      <c r="A651" s="3"/>
    </row>
    <row r="652" ht="12.75" customHeight="1">
      <c r="A652" s="3"/>
    </row>
    <row r="653" ht="12.75" customHeight="1">
      <c r="A653" s="3"/>
    </row>
    <row r="654" ht="12.75" customHeight="1">
      <c r="A654" s="3"/>
    </row>
    <row r="655" ht="12.75" customHeight="1">
      <c r="A655" s="3"/>
    </row>
    <row r="656" ht="12.75" customHeight="1">
      <c r="A656" s="3"/>
    </row>
    <row r="657" ht="12.75" customHeight="1">
      <c r="A657" s="3"/>
    </row>
    <row r="658" ht="12.75" customHeight="1">
      <c r="A658" s="3"/>
    </row>
    <row r="659" ht="12.75" customHeight="1">
      <c r="A659" s="3"/>
    </row>
    <row r="660" ht="12.75" customHeight="1">
      <c r="A660" s="3"/>
    </row>
    <row r="661" ht="12.75" customHeight="1">
      <c r="A661" s="3"/>
    </row>
    <row r="662" ht="12.75" customHeight="1">
      <c r="A662" s="3"/>
    </row>
    <row r="663" ht="12.75" customHeight="1">
      <c r="A663" s="3"/>
    </row>
    <row r="664" ht="12.75" customHeight="1">
      <c r="A664" s="3"/>
    </row>
    <row r="665" ht="12.75" customHeight="1">
      <c r="A665" s="3"/>
    </row>
    <row r="666" ht="12.75" customHeight="1">
      <c r="A666" s="3"/>
    </row>
    <row r="667" ht="12.75" customHeight="1">
      <c r="A667" s="3"/>
    </row>
    <row r="668" ht="12.75" customHeight="1">
      <c r="A668" s="3"/>
    </row>
    <row r="669" ht="12.75" customHeight="1">
      <c r="A669" s="3"/>
    </row>
    <row r="670" ht="12.75" customHeight="1">
      <c r="A670" s="3"/>
    </row>
    <row r="671" ht="12.75" customHeight="1">
      <c r="A671" s="3"/>
    </row>
    <row r="672" ht="12.75" customHeight="1">
      <c r="A672" s="3"/>
    </row>
    <row r="673" ht="12.75" customHeight="1">
      <c r="A673" s="3"/>
    </row>
    <row r="674" ht="12.75" customHeight="1">
      <c r="A674" s="3"/>
    </row>
    <row r="675" ht="12.75" customHeight="1">
      <c r="A675" s="3"/>
    </row>
    <row r="676" ht="12.75" customHeight="1">
      <c r="A676" s="3"/>
    </row>
    <row r="677" ht="12.75" customHeight="1">
      <c r="A677" s="3"/>
    </row>
    <row r="678" ht="12.75" customHeight="1">
      <c r="A678" s="3"/>
    </row>
    <row r="679" ht="12.75" customHeight="1">
      <c r="A679" s="3"/>
    </row>
    <row r="680" ht="12.75" customHeight="1">
      <c r="A680" s="3"/>
    </row>
    <row r="681" ht="12.75" customHeight="1">
      <c r="A681" s="3"/>
    </row>
    <row r="682" ht="12.75" customHeight="1">
      <c r="A682" s="3"/>
    </row>
    <row r="683" ht="12.75" customHeight="1">
      <c r="A683" s="3"/>
    </row>
    <row r="684" ht="12.75" customHeight="1">
      <c r="A684" s="3"/>
    </row>
    <row r="685" ht="12.75" customHeight="1">
      <c r="A685" s="3"/>
    </row>
    <row r="686" ht="12.75" customHeight="1">
      <c r="A686" s="3"/>
    </row>
    <row r="687" ht="12.75" customHeight="1">
      <c r="A687" s="3"/>
    </row>
    <row r="688" ht="12.75" customHeight="1">
      <c r="A688" s="3"/>
    </row>
    <row r="689" ht="12.75" customHeight="1">
      <c r="A689" s="3"/>
    </row>
    <row r="690" ht="12.75" customHeight="1">
      <c r="A690" s="3"/>
    </row>
    <row r="691" ht="12.75" customHeight="1">
      <c r="A691" s="3"/>
    </row>
    <row r="692" ht="12.75" customHeight="1">
      <c r="A692" s="3"/>
    </row>
    <row r="693" ht="12.75" customHeight="1">
      <c r="A693" s="3"/>
    </row>
    <row r="694" ht="12.75" customHeight="1">
      <c r="A694" s="3"/>
    </row>
    <row r="695" ht="12.75" customHeight="1">
      <c r="A695" s="3"/>
    </row>
    <row r="696" ht="12.75" customHeight="1">
      <c r="A696" s="3"/>
    </row>
    <row r="697" ht="12.75" customHeight="1">
      <c r="A697" s="3"/>
    </row>
    <row r="698" ht="12.75" customHeight="1">
      <c r="A698" s="3"/>
    </row>
    <row r="699" ht="12.75" customHeight="1">
      <c r="A699" s="3"/>
    </row>
    <row r="700" ht="12.75" customHeight="1">
      <c r="A700" s="3"/>
    </row>
    <row r="701" ht="12.75" customHeight="1">
      <c r="A701" s="3"/>
    </row>
    <row r="702" ht="12.75" customHeight="1">
      <c r="A702" s="3"/>
    </row>
    <row r="703" ht="12.75" customHeight="1">
      <c r="A703" s="3"/>
    </row>
    <row r="704" ht="12.75" customHeight="1">
      <c r="A704" s="3"/>
    </row>
    <row r="705" ht="12.75" customHeight="1">
      <c r="A705" s="3"/>
    </row>
    <row r="706" ht="12.75" customHeight="1">
      <c r="A706" s="3"/>
    </row>
    <row r="707" ht="12.75" customHeight="1">
      <c r="A707" s="3"/>
    </row>
    <row r="708" ht="12.75" customHeight="1">
      <c r="A708" s="3"/>
    </row>
    <row r="709" ht="12.75" customHeight="1">
      <c r="A709" s="3"/>
    </row>
    <row r="710" ht="12.75" customHeight="1">
      <c r="A710" s="3"/>
    </row>
    <row r="711" ht="12.75" customHeight="1">
      <c r="A711" s="3"/>
    </row>
    <row r="712" ht="12.75" customHeight="1">
      <c r="A712" s="3"/>
    </row>
    <row r="713" ht="12.75" customHeight="1">
      <c r="A713" s="3"/>
    </row>
    <row r="714" ht="12.75" customHeight="1">
      <c r="A714" s="3"/>
    </row>
    <row r="715" ht="12.75" customHeight="1">
      <c r="A715" s="3"/>
    </row>
    <row r="716" ht="12.75" customHeight="1">
      <c r="A716" s="3"/>
    </row>
    <row r="717" ht="12.75" customHeight="1">
      <c r="A717" s="3"/>
    </row>
    <row r="718" ht="12.75" customHeight="1">
      <c r="A718" s="3"/>
    </row>
    <row r="719" ht="12.75" customHeight="1">
      <c r="A719" s="3"/>
    </row>
    <row r="720" ht="12.75" customHeight="1">
      <c r="A720" s="3"/>
    </row>
    <row r="721" ht="12.75" customHeight="1">
      <c r="A721" s="3"/>
    </row>
    <row r="722" ht="12.75" customHeight="1">
      <c r="A722" s="3"/>
    </row>
    <row r="723" ht="12.75" customHeight="1">
      <c r="A723" s="3"/>
    </row>
    <row r="724" ht="12.75" customHeight="1">
      <c r="A724" s="3"/>
    </row>
    <row r="725" ht="12.75" customHeight="1">
      <c r="A725" s="3"/>
    </row>
    <row r="726" ht="12.75" customHeight="1">
      <c r="A726" s="3"/>
    </row>
    <row r="727" ht="12.75" customHeight="1">
      <c r="A727" s="3"/>
    </row>
    <row r="728" ht="12.75" customHeight="1">
      <c r="A728" s="3"/>
    </row>
    <row r="729" ht="12.75" customHeight="1">
      <c r="A729" s="3"/>
    </row>
    <row r="730" ht="12.75" customHeight="1">
      <c r="A730" s="3"/>
    </row>
    <row r="731" ht="12.75" customHeight="1">
      <c r="A731" s="3"/>
    </row>
    <row r="732" ht="12.75" customHeight="1">
      <c r="A732" s="3"/>
    </row>
    <row r="733" ht="12.75" customHeight="1">
      <c r="A733" s="3"/>
    </row>
    <row r="734" ht="12.75" customHeight="1">
      <c r="A734" s="3"/>
    </row>
    <row r="735" ht="12.75" customHeight="1">
      <c r="A735" s="3"/>
    </row>
    <row r="736" ht="12.75" customHeight="1">
      <c r="A736" s="3"/>
    </row>
    <row r="737" ht="12.75" customHeight="1">
      <c r="A737" s="3"/>
    </row>
    <row r="738" ht="12.75" customHeight="1">
      <c r="A738" s="3"/>
    </row>
    <row r="739" ht="12.75" customHeight="1">
      <c r="A739" s="3"/>
    </row>
    <row r="740" ht="12.75" customHeight="1">
      <c r="A740" s="3"/>
    </row>
    <row r="741" ht="12.75" customHeight="1">
      <c r="A741" s="3"/>
    </row>
    <row r="742" ht="12.75" customHeight="1">
      <c r="A742" s="3"/>
    </row>
    <row r="743" ht="12.75" customHeight="1">
      <c r="A743" s="3"/>
    </row>
    <row r="744" ht="12.75" customHeight="1">
      <c r="A744" s="3"/>
    </row>
    <row r="745" ht="12.75" customHeight="1">
      <c r="A745" s="3"/>
    </row>
    <row r="746" ht="12.75" customHeight="1">
      <c r="A746" s="3"/>
    </row>
    <row r="747" ht="12.75" customHeight="1">
      <c r="A747" s="3"/>
    </row>
    <row r="748" ht="12.75" customHeight="1">
      <c r="A748" s="3"/>
    </row>
    <row r="749" ht="12.75" customHeight="1">
      <c r="A749" s="3"/>
    </row>
    <row r="750" ht="12.75" customHeight="1">
      <c r="A750" s="3"/>
    </row>
    <row r="751" ht="12.75" customHeight="1">
      <c r="A751" s="3"/>
    </row>
    <row r="752" ht="12.75" customHeight="1">
      <c r="A752" s="3"/>
    </row>
    <row r="753" ht="12.75" customHeight="1">
      <c r="A753" s="3"/>
    </row>
    <row r="754" ht="12.75" customHeight="1">
      <c r="A754" s="3"/>
    </row>
    <row r="755" ht="12.75" customHeight="1">
      <c r="A755" s="3"/>
    </row>
    <row r="756" ht="12.75" customHeight="1">
      <c r="A756" s="3"/>
    </row>
    <row r="757" ht="12.75" customHeight="1">
      <c r="A757" s="3"/>
    </row>
    <row r="758" ht="12.75" customHeight="1">
      <c r="A758" s="3"/>
    </row>
    <row r="759" ht="12.75" customHeight="1">
      <c r="A759" s="3"/>
    </row>
    <row r="760" ht="12.75" customHeight="1">
      <c r="A760" s="3"/>
    </row>
    <row r="761" ht="12.75" customHeight="1">
      <c r="A761" s="3"/>
    </row>
    <row r="762" ht="12.75" customHeight="1">
      <c r="A762" s="3"/>
    </row>
    <row r="763" ht="12.75" customHeight="1">
      <c r="A763" s="3"/>
    </row>
    <row r="764" ht="12.75" customHeight="1">
      <c r="A764" s="3"/>
    </row>
    <row r="765" ht="12.75" customHeight="1">
      <c r="A765" s="3"/>
    </row>
    <row r="766" ht="12.75" customHeight="1">
      <c r="A766" s="3"/>
    </row>
    <row r="767" ht="12.75" customHeight="1">
      <c r="A767" s="3"/>
    </row>
    <row r="768" ht="12.75" customHeight="1">
      <c r="A768" s="3"/>
    </row>
    <row r="769" ht="12.75" customHeight="1">
      <c r="A769" s="3"/>
    </row>
    <row r="770" ht="12.75" customHeight="1">
      <c r="A770" s="3"/>
    </row>
    <row r="771" ht="12.75" customHeight="1">
      <c r="A771" s="3"/>
    </row>
    <row r="772" ht="12.75" customHeight="1">
      <c r="A772" s="3"/>
    </row>
    <row r="773" ht="12.75" customHeight="1">
      <c r="A773" s="3"/>
    </row>
    <row r="774" ht="12.75" customHeight="1">
      <c r="A774" s="3"/>
    </row>
    <row r="775" ht="12.75" customHeight="1">
      <c r="A775" s="3"/>
    </row>
    <row r="776" ht="12.75" customHeight="1">
      <c r="A776" s="3"/>
    </row>
    <row r="777" ht="12.75" customHeight="1">
      <c r="A777" s="3"/>
    </row>
    <row r="778" ht="12.75" customHeight="1">
      <c r="A778" s="3"/>
    </row>
    <row r="779" ht="12.75" customHeight="1">
      <c r="A779" s="3"/>
    </row>
    <row r="780" ht="12.75" customHeight="1">
      <c r="A780" s="3"/>
    </row>
    <row r="781" ht="12.75" customHeight="1">
      <c r="A781" s="3"/>
    </row>
    <row r="782" ht="12.75" customHeight="1">
      <c r="A782" s="3"/>
    </row>
    <row r="783" ht="12.75" customHeight="1">
      <c r="A783" s="3"/>
    </row>
    <row r="784" ht="12.75" customHeight="1">
      <c r="A784" s="3"/>
    </row>
    <row r="785" ht="12.75" customHeight="1">
      <c r="A785" s="3"/>
    </row>
    <row r="786" ht="12.75" customHeight="1">
      <c r="A786" s="3"/>
    </row>
    <row r="787" ht="12.75" customHeight="1">
      <c r="A787" s="3"/>
    </row>
    <row r="788" ht="12.75" customHeight="1">
      <c r="A788" s="3"/>
    </row>
    <row r="789" ht="12.75" customHeight="1">
      <c r="A789" s="3"/>
    </row>
    <row r="790" ht="12.75" customHeight="1">
      <c r="A790" s="3"/>
    </row>
    <row r="791" ht="12.75" customHeight="1">
      <c r="A791" s="3"/>
    </row>
    <row r="792" ht="12.75" customHeight="1">
      <c r="A792" s="3"/>
    </row>
    <row r="793" ht="12.75" customHeight="1">
      <c r="A793" s="3"/>
    </row>
    <row r="794" ht="12.75" customHeight="1">
      <c r="A794" s="3"/>
    </row>
    <row r="795" ht="12.75" customHeight="1">
      <c r="A795" s="3"/>
    </row>
    <row r="796" ht="12.75" customHeight="1">
      <c r="A796" s="3"/>
    </row>
    <row r="797" ht="12.75" customHeight="1">
      <c r="A797" s="3"/>
    </row>
    <row r="798" ht="12.75" customHeight="1">
      <c r="A798" s="3"/>
    </row>
    <row r="799" ht="12.75" customHeight="1">
      <c r="A799" s="3"/>
    </row>
    <row r="800" ht="12.75" customHeight="1">
      <c r="A800" s="3"/>
    </row>
    <row r="801" ht="12.75" customHeight="1">
      <c r="A801" s="3"/>
    </row>
    <row r="802" ht="12.75" customHeight="1">
      <c r="A802" s="3"/>
    </row>
    <row r="803" ht="12.75" customHeight="1">
      <c r="A803" s="3"/>
    </row>
    <row r="804" ht="12.75" customHeight="1">
      <c r="A804" s="3"/>
    </row>
    <row r="805" ht="12.75" customHeight="1">
      <c r="A805" s="3"/>
    </row>
    <row r="806" ht="12.75" customHeight="1">
      <c r="A806" s="3"/>
    </row>
    <row r="807" ht="12.75" customHeight="1">
      <c r="A807" s="3"/>
    </row>
    <row r="808" ht="12.75" customHeight="1">
      <c r="A808" s="3"/>
    </row>
    <row r="809" ht="12.75" customHeight="1">
      <c r="A809" s="3"/>
    </row>
    <row r="810" ht="12.75" customHeight="1">
      <c r="A810" s="3"/>
    </row>
    <row r="811" ht="12.75" customHeight="1">
      <c r="A811" s="3"/>
    </row>
    <row r="812" ht="12.75" customHeight="1">
      <c r="A812" s="3"/>
    </row>
    <row r="813" ht="12.75" customHeight="1">
      <c r="A813" s="3"/>
    </row>
    <row r="814" ht="12.75" customHeight="1">
      <c r="A814" s="3"/>
    </row>
    <row r="815" ht="12.75" customHeight="1">
      <c r="A815" s="3"/>
    </row>
    <row r="816" ht="12.75" customHeight="1">
      <c r="A816" s="3"/>
    </row>
    <row r="817" ht="12.75" customHeight="1">
      <c r="A817" s="3"/>
    </row>
    <row r="818" ht="12.75" customHeight="1">
      <c r="A818" s="3"/>
    </row>
    <row r="819" ht="12.75" customHeight="1">
      <c r="A819" s="3"/>
    </row>
    <row r="820" ht="12.75" customHeight="1">
      <c r="A820" s="3"/>
    </row>
    <row r="821" ht="12.75" customHeight="1">
      <c r="A821" s="3"/>
    </row>
    <row r="822" ht="12.75" customHeight="1">
      <c r="A822" s="3"/>
    </row>
    <row r="823" ht="12.75" customHeight="1">
      <c r="A823" s="3"/>
    </row>
    <row r="824" ht="12.75" customHeight="1">
      <c r="A824" s="3"/>
    </row>
    <row r="825" ht="12.75" customHeight="1">
      <c r="A825" s="3"/>
    </row>
    <row r="826" ht="12.75" customHeight="1">
      <c r="A826" s="3"/>
    </row>
    <row r="827" ht="12.75" customHeight="1">
      <c r="A827" s="3"/>
    </row>
    <row r="828" ht="12.75" customHeight="1">
      <c r="A828" s="3"/>
    </row>
    <row r="829" ht="12.75" customHeight="1">
      <c r="A829" s="3"/>
    </row>
    <row r="830" ht="12.75" customHeight="1">
      <c r="A830" s="3"/>
    </row>
    <row r="831" ht="12.75" customHeight="1">
      <c r="A831" s="3"/>
    </row>
    <row r="832" ht="12.75" customHeight="1">
      <c r="A832" s="3"/>
    </row>
    <row r="833" ht="12.75" customHeight="1">
      <c r="A833" s="3"/>
    </row>
    <row r="834" ht="12.75" customHeight="1">
      <c r="A834" s="3"/>
    </row>
    <row r="835" ht="12.75" customHeight="1">
      <c r="A835" s="3"/>
    </row>
    <row r="836" ht="12.75" customHeight="1">
      <c r="A836" s="3"/>
    </row>
    <row r="837" ht="12.75" customHeight="1">
      <c r="A837" s="3"/>
    </row>
    <row r="838" ht="12.75" customHeight="1">
      <c r="A838" s="3"/>
    </row>
    <row r="839" ht="12.75" customHeight="1">
      <c r="A839" s="3"/>
    </row>
    <row r="840" ht="12.75" customHeight="1">
      <c r="A840" s="3"/>
    </row>
    <row r="841" ht="12.75" customHeight="1">
      <c r="A841" s="3"/>
    </row>
    <row r="842" ht="12.75" customHeight="1">
      <c r="A842" s="3"/>
    </row>
    <row r="843" ht="12.75" customHeight="1">
      <c r="A843" s="3"/>
    </row>
    <row r="844" ht="12.75" customHeight="1">
      <c r="A844" s="3"/>
    </row>
    <row r="845" ht="12.75" customHeight="1">
      <c r="A845" s="3"/>
    </row>
    <row r="846" ht="12.75" customHeight="1">
      <c r="A846" s="3"/>
    </row>
    <row r="847" ht="12.75" customHeight="1">
      <c r="A847" s="3"/>
    </row>
    <row r="848" ht="12.75" customHeight="1">
      <c r="A848" s="3"/>
    </row>
    <row r="849" ht="12.75" customHeight="1">
      <c r="A849" s="3"/>
    </row>
    <row r="850" ht="12.75" customHeight="1">
      <c r="A850" s="3"/>
    </row>
    <row r="851" ht="12.75" customHeight="1">
      <c r="A851" s="3"/>
    </row>
    <row r="852" ht="12.75" customHeight="1">
      <c r="A852" s="3"/>
    </row>
    <row r="853" ht="12.75" customHeight="1">
      <c r="A853" s="3"/>
    </row>
    <row r="854" ht="12.75" customHeight="1">
      <c r="A854" s="3"/>
    </row>
    <row r="855" ht="12.75" customHeight="1">
      <c r="A855" s="3"/>
    </row>
    <row r="856" ht="12.75" customHeight="1">
      <c r="A856" s="3"/>
    </row>
    <row r="857" ht="12.75" customHeight="1">
      <c r="A857" s="3"/>
    </row>
    <row r="858" ht="12.75" customHeight="1">
      <c r="A858" s="3"/>
    </row>
    <row r="859" ht="12.75" customHeight="1">
      <c r="A859" s="3"/>
    </row>
    <row r="860" ht="12.75" customHeight="1">
      <c r="A860" s="3"/>
    </row>
    <row r="861" ht="12.75" customHeight="1">
      <c r="A861" s="3"/>
    </row>
    <row r="862" ht="12.75" customHeight="1">
      <c r="A862" s="3"/>
    </row>
    <row r="863" ht="12.75" customHeight="1">
      <c r="A863" s="3"/>
    </row>
    <row r="864" ht="12.75" customHeight="1">
      <c r="A864" s="3"/>
    </row>
    <row r="865" ht="12.75" customHeight="1">
      <c r="A865" s="3"/>
    </row>
    <row r="866" ht="12.75" customHeight="1">
      <c r="A866" s="3"/>
    </row>
    <row r="867" ht="12.75" customHeight="1">
      <c r="A867" s="3"/>
    </row>
    <row r="868" ht="12.75" customHeight="1">
      <c r="A868" s="3"/>
    </row>
    <row r="869" ht="12.75" customHeight="1">
      <c r="A869" s="3"/>
    </row>
    <row r="870" ht="12.75" customHeight="1">
      <c r="A870" s="3"/>
    </row>
    <row r="871" ht="12.75" customHeight="1">
      <c r="A871" s="3"/>
    </row>
    <row r="872" ht="12.75" customHeight="1">
      <c r="A872" s="3"/>
    </row>
    <row r="873" ht="12.75" customHeight="1">
      <c r="A873" s="3"/>
    </row>
    <row r="874" ht="12.75" customHeight="1">
      <c r="A874" s="3"/>
    </row>
    <row r="875" ht="12.75" customHeight="1">
      <c r="A875" s="3"/>
    </row>
    <row r="876" ht="12.75" customHeight="1">
      <c r="A876" s="3"/>
    </row>
    <row r="877" ht="12.75" customHeight="1">
      <c r="A877" s="3"/>
    </row>
    <row r="878" ht="12.75" customHeight="1">
      <c r="A878" s="3"/>
    </row>
    <row r="879" ht="12.75" customHeight="1">
      <c r="A879" s="3"/>
    </row>
    <row r="880" ht="12.75" customHeight="1">
      <c r="A880" s="3"/>
    </row>
    <row r="881" ht="12.75" customHeight="1">
      <c r="A881" s="3"/>
    </row>
    <row r="882" ht="12.75" customHeight="1">
      <c r="A882" s="3"/>
    </row>
    <row r="883" ht="12.75" customHeight="1">
      <c r="A883" s="3"/>
    </row>
    <row r="884" ht="12.75" customHeight="1">
      <c r="A884" s="3"/>
    </row>
    <row r="885" ht="12.75" customHeight="1">
      <c r="A885" s="3"/>
    </row>
    <row r="886" ht="12.75" customHeight="1">
      <c r="A886" s="3"/>
    </row>
    <row r="887" ht="12.75" customHeight="1">
      <c r="A887" s="3"/>
    </row>
    <row r="888" ht="12.75" customHeight="1">
      <c r="A888" s="3"/>
    </row>
    <row r="889" ht="12.75" customHeight="1">
      <c r="A889" s="3"/>
    </row>
    <row r="890" ht="12.75" customHeight="1">
      <c r="A890" s="3"/>
    </row>
    <row r="891" ht="12.75" customHeight="1">
      <c r="A891" s="3"/>
    </row>
    <row r="892" ht="12.75" customHeight="1">
      <c r="A892" s="3"/>
    </row>
    <row r="893" ht="12.75" customHeight="1">
      <c r="A893" s="3"/>
    </row>
    <row r="894" ht="12.75" customHeight="1">
      <c r="A894" s="3"/>
    </row>
    <row r="895" ht="12.75" customHeight="1">
      <c r="A895" s="3"/>
    </row>
    <row r="896" ht="12.75" customHeight="1">
      <c r="A896" s="3"/>
    </row>
    <row r="897" ht="12.75" customHeight="1">
      <c r="A897" s="3"/>
    </row>
    <row r="898" ht="12.75" customHeight="1">
      <c r="A898" s="3"/>
    </row>
    <row r="899" ht="12.75" customHeight="1">
      <c r="A899" s="3"/>
    </row>
    <row r="900" ht="12.75" customHeight="1">
      <c r="A900" s="3"/>
    </row>
    <row r="901" ht="12.75" customHeight="1">
      <c r="A901" s="3"/>
    </row>
    <row r="902" ht="12.75" customHeight="1">
      <c r="A902" s="3"/>
    </row>
    <row r="903" ht="12.75" customHeight="1">
      <c r="A903" s="3"/>
    </row>
    <row r="904" ht="12.75" customHeight="1">
      <c r="A904" s="3"/>
    </row>
    <row r="905" ht="12.75" customHeight="1">
      <c r="A905" s="3"/>
    </row>
    <row r="906" ht="12.75" customHeight="1">
      <c r="A906" s="3"/>
    </row>
    <row r="907" ht="12.75" customHeight="1">
      <c r="A907" s="3"/>
    </row>
    <row r="908" ht="12.75" customHeight="1">
      <c r="A908" s="3"/>
    </row>
    <row r="909" ht="12.75" customHeight="1">
      <c r="A909" s="3"/>
    </row>
    <row r="910" ht="12.75" customHeight="1">
      <c r="A910" s="3"/>
    </row>
    <row r="911" ht="12.75" customHeight="1">
      <c r="A911" s="3"/>
    </row>
    <row r="912" ht="12.75" customHeight="1">
      <c r="A912" s="3"/>
    </row>
    <row r="913" ht="12.75" customHeight="1">
      <c r="A913" s="3"/>
    </row>
    <row r="914" ht="12.75" customHeight="1">
      <c r="A914" s="3"/>
    </row>
    <row r="915" ht="12.75" customHeight="1">
      <c r="A915" s="3"/>
    </row>
    <row r="916" ht="12.75" customHeight="1">
      <c r="A916" s="3"/>
    </row>
    <row r="917" ht="12.75" customHeight="1">
      <c r="A917" s="3"/>
    </row>
    <row r="918" ht="12.75" customHeight="1">
      <c r="A918" s="3"/>
    </row>
    <row r="919" ht="12.75" customHeight="1">
      <c r="A919" s="3"/>
    </row>
    <row r="920" ht="12.75" customHeight="1">
      <c r="A920" s="3"/>
    </row>
    <row r="921" ht="12.75" customHeight="1">
      <c r="A921" s="3"/>
    </row>
    <row r="922" ht="12.75" customHeight="1">
      <c r="A922" s="3"/>
    </row>
    <row r="923" ht="12.75" customHeight="1">
      <c r="A923" s="3"/>
    </row>
    <row r="924" ht="12.75" customHeight="1">
      <c r="A924" s="3"/>
    </row>
    <row r="925" ht="12.75" customHeight="1">
      <c r="A925" s="3"/>
    </row>
    <row r="926" ht="12.75" customHeight="1">
      <c r="A926" s="3"/>
    </row>
    <row r="927" ht="12.75" customHeight="1">
      <c r="A927" s="3"/>
    </row>
    <row r="928" ht="12.75" customHeight="1">
      <c r="A928" s="3"/>
    </row>
    <row r="929" ht="12.75" customHeight="1">
      <c r="A929" s="3"/>
    </row>
    <row r="930" ht="12.75" customHeight="1">
      <c r="A930" s="3"/>
    </row>
    <row r="931" ht="12.75" customHeight="1">
      <c r="A931" s="3"/>
    </row>
    <row r="932" ht="12.75" customHeight="1">
      <c r="A932" s="3"/>
    </row>
    <row r="933" ht="12.75" customHeight="1">
      <c r="A933" s="3"/>
    </row>
    <row r="934" ht="12.75" customHeight="1">
      <c r="A934" s="3"/>
    </row>
    <row r="935" ht="12.75" customHeight="1">
      <c r="A935" s="3"/>
    </row>
    <row r="936" ht="12.75" customHeight="1">
      <c r="A936" s="3"/>
    </row>
    <row r="937" ht="12.75" customHeight="1">
      <c r="A937" s="3"/>
    </row>
    <row r="938" ht="12.75" customHeight="1">
      <c r="A938" s="3"/>
    </row>
    <row r="939" ht="12.75" customHeight="1">
      <c r="A939" s="3"/>
    </row>
    <row r="940" ht="12.75" customHeight="1">
      <c r="A940" s="3"/>
    </row>
    <row r="941" ht="12.75" customHeight="1">
      <c r="A941" s="3"/>
    </row>
    <row r="942" ht="12.75" customHeight="1">
      <c r="A942" s="3"/>
    </row>
    <row r="943" ht="12.75" customHeight="1">
      <c r="A943" s="3"/>
    </row>
    <row r="944" ht="12.75" customHeight="1">
      <c r="A944" s="3"/>
    </row>
    <row r="945" ht="12.75" customHeight="1">
      <c r="A945" s="3"/>
    </row>
    <row r="946" ht="12.75" customHeight="1">
      <c r="A946" s="3"/>
    </row>
    <row r="947" ht="12.75" customHeight="1">
      <c r="A947" s="3"/>
    </row>
    <row r="948" ht="12.75" customHeight="1">
      <c r="A948" s="3"/>
    </row>
    <row r="949" ht="12.75" customHeight="1">
      <c r="A949" s="3"/>
    </row>
    <row r="950" ht="12.75" customHeight="1">
      <c r="A950" s="3"/>
    </row>
    <row r="951" ht="12.75" customHeight="1">
      <c r="A951" s="3"/>
    </row>
    <row r="952" ht="12.75" customHeight="1">
      <c r="A952" s="3"/>
    </row>
    <row r="953" ht="12.75" customHeight="1">
      <c r="A953" s="3"/>
    </row>
    <row r="954" ht="12.75" customHeight="1">
      <c r="A954" s="3"/>
    </row>
    <row r="955" ht="12.75" customHeight="1">
      <c r="A955" s="3"/>
    </row>
    <row r="956" ht="12.75" customHeight="1">
      <c r="A956" s="3"/>
    </row>
    <row r="957" ht="12.75" customHeight="1">
      <c r="A957" s="3"/>
    </row>
    <row r="958" ht="12.75" customHeight="1">
      <c r="A958" s="3"/>
    </row>
    <row r="959" ht="12.75" customHeight="1">
      <c r="A959" s="3"/>
    </row>
    <row r="960" ht="12.75" customHeight="1">
      <c r="A960" s="3"/>
    </row>
    <row r="961" ht="12.75" customHeight="1">
      <c r="A961" s="3"/>
    </row>
    <row r="962" ht="12.75" customHeight="1">
      <c r="A962" s="3"/>
    </row>
    <row r="963" ht="12.75" customHeight="1">
      <c r="A963" s="3"/>
    </row>
    <row r="964" ht="12.75" customHeight="1">
      <c r="A964" s="3"/>
    </row>
    <row r="965" ht="12.75" customHeight="1">
      <c r="A965" s="3"/>
    </row>
    <row r="966" ht="12.75" customHeight="1">
      <c r="A966" s="3"/>
    </row>
    <row r="967" ht="12.75" customHeight="1">
      <c r="A967" s="3"/>
    </row>
    <row r="968" ht="12.75" customHeight="1">
      <c r="A968" s="3"/>
    </row>
    <row r="969" ht="12.75" customHeight="1">
      <c r="A969" s="3"/>
    </row>
    <row r="970" ht="12.75" customHeight="1">
      <c r="A970" s="3"/>
    </row>
    <row r="971" ht="12.75" customHeight="1">
      <c r="A971" s="3"/>
    </row>
    <row r="972" ht="12.75" customHeight="1">
      <c r="A972" s="3"/>
    </row>
    <row r="973" ht="12.75" customHeight="1">
      <c r="A973" s="3"/>
    </row>
    <row r="974" ht="12.75" customHeight="1">
      <c r="A974" s="3"/>
    </row>
    <row r="975" ht="12.75" customHeight="1">
      <c r="A975" s="3"/>
    </row>
    <row r="976" ht="12.75" customHeight="1">
      <c r="A976" s="3"/>
    </row>
    <row r="977" ht="12.75" customHeight="1">
      <c r="A977" s="3"/>
    </row>
    <row r="978" ht="12.75" customHeight="1">
      <c r="A978" s="3"/>
    </row>
    <row r="979" ht="12.75" customHeight="1">
      <c r="A979" s="3"/>
    </row>
    <row r="980" ht="12.75" customHeight="1">
      <c r="A980" s="3"/>
    </row>
    <row r="981" ht="12.75" customHeight="1">
      <c r="A981" s="3"/>
    </row>
    <row r="982" ht="12.75" customHeight="1">
      <c r="A982" s="3"/>
    </row>
    <row r="983" ht="12.75" customHeight="1">
      <c r="A983" s="3"/>
    </row>
    <row r="984" ht="12.75" customHeight="1">
      <c r="A984" s="3"/>
    </row>
    <row r="985" ht="12.75" customHeight="1">
      <c r="A985" s="3"/>
    </row>
    <row r="986" ht="12.75" customHeight="1">
      <c r="A986" s="3"/>
    </row>
    <row r="987" ht="12.75" customHeight="1">
      <c r="A987" s="3"/>
    </row>
    <row r="988" ht="12.75" customHeight="1">
      <c r="A988" s="3"/>
    </row>
    <row r="989" ht="12.75" customHeight="1">
      <c r="A989" s="3"/>
    </row>
    <row r="990" ht="12.75" customHeight="1">
      <c r="A990" s="3"/>
    </row>
    <row r="991" ht="12.75" customHeight="1">
      <c r="A991" s="3"/>
    </row>
    <row r="992" ht="12.75" customHeight="1">
      <c r="A992" s="3"/>
    </row>
    <row r="993" ht="12.75" customHeight="1">
      <c r="A993" s="3"/>
    </row>
    <row r="994" ht="12.75" customHeight="1">
      <c r="A994" s="3"/>
    </row>
    <row r="995" ht="12.75" customHeight="1">
      <c r="A995" s="3"/>
    </row>
    <row r="996" ht="12.75" customHeight="1">
      <c r="A996" s="3"/>
    </row>
    <row r="997" ht="12.75" customHeight="1">
      <c r="A997" s="3"/>
    </row>
    <row r="998" ht="12.75" customHeight="1">
      <c r="A998" s="3"/>
    </row>
    <row r="999" ht="12.75" customHeight="1">
      <c r="A999" s="3"/>
    </row>
    <row r="1000" ht="12.75" customHeight="1">
      <c r="A1000" s="3"/>
    </row>
  </sheetData>
  <mergeCells count="9">
    <mergeCell ref="B16:G16"/>
    <mergeCell ref="B18:I18"/>
    <mergeCell ref="A1:G1"/>
    <mergeCell ref="B8:I8"/>
    <mergeCell ref="B10:I10"/>
    <mergeCell ref="B11:I11"/>
    <mergeCell ref="B13:I13"/>
    <mergeCell ref="B14:I14"/>
    <mergeCell ref="B15:I1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0"/>
    <col customWidth="1" min="2" max="2" width="14.71"/>
    <col customWidth="1" min="3" max="3" width="8.0"/>
    <col customWidth="1" min="4" max="4" width="18.29"/>
    <col customWidth="1" min="5" max="26" width="8.0"/>
  </cols>
  <sheetData>
    <row r="1" ht="20.25" customHeight="1">
      <c r="A1" s="55" t="s">
        <v>150</v>
      </c>
      <c r="B1" s="48"/>
    </row>
    <row r="2" ht="12.75" customHeight="1">
      <c r="A2" s="56" t="s">
        <v>152</v>
      </c>
      <c r="B2" s="22"/>
      <c r="C2" s="59" t="s">
        <v>154</v>
      </c>
      <c r="D2" s="19"/>
      <c r="E2" s="19"/>
      <c r="F2" s="19"/>
      <c r="G2" s="19"/>
      <c r="H2" s="19"/>
      <c r="I2" s="19"/>
      <c r="J2" s="19"/>
      <c r="K2" s="19"/>
      <c r="L2" s="2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62" t="s">
        <v>158</v>
      </c>
      <c r="B3" s="35"/>
      <c r="C3" s="63" t="s">
        <v>160</v>
      </c>
      <c r="D3" s="19"/>
      <c r="E3" s="19"/>
      <c r="F3" s="19"/>
      <c r="G3" s="19"/>
      <c r="H3" s="19"/>
      <c r="I3" s="19"/>
      <c r="J3" s="19"/>
      <c r="K3" s="19"/>
      <c r="L3" s="2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64"/>
      <c r="B4" s="65"/>
      <c r="C4" s="63"/>
      <c r="D4" s="66" t="s">
        <v>166</v>
      </c>
      <c r="E4" s="19"/>
      <c r="F4" s="19"/>
      <c r="G4" s="19"/>
      <c r="H4" s="19"/>
      <c r="I4" s="19"/>
      <c r="J4" s="19"/>
      <c r="K4" s="19"/>
      <c r="L4" s="2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64"/>
      <c r="B5" s="65"/>
      <c r="C5" s="63"/>
      <c r="D5" s="66" t="s">
        <v>169</v>
      </c>
      <c r="E5" s="19"/>
      <c r="F5" s="19"/>
      <c r="G5" s="19"/>
      <c r="H5" s="19"/>
      <c r="I5" s="19"/>
      <c r="J5" s="19"/>
      <c r="K5" s="19"/>
      <c r="L5" s="2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4"/>
      <c r="B6" s="65"/>
      <c r="C6" s="63"/>
      <c r="D6" s="66" t="s">
        <v>171</v>
      </c>
      <c r="E6" s="19"/>
      <c r="F6" s="19"/>
      <c r="G6" s="19"/>
      <c r="H6" s="19"/>
      <c r="I6" s="19"/>
      <c r="J6" s="19"/>
      <c r="K6" s="19"/>
      <c r="L6" s="2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4"/>
      <c r="B7" s="65"/>
      <c r="C7" s="63"/>
      <c r="D7" s="66" t="s">
        <v>173</v>
      </c>
      <c r="E7" s="19"/>
      <c r="F7" s="19"/>
      <c r="G7" s="19"/>
      <c r="H7" s="19"/>
      <c r="I7" s="19"/>
      <c r="J7" s="19"/>
      <c r="K7" s="19"/>
      <c r="L7" s="2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4"/>
      <c r="B8" s="65"/>
      <c r="C8" s="63"/>
      <c r="D8" s="66" t="s">
        <v>177</v>
      </c>
      <c r="E8" s="19"/>
      <c r="F8" s="19"/>
      <c r="G8" s="19"/>
      <c r="H8" s="19"/>
      <c r="I8" s="19"/>
      <c r="J8" s="19"/>
      <c r="K8" s="19"/>
      <c r="L8" s="2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4"/>
      <c r="B9" s="65"/>
      <c r="C9" s="63"/>
      <c r="D9" s="66" t="s">
        <v>179</v>
      </c>
      <c r="E9" s="19"/>
      <c r="F9" s="19"/>
      <c r="G9" s="19"/>
      <c r="H9" s="19"/>
      <c r="I9" s="19"/>
      <c r="J9" s="19"/>
      <c r="K9" s="19"/>
      <c r="L9" s="2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4"/>
      <c r="B10" s="65"/>
      <c r="C10" s="63"/>
      <c r="D10" s="66" t="s">
        <v>188</v>
      </c>
      <c r="E10" s="19"/>
      <c r="F10" s="19"/>
      <c r="G10" s="19"/>
      <c r="H10" s="19"/>
      <c r="I10" s="19"/>
      <c r="J10" s="19"/>
      <c r="K10" s="19"/>
      <c r="L10" s="2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4"/>
      <c r="B11" s="65"/>
      <c r="C11" s="63"/>
      <c r="D11" s="66" t="s">
        <v>189</v>
      </c>
      <c r="E11" s="19"/>
      <c r="F11" s="19"/>
      <c r="G11" s="19"/>
      <c r="H11" s="19"/>
      <c r="I11" s="19"/>
      <c r="J11" s="19"/>
      <c r="K11" s="19"/>
      <c r="L11" s="2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4"/>
      <c r="B12" s="65"/>
      <c r="C12" s="63"/>
      <c r="D12" s="66" t="s">
        <v>191</v>
      </c>
      <c r="E12" s="19"/>
      <c r="F12" s="19"/>
      <c r="G12" s="19"/>
      <c r="H12" s="19"/>
      <c r="I12" s="19"/>
      <c r="J12" s="19"/>
      <c r="K12" s="19"/>
      <c r="L12" s="2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4"/>
      <c r="B13" s="65"/>
      <c r="C13" s="63"/>
      <c r="D13" s="66" t="s">
        <v>193</v>
      </c>
      <c r="E13" s="19"/>
      <c r="F13" s="19"/>
      <c r="G13" s="19"/>
      <c r="H13" s="19"/>
      <c r="I13" s="19"/>
      <c r="J13" s="19"/>
      <c r="K13" s="19"/>
      <c r="L13" s="2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4"/>
      <c r="B14" s="65"/>
      <c r="C14" s="63"/>
      <c r="D14" s="66" t="s">
        <v>194</v>
      </c>
      <c r="E14" s="19"/>
      <c r="F14" s="19"/>
      <c r="G14" s="19"/>
      <c r="H14" s="19"/>
      <c r="I14" s="19"/>
      <c r="J14" s="19"/>
      <c r="K14" s="19"/>
      <c r="L14" s="2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64"/>
      <c r="B15" s="65"/>
      <c r="C15" s="63" t="s">
        <v>197</v>
      </c>
      <c r="D15" s="19"/>
      <c r="E15" s="19"/>
      <c r="F15" s="19"/>
      <c r="G15" s="19"/>
      <c r="H15" s="19"/>
      <c r="I15" s="19"/>
      <c r="J15" s="19"/>
      <c r="K15" s="19"/>
      <c r="L15" s="2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64"/>
      <c r="B16" s="65"/>
      <c r="C16" s="63"/>
      <c r="D16" s="66" t="s">
        <v>198</v>
      </c>
      <c r="E16" s="19"/>
      <c r="F16" s="19"/>
      <c r="G16" s="19"/>
      <c r="H16" s="19"/>
      <c r="I16" s="19"/>
      <c r="J16" s="19"/>
      <c r="K16" s="19"/>
      <c r="L16" s="2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4"/>
      <c r="B17" s="65"/>
      <c r="C17" s="63"/>
      <c r="D17" s="66" t="s">
        <v>201</v>
      </c>
      <c r="E17" s="19"/>
      <c r="F17" s="19"/>
      <c r="G17" s="19"/>
      <c r="H17" s="19"/>
      <c r="I17" s="19"/>
      <c r="J17" s="19"/>
      <c r="K17" s="19"/>
      <c r="L17" s="2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64"/>
      <c r="B18" s="65"/>
      <c r="C18" s="63"/>
      <c r="D18" s="66" t="s">
        <v>202</v>
      </c>
      <c r="E18" s="19"/>
      <c r="F18" s="19"/>
      <c r="G18" s="19"/>
      <c r="H18" s="19"/>
      <c r="I18" s="19"/>
      <c r="J18" s="19"/>
      <c r="K18" s="19"/>
      <c r="L18" s="2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64"/>
      <c r="B19" s="65"/>
      <c r="C19" s="63"/>
      <c r="D19" s="66" t="s">
        <v>205</v>
      </c>
      <c r="E19" s="19"/>
      <c r="F19" s="19"/>
      <c r="G19" s="19"/>
      <c r="H19" s="19"/>
      <c r="I19" s="19"/>
      <c r="J19" s="19"/>
      <c r="K19" s="19"/>
      <c r="L19" s="2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4"/>
      <c r="B20" s="65"/>
      <c r="C20" s="63"/>
      <c r="D20" s="66" t="s">
        <v>209</v>
      </c>
      <c r="E20" s="19"/>
      <c r="F20" s="19"/>
      <c r="G20" s="19"/>
      <c r="H20" s="19"/>
      <c r="I20" s="19"/>
      <c r="J20" s="19"/>
      <c r="K20" s="19"/>
      <c r="L20" s="2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64"/>
      <c r="B21" s="65"/>
      <c r="C21" s="63"/>
      <c r="D21" s="66" t="s">
        <v>193</v>
      </c>
      <c r="E21" s="19"/>
      <c r="F21" s="19"/>
      <c r="G21" s="19"/>
      <c r="H21" s="19"/>
      <c r="I21" s="19"/>
      <c r="J21" s="19"/>
      <c r="K21" s="19"/>
      <c r="L21" s="2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64"/>
      <c r="B22" s="65"/>
      <c r="C22" s="63" t="s">
        <v>213</v>
      </c>
      <c r="D22" s="19"/>
      <c r="E22" s="19"/>
      <c r="F22" s="19"/>
      <c r="G22" s="19"/>
      <c r="H22" s="19"/>
      <c r="I22" s="19"/>
      <c r="J22" s="19"/>
      <c r="K22" s="19"/>
      <c r="L22" s="2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64"/>
      <c r="B23" s="65"/>
      <c r="C23" s="63"/>
      <c r="D23" s="66" t="s">
        <v>217</v>
      </c>
      <c r="E23" s="19"/>
      <c r="F23" s="19"/>
      <c r="G23" s="19"/>
      <c r="H23" s="19"/>
      <c r="I23" s="19"/>
      <c r="J23" s="19"/>
      <c r="K23" s="19"/>
      <c r="L23" s="2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64"/>
      <c r="B24" s="65"/>
      <c r="C24" s="63"/>
      <c r="D24" s="66" t="s">
        <v>220</v>
      </c>
      <c r="E24" s="19"/>
      <c r="F24" s="19"/>
      <c r="G24" s="19"/>
      <c r="H24" s="19"/>
      <c r="I24" s="19"/>
      <c r="J24" s="19"/>
      <c r="K24" s="19"/>
      <c r="L24" s="2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64"/>
      <c r="B25" s="65"/>
      <c r="C25" s="63"/>
      <c r="D25" s="66" t="s">
        <v>223</v>
      </c>
      <c r="E25" s="19"/>
      <c r="F25" s="19"/>
      <c r="G25" s="19"/>
      <c r="H25" s="19"/>
      <c r="I25" s="19"/>
      <c r="J25" s="19"/>
      <c r="K25" s="19"/>
      <c r="L25" s="2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64"/>
      <c r="B26" s="65"/>
      <c r="C26" s="63"/>
      <c r="D26" s="66" t="s">
        <v>227</v>
      </c>
      <c r="E26" s="19"/>
      <c r="F26" s="19"/>
      <c r="G26" s="19"/>
      <c r="H26" s="19"/>
      <c r="I26" s="19"/>
      <c r="J26" s="19"/>
      <c r="K26" s="19"/>
      <c r="L26" s="2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64"/>
      <c r="B27" s="65"/>
      <c r="C27" s="63"/>
      <c r="D27" s="66" t="s">
        <v>229</v>
      </c>
      <c r="E27" s="19"/>
      <c r="F27" s="19"/>
      <c r="G27" s="19"/>
      <c r="H27" s="19"/>
      <c r="I27" s="19"/>
      <c r="J27" s="19"/>
      <c r="K27" s="19"/>
      <c r="L27" s="2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64"/>
      <c r="B28" s="65"/>
      <c r="C28" s="63"/>
      <c r="D28" s="66" t="s">
        <v>233</v>
      </c>
      <c r="E28" s="19"/>
      <c r="F28" s="19"/>
      <c r="G28" s="19"/>
      <c r="H28" s="19"/>
      <c r="I28" s="19"/>
      <c r="J28" s="19"/>
      <c r="K28" s="19"/>
      <c r="L28" s="2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64"/>
      <c r="B29" s="65"/>
      <c r="C29" s="63"/>
      <c r="D29" s="66" t="s">
        <v>234</v>
      </c>
      <c r="E29" s="19"/>
      <c r="F29" s="19"/>
      <c r="G29" s="19"/>
      <c r="H29" s="19"/>
      <c r="I29" s="19"/>
      <c r="J29" s="19"/>
      <c r="K29" s="19"/>
      <c r="L29" s="2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64"/>
      <c r="B30" s="65"/>
      <c r="C30" s="63"/>
      <c r="D30" s="66" t="s">
        <v>237</v>
      </c>
      <c r="E30" s="19"/>
      <c r="F30" s="19"/>
      <c r="G30" s="19"/>
      <c r="H30" s="19"/>
      <c r="I30" s="19"/>
      <c r="J30" s="19"/>
      <c r="K30" s="19"/>
      <c r="L30" s="2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64"/>
      <c r="B31" s="65"/>
      <c r="C31" s="63"/>
      <c r="D31" s="66" t="s">
        <v>240</v>
      </c>
      <c r="E31" s="19"/>
      <c r="F31" s="19"/>
      <c r="G31" s="19"/>
      <c r="H31" s="19"/>
      <c r="I31" s="19"/>
      <c r="J31" s="19"/>
      <c r="K31" s="19"/>
      <c r="L31" s="2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64"/>
      <c r="B32" s="65"/>
      <c r="C32" s="63"/>
      <c r="D32" s="66" t="s">
        <v>242</v>
      </c>
      <c r="E32" s="19"/>
      <c r="F32" s="19"/>
      <c r="G32" s="19"/>
      <c r="H32" s="19"/>
      <c r="I32" s="19"/>
      <c r="J32" s="19"/>
      <c r="K32" s="19"/>
      <c r="L32" s="2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64"/>
      <c r="B33" s="65"/>
      <c r="C33" s="63"/>
      <c r="D33" s="66" t="s">
        <v>246</v>
      </c>
      <c r="E33" s="19"/>
      <c r="F33" s="19"/>
      <c r="G33" s="19"/>
      <c r="H33" s="19"/>
      <c r="I33" s="19"/>
      <c r="J33" s="19"/>
      <c r="K33" s="19"/>
      <c r="L33" s="2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64"/>
      <c r="B34" s="65"/>
      <c r="C34" s="63"/>
      <c r="D34" s="66" t="s">
        <v>250</v>
      </c>
      <c r="E34" s="19"/>
      <c r="F34" s="19"/>
      <c r="G34" s="19"/>
      <c r="H34" s="19"/>
      <c r="I34" s="19"/>
      <c r="J34" s="19"/>
      <c r="K34" s="19"/>
      <c r="L34" s="2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64"/>
      <c r="B35" s="65"/>
      <c r="C35" s="63"/>
      <c r="D35" s="66" t="s">
        <v>253</v>
      </c>
      <c r="E35" s="19"/>
      <c r="F35" s="19"/>
      <c r="G35" s="19"/>
      <c r="H35" s="19"/>
      <c r="I35" s="19"/>
      <c r="J35" s="19"/>
      <c r="K35" s="19"/>
      <c r="L35" s="2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64"/>
      <c r="B36" s="65"/>
      <c r="C36" s="63"/>
      <c r="D36" s="66" t="s">
        <v>227</v>
      </c>
      <c r="E36" s="66"/>
      <c r="F36" s="66"/>
      <c r="G36" s="66"/>
      <c r="H36" s="66"/>
      <c r="I36" s="66"/>
      <c r="J36" s="66"/>
      <c r="K36" s="66"/>
      <c r="L36" s="7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64"/>
      <c r="B37" s="65"/>
      <c r="C37" s="63"/>
      <c r="D37" s="66" t="s">
        <v>261</v>
      </c>
      <c r="E37" s="19"/>
      <c r="F37" s="19"/>
      <c r="G37" s="19"/>
      <c r="H37" s="19"/>
      <c r="I37" s="19"/>
      <c r="J37" s="19"/>
      <c r="K37" s="19"/>
      <c r="L37" s="2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64"/>
      <c r="B38" s="65"/>
      <c r="C38" s="63"/>
      <c r="D38" s="66" t="s">
        <v>264</v>
      </c>
      <c r="E38" s="66"/>
      <c r="F38" s="66"/>
      <c r="G38" s="66"/>
      <c r="H38" s="66"/>
      <c r="I38" s="66"/>
      <c r="J38" s="66"/>
      <c r="K38" s="66"/>
      <c r="L38" s="7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64"/>
      <c r="B39" s="65"/>
      <c r="C39" s="75" t="s">
        <v>267</v>
      </c>
      <c r="D39" s="19"/>
      <c r="E39" s="19"/>
      <c r="F39" s="19"/>
      <c r="G39" s="19"/>
      <c r="H39" s="19"/>
      <c r="I39" s="19"/>
      <c r="J39" s="19"/>
      <c r="K39" s="19"/>
      <c r="L39" s="2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64"/>
      <c r="B40" s="65"/>
      <c r="C40" s="63"/>
      <c r="D40" s="66" t="s">
        <v>272</v>
      </c>
      <c r="E40" s="19"/>
      <c r="F40" s="19"/>
      <c r="G40" s="19"/>
      <c r="H40" s="19"/>
      <c r="I40" s="19"/>
      <c r="J40" s="19"/>
      <c r="K40" s="19"/>
      <c r="L40" s="2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64"/>
      <c r="B41" s="65"/>
      <c r="C41" s="63"/>
      <c r="D41" s="66" t="s">
        <v>273</v>
      </c>
      <c r="E41" s="19"/>
      <c r="F41" s="19"/>
      <c r="G41" s="19"/>
      <c r="H41" s="19"/>
      <c r="I41" s="19"/>
      <c r="J41" s="19"/>
      <c r="K41" s="19"/>
      <c r="L41" s="2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64"/>
      <c r="B42" s="65"/>
      <c r="C42" s="63"/>
      <c r="D42" s="66" t="s">
        <v>274</v>
      </c>
      <c r="E42" s="19"/>
      <c r="F42" s="19"/>
      <c r="G42" s="19"/>
      <c r="H42" s="19"/>
      <c r="I42" s="19"/>
      <c r="J42" s="19"/>
      <c r="K42" s="19"/>
      <c r="L42" s="2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64"/>
      <c r="B43" s="65"/>
      <c r="C43" s="63"/>
      <c r="D43" s="66" t="s">
        <v>275</v>
      </c>
      <c r="E43" s="19"/>
      <c r="F43" s="19"/>
      <c r="G43" s="19"/>
      <c r="H43" s="19"/>
      <c r="I43" s="19"/>
      <c r="J43" s="19"/>
      <c r="K43" s="19"/>
      <c r="L43" s="2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64"/>
      <c r="B44" s="65"/>
      <c r="C44" s="63"/>
      <c r="D44" s="66" t="s">
        <v>276</v>
      </c>
      <c r="E44" s="19"/>
      <c r="F44" s="19"/>
      <c r="G44" s="19"/>
      <c r="H44" s="19"/>
      <c r="I44" s="19"/>
      <c r="J44" s="19"/>
      <c r="K44" s="19"/>
      <c r="L44" s="2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64"/>
      <c r="B45" s="65"/>
      <c r="C45" s="63"/>
      <c r="D45" s="66" t="s">
        <v>277</v>
      </c>
      <c r="E45" s="19"/>
      <c r="F45" s="19"/>
      <c r="G45" s="19"/>
      <c r="H45" s="19"/>
      <c r="I45" s="19"/>
      <c r="J45" s="19"/>
      <c r="K45" s="19"/>
      <c r="L45" s="2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64"/>
      <c r="B46" s="65"/>
      <c r="C46" s="63"/>
      <c r="D46" s="66" t="s">
        <v>278</v>
      </c>
      <c r="E46" s="19"/>
      <c r="F46" s="19"/>
      <c r="G46" s="19"/>
      <c r="H46" s="19"/>
      <c r="I46" s="19"/>
      <c r="J46" s="19"/>
      <c r="K46" s="19"/>
      <c r="L46" s="2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64"/>
      <c r="B47" s="65"/>
      <c r="C47" s="63"/>
      <c r="D47" s="66" t="s">
        <v>279</v>
      </c>
      <c r="E47" s="19"/>
      <c r="F47" s="19"/>
      <c r="G47" s="19"/>
      <c r="H47" s="19"/>
      <c r="I47" s="19"/>
      <c r="J47" s="19"/>
      <c r="K47" s="19"/>
      <c r="L47" s="2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64"/>
      <c r="B48" s="65"/>
      <c r="C48" s="63"/>
      <c r="D48" s="66" t="s">
        <v>276</v>
      </c>
      <c r="E48" s="19"/>
      <c r="F48" s="19"/>
      <c r="G48" s="19"/>
      <c r="H48" s="19"/>
      <c r="I48" s="19"/>
      <c r="J48" s="19"/>
      <c r="K48" s="19"/>
      <c r="L48" s="2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64"/>
      <c r="B49" s="65"/>
      <c r="C49" s="63"/>
      <c r="D49" s="66" t="s">
        <v>227</v>
      </c>
      <c r="E49" s="19"/>
      <c r="F49" s="19"/>
      <c r="G49" s="19"/>
      <c r="H49" s="19"/>
      <c r="I49" s="19"/>
      <c r="J49" s="19"/>
      <c r="K49" s="19"/>
      <c r="L49" s="2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64"/>
      <c r="B50" s="65"/>
      <c r="C50" s="63"/>
      <c r="D50" s="66" t="s">
        <v>280</v>
      </c>
      <c r="E50" s="19"/>
      <c r="F50" s="19"/>
      <c r="G50" s="19"/>
      <c r="H50" s="19"/>
      <c r="I50" s="19"/>
      <c r="J50" s="19"/>
      <c r="K50" s="19"/>
      <c r="L50" s="2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64"/>
      <c r="B51" s="65"/>
      <c r="C51" s="63"/>
      <c r="D51" s="66" t="s">
        <v>281</v>
      </c>
      <c r="E51" s="19"/>
      <c r="F51" s="19"/>
      <c r="G51" s="19"/>
      <c r="H51" s="19"/>
      <c r="I51" s="19"/>
      <c r="J51" s="19"/>
      <c r="K51" s="19"/>
      <c r="L51" s="2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64"/>
      <c r="B52" s="65"/>
      <c r="C52" s="63"/>
      <c r="D52" s="66" t="s">
        <v>233</v>
      </c>
      <c r="E52" s="19"/>
      <c r="F52" s="19"/>
      <c r="G52" s="19"/>
      <c r="H52" s="19"/>
      <c r="I52" s="19"/>
      <c r="J52" s="19"/>
      <c r="K52" s="19"/>
      <c r="L52" s="2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64"/>
      <c r="B53" s="65"/>
      <c r="C53" s="63" t="s">
        <v>282</v>
      </c>
      <c r="D53" s="19"/>
      <c r="E53" s="19"/>
      <c r="F53" s="19"/>
      <c r="G53" s="19"/>
      <c r="H53" s="19"/>
      <c r="I53" s="19"/>
      <c r="J53" s="19"/>
      <c r="K53" s="19"/>
      <c r="L53" s="2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62" t="s">
        <v>283</v>
      </c>
      <c r="B54" s="35"/>
      <c r="C54" s="59" t="s">
        <v>284</v>
      </c>
      <c r="D54" s="19"/>
      <c r="E54" s="19"/>
      <c r="F54" s="19"/>
      <c r="G54" s="19"/>
      <c r="H54" s="19"/>
      <c r="I54" s="19"/>
      <c r="J54" s="19"/>
      <c r="K54" s="19"/>
      <c r="L54" s="2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76"/>
      <c r="B55" s="49"/>
      <c r="C55" s="59" t="s">
        <v>285</v>
      </c>
      <c r="D55" s="19"/>
      <c r="E55" s="19"/>
      <c r="F55" s="19"/>
      <c r="G55" s="19"/>
      <c r="H55" s="19"/>
      <c r="I55" s="19"/>
      <c r="J55" s="19"/>
      <c r="K55" s="19"/>
      <c r="L55" s="2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/>
    <row r="57" ht="12.75" customHeight="1"/>
    <row r="58" ht="12.75" customHeight="1">
      <c r="A58" s="32" t="s">
        <v>286</v>
      </c>
    </row>
    <row r="59" ht="12.75" customHeight="1">
      <c r="A59" s="77" t="s">
        <v>287</v>
      </c>
      <c r="B59" s="77"/>
      <c r="C59" s="77"/>
      <c r="F59" s="77"/>
      <c r="G59" s="77"/>
      <c r="H59" s="77"/>
      <c r="I59" s="77"/>
      <c r="J59" s="77"/>
      <c r="K59" s="77"/>
      <c r="L59" s="77"/>
    </row>
    <row r="60" ht="12.75" customHeight="1">
      <c r="A60" s="2"/>
      <c r="B60" s="12" t="s">
        <v>288</v>
      </c>
      <c r="C60" s="12"/>
      <c r="D60" s="77"/>
      <c r="E60" s="77"/>
      <c r="F60" s="12"/>
      <c r="G60" s="12"/>
      <c r="H60" s="12"/>
      <c r="I60" s="12"/>
      <c r="J60" s="12"/>
      <c r="K60" s="12"/>
      <c r="L60" s="12"/>
    </row>
    <row r="61" ht="12.75" customHeight="1">
      <c r="A61" s="2"/>
      <c r="B61" s="12" t="s">
        <v>289</v>
      </c>
      <c r="C61" s="12"/>
      <c r="D61" s="77"/>
      <c r="E61" s="77"/>
      <c r="F61" s="12"/>
      <c r="G61" s="12"/>
      <c r="H61" s="12"/>
      <c r="I61" s="12"/>
      <c r="J61" s="12"/>
      <c r="K61" s="12"/>
      <c r="L61" s="12"/>
    </row>
    <row r="62" ht="12.75" customHeight="1">
      <c r="A62" s="78" t="s">
        <v>290</v>
      </c>
      <c r="B62" s="2"/>
      <c r="C62" s="2"/>
      <c r="D62" s="12"/>
      <c r="E62" s="12"/>
      <c r="F62" s="2"/>
      <c r="G62" s="2"/>
      <c r="H62" s="2"/>
      <c r="I62" s="2"/>
      <c r="J62" s="2"/>
      <c r="K62" s="2"/>
      <c r="L62" s="2"/>
    </row>
    <row r="63" ht="12.75" customHeight="1">
      <c r="A63" s="2"/>
      <c r="B63" s="12" t="s">
        <v>291</v>
      </c>
      <c r="C63" s="12"/>
      <c r="D63" s="2"/>
      <c r="E63" s="2"/>
      <c r="F63" s="12"/>
      <c r="G63" s="12"/>
      <c r="H63" s="12"/>
      <c r="I63" s="12"/>
      <c r="J63" s="12"/>
      <c r="K63" s="12"/>
      <c r="L63" s="12"/>
    </row>
    <row r="64" ht="12.75" customHeight="1">
      <c r="A64" s="2"/>
      <c r="B64" s="12" t="s">
        <v>292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ht="12.75" customHeight="1">
      <c r="A65" s="2"/>
      <c r="B65" s="12" t="s">
        <v>293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 ht="12.75" customHeight="1">
      <c r="A66" s="2" t="s">
        <v>294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 ht="12.75" customHeight="1">
      <c r="A67" s="2"/>
      <c r="B67" s="12" t="s">
        <v>295</v>
      </c>
      <c r="C67" s="12"/>
      <c r="D67" s="2"/>
      <c r="E67" s="2"/>
      <c r="F67" s="12"/>
      <c r="G67" s="12"/>
      <c r="H67" s="12"/>
      <c r="I67" s="12"/>
      <c r="J67" s="12"/>
      <c r="K67" s="12"/>
      <c r="L67" s="12"/>
    </row>
    <row r="68" ht="12.75" customHeight="1">
      <c r="A68" s="2"/>
      <c r="B68" s="12" t="s">
        <v>296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ht="12.75" customHeight="1">
      <c r="A69" s="77" t="s">
        <v>212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 ht="12.75" customHeight="1">
      <c r="A70" s="2"/>
      <c r="B70" s="12" t="s">
        <v>297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ht="12.75" customHeight="1">
      <c r="A71" s="2"/>
      <c r="B71" s="12" t="s">
        <v>298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ht="12.75" customHeight="1">
      <c r="A72" s="2"/>
      <c r="B72" s="12" t="s">
        <v>299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ht="12.75" customHeight="1">
      <c r="A73" s="2"/>
      <c r="B73" s="12" t="s">
        <v>300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ht="12.75" customHeight="1">
      <c r="A74" s="77" t="s">
        <v>251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 ht="12.75" customHeight="1">
      <c r="A75" s="2"/>
      <c r="B75" s="12" t="s">
        <v>301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</row>
    <row r="76" ht="12.75" customHeight="1">
      <c r="A76" s="2"/>
      <c r="B76" s="12" t="s">
        <v>302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77" ht="12.75" customHeight="1">
      <c r="A77" s="2"/>
      <c r="B77" s="12" t="s">
        <v>299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</row>
    <row r="78" ht="12.75" customHeight="1"/>
    <row r="79" ht="12.75" customHeight="1">
      <c r="A79" s="43" t="s">
        <v>303</v>
      </c>
    </row>
    <row r="80" ht="12.75" customHeight="1"/>
    <row r="81" ht="12.75" customHeight="1">
      <c r="B81" s="43" t="s">
        <v>304</v>
      </c>
    </row>
    <row r="82" ht="12.75" customHeight="1">
      <c r="C82" s="79" t="s">
        <v>305</v>
      </c>
      <c r="D82" s="79" t="s">
        <v>306</v>
      </c>
    </row>
    <row r="83" ht="12.75" customHeight="1">
      <c r="C83" s="79" t="s">
        <v>307</v>
      </c>
      <c r="D83" s="79" t="s">
        <v>308</v>
      </c>
    </row>
    <row r="84" ht="12.75" customHeight="1">
      <c r="C84" s="79" t="s">
        <v>309</v>
      </c>
      <c r="D84" s="79" t="s">
        <v>310</v>
      </c>
      <c r="F84" s="79">
        <f>TDIST(1.325,20,2)</f>
        <v>0.2001109465</v>
      </c>
    </row>
    <row r="85" ht="12.75" customHeight="1">
      <c r="C85" s="79" t="s">
        <v>311</v>
      </c>
      <c r="D85" s="79" t="s">
        <v>312</v>
      </c>
    </row>
    <row r="86" ht="12.75" customHeight="1">
      <c r="D86" s="79" t="s">
        <v>313</v>
      </c>
    </row>
    <row r="87" ht="12.75" customHeight="1"/>
    <row r="88" ht="12.75" customHeight="1">
      <c r="B88" s="43" t="s">
        <v>314</v>
      </c>
      <c r="C88" s="79" t="s">
        <v>315</v>
      </c>
      <c r="D88" s="79" t="s">
        <v>316</v>
      </c>
    </row>
    <row r="89" ht="12.75" customHeight="1">
      <c r="C89" s="79" t="s">
        <v>317</v>
      </c>
      <c r="D89" s="79" t="s">
        <v>318</v>
      </c>
    </row>
    <row r="90" ht="12.75" customHeight="1">
      <c r="C90" s="79" t="s">
        <v>319</v>
      </c>
      <c r="D90" s="79" t="s">
        <v>320</v>
      </c>
      <c r="F90" s="79">
        <f>TINV(0.200111,20)</f>
        <v>1.324999836</v>
      </c>
    </row>
    <row r="91" ht="12.75" customHeight="1"/>
    <row r="92" ht="12.75" customHeight="1">
      <c r="B92" s="43" t="s">
        <v>321</v>
      </c>
      <c r="C92" s="79" t="s">
        <v>315</v>
      </c>
      <c r="D92" s="79" t="s">
        <v>322</v>
      </c>
    </row>
    <row r="93" ht="12.75" customHeight="1">
      <c r="C93" s="79" t="s">
        <v>317</v>
      </c>
      <c r="D93" s="79" t="s">
        <v>323</v>
      </c>
    </row>
    <row r="94" ht="12.75" customHeight="1">
      <c r="C94" s="79" t="s">
        <v>319</v>
      </c>
      <c r="D94" s="79" t="s">
        <v>324</v>
      </c>
      <c r="F94" s="53" t="s">
        <v>325</v>
      </c>
      <c r="G94" s="53" t="s">
        <v>326</v>
      </c>
    </row>
    <row r="95" ht="12.75" customHeight="1">
      <c r="D95" s="79" t="s">
        <v>327</v>
      </c>
      <c r="F95" s="53">
        <v>1.0</v>
      </c>
      <c r="G95" s="53">
        <v>2.0</v>
      </c>
    </row>
    <row r="96" ht="12.75" customHeight="1">
      <c r="D96" s="79" t="s">
        <v>328</v>
      </c>
      <c r="F96" s="53">
        <v>2.0</v>
      </c>
      <c r="G96" s="53">
        <v>4.0</v>
      </c>
    </row>
    <row r="97" ht="12.75" customHeight="1">
      <c r="D97" s="79">
        <f>CORREL(F95:F100,G95:G100)</f>
        <v>0.9837169721</v>
      </c>
      <c r="F97" s="53">
        <v>4.0</v>
      </c>
      <c r="G97" s="53">
        <v>8.0</v>
      </c>
    </row>
    <row r="98" ht="12.75" customHeight="1">
      <c r="F98" s="53">
        <v>5.0</v>
      </c>
      <c r="G98" s="53">
        <v>10.0</v>
      </c>
    </row>
    <row r="99" ht="12.75" customHeight="1">
      <c r="F99" s="53">
        <v>6.0</v>
      </c>
      <c r="G99" s="53">
        <v>12.0</v>
      </c>
    </row>
    <row r="100" ht="12.75" customHeight="1">
      <c r="F100" s="53">
        <v>7.0</v>
      </c>
      <c r="G100" s="53">
        <v>17.0</v>
      </c>
    </row>
    <row r="101" ht="12.75" customHeight="1"/>
    <row r="102" ht="12.75" customHeight="1">
      <c r="B102" s="43" t="s">
        <v>329</v>
      </c>
      <c r="C102" s="79" t="s">
        <v>315</v>
      </c>
      <c r="D102" s="79" t="s">
        <v>330</v>
      </c>
    </row>
    <row r="103" ht="12.75" customHeight="1">
      <c r="C103" s="79" t="s">
        <v>317</v>
      </c>
      <c r="D103" s="79" t="s">
        <v>331</v>
      </c>
    </row>
    <row r="104" ht="12.75" customHeight="1">
      <c r="C104" s="79" t="s">
        <v>319</v>
      </c>
      <c r="D104" s="79" t="s">
        <v>332</v>
      </c>
      <c r="I104" s="79">
        <f>SLOPE(G95:G100,F95:F100)</f>
        <v>2.316770186</v>
      </c>
    </row>
    <row r="105" ht="12.75" customHeight="1"/>
    <row r="106" ht="12.75" customHeight="1">
      <c r="B106" s="43" t="s">
        <v>333</v>
      </c>
      <c r="C106" s="79" t="s">
        <v>315</v>
      </c>
      <c r="D106" s="79" t="s">
        <v>330</v>
      </c>
    </row>
    <row r="107" ht="12.75" customHeight="1">
      <c r="C107" s="79" t="s">
        <v>317</v>
      </c>
      <c r="D107" s="79" t="s">
        <v>334</v>
      </c>
    </row>
    <row r="108" ht="12.75" customHeight="1">
      <c r="C108" s="79" t="s">
        <v>319</v>
      </c>
      <c r="D108" s="79" t="s">
        <v>335</v>
      </c>
      <c r="I108" s="79">
        <f>INTERCEPT(G95:G100,F95:F100)</f>
        <v>-0.8198757764</v>
      </c>
    </row>
    <row r="109" ht="12.75" customHeight="1"/>
    <row r="110" ht="12.75" customHeight="1">
      <c r="B110" s="43" t="s">
        <v>336</v>
      </c>
      <c r="C110" s="79" t="s">
        <v>315</v>
      </c>
      <c r="D110" s="79" t="s">
        <v>337</v>
      </c>
    </row>
    <row r="111" ht="12.75" customHeight="1">
      <c r="C111" s="79" t="s">
        <v>317</v>
      </c>
      <c r="D111" s="79" t="s">
        <v>338</v>
      </c>
    </row>
    <row r="112" ht="12.75" customHeight="1">
      <c r="C112" s="79" t="s">
        <v>319</v>
      </c>
      <c r="D112" s="79" t="s">
        <v>339</v>
      </c>
      <c r="I112" s="79">
        <f>AVERAGE(F95:F100)</f>
        <v>4.166666667</v>
      </c>
    </row>
    <row r="113" ht="12.75" customHeight="1"/>
    <row r="114" ht="12.75" customHeight="1">
      <c r="B114" s="43" t="s">
        <v>340</v>
      </c>
      <c r="C114" s="79" t="s">
        <v>315</v>
      </c>
      <c r="D114" s="79" t="s">
        <v>337</v>
      </c>
    </row>
    <row r="115" ht="12.75" customHeight="1">
      <c r="C115" s="79" t="s">
        <v>317</v>
      </c>
      <c r="D115" s="79" t="s">
        <v>341</v>
      </c>
    </row>
    <row r="116" ht="12.75" customHeight="1">
      <c r="C116" s="79" t="s">
        <v>319</v>
      </c>
      <c r="D116" s="79" t="s">
        <v>342</v>
      </c>
      <c r="I116" s="79">
        <f>STDEV(F95:F100)</f>
        <v>2.316606714</v>
      </c>
    </row>
    <row r="117" ht="12.75" customHeight="1"/>
    <row r="118" ht="12.75" customHeight="1">
      <c r="B118" s="43" t="s">
        <v>343</v>
      </c>
      <c r="C118" s="79" t="s">
        <v>315</v>
      </c>
      <c r="D118" s="79" t="s">
        <v>337</v>
      </c>
    </row>
    <row r="119" ht="12.75" customHeight="1">
      <c r="C119" s="79" t="s">
        <v>317</v>
      </c>
      <c r="D119" s="79" t="s">
        <v>344</v>
      </c>
    </row>
    <row r="120" ht="12.75" customHeight="1">
      <c r="C120" s="79" t="s">
        <v>319</v>
      </c>
      <c r="D120" s="79" t="s">
        <v>345</v>
      </c>
      <c r="I120" s="79">
        <f>SUM(F95:F100)</f>
        <v>25</v>
      </c>
    </row>
    <row r="121" ht="12.75" customHeight="1"/>
    <row r="122" ht="12.75" customHeight="1">
      <c r="B122" s="43" t="s">
        <v>346</v>
      </c>
      <c r="C122" s="79" t="s">
        <v>315</v>
      </c>
      <c r="D122" s="79" t="s">
        <v>347</v>
      </c>
    </row>
    <row r="123" ht="12.75" customHeight="1">
      <c r="C123" s="79" t="s">
        <v>317</v>
      </c>
      <c r="D123" s="79" t="s">
        <v>348</v>
      </c>
    </row>
    <row r="124" ht="12.75" customHeight="1">
      <c r="C124" s="79" t="s">
        <v>319</v>
      </c>
      <c r="D124" s="79" t="s">
        <v>349</v>
      </c>
    </row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7">
    <mergeCell ref="D6:L6"/>
    <mergeCell ref="D7:L7"/>
    <mergeCell ref="D8:L8"/>
    <mergeCell ref="D9:L9"/>
    <mergeCell ref="D10:L10"/>
    <mergeCell ref="D11:L11"/>
    <mergeCell ref="D12:L12"/>
    <mergeCell ref="D13:L13"/>
    <mergeCell ref="D16:L16"/>
    <mergeCell ref="D17:L17"/>
    <mergeCell ref="D18:L18"/>
    <mergeCell ref="D19:L19"/>
    <mergeCell ref="D20:L20"/>
    <mergeCell ref="D21:L21"/>
    <mergeCell ref="D14:L14"/>
    <mergeCell ref="C15:L15"/>
    <mergeCell ref="D24:L24"/>
    <mergeCell ref="D25:L25"/>
    <mergeCell ref="D26:L26"/>
    <mergeCell ref="D27:L27"/>
    <mergeCell ref="D28:L28"/>
    <mergeCell ref="D29:L29"/>
    <mergeCell ref="D30:L30"/>
    <mergeCell ref="D31:L31"/>
    <mergeCell ref="D32:L32"/>
    <mergeCell ref="D33:L33"/>
    <mergeCell ref="D34:L34"/>
    <mergeCell ref="D35:L35"/>
    <mergeCell ref="D37:L37"/>
    <mergeCell ref="C39:L39"/>
    <mergeCell ref="D52:L52"/>
    <mergeCell ref="C53:L53"/>
    <mergeCell ref="A54:B55"/>
    <mergeCell ref="C54:L54"/>
    <mergeCell ref="C55:L55"/>
    <mergeCell ref="A58:B58"/>
    <mergeCell ref="A1:B1"/>
    <mergeCell ref="A2:B2"/>
    <mergeCell ref="C2:L2"/>
    <mergeCell ref="A3:B53"/>
    <mergeCell ref="C3:L3"/>
    <mergeCell ref="D4:L4"/>
    <mergeCell ref="D5:L5"/>
    <mergeCell ref="C22:L22"/>
    <mergeCell ref="D23:L23"/>
    <mergeCell ref="D40:L40"/>
    <mergeCell ref="D41:L41"/>
    <mergeCell ref="D42:L42"/>
    <mergeCell ref="D43:L43"/>
    <mergeCell ref="D44:L44"/>
    <mergeCell ref="D45:L45"/>
    <mergeCell ref="D46:L46"/>
    <mergeCell ref="D47:L47"/>
    <mergeCell ref="D48:L48"/>
    <mergeCell ref="D49:L49"/>
    <mergeCell ref="D50:L50"/>
    <mergeCell ref="D51:L5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5.14"/>
    <col customWidth="1" min="3" max="3" width="15.43"/>
    <col customWidth="1" min="4" max="4" width="16.29"/>
    <col customWidth="1" min="5" max="5" width="14.86"/>
    <col customWidth="1" min="6" max="6" width="17.71"/>
    <col customWidth="1" min="7" max="7" width="8.0"/>
    <col customWidth="1" min="8" max="8" width="10.57"/>
    <col customWidth="1" min="9" max="11" width="9.14"/>
    <col customWidth="1" min="12" max="26" width="8.0"/>
  </cols>
  <sheetData>
    <row r="1" ht="41.25" customHeight="1">
      <c r="A1" s="4" t="s">
        <v>1</v>
      </c>
      <c r="G1" s="80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81"/>
      <c r="B2" s="81" t="s">
        <v>6</v>
      </c>
      <c r="C2" s="81" t="s">
        <v>9</v>
      </c>
      <c r="D2" s="81" t="s">
        <v>10</v>
      </c>
      <c r="E2" s="82" t="s">
        <v>11</v>
      </c>
      <c r="F2" s="83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>
      <c r="A3" s="14"/>
      <c r="B3" s="79" t="s">
        <v>350</v>
      </c>
      <c r="C3" s="79">
        <v>93.0</v>
      </c>
      <c r="D3" s="79">
        <v>5.0</v>
      </c>
      <c r="E3" s="16" t="s">
        <v>22</v>
      </c>
      <c r="F3" s="84"/>
      <c r="G3" s="14"/>
      <c r="H3" s="85"/>
      <c r="I3" s="20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14"/>
      <c r="B4" s="79" t="s">
        <v>351</v>
      </c>
      <c r="C4" s="79">
        <v>112.0</v>
      </c>
      <c r="D4" s="79">
        <v>1.0</v>
      </c>
      <c r="E4" s="16" t="s">
        <v>22</v>
      </c>
      <c r="F4" s="8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>
      <c r="A5" s="14"/>
      <c r="B5" s="79" t="s">
        <v>352</v>
      </c>
      <c r="C5" s="79">
        <v>79.0</v>
      </c>
      <c r="D5" s="79">
        <v>1.0</v>
      </c>
      <c r="E5" s="16" t="s">
        <v>22</v>
      </c>
      <c r="F5" s="8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.75" customHeight="1">
      <c r="A6" s="14"/>
      <c r="B6" s="79" t="s">
        <v>353</v>
      </c>
      <c r="C6" s="79">
        <v>126.0</v>
      </c>
      <c r="D6" s="79">
        <v>6.0</v>
      </c>
      <c r="E6" s="16" t="s">
        <v>22</v>
      </c>
      <c r="F6" s="8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2.75" customHeight="1">
      <c r="A7" s="14"/>
      <c r="B7" s="79" t="s">
        <v>354</v>
      </c>
      <c r="C7" s="79">
        <v>68.0</v>
      </c>
      <c r="D7" s="79">
        <v>1.0</v>
      </c>
      <c r="E7" s="16" t="s">
        <v>22</v>
      </c>
      <c r="F7" s="8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.75" customHeight="1">
      <c r="A8" s="14"/>
      <c r="B8" s="79" t="s">
        <v>355</v>
      </c>
      <c r="C8" s="79">
        <v>128.0</v>
      </c>
      <c r="D8" s="79">
        <v>6.0</v>
      </c>
      <c r="E8" s="16" t="s">
        <v>22</v>
      </c>
      <c r="F8" s="8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2.75" customHeight="1">
      <c r="A9" s="14"/>
      <c r="B9" s="79" t="s">
        <v>356</v>
      </c>
      <c r="C9" s="79">
        <v>141.0</v>
      </c>
      <c r="D9" s="79">
        <v>3.0</v>
      </c>
      <c r="E9" s="16" t="s">
        <v>22</v>
      </c>
      <c r="F9" s="8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.75" customHeight="1">
      <c r="A10" s="14"/>
      <c r="B10" s="79" t="s">
        <v>357</v>
      </c>
      <c r="C10" s="79">
        <v>142.0</v>
      </c>
      <c r="D10" s="79">
        <v>1.0</v>
      </c>
      <c r="E10" s="16" t="s">
        <v>22</v>
      </c>
      <c r="F10" s="8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2.75" customHeight="1">
      <c r="A11" s="14"/>
      <c r="B11" s="79" t="s">
        <v>358</v>
      </c>
      <c r="C11" s="79">
        <v>58.0</v>
      </c>
      <c r="D11" s="79">
        <v>6.0</v>
      </c>
      <c r="E11" s="16" t="s">
        <v>22</v>
      </c>
      <c r="F11" s="8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2.75" customHeight="1">
      <c r="A12" s="14"/>
      <c r="B12" s="79" t="s">
        <v>39</v>
      </c>
      <c r="C12" s="79">
        <v>79.0</v>
      </c>
      <c r="D12" s="79">
        <v>3.0</v>
      </c>
      <c r="E12" s="16" t="s">
        <v>22</v>
      </c>
      <c r="F12" s="8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.75" customHeight="1">
      <c r="A13" s="14"/>
      <c r="B13" s="79" t="s">
        <v>40</v>
      </c>
      <c r="C13" s="79">
        <v>95.0</v>
      </c>
      <c r="D13" s="79">
        <v>5.0</v>
      </c>
      <c r="E13" s="16" t="s">
        <v>41</v>
      </c>
      <c r="F13" s="8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2.75" customHeight="1">
      <c r="A14" s="14"/>
      <c r="B14" s="79" t="s">
        <v>43</v>
      </c>
      <c r="C14" s="79">
        <v>127.0</v>
      </c>
      <c r="D14" s="79">
        <v>4.0</v>
      </c>
      <c r="E14" s="16" t="s">
        <v>41</v>
      </c>
      <c r="F14" s="8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2.75" customHeight="1">
      <c r="A15" s="14"/>
      <c r="B15" s="79" t="s">
        <v>45</v>
      </c>
      <c r="C15" s="79">
        <v>90.0</v>
      </c>
      <c r="D15" s="79">
        <v>6.0</v>
      </c>
      <c r="E15" s="16" t="s">
        <v>41</v>
      </c>
      <c r="F15" s="8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2.75" customHeight="1">
      <c r="A16" s="14"/>
      <c r="B16" s="79" t="s">
        <v>47</v>
      </c>
      <c r="C16" s="79">
        <v>122.0</v>
      </c>
      <c r="D16" s="79">
        <v>5.0</v>
      </c>
      <c r="E16" s="16" t="s">
        <v>41</v>
      </c>
      <c r="F16" s="8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2.75" customHeight="1">
      <c r="A17" s="14"/>
      <c r="B17" s="79" t="s">
        <v>48</v>
      </c>
      <c r="C17" s="79">
        <v>97.0</v>
      </c>
      <c r="D17" s="79">
        <v>5.0</v>
      </c>
      <c r="E17" s="16" t="s">
        <v>41</v>
      </c>
      <c r="F17" s="8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2.75" customHeight="1">
      <c r="A18" s="14"/>
      <c r="B18" s="79" t="s">
        <v>49</v>
      </c>
      <c r="C18" s="79">
        <v>131.0</v>
      </c>
      <c r="D18" s="79">
        <v>5.0</v>
      </c>
      <c r="E18" s="16" t="s">
        <v>41</v>
      </c>
      <c r="F18" s="8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2.75" customHeight="1">
      <c r="A19" s="14"/>
      <c r="B19" s="79" t="s">
        <v>51</v>
      </c>
      <c r="C19" s="79">
        <v>118.0</v>
      </c>
      <c r="D19" s="79">
        <v>3.0</v>
      </c>
      <c r="E19" s="16" t="s">
        <v>41</v>
      </c>
      <c r="F19" s="8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2.75" customHeight="1">
      <c r="A20" s="14"/>
      <c r="B20" s="79" t="s">
        <v>52</v>
      </c>
      <c r="C20" s="79">
        <v>122.0</v>
      </c>
      <c r="D20" s="79">
        <v>5.0</v>
      </c>
      <c r="E20" s="16" t="s">
        <v>41</v>
      </c>
      <c r="F20" s="8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2.75" customHeight="1">
      <c r="A21" s="14"/>
      <c r="B21" s="79" t="s">
        <v>55</v>
      </c>
      <c r="C21" s="79">
        <v>42.0</v>
      </c>
      <c r="D21" s="79">
        <v>4.0</v>
      </c>
      <c r="E21" s="16" t="s">
        <v>41</v>
      </c>
      <c r="F21" s="8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2.75" customHeight="1">
      <c r="A22" s="14"/>
      <c r="B22" s="79" t="s">
        <v>57</v>
      </c>
      <c r="C22" s="79">
        <v>107.0</v>
      </c>
      <c r="D22" s="79">
        <v>4.0</v>
      </c>
      <c r="E22" s="16" t="s">
        <v>41</v>
      </c>
      <c r="F22" s="8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2.75" customHeight="1">
      <c r="A23" s="14"/>
      <c r="B23" s="79" t="s">
        <v>59</v>
      </c>
      <c r="C23" s="79">
        <v>94.0</v>
      </c>
      <c r="D23" s="79">
        <v>6.0</v>
      </c>
      <c r="E23" s="16" t="s">
        <v>41</v>
      </c>
      <c r="F23" s="8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2.75" customHeight="1">
      <c r="A24" s="14"/>
      <c r="B24" s="79" t="s">
        <v>65</v>
      </c>
      <c r="C24" s="79">
        <v>131.0</v>
      </c>
      <c r="D24" s="79">
        <v>6.0</v>
      </c>
      <c r="E24" s="16" t="s">
        <v>41</v>
      </c>
      <c r="F24" s="8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2.75" customHeight="1">
      <c r="A25" s="14"/>
      <c r="B25" s="79" t="s">
        <v>68</v>
      </c>
      <c r="C25" s="79">
        <v>89.0</v>
      </c>
      <c r="D25" s="79">
        <v>5.0</v>
      </c>
      <c r="E25" s="16" t="s">
        <v>41</v>
      </c>
      <c r="F25" s="8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2.75" customHeight="1">
      <c r="A26" s="14"/>
      <c r="B26" s="79" t="s">
        <v>70</v>
      </c>
      <c r="C26" s="79">
        <v>125.0</v>
      </c>
      <c r="D26" s="79">
        <v>5.0</v>
      </c>
      <c r="E26" s="16" t="s">
        <v>71</v>
      </c>
      <c r="F26" s="8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2.75" customHeight="1">
      <c r="A27" s="14"/>
      <c r="B27" s="79" t="s">
        <v>74</v>
      </c>
      <c r="C27" s="79">
        <v>106.0</v>
      </c>
      <c r="D27" s="79">
        <v>7.0</v>
      </c>
      <c r="E27" s="16" t="s">
        <v>71</v>
      </c>
      <c r="F27" s="8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2.75" customHeight="1">
      <c r="A28" s="14"/>
      <c r="B28" s="79" t="s">
        <v>76</v>
      </c>
      <c r="C28" s="79">
        <v>92.0</v>
      </c>
      <c r="D28" s="79">
        <v>10.0</v>
      </c>
      <c r="E28" s="16" t="s">
        <v>71</v>
      </c>
      <c r="F28" s="8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2.75" customHeight="1">
      <c r="A29" s="14"/>
      <c r="B29" s="79" t="s">
        <v>78</v>
      </c>
      <c r="C29" s="79">
        <v>101.0</v>
      </c>
      <c r="D29" s="79">
        <v>8.0</v>
      </c>
      <c r="E29" s="16" t="s">
        <v>71</v>
      </c>
      <c r="F29" s="8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2.75" customHeight="1">
      <c r="A30" s="14"/>
      <c r="B30" s="79" t="s">
        <v>80</v>
      </c>
      <c r="C30" s="79">
        <v>38.0</v>
      </c>
      <c r="D30" s="79">
        <v>5.0</v>
      </c>
      <c r="E30" s="16" t="s">
        <v>71</v>
      </c>
      <c r="F30" s="8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2.75" customHeight="1">
      <c r="A31" s="14"/>
      <c r="B31" s="79" t="s">
        <v>81</v>
      </c>
      <c r="C31" s="79">
        <v>104.0</v>
      </c>
      <c r="D31" s="79">
        <v>3.0</v>
      </c>
      <c r="E31" s="16" t="s">
        <v>71</v>
      </c>
      <c r="F31" s="8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2.75" customHeight="1">
      <c r="A32" s="14"/>
      <c r="B32" s="79" t="s">
        <v>82</v>
      </c>
      <c r="C32" s="79">
        <v>26.0</v>
      </c>
      <c r="D32" s="79">
        <v>5.0</v>
      </c>
      <c r="E32" s="16" t="s">
        <v>71</v>
      </c>
      <c r="F32" s="8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2.75" customHeight="1">
      <c r="A33" s="14"/>
      <c r="B33" s="79" t="s">
        <v>84</v>
      </c>
      <c r="C33" s="79">
        <v>75.0</v>
      </c>
      <c r="D33" s="79">
        <v>2.0</v>
      </c>
      <c r="E33" s="16" t="s">
        <v>71</v>
      </c>
      <c r="F33" s="8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2.75" customHeight="1">
      <c r="A34" s="14"/>
      <c r="B34" s="79" t="s">
        <v>87</v>
      </c>
      <c r="C34" s="79">
        <v>114.0</v>
      </c>
      <c r="D34" s="79">
        <v>2.0</v>
      </c>
      <c r="E34" s="16" t="s">
        <v>71</v>
      </c>
      <c r="F34" s="8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2.75" customHeight="1">
      <c r="A35" s="14"/>
      <c r="B35" s="79" t="s">
        <v>89</v>
      </c>
      <c r="C35" s="79">
        <v>90.0</v>
      </c>
      <c r="D35" s="79">
        <v>6.0</v>
      </c>
      <c r="E35" s="16" t="s">
        <v>71</v>
      </c>
      <c r="F35" s="8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2.75" customHeight="1">
      <c r="A36" s="14"/>
      <c r="B36" s="14"/>
      <c r="C36" s="14"/>
      <c r="D36" s="14"/>
      <c r="E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41.25" customHeight="1">
      <c r="A37" s="30" t="s">
        <v>92</v>
      </c>
      <c r="G37" s="3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ht="27.0" customHeight="1">
      <c r="A38" s="82"/>
      <c r="B38" s="86" t="s">
        <v>6</v>
      </c>
      <c r="C38" s="87" t="s">
        <v>359</v>
      </c>
      <c r="D38" s="87" t="s">
        <v>360</v>
      </c>
      <c r="E38" s="87" t="s">
        <v>361</v>
      </c>
      <c r="F38" s="88" t="s">
        <v>362</v>
      </c>
      <c r="G38" s="14"/>
      <c r="H38" s="89"/>
      <c r="I38" s="89"/>
      <c r="J38" s="89"/>
      <c r="K38" s="89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2.75" customHeight="1">
      <c r="A39" s="14"/>
      <c r="B39" s="79" t="s">
        <v>103</v>
      </c>
      <c r="C39" s="79">
        <v>124.0</v>
      </c>
      <c r="D39" s="79">
        <v>98.0</v>
      </c>
      <c r="E39" s="79">
        <v>360.0</v>
      </c>
      <c r="F39" s="79">
        <v>300.0</v>
      </c>
      <c r="G39" s="90"/>
      <c r="H39" s="14"/>
      <c r="I39" s="20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2.75" customHeight="1">
      <c r="A40" s="14"/>
      <c r="B40" s="79" t="s">
        <v>106</v>
      </c>
      <c r="C40" s="79">
        <v>360.0</v>
      </c>
      <c r="D40" s="79">
        <v>284.0</v>
      </c>
      <c r="E40" s="79">
        <v>900.0</v>
      </c>
      <c r="F40" s="79">
        <v>720.0</v>
      </c>
      <c r="G40" s="90"/>
      <c r="H40" s="14"/>
      <c r="I40" s="20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2.75" customHeight="1">
      <c r="A41" s="14"/>
      <c r="B41" s="79" t="s">
        <v>109</v>
      </c>
      <c r="C41" s="79">
        <v>229.0</v>
      </c>
      <c r="D41" s="79">
        <v>292.0</v>
      </c>
      <c r="E41" s="79">
        <v>540.0</v>
      </c>
      <c r="F41" s="79">
        <v>720.0</v>
      </c>
      <c r="G41" s="90"/>
      <c r="H41" s="14"/>
      <c r="I41" s="20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>
      <c r="A42" s="14"/>
      <c r="B42" s="79" t="s">
        <v>111</v>
      </c>
      <c r="C42" s="79">
        <v>321.0</v>
      </c>
      <c r="D42" s="79">
        <v>286.0</v>
      </c>
      <c r="E42" s="79">
        <v>840.0</v>
      </c>
      <c r="F42" s="79">
        <v>780.0</v>
      </c>
      <c r="G42" s="90"/>
      <c r="H42" s="14"/>
      <c r="I42" s="20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>
      <c r="A43" s="14"/>
      <c r="B43" s="79" t="s">
        <v>113</v>
      </c>
      <c r="C43" s="79">
        <v>279.0</v>
      </c>
      <c r="D43" s="79">
        <v>350.0</v>
      </c>
      <c r="E43" s="79">
        <v>720.0</v>
      </c>
      <c r="F43" s="79">
        <v>900.0</v>
      </c>
      <c r="G43" s="90"/>
      <c r="H43" s="14"/>
      <c r="I43" s="20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>
      <c r="A44" s="14"/>
      <c r="B44" s="79" t="s">
        <v>116</v>
      </c>
      <c r="C44" s="79">
        <v>352.0</v>
      </c>
      <c r="D44" s="79">
        <v>464.0</v>
      </c>
      <c r="E44" s="79">
        <v>780.0</v>
      </c>
      <c r="F44" s="79">
        <v>1380.0</v>
      </c>
      <c r="G44" s="90"/>
      <c r="H44" s="14"/>
      <c r="I44" s="20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2.75" customHeight="1">
      <c r="A45" s="14"/>
      <c r="B45" s="79" t="s">
        <v>119</v>
      </c>
      <c r="C45" s="79">
        <v>297.0</v>
      </c>
      <c r="D45" s="79">
        <v>381.0</v>
      </c>
      <c r="E45" s="79">
        <v>780.0</v>
      </c>
      <c r="F45" s="79">
        <v>1020.0</v>
      </c>
      <c r="G45" s="90"/>
      <c r="H45" s="14"/>
      <c r="I45" s="20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2.75" customHeight="1">
      <c r="A46" s="14"/>
      <c r="B46" s="79" t="s">
        <v>120</v>
      </c>
      <c r="C46" s="79">
        <v>263.0</v>
      </c>
      <c r="D46" s="79">
        <v>369.0</v>
      </c>
      <c r="E46" s="79">
        <v>660.0</v>
      </c>
      <c r="F46" s="79">
        <v>960.0</v>
      </c>
      <c r="G46" s="90"/>
      <c r="H46" s="14"/>
      <c r="I46" s="20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>
      <c r="A47" s="14"/>
      <c r="B47" s="79" t="s">
        <v>123</v>
      </c>
      <c r="C47" s="79">
        <v>357.0</v>
      </c>
      <c r="D47" s="79">
        <v>365.0</v>
      </c>
      <c r="E47" s="79">
        <v>900.0</v>
      </c>
      <c r="F47" s="79">
        <v>900.0</v>
      </c>
      <c r="G47" s="90"/>
      <c r="H47" s="14"/>
      <c r="I47" s="20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>
      <c r="A48" s="14"/>
      <c r="B48" s="79" t="s">
        <v>125</v>
      </c>
      <c r="C48" s="79">
        <v>311.0</v>
      </c>
      <c r="D48" s="79">
        <v>284.0</v>
      </c>
      <c r="E48" s="79">
        <v>780.0</v>
      </c>
      <c r="F48" s="79">
        <v>720.0</v>
      </c>
      <c r="G48" s="90"/>
      <c r="H48" s="14"/>
      <c r="I48" s="20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>
      <c r="A49" s="14"/>
      <c r="B49" s="79" t="s">
        <v>128</v>
      </c>
      <c r="C49" s="79">
        <v>341.0</v>
      </c>
      <c r="D49" s="79">
        <v>277.0</v>
      </c>
      <c r="E49" s="79">
        <v>840.0</v>
      </c>
      <c r="F49" s="79">
        <v>600.0</v>
      </c>
      <c r="G49" s="90"/>
      <c r="H49" s="14"/>
      <c r="I49" s="20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>
      <c r="A50" s="14"/>
      <c r="B50" s="79" t="s">
        <v>129</v>
      </c>
      <c r="C50" s="79">
        <v>153.0</v>
      </c>
      <c r="D50" s="79">
        <v>212.0</v>
      </c>
      <c r="E50" s="79">
        <v>420.0</v>
      </c>
      <c r="F50" s="79">
        <v>480.0</v>
      </c>
      <c r="G50" s="90"/>
      <c r="H50" s="14"/>
      <c r="I50" s="20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>
      <c r="A51" s="14"/>
      <c r="B51" s="79" t="s">
        <v>131</v>
      </c>
      <c r="C51" s="79">
        <v>390.0</v>
      </c>
      <c r="D51" s="79">
        <v>319.0</v>
      </c>
      <c r="E51" s="79">
        <v>1020.0</v>
      </c>
      <c r="F51" s="79">
        <v>720.0</v>
      </c>
      <c r="G51" s="90"/>
      <c r="H51" s="14"/>
      <c r="I51" s="20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>
      <c r="A52" s="14"/>
      <c r="B52" s="79" t="s">
        <v>133</v>
      </c>
      <c r="C52" s="79">
        <v>260.0</v>
      </c>
      <c r="D52" s="79">
        <v>218.0</v>
      </c>
      <c r="E52" s="79">
        <v>660.0</v>
      </c>
      <c r="F52" s="79">
        <v>540.0</v>
      </c>
      <c r="G52" s="90"/>
      <c r="H52" s="14"/>
      <c r="I52" s="20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>
      <c r="A53" s="14"/>
      <c r="B53" s="79" t="s">
        <v>135</v>
      </c>
      <c r="C53" s="79">
        <v>215.0</v>
      </c>
      <c r="D53" s="79">
        <v>238.0</v>
      </c>
      <c r="E53" s="79">
        <v>540.0</v>
      </c>
      <c r="F53" s="79">
        <v>600.0</v>
      </c>
      <c r="G53" s="90"/>
      <c r="H53" s="14"/>
      <c r="I53" s="20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>
      <c r="A54" s="14"/>
      <c r="B54" s="79" t="s">
        <v>137</v>
      </c>
      <c r="C54" s="79">
        <v>468.0</v>
      </c>
      <c r="D54" s="79">
        <v>312.0</v>
      </c>
      <c r="E54" s="79">
        <v>1200.0</v>
      </c>
      <c r="F54" s="79">
        <v>660.0</v>
      </c>
      <c r="G54" s="90"/>
      <c r="H54" s="14"/>
      <c r="I54" s="20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>
      <c r="A55" s="14"/>
      <c r="B55" s="79" t="s">
        <v>139</v>
      </c>
      <c r="C55" s="79">
        <v>528.0</v>
      </c>
      <c r="D55" s="79">
        <v>676.0</v>
      </c>
      <c r="E55" s="79">
        <v>1260.0</v>
      </c>
      <c r="F55" s="79">
        <v>1620.0</v>
      </c>
      <c r="G55" s="90"/>
      <c r="H55" s="14"/>
      <c r="I55" s="20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>
      <c r="A56" s="14"/>
      <c r="B56" s="79" t="s">
        <v>140</v>
      </c>
      <c r="C56" s="79">
        <v>232.0</v>
      </c>
      <c r="D56" s="79">
        <v>266.0</v>
      </c>
      <c r="E56" s="79">
        <v>600.0</v>
      </c>
      <c r="F56" s="79">
        <v>840.0</v>
      </c>
      <c r="G56" s="90"/>
      <c r="H56" s="14"/>
      <c r="I56" s="20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>
      <c r="A57" s="14"/>
      <c r="B57" s="79" t="s">
        <v>141</v>
      </c>
      <c r="C57" s="79">
        <v>304.0</v>
      </c>
      <c r="D57" s="79">
        <v>225.0</v>
      </c>
      <c r="E57" s="79">
        <v>780.0</v>
      </c>
      <c r="F57" s="79">
        <v>600.0</v>
      </c>
      <c r="G57" s="90"/>
      <c r="H57" s="14"/>
      <c r="I57" s="20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>
      <c r="A58" s="14"/>
      <c r="B58" s="79" t="s">
        <v>142</v>
      </c>
      <c r="C58" s="79">
        <v>459.0</v>
      </c>
      <c r="D58" s="79">
        <v>395.0</v>
      </c>
      <c r="E58" s="79">
        <v>1080.0</v>
      </c>
      <c r="F58" s="79">
        <v>1080.0</v>
      </c>
      <c r="G58" s="90"/>
      <c r="H58" s="14"/>
      <c r="I58" s="20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>
      <c r="A59" s="14"/>
      <c r="B59" s="14"/>
      <c r="C59" s="14"/>
      <c r="D59" s="14"/>
      <c r="E59" s="14"/>
      <c r="F59" s="90"/>
      <c r="G59" s="90"/>
      <c r="H59" s="14"/>
      <c r="I59" s="20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41.25" customHeight="1">
      <c r="A60" s="4" t="s">
        <v>143</v>
      </c>
      <c r="G60" s="30"/>
      <c r="H60" s="14"/>
      <c r="I60" s="14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ht="44.25" customHeight="1">
      <c r="A61" s="14"/>
      <c r="B61" s="87" t="s">
        <v>144</v>
      </c>
      <c r="C61" s="87" t="s">
        <v>145</v>
      </c>
      <c r="D61" s="87" t="s">
        <v>146</v>
      </c>
      <c r="E61" s="87" t="s">
        <v>147</v>
      </c>
      <c r="F61" s="84"/>
      <c r="G61" s="91"/>
      <c r="H61" s="80"/>
      <c r="I61" s="80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>
      <c r="A62" s="14"/>
      <c r="B62" s="79" t="s">
        <v>148</v>
      </c>
      <c r="C62" s="54">
        <v>0.14</v>
      </c>
      <c r="D62" s="54">
        <v>0.0</v>
      </c>
      <c r="E62" s="54">
        <v>0.0</v>
      </c>
      <c r="F62" s="8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>
      <c r="A63" s="14"/>
      <c r="B63" s="79" t="s">
        <v>151</v>
      </c>
      <c r="C63" s="54">
        <v>0.21</v>
      </c>
      <c r="D63" s="54">
        <v>0.01</v>
      </c>
      <c r="E63" s="54">
        <v>0.02</v>
      </c>
      <c r="F63" s="8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2.75" customHeight="1">
      <c r="A64" s="14"/>
      <c r="B64" s="79" t="s">
        <v>155</v>
      </c>
      <c r="C64" s="54">
        <v>0.03</v>
      </c>
      <c r="D64" s="54">
        <v>0.77</v>
      </c>
      <c r="E64" s="54">
        <v>0.07</v>
      </c>
      <c r="F64" s="8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2.75" customHeight="1">
      <c r="A65" s="14"/>
      <c r="B65" s="79" t="s">
        <v>157</v>
      </c>
      <c r="C65" s="54">
        <v>0.03</v>
      </c>
      <c r="D65" s="54">
        <v>0.01</v>
      </c>
      <c r="E65" s="54">
        <v>0.25</v>
      </c>
      <c r="F65" s="8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2.75" customHeight="1">
      <c r="A66" s="14"/>
      <c r="B66" s="79" t="s">
        <v>161</v>
      </c>
      <c r="C66" s="54">
        <v>0.57</v>
      </c>
      <c r="D66" s="54">
        <v>0.21</v>
      </c>
      <c r="E66" s="54">
        <v>0.66</v>
      </c>
      <c r="F66" s="8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2.75" customHeight="1">
      <c r="A67" s="14"/>
      <c r="B67" s="79" t="s">
        <v>164</v>
      </c>
      <c r="C67" s="54">
        <v>0.02</v>
      </c>
      <c r="D67" s="54">
        <v>0.0</v>
      </c>
      <c r="E67" s="54">
        <v>0.0</v>
      </c>
      <c r="F67" s="8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2.75" customHeight="1">
      <c r="A68" s="14"/>
      <c r="B68" s="79" t="s">
        <v>168</v>
      </c>
      <c r="C68" s="54">
        <v>1.0</v>
      </c>
      <c r="D68" s="54">
        <v>1.0</v>
      </c>
      <c r="E68" s="54">
        <v>1.0</v>
      </c>
      <c r="F68" s="8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2.75" customHeight="1">
      <c r="A69" s="14"/>
      <c r="B69" s="14"/>
      <c r="C69" s="14"/>
      <c r="D69" s="14"/>
      <c r="E69" s="14"/>
      <c r="F69" s="8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91.5" customHeight="1">
      <c r="A70" s="4" t="s">
        <v>172</v>
      </c>
      <c r="G70" s="30"/>
      <c r="H70" s="14"/>
      <c r="I70" s="14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ht="25.5" customHeight="1">
      <c r="A71" s="14"/>
      <c r="B71" s="92" t="s">
        <v>174</v>
      </c>
      <c r="G71" s="14"/>
      <c r="H71" s="80"/>
      <c r="I71" s="80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2.75" customHeight="1">
      <c r="A72" s="14"/>
      <c r="C72" s="79" t="s">
        <v>175</v>
      </c>
      <c r="D72" s="79">
        <v>369.0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2.75" customHeight="1">
      <c r="A73" s="14"/>
      <c r="C73" s="79" t="s">
        <v>178</v>
      </c>
      <c r="D73" s="79">
        <v>14.0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2.75" customHeight="1">
      <c r="A74" s="14"/>
      <c r="C74" s="79" t="s">
        <v>186</v>
      </c>
      <c r="D74" s="79">
        <v>14.0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2.75" customHeight="1">
      <c r="A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25.5" customHeight="1">
      <c r="A76" s="14"/>
      <c r="B76" s="92" t="s">
        <v>190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>
      <c r="A77" s="14"/>
      <c r="C77" s="43" t="s">
        <v>192</v>
      </c>
      <c r="D77" s="10" t="s">
        <v>10</v>
      </c>
      <c r="E77" s="10" t="s">
        <v>363</v>
      </c>
      <c r="F77" s="93"/>
      <c r="G77" s="93"/>
      <c r="H77" s="9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>
      <c r="A78" s="14"/>
      <c r="C78" s="79" t="s">
        <v>196</v>
      </c>
      <c r="D78" s="79">
        <v>6.0</v>
      </c>
      <c r="E78" s="16" t="s">
        <v>357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>
      <c r="A79" s="14"/>
      <c r="C79" s="79" t="s">
        <v>199</v>
      </c>
      <c r="D79" s="79">
        <v>2.0</v>
      </c>
      <c r="E79" s="16" t="s">
        <v>78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>
      <c r="A80" s="14"/>
      <c r="E80" s="16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25.5" customHeight="1">
      <c r="A81" s="14"/>
      <c r="B81" s="92" t="s">
        <v>204</v>
      </c>
      <c r="E81" s="16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>
      <c r="A82" s="14"/>
      <c r="C82" s="43" t="s">
        <v>206</v>
      </c>
      <c r="D82" s="10" t="s">
        <v>10</v>
      </c>
      <c r="E82" s="10" t="s">
        <v>363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>
      <c r="A83" s="14"/>
      <c r="C83" s="79" t="s">
        <v>208</v>
      </c>
      <c r="D83" s="79">
        <v>5.0</v>
      </c>
      <c r="E83" s="16" t="s">
        <v>51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>
      <c r="A84" s="14"/>
      <c r="C84" s="79" t="s">
        <v>211</v>
      </c>
      <c r="D84" s="79">
        <v>2.0</v>
      </c>
      <c r="E84" s="16" t="s">
        <v>47</v>
      </c>
      <c r="F84" s="14"/>
      <c r="G84" s="14"/>
      <c r="H84" s="14"/>
      <c r="I84" s="85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>
      <c r="A85" s="14"/>
      <c r="C85" s="79" t="s">
        <v>215</v>
      </c>
      <c r="D85" s="79">
        <v>4.0</v>
      </c>
      <c r="E85" s="16" t="s">
        <v>57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>
      <c r="A86" s="14"/>
      <c r="C86" s="79" t="s">
        <v>219</v>
      </c>
      <c r="D86" s="79">
        <v>3.0</v>
      </c>
      <c r="E86" s="16" t="s">
        <v>52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>
      <c r="A87" s="14"/>
      <c r="C87" s="79" t="s">
        <v>222</v>
      </c>
      <c r="D87" s="79">
        <v>5.0</v>
      </c>
      <c r="E87" s="16" t="s">
        <v>350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>
      <c r="A88" s="14"/>
      <c r="C88" s="79" t="s">
        <v>225</v>
      </c>
      <c r="D88" s="79">
        <v>7.0</v>
      </c>
      <c r="E88" s="16" t="s">
        <v>354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2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7">
    <mergeCell ref="A1:F1"/>
    <mergeCell ref="A37:F37"/>
    <mergeCell ref="A60:F60"/>
    <mergeCell ref="A70:F70"/>
    <mergeCell ref="B71:C71"/>
    <mergeCell ref="B76:C76"/>
    <mergeCell ref="B81:C8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71"/>
    <col customWidth="1" min="2" max="2" width="15.14"/>
    <col customWidth="1" min="3" max="5" width="12.71"/>
    <col customWidth="1" min="6" max="6" width="14.14"/>
    <col customWidth="1" min="7" max="8" width="12.71"/>
    <col customWidth="1" min="9" max="11" width="9.14"/>
    <col customWidth="1" min="12" max="26" width="8.0"/>
  </cols>
  <sheetData>
    <row r="1" ht="20.25" customHeight="1">
      <c r="A1" s="1" t="s">
        <v>364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 t="s">
        <v>3</v>
      </c>
      <c r="B2" s="12"/>
      <c r="C2" s="94" t="s">
        <v>365</v>
      </c>
      <c r="D2" s="19"/>
      <c r="E2" s="2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hidden="1" customHeight="1">
      <c r="A3" s="2" t="s">
        <v>29</v>
      </c>
      <c r="B3" s="12"/>
      <c r="C3" s="17"/>
      <c r="D3" s="19"/>
      <c r="E3" s="2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 t="s">
        <v>366</v>
      </c>
      <c r="B4" s="12"/>
      <c r="C4" s="17"/>
      <c r="D4" s="19"/>
      <c r="E4" s="2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hidden="1" customHeight="1">
      <c r="A5" s="15" t="s">
        <v>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hidden="1" customHeight="1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hidden="1" customHeight="1">
      <c r="C7" s="26"/>
      <c r="D7" s="2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hidden="1" customHeight="1">
      <c r="A8" s="15"/>
      <c r="B8" s="1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 t="s">
        <v>4</v>
      </c>
      <c r="B9" s="2"/>
      <c r="C9" s="2">
        <f>Description!B3</f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 t="s">
        <v>367</v>
      </c>
      <c r="B10" s="2"/>
      <c r="C10" s="8">
        <f>Description!B4</f>
        <v>43906</v>
      </c>
      <c r="D10" s="8" t="str">
        <f>Description!C4</f>
        <v>11:55am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8"/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 t="s">
        <v>46</v>
      </c>
      <c r="B12" s="2"/>
      <c r="C12" s="27" t="str">
        <f>Description!B6</f>
        <v>5.xls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0.25" hidden="1" customHeight="1">
      <c r="A14" s="1" t="s">
        <v>50</v>
      </c>
      <c r="B14" s="1"/>
      <c r="C14" s="1"/>
      <c r="D14" s="1"/>
      <c r="E14" s="1"/>
      <c r="F14" s="1"/>
      <c r="G14" s="1"/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hidden="1" customHeight="1">
      <c r="A15" s="28" t="s">
        <v>53</v>
      </c>
      <c r="B15" s="2" t="s">
        <v>54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hidden="1" customHeight="1">
      <c r="A16" s="28" t="s">
        <v>53</v>
      </c>
      <c r="B16" s="2" t="s">
        <v>56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hidden="1" customHeight="1">
      <c r="A17" s="28" t="s">
        <v>53</v>
      </c>
      <c r="B17" s="2" t="s">
        <v>58</v>
      </c>
      <c r="C17" s="28"/>
      <c r="D17" s="28"/>
      <c r="E17" s="28"/>
      <c r="F17" s="28"/>
      <c r="G17" s="28"/>
      <c r="H17" s="2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hidden="1" customHeight="1">
      <c r="A18" s="28" t="s">
        <v>53</v>
      </c>
      <c r="B18" s="2" t="s">
        <v>60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hidden="1" customHeight="1">
      <c r="A19" s="28" t="s">
        <v>53</v>
      </c>
      <c r="B19" s="2" t="s">
        <v>61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hidden="1" customHeight="1">
      <c r="A20" s="28" t="s">
        <v>62</v>
      </c>
      <c r="B20" s="2" t="s">
        <v>63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hidden="1" customHeight="1">
      <c r="A21" s="28" t="s">
        <v>62</v>
      </c>
      <c r="B21" s="2" t="s">
        <v>64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hidden="1" customHeight="1">
      <c r="A22" s="28" t="s">
        <v>62</v>
      </c>
      <c r="B22" s="2" t="s">
        <v>66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hidden="1" customHeight="1">
      <c r="A23" s="28" t="s">
        <v>62</v>
      </c>
      <c r="B23" s="2" t="s">
        <v>67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hidden="1" customHeight="1">
      <c r="A24" s="28" t="s">
        <v>53</v>
      </c>
      <c r="B24" s="2" t="s">
        <v>69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hidden="1" customHeight="1">
      <c r="A25" s="28" t="s">
        <v>53</v>
      </c>
      <c r="B25" s="2" t="s">
        <v>72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hidden="1" customHeight="1">
      <c r="A26" s="2" t="s">
        <v>53</v>
      </c>
      <c r="B26" s="2" t="s">
        <v>73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hidden="1" customHeight="1">
      <c r="A27" s="2" t="s">
        <v>53</v>
      </c>
      <c r="B27" s="2" t="s">
        <v>75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hidden="1" customHeight="1">
      <c r="A28" s="2" t="s">
        <v>53</v>
      </c>
      <c r="B28" s="2" t="s">
        <v>61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hidden="1" customHeight="1">
      <c r="A29" s="2" t="s">
        <v>53</v>
      </c>
      <c r="B29" s="2" t="s">
        <v>77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hidden="1" customHeight="1">
      <c r="A30" s="2" t="s">
        <v>53</v>
      </c>
      <c r="B30" s="2" t="s">
        <v>79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hidden="1" customHeight="1">
      <c r="A31" s="2" t="s">
        <v>53</v>
      </c>
      <c r="B31" s="2" t="s">
        <v>63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hidden="1" customHeight="1">
      <c r="A32" s="2" t="s">
        <v>53</v>
      </c>
      <c r="B32" s="2" t="s">
        <v>64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hidden="1" customHeight="1">
      <c r="A33" s="2" t="s">
        <v>53</v>
      </c>
      <c r="B33" s="2" t="s">
        <v>83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hidden="1" customHeight="1">
      <c r="A34" s="2" t="s">
        <v>53</v>
      </c>
      <c r="B34" s="2" t="s">
        <v>85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hidden="1" customHeight="1">
      <c r="A35" s="2" t="s">
        <v>53</v>
      </c>
      <c r="B35" s="2" t="s">
        <v>86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hidden="1" customHeight="1">
      <c r="A36" s="2" t="s">
        <v>53</v>
      </c>
      <c r="B36" s="2" t="s">
        <v>88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hidden="1" customHeight="1">
      <c r="A37" s="28" t="s">
        <v>53</v>
      </c>
      <c r="B37" s="2" t="s">
        <v>90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hidden="1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0.25" customHeight="1">
      <c r="A39" s="1" t="s">
        <v>91</v>
      </c>
      <c r="B39" s="1"/>
      <c r="C39" s="1"/>
      <c r="D39" s="1"/>
      <c r="E39" s="1"/>
      <c r="F39" s="1"/>
      <c r="G39" s="1"/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5.5" customHeight="1">
      <c r="A40" s="31" t="s">
        <v>93</v>
      </c>
      <c r="B40" s="31" t="s">
        <v>94</v>
      </c>
      <c r="C40" s="31" t="s">
        <v>95</v>
      </c>
      <c r="D40" s="31" t="s">
        <v>97</v>
      </c>
      <c r="E40" s="33" t="s">
        <v>99</v>
      </c>
      <c r="F40" s="34"/>
      <c r="G40" s="34"/>
      <c r="H40" s="34"/>
      <c r="I40" s="34"/>
      <c r="J40" s="34"/>
      <c r="K40" s="3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36" t="s">
        <v>104</v>
      </c>
      <c r="B41" s="37"/>
      <c r="C41" s="38"/>
      <c r="D41" s="38"/>
      <c r="E41" s="39"/>
      <c r="F41" s="19"/>
      <c r="G41" s="19"/>
      <c r="H41" s="19"/>
      <c r="I41" s="19"/>
      <c r="J41" s="19"/>
      <c r="K41" s="2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5.5" customHeight="1">
      <c r="A42" s="40"/>
      <c r="B42" s="40" t="s">
        <v>108</v>
      </c>
      <c r="C42" s="41">
        <v>2.0</v>
      </c>
      <c r="D42" s="41"/>
      <c r="E42" s="42"/>
      <c r="F42" s="19"/>
      <c r="G42" s="19"/>
      <c r="H42" s="19"/>
      <c r="I42" s="19"/>
      <c r="J42" s="19"/>
      <c r="K42" s="2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5.5" customHeight="1">
      <c r="A43" s="40"/>
      <c r="B43" s="40" t="s">
        <v>112</v>
      </c>
      <c r="C43" s="41">
        <v>2.0</v>
      </c>
      <c r="D43" s="41"/>
      <c r="E43" s="42"/>
      <c r="F43" s="19"/>
      <c r="G43" s="19"/>
      <c r="H43" s="19"/>
      <c r="I43" s="19"/>
      <c r="J43" s="19"/>
      <c r="K43" s="2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95" t="s">
        <v>368</v>
      </c>
      <c r="B44" s="37"/>
      <c r="C44" s="38"/>
      <c r="D44" s="38"/>
      <c r="E44" s="38"/>
      <c r="F44" s="38"/>
      <c r="G44" s="38"/>
      <c r="H44" s="38"/>
      <c r="I44" s="38"/>
      <c r="J44" s="38"/>
      <c r="K44" s="5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5.5" customHeight="1">
      <c r="A45" s="75"/>
      <c r="B45" s="40" t="s">
        <v>108</v>
      </c>
      <c r="C45" s="41">
        <v>2.0</v>
      </c>
      <c r="D45" s="41"/>
      <c r="E45" s="38"/>
      <c r="F45" s="38"/>
      <c r="G45" s="38"/>
      <c r="H45" s="38"/>
      <c r="I45" s="38"/>
      <c r="J45" s="38"/>
      <c r="K45" s="5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36" t="s">
        <v>114</v>
      </c>
      <c r="B46" s="37"/>
      <c r="C46" s="38"/>
      <c r="D46" s="38"/>
      <c r="E46" s="38"/>
      <c r="F46" s="19"/>
      <c r="G46" s="19"/>
      <c r="H46" s="19"/>
      <c r="I46" s="19"/>
      <c r="J46" s="19"/>
      <c r="K46" s="2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40"/>
      <c r="B47" s="40" t="s">
        <v>117</v>
      </c>
      <c r="C47" s="41">
        <v>2.0</v>
      </c>
      <c r="D47" s="41"/>
      <c r="E47" s="42"/>
      <c r="F47" s="19"/>
      <c r="G47" s="19"/>
      <c r="H47" s="19"/>
      <c r="I47" s="19"/>
      <c r="J47" s="19"/>
      <c r="K47" s="2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5.5" customHeight="1">
      <c r="A48" s="40"/>
      <c r="B48" s="40" t="s">
        <v>118</v>
      </c>
      <c r="C48" s="41">
        <v>2.0</v>
      </c>
      <c r="D48" s="41"/>
      <c r="E48" s="42"/>
      <c r="F48" s="19"/>
      <c r="G48" s="19"/>
      <c r="H48" s="19"/>
      <c r="I48" s="19"/>
      <c r="J48" s="19"/>
      <c r="K48" s="2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40"/>
      <c r="B49" s="40" t="s">
        <v>121</v>
      </c>
      <c r="C49" s="41">
        <v>2.0</v>
      </c>
      <c r="D49" s="41"/>
      <c r="E49" s="42"/>
      <c r="F49" s="19"/>
      <c r="G49" s="19"/>
      <c r="H49" s="19"/>
      <c r="I49" s="19"/>
      <c r="J49" s="19"/>
      <c r="K49" s="2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36" t="s">
        <v>122</v>
      </c>
      <c r="B50" s="37"/>
      <c r="C50" s="38"/>
      <c r="D50" s="38"/>
      <c r="E50" s="38"/>
      <c r="F50" s="19"/>
      <c r="G50" s="19"/>
      <c r="H50" s="19"/>
      <c r="I50" s="19"/>
      <c r="J50" s="19"/>
      <c r="K50" s="2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5.5" customHeight="1">
      <c r="A51" s="40"/>
      <c r="B51" s="40" t="s">
        <v>124</v>
      </c>
      <c r="C51" s="41">
        <v>2.0</v>
      </c>
      <c r="D51" s="41"/>
      <c r="E51" s="42"/>
      <c r="F51" s="19"/>
      <c r="G51" s="19"/>
      <c r="H51" s="19"/>
      <c r="I51" s="19"/>
      <c r="J51" s="19"/>
      <c r="K51" s="2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5.5" customHeight="1">
      <c r="A52" s="40"/>
      <c r="B52" s="40" t="s">
        <v>127</v>
      </c>
      <c r="C52" s="41">
        <v>2.0</v>
      </c>
      <c r="D52" s="41"/>
      <c r="E52" s="42"/>
      <c r="F52" s="19"/>
      <c r="G52" s="19"/>
      <c r="H52" s="19"/>
      <c r="I52" s="19"/>
      <c r="J52" s="19"/>
      <c r="K52" s="2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40"/>
      <c r="B53" s="40" t="s">
        <v>121</v>
      </c>
      <c r="C53" s="41">
        <v>2.0</v>
      </c>
      <c r="D53" s="41"/>
      <c r="E53" s="42"/>
      <c r="F53" s="19"/>
      <c r="G53" s="19"/>
      <c r="H53" s="19"/>
      <c r="I53" s="19"/>
      <c r="J53" s="19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36" t="s">
        <v>130</v>
      </c>
      <c r="B54" s="37"/>
      <c r="C54" s="38"/>
      <c r="D54" s="38"/>
      <c r="E54" s="38"/>
      <c r="F54" s="19"/>
      <c r="G54" s="19"/>
      <c r="H54" s="19"/>
      <c r="I54" s="19"/>
      <c r="J54" s="19"/>
      <c r="K54" s="2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5.5" customHeight="1">
      <c r="A55" s="40"/>
      <c r="B55" s="40" t="s">
        <v>132</v>
      </c>
      <c r="C55" s="41">
        <v>2.0</v>
      </c>
      <c r="D55" s="41"/>
      <c r="E55" s="42"/>
      <c r="F55" s="19"/>
      <c r="G55" s="19"/>
      <c r="H55" s="19"/>
      <c r="I55" s="19"/>
      <c r="J55" s="19"/>
      <c r="K55" s="2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36" t="s">
        <v>134</v>
      </c>
      <c r="B56" s="37"/>
      <c r="C56" s="38"/>
      <c r="D56" s="38"/>
      <c r="E56" s="38"/>
      <c r="F56" s="19"/>
      <c r="G56" s="19"/>
      <c r="H56" s="19"/>
      <c r="I56" s="19"/>
      <c r="J56" s="19"/>
      <c r="K56" s="2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5.5" customHeight="1">
      <c r="A57" s="40"/>
      <c r="B57" s="40" t="s">
        <v>136</v>
      </c>
      <c r="C57" s="41">
        <v>0.0</v>
      </c>
      <c r="D57" s="41"/>
      <c r="E57" s="42"/>
      <c r="F57" s="19"/>
      <c r="G57" s="19"/>
      <c r="H57" s="19"/>
      <c r="I57" s="19"/>
      <c r="J57" s="19"/>
      <c r="K57" s="2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hidden="1" customHeight="1">
      <c r="A58" s="44" t="s">
        <v>138</v>
      </c>
      <c r="B58" s="45"/>
      <c r="C58" s="46">
        <v>0.0</v>
      </c>
      <c r="D58" s="46"/>
      <c r="E58" s="47"/>
      <c r="F58" s="48"/>
      <c r="G58" s="48"/>
      <c r="H58" s="48"/>
      <c r="I58" s="48"/>
      <c r="J58" s="48"/>
      <c r="K58" s="49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hidden="1" customHeight="1">
      <c r="A59" s="40"/>
      <c r="B59" s="50"/>
      <c r="C59" s="41">
        <v>0.0</v>
      </c>
      <c r="D59" s="41"/>
      <c r="E59" s="42"/>
      <c r="F59" s="38"/>
      <c r="G59" s="38"/>
      <c r="H59" s="38"/>
      <c r="I59" s="38"/>
      <c r="J59" s="38"/>
      <c r="K59" s="5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hidden="1" customHeight="1">
      <c r="A60" s="40"/>
      <c r="B60" s="50"/>
      <c r="C60" s="41"/>
      <c r="D60" s="41"/>
      <c r="E60" s="42"/>
      <c r="F60" s="38"/>
      <c r="G60" s="38"/>
      <c r="H60" s="38"/>
      <c r="I60" s="38"/>
      <c r="J60" s="38"/>
      <c r="K60" s="5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53" t="s">
        <v>149</v>
      </c>
      <c r="C61" s="53">
        <f t="shared" ref="C61:D61" si="1">SUM(C42:C57)</f>
        <v>20</v>
      </c>
      <c r="D61" s="41">
        <f t="shared" si="1"/>
        <v>0</v>
      </c>
      <c r="E61" s="42"/>
      <c r="F61" s="19"/>
      <c r="G61" s="19"/>
      <c r="H61" s="19"/>
      <c r="I61" s="19"/>
      <c r="J61" s="19"/>
      <c r="K61" s="2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08.0" customHeight="1">
      <c r="A63" s="107" t="s">
        <v>376</v>
      </c>
      <c r="B63" s="108"/>
      <c r="C63" s="108"/>
      <c r="D63" s="108"/>
      <c r="E63" s="108"/>
      <c r="F63" s="108"/>
      <c r="G63" s="108"/>
      <c r="H63" s="108"/>
      <c r="I63" s="10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hidden="1" customHeight="1">
      <c r="A64" s="110" t="s">
        <v>156</v>
      </c>
      <c r="B64" s="110"/>
      <c r="C64" s="110"/>
      <c r="D64" s="110"/>
      <c r="E64" s="110"/>
      <c r="F64" s="110"/>
      <c r="G64" s="110"/>
      <c r="H64" s="11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hidden="1" customHeight="1">
      <c r="A65" s="111" t="s">
        <v>159</v>
      </c>
      <c r="B65" s="111"/>
      <c r="C65" s="111"/>
      <c r="D65" s="111"/>
      <c r="E65" s="111"/>
      <c r="F65" s="111"/>
      <c r="G65" s="111"/>
      <c r="H65" s="11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hidden="1" customHeight="1">
      <c r="A66" s="111" t="s">
        <v>162</v>
      </c>
      <c r="B66" s="111"/>
      <c r="C66" s="111"/>
      <c r="D66" s="111"/>
      <c r="E66" s="111"/>
      <c r="F66" s="111"/>
      <c r="G66" s="111"/>
      <c r="H66" s="11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hidden="1" customHeight="1">
      <c r="A67" s="111" t="s">
        <v>163</v>
      </c>
      <c r="B67" s="111"/>
      <c r="C67" s="111"/>
      <c r="D67" s="111"/>
      <c r="E67" s="111"/>
      <c r="F67" s="111"/>
      <c r="G67" s="111"/>
      <c r="H67" s="11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hidden="1" customHeight="1">
      <c r="A68" s="111" t="s">
        <v>377</v>
      </c>
      <c r="B68" s="111"/>
      <c r="C68" s="111"/>
      <c r="D68" s="111"/>
      <c r="E68" s="111"/>
      <c r="F68" s="111"/>
      <c r="G68" s="111"/>
      <c r="H68" s="11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hidden="1" customHeight="1">
      <c r="A69" s="111" t="s">
        <v>378</v>
      </c>
      <c r="B69" s="111"/>
      <c r="C69" s="111"/>
      <c r="D69" s="111"/>
      <c r="E69" s="111"/>
      <c r="F69" s="111"/>
      <c r="G69" s="111"/>
      <c r="H69" s="11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hidden="1" customHeight="1">
      <c r="A70" s="111" t="s">
        <v>170</v>
      </c>
      <c r="B70" s="111"/>
      <c r="C70" s="111"/>
      <c r="D70" s="111"/>
      <c r="E70" s="111"/>
      <c r="F70" s="111"/>
      <c r="G70" s="111"/>
      <c r="H70" s="11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hidden="1" customHeight="1">
      <c r="A71" s="111" t="s">
        <v>163</v>
      </c>
      <c r="B71" s="111"/>
      <c r="C71" s="111"/>
      <c r="D71" s="111"/>
      <c r="E71" s="111"/>
      <c r="F71" s="111"/>
      <c r="G71" s="111"/>
      <c r="H71" s="11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hidden="1" customHeight="1">
      <c r="A72" s="111" t="s">
        <v>244</v>
      </c>
      <c r="B72" s="111"/>
      <c r="C72" s="111"/>
      <c r="D72" s="111"/>
      <c r="E72" s="111"/>
      <c r="F72" s="111"/>
      <c r="G72" s="111"/>
      <c r="H72" s="11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hidden="1" customHeight="1">
      <c r="A73" s="111" t="s">
        <v>245</v>
      </c>
      <c r="B73" s="111"/>
      <c r="C73" s="111"/>
      <c r="D73" s="111"/>
      <c r="E73" s="111"/>
      <c r="F73" s="111"/>
      <c r="G73" s="111"/>
      <c r="H73" s="11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hidden="1" customHeight="1">
      <c r="A74" s="61" t="s">
        <v>249</v>
      </c>
      <c r="B74" s="111"/>
      <c r="C74" s="111"/>
      <c r="D74" s="111"/>
      <c r="E74" s="111"/>
      <c r="F74" s="111"/>
      <c r="G74" s="111"/>
      <c r="H74" s="11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hidden="1" customHeight="1">
      <c r="A75" s="111" t="s">
        <v>252</v>
      </c>
      <c r="B75" s="111"/>
      <c r="C75" s="111"/>
      <c r="D75" s="111"/>
      <c r="E75" s="111"/>
      <c r="F75" s="111"/>
      <c r="G75" s="111"/>
      <c r="H75" s="11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hidden="1" customHeight="1">
      <c r="A76" s="111" t="s">
        <v>256</v>
      </c>
      <c r="B76" s="111"/>
      <c r="C76" s="111"/>
      <c r="D76" s="111"/>
      <c r="E76" s="111"/>
      <c r="F76" s="111"/>
      <c r="G76" s="111"/>
      <c r="H76" s="11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hidden="1" customHeight="1">
      <c r="A77" s="111" t="s">
        <v>163</v>
      </c>
      <c r="B77" s="111"/>
      <c r="C77" s="111"/>
      <c r="D77" s="111"/>
      <c r="E77" s="111"/>
      <c r="F77" s="111"/>
      <c r="G77" s="111"/>
      <c r="H77" s="11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hidden="1" customHeight="1">
      <c r="A78" s="2" t="s">
        <v>22</v>
      </c>
      <c r="B78" s="111"/>
      <c r="C78" s="111"/>
      <c r="D78" s="111"/>
      <c r="E78" s="111"/>
      <c r="F78" s="111"/>
      <c r="G78" s="111"/>
      <c r="H78" s="11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hidden="1" customHeight="1">
      <c r="A79" s="2" t="s">
        <v>41</v>
      </c>
      <c r="B79" s="111"/>
      <c r="C79" s="111"/>
      <c r="D79" s="111"/>
      <c r="E79" s="111"/>
      <c r="F79" s="111"/>
      <c r="G79" s="111"/>
      <c r="H79" s="11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hidden="1" customHeight="1">
      <c r="A80" s="2" t="s">
        <v>200</v>
      </c>
      <c r="B80" s="111"/>
      <c r="C80" s="111"/>
      <c r="D80" s="111"/>
      <c r="E80" s="111"/>
      <c r="F80" s="111"/>
      <c r="G80" s="111"/>
      <c r="H80" s="11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hidden="1" customHeight="1">
      <c r="A81" s="2" t="s">
        <v>203</v>
      </c>
      <c r="B81" s="111"/>
      <c r="C81" s="111"/>
      <c r="D81" s="111"/>
      <c r="E81" s="111"/>
      <c r="F81" s="111"/>
      <c r="G81" s="111"/>
      <c r="H81" s="11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hidden="1" customHeight="1">
      <c r="A82" s="2" t="s">
        <v>207</v>
      </c>
      <c r="B82" s="111"/>
      <c r="C82" s="111"/>
      <c r="D82" s="111"/>
      <c r="E82" s="111"/>
      <c r="F82" s="111"/>
      <c r="G82" s="111"/>
      <c r="H82" s="11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hidden="1" customHeight="1">
      <c r="A83" s="2" t="s">
        <v>210</v>
      </c>
      <c r="B83" s="111"/>
      <c r="C83" s="111"/>
      <c r="D83" s="111"/>
      <c r="E83" s="111"/>
      <c r="F83" s="111"/>
      <c r="G83" s="111"/>
      <c r="H83" s="11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hidden="1" customHeight="1">
      <c r="A84" s="111" t="s">
        <v>163</v>
      </c>
      <c r="B84" s="111"/>
      <c r="C84" s="111"/>
      <c r="D84" s="111"/>
      <c r="E84" s="111"/>
      <c r="F84" s="111"/>
      <c r="G84" s="111"/>
      <c r="H84" s="11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hidden="1" customHeight="1">
      <c r="A85" s="111"/>
      <c r="B85" s="111"/>
      <c r="C85" s="111"/>
      <c r="D85" s="111"/>
      <c r="E85" s="111"/>
      <c r="F85" s="111"/>
      <c r="G85" s="111"/>
      <c r="H85" s="11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hidden="1" customHeight="1">
      <c r="A86" s="111"/>
      <c r="B86" s="111"/>
      <c r="C86" s="111"/>
      <c r="D86" s="111"/>
      <c r="E86" s="111"/>
      <c r="F86" s="111"/>
      <c r="G86" s="111"/>
      <c r="H86" s="11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22" t="s">
        <v>383</v>
      </c>
      <c r="B87" s="122"/>
      <c r="C87" s="122"/>
      <c r="D87" s="122"/>
      <c r="E87" s="122"/>
      <c r="F87" s="122"/>
      <c r="G87" s="122"/>
      <c r="H87" s="122"/>
      <c r="I87" s="12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 t="s">
        <v>180</v>
      </c>
      <c r="C88" s="16" t="s">
        <v>181</v>
      </c>
      <c r="D88" s="16" t="s">
        <v>182</v>
      </c>
      <c r="E88" s="16" t="s">
        <v>183</v>
      </c>
      <c r="F88" s="16" t="s">
        <v>184</v>
      </c>
      <c r="G88" s="16" t="s">
        <v>185</v>
      </c>
      <c r="H88" s="16" t="s">
        <v>187</v>
      </c>
      <c r="I88" s="1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 t="s">
        <v>22</v>
      </c>
      <c r="C89" s="123">
        <v>6.7</v>
      </c>
      <c r="D89" s="123">
        <v>16.19</v>
      </c>
      <c r="E89" s="123">
        <v>39.17</v>
      </c>
      <c r="F89" s="123">
        <v>94.15</v>
      </c>
      <c r="G89" s="123">
        <v>229.16</v>
      </c>
      <c r="H89" s="69" t="s">
        <v>162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 t="s">
        <v>41</v>
      </c>
      <c r="C90" s="123">
        <v>7.2</v>
      </c>
      <c r="D90" s="123">
        <v>14.83</v>
      </c>
      <c r="E90" s="123">
        <v>22.46</v>
      </c>
      <c r="F90" s="123">
        <v>30.1</v>
      </c>
      <c r="G90" s="123">
        <v>37.73</v>
      </c>
      <c r="H90" s="69" t="s">
        <v>159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 t="s">
        <v>200</v>
      </c>
      <c r="C91" s="123">
        <v>3.65</v>
      </c>
      <c r="D91" s="123">
        <v>7.86</v>
      </c>
      <c r="E91" s="123">
        <v>16.93</v>
      </c>
      <c r="F91" s="123">
        <v>36.44</v>
      </c>
      <c r="G91" s="123">
        <v>78.45</v>
      </c>
      <c r="H91" s="123" t="s">
        <v>162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 t="s">
        <v>203</v>
      </c>
      <c r="C92" s="69"/>
      <c r="D92" s="69"/>
      <c r="E92" s="69"/>
      <c r="F92" s="69"/>
      <c r="G92" s="69"/>
      <c r="H92" s="7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 t="s">
        <v>207</v>
      </c>
      <c r="C93" s="69"/>
      <c r="D93" s="69"/>
      <c r="E93" s="69"/>
      <c r="F93" s="69"/>
      <c r="G93" s="69"/>
      <c r="H93" s="7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 t="s">
        <v>210</v>
      </c>
      <c r="C94" s="69"/>
      <c r="D94" s="69"/>
      <c r="E94" s="69"/>
      <c r="F94" s="69"/>
      <c r="G94" s="69"/>
      <c r="H94" s="7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22" t="s">
        <v>294</v>
      </c>
      <c r="B95" s="122"/>
      <c r="C95" s="122"/>
      <c r="D95" s="122"/>
      <c r="E95" s="122"/>
      <c r="F95" s="122"/>
      <c r="G95" s="122"/>
      <c r="H95" s="122"/>
      <c r="I95" s="12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 t="s">
        <v>190</v>
      </c>
      <c r="B96" s="2"/>
      <c r="C96" s="2"/>
      <c r="D96" s="2"/>
      <c r="E96" s="2"/>
      <c r="F96" s="111"/>
      <c r="G96" s="111"/>
      <c r="H96" s="11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 t="s">
        <v>192</v>
      </c>
      <c r="C97" s="16" t="s">
        <v>10</v>
      </c>
      <c r="D97" s="16" t="s">
        <v>11</v>
      </c>
      <c r="E97" s="124" t="s">
        <v>385</v>
      </c>
      <c r="F97" s="2" t="s">
        <v>216</v>
      </c>
      <c r="G97" s="111"/>
      <c r="H97" s="11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 t="s">
        <v>196</v>
      </c>
      <c r="C98" s="16">
        <f>Data!D78</f>
        <v>6</v>
      </c>
      <c r="D98" s="125" t="s">
        <v>22</v>
      </c>
      <c r="E98" s="126" t="s">
        <v>252</v>
      </c>
      <c r="F98" s="125">
        <v>569.0</v>
      </c>
      <c r="G98" s="111"/>
      <c r="H98" s="11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 t="s">
        <v>199</v>
      </c>
      <c r="C99" s="16">
        <f>Data!D79</f>
        <v>2</v>
      </c>
      <c r="D99" s="125" t="s">
        <v>200</v>
      </c>
      <c r="E99" s="126" t="s">
        <v>256</v>
      </c>
      <c r="F99" s="125">
        <v>30.0</v>
      </c>
      <c r="G99" s="111"/>
      <c r="H99" s="11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111"/>
      <c r="G100" s="111"/>
      <c r="H100" s="11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 t="s">
        <v>204</v>
      </c>
      <c r="B101" s="2"/>
      <c r="C101" s="2"/>
      <c r="D101" s="2"/>
      <c r="E101" s="2"/>
      <c r="F101" s="111"/>
      <c r="G101" s="111"/>
      <c r="H101" s="11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 t="s">
        <v>206</v>
      </c>
      <c r="C102" s="16" t="s">
        <v>10</v>
      </c>
      <c r="D102" s="16" t="s">
        <v>11</v>
      </c>
      <c r="E102" s="16" t="s">
        <v>385</v>
      </c>
      <c r="F102" s="111" t="s">
        <v>216</v>
      </c>
      <c r="G102" s="111"/>
      <c r="H102" s="11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 t="s">
        <v>208</v>
      </c>
      <c r="C103" s="16">
        <f>Data!D83</f>
        <v>5</v>
      </c>
      <c r="D103" s="125" t="s">
        <v>41</v>
      </c>
      <c r="E103" s="125" t="s">
        <v>256</v>
      </c>
      <c r="F103" s="126">
        <v>189.0</v>
      </c>
      <c r="G103" s="111"/>
      <c r="H103" s="11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 t="s">
        <v>211</v>
      </c>
      <c r="C104" s="16">
        <f>Data!D84</f>
        <v>2</v>
      </c>
      <c r="D104" s="125" t="s">
        <v>41</v>
      </c>
      <c r="E104" s="125" t="s">
        <v>256</v>
      </c>
      <c r="F104" s="126">
        <v>45.0</v>
      </c>
      <c r="G104" s="111"/>
      <c r="H104" s="11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 t="s">
        <v>215</v>
      </c>
      <c r="C105" s="16">
        <f>Data!D85</f>
        <v>4</v>
      </c>
      <c r="D105" s="125" t="s">
        <v>41</v>
      </c>
      <c r="E105" s="125" t="s">
        <v>256</v>
      </c>
      <c r="F105" s="126">
        <v>121.0</v>
      </c>
      <c r="G105" s="111"/>
      <c r="H105" s="11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 t="s">
        <v>219</v>
      </c>
      <c r="C106" s="16">
        <f>Data!D86</f>
        <v>3</v>
      </c>
      <c r="D106" s="125" t="s">
        <v>41</v>
      </c>
      <c r="E106" s="125" t="s">
        <v>256</v>
      </c>
      <c r="F106" s="126">
        <v>68.0</v>
      </c>
      <c r="G106" s="111"/>
      <c r="H106" s="11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 t="s">
        <v>222</v>
      </c>
      <c r="C107" s="16">
        <f>Data!D87</f>
        <v>5</v>
      </c>
      <c r="D107" s="125" t="s">
        <v>22</v>
      </c>
      <c r="E107" s="125" t="s">
        <v>252</v>
      </c>
      <c r="F107" s="126">
        <v>81.0</v>
      </c>
      <c r="G107" s="111"/>
      <c r="H107" s="11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 t="s">
        <v>225</v>
      </c>
      <c r="C108" s="16">
        <f>Data!D88</f>
        <v>7</v>
      </c>
      <c r="D108" s="125" t="s">
        <v>22</v>
      </c>
      <c r="E108" s="125" t="s">
        <v>252</v>
      </c>
      <c r="F108" s="126">
        <v>664.0</v>
      </c>
      <c r="G108" s="111"/>
      <c r="H108" s="11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27" t="s">
        <v>212</v>
      </c>
      <c r="B109" s="127"/>
      <c r="C109" s="127"/>
      <c r="D109" s="127"/>
      <c r="E109" s="127"/>
      <c r="F109" s="127"/>
      <c r="G109" s="127"/>
      <c r="H109" s="127"/>
      <c r="I109" s="12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 t="s">
        <v>214</v>
      </c>
      <c r="C110" s="2"/>
      <c r="D110" s="2"/>
      <c r="E110" s="2"/>
      <c r="F110" s="2"/>
      <c r="G110" s="2"/>
      <c r="H110" s="69">
        <f>F98+F99</f>
        <v>599</v>
      </c>
      <c r="I110" s="2" t="s">
        <v>216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 t="s">
        <v>218</v>
      </c>
      <c r="C111" s="2"/>
      <c r="D111" s="2"/>
      <c r="E111" s="2"/>
      <c r="F111" s="2"/>
      <c r="G111" s="2"/>
      <c r="H111" s="69">
        <f>sum(F103:F108)</f>
        <v>1168</v>
      </c>
      <c r="I111" s="2" t="s">
        <v>216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 t="s">
        <v>221</v>
      </c>
      <c r="C112" s="2"/>
      <c r="D112" s="2"/>
      <c r="E112" s="2" t="s">
        <v>217</v>
      </c>
      <c r="F112" s="2"/>
      <c r="G112" s="2"/>
      <c r="H112" s="69">
        <f>H110+H111+14</f>
        <v>1781</v>
      </c>
      <c r="I112" s="2" t="s">
        <v>216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 t="s">
        <v>224</v>
      </c>
      <c r="C113" s="2"/>
      <c r="D113" s="2"/>
      <c r="E113" s="2" t="s">
        <v>386</v>
      </c>
      <c r="F113" s="2"/>
      <c r="G113" s="2"/>
      <c r="H113" s="123">
        <v>49.629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 t="s">
        <v>224</v>
      </c>
      <c r="C114" s="2"/>
      <c r="D114" s="2"/>
      <c r="E114" s="2" t="s">
        <v>387</v>
      </c>
      <c r="F114" s="2"/>
      <c r="G114" s="2"/>
      <c r="H114" s="123">
        <v>0.852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 t="s">
        <v>230</v>
      </c>
      <c r="C115" s="2"/>
      <c r="D115" s="2"/>
      <c r="E115" s="2" t="s">
        <v>388</v>
      </c>
      <c r="F115" s="2"/>
      <c r="G115" s="2"/>
      <c r="H115" s="128">
        <v>1564.1411</v>
      </c>
      <c r="I115" s="2" t="s">
        <v>216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 t="s">
        <v>235</v>
      </c>
      <c r="C116" s="2"/>
      <c r="D116" s="2"/>
      <c r="E116" s="2" t="s">
        <v>236</v>
      </c>
      <c r="F116" s="2"/>
      <c r="G116" s="2"/>
      <c r="H116" s="73">
        <f>H115+369-28</f>
        <v>1905.1411</v>
      </c>
      <c r="I116" s="2" t="s">
        <v>216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 t="s">
        <v>389</v>
      </c>
      <c r="C117" s="2"/>
      <c r="D117" s="2"/>
      <c r="E117" s="2" t="s">
        <v>390</v>
      </c>
      <c r="F117" s="2"/>
      <c r="G117" s="2"/>
      <c r="H117" s="123">
        <v>83.656</v>
      </c>
      <c r="I117" s="2" t="s">
        <v>216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 t="s">
        <v>391</v>
      </c>
      <c r="C118" s="2"/>
      <c r="D118" s="2"/>
      <c r="E118" s="2" t="s">
        <v>392</v>
      </c>
      <c r="F118" s="2"/>
      <c r="G118" s="2"/>
      <c r="H118" s="123">
        <v>1481.0</v>
      </c>
      <c r="I118" s="2" t="s">
        <v>216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 t="s">
        <v>393</v>
      </c>
      <c r="C119" s="2"/>
      <c r="D119" s="2"/>
      <c r="E119" s="2" t="s">
        <v>394</v>
      </c>
      <c r="F119" s="2"/>
      <c r="G119" s="2"/>
      <c r="H119" s="123">
        <v>1648.0</v>
      </c>
      <c r="I119" s="2" t="s">
        <v>216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27" t="s">
        <v>251</v>
      </c>
      <c r="B120" s="127"/>
      <c r="C120" s="127"/>
      <c r="D120" s="127"/>
      <c r="E120" s="127"/>
      <c r="F120" s="127"/>
      <c r="G120" s="127"/>
      <c r="H120" s="127"/>
      <c r="I120" s="129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 t="s">
        <v>170</v>
      </c>
      <c r="C121" s="2"/>
      <c r="D121" s="2"/>
      <c r="E121" s="2" t="s">
        <v>254</v>
      </c>
      <c r="F121" s="2"/>
      <c r="G121" s="2"/>
      <c r="H121" s="123">
        <v>0.4</v>
      </c>
      <c r="I121" s="2" t="s">
        <v>255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6.5" customHeight="1">
      <c r="A122" s="2"/>
      <c r="B122" s="2" t="s">
        <v>257</v>
      </c>
      <c r="C122" s="2"/>
      <c r="D122" s="2"/>
      <c r="E122" s="7" t="s">
        <v>258</v>
      </c>
      <c r="F122" s="123" t="s">
        <v>395</v>
      </c>
      <c r="G122" s="2"/>
      <c r="H122" s="128">
        <v>3220.0</v>
      </c>
      <c r="I122" s="2" t="s">
        <v>259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 t="s">
        <v>396</v>
      </c>
      <c r="C123" s="2"/>
      <c r="D123" s="2"/>
      <c r="E123" s="2" t="s">
        <v>397</v>
      </c>
      <c r="F123" s="2"/>
      <c r="G123" s="2"/>
      <c r="H123" s="128">
        <v>861.0</v>
      </c>
      <c r="I123" s="2" t="s">
        <v>259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 t="s">
        <v>398</v>
      </c>
      <c r="C124" s="2"/>
      <c r="D124" s="2"/>
      <c r="E124" s="2" t="s">
        <v>399</v>
      </c>
      <c r="F124" s="2"/>
      <c r="G124" s="2"/>
      <c r="H124" s="128">
        <v>2360.0</v>
      </c>
      <c r="I124" s="2" t="s">
        <v>259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 t="s">
        <v>400</v>
      </c>
      <c r="C125" s="2"/>
      <c r="D125" s="2"/>
      <c r="E125" s="2" t="s">
        <v>401</v>
      </c>
      <c r="F125" s="2"/>
      <c r="G125" s="2"/>
      <c r="H125" s="128">
        <v>4080.0</v>
      </c>
      <c r="I125" s="2" t="s">
        <v>259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32" t="s">
        <v>271</v>
      </c>
      <c r="B126" s="32"/>
      <c r="C126" s="32"/>
      <c r="D126" s="32"/>
      <c r="E126" s="32"/>
      <c r="F126" s="32"/>
      <c r="G126" s="32"/>
      <c r="H126" s="3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 t="s">
        <v>148</v>
      </c>
      <c r="C127" s="128">
        <v>40.0</v>
      </c>
      <c r="D127" s="2" t="s">
        <v>259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 t="s">
        <v>151</v>
      </c>
      <c r="C128" s="128">
        <v>20.0</v>
      </c>
      <c r="D128" s="2" t="s">
        <v>259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 t="s">
        <v>155</v>
      </c>
      <c r="C129" s="128">
        <v>120.0</v>
      </c>
      <c r="D129" s="2" t="s">
        <v>259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 t="s">
        <v>157</v>
      </c>
      <c r="C130" s="128">
        <v>20.0</v>
      </c>
      <c r="D130" s="2" t="s">
        <v>259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 t="s">
        <v>161</v>
      </c>
      <c r="C131" s="128">
        <v>5.0</v>
      </c>
      <c r="D131" s="2" t="s">
        <v>259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 t="s">
        <v>164</v>
      </c>
      <c r="C132" s="73"/>
      <c r="D132" s="2" t="s">
        <v>259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 t="s">
        <v>168</v>
      </c>
      <c r="C133" s="128">
        <v>205.0</v>
      </c>
      <c r="D133" s="2" t="s">
        <v>259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5">
    <mergeCell ref="A1:G1"/>
    <mergeCell ref="C2:E2"/>
    <mergeCell ref="C3:E3"/>
    <mergeCell ref="C4:E4"/>
    <mergeCell ref="A5:B7"/>
    <mergeCell ref="C7:D7"/>
    <mergeCell ref="E40:K40"/>
    <mergeCell ref="E41:K41"/>
    <mergeCell ref="E42:K42"/>
    <mergeCell ref="E43:K43"/>
    <mergeCell ref="E46:K46"/>
    <mergeCell ref="E47:K47"/>
    <mergeCell ref="E48:K48"/>
    <mergeCell ref="E49:K49"/>
    <mergeCell ref="E57:K57"/>
    <mergeCell ref="E58:K58"/>
    <mergeCell ref="E61:K61"/>
    <mergeCell ref="A63:I63"/>
    <mergeCell ref="E50:K50"/>
    <mergeCell ref="E51:K51"/>
    <mergeCell ref="E52:K52"/>
    <mergeCell ref="E53:K53"/>
    <mergeCell ref="E54:K54"/>
    <mergeCell ref="E55:K55"/>
    <mergeCell ref="E56:K56"/>
  </mergeCells>
  <dataValidations>
    <dataValidation type="list" allowBlank="1" showInputMessage="1" showErrorMessage="1" prompt=" - " sqref="F122">
      <formula1>$A$68:$A$71</formula1>
    </dataValidation>
    <dataValidation type="list" allowBlank="1" showInputMessage="1" showErrorMessage="1" prompt=" - " sqref="C7">
      <formula1>$B$100:$B$101</formula1>
    </dataValidation>
    <dataValidation type="list" allowBlank="1" showInputMessage="1" showErrorMessage="1" prompt=" - " sqref="D98:D99 D103:D108">
      <formula1>$A$78:$A$84</formula1>
    </dataValidation>
    <dataValidation type="list" allowBlank="1" showInputMessage="1" showErrorMessage="1" prompt=" - " sqref="G122">
      <formula1>$B$42:$B$46</formula1>
    </dataValidation>
    <dataValidation type="list" allowBlank="1" showInputMessage="1" showErrorMessage="1" prompt=" - " sqref="E98:E99 E103:E108">
      <formula1>$A$72:$A$77</formula1>
    </dataValidation>
    <dataValidation type="list" allowBlank="1" showInputMessage="1" showErrorMessage="1" prompt=" - " sqref="H89:H94">
      <formula1>$A$65:$A$67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71"/>
    <col customWidth="1" min="2" max="2" width="15.14"/>
    <col customWidth="1" min="3" max="5" width="12.71"/>
    <col customWidth="1" min="6" max="6" width="14.14"/>
    <col customWidth="1" min="7" max="8" width="12.71"/>
    <col customWidth="1" min="9" max="17" width="9.14"/>
    <col customWidth="1" min="18" max="26" width="8.0"/>
  </cols>
  <sheetData>
    <row r="1" ht="15.75" customHeight="1">
      <c r="A1" s="96" t="s">
        <v>369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97" t="s">
        <v>370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81"/>
      <c r="B3" s="81"/>
      <c r="C3" s="81"/>
      <c r="D3" s="81"/>
      <c r="E3" s="82" t="s">
        <v>371</v>
      </c>
      <c r="F3" s="2" t="s">
        <v>372</v>
      </c>
      <c r="G3" s="2"/>
      <c r="H3" s="98" t="s">
        <v>373</v>
      </c>
      <c r="I3" s="98" t="s">
        <v>374</v>
      </c>
      <c r="J3" s="98" t="s">
        <v>375</v>
      </c>
      <c r="K3" s="98" t="s">
        <v>374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99" t="s">
        <v>350</v>
      </c>
      <c r="B4" s="99">
        <v>93.0</v>
      </c>
      <c r="C4" s="99">
        <v>5.0</v>
      </c>
      <c r="D4" s="100" t="s">
        <v>22</v>
      </c>
      <c r="E4" s="7">
        <f t="shared" ref="E4:E36" si="1">B4/C4</f>
        <v>18.6</v>
      </c>
      <c r="F4" s="20">
        <f t="shared" ref="F4:F36" si="2">LOG(E4)
</f>
        <v>1.269512944</v>
      </c>
      <c r="G4" s="2"/>
      <c r="I4" s="2"/>
      <c r="J4" s="2"/>
      <c r="K4" s="2"/>
      <c r="L4" s="20"/>
      <c r="M4" s="20"/>
      <c r="N4" s="20"/>
      <c r="O4" s="20"/>
      <c r="P4" s="20"/>
      <c r="Q4" s="20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99" t="s">
        <v>351</v>
      </c>
      <c r="B5" s="99">
        <v>112.0</v>
      </c>
      <c r="C5" s="99">
        <v>1.0</v>
      </c>
      <c r="D5" s="100" t="s">
        <v>22</v>
      </c>
      <c r="E5" s="7">
        <f t="shared" si="1"/>
        <v>112</v>
      </c>
      <c r="F5" s="20">
        <f t="shared" si="2"/>
        <v>2.049218023</v>
      </c>
      <c r="G5" s="2"/>
      <c r="H5" s="2"/>
      <c r="I5" s="2"/>
      <c r="J5" s="2"/>
      <c r="K5" s="2"/>
      <c r="L5" s="20"/>
      <c r="M5" s="20"/>
      <c r="N5" s="20"/>
      <c r="O5" s="20"/>
      <c r="P5" s="20"/>
      <c r="Q5" s="20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99" t="s">
        <v>352</v>
      </c>
      <c r="B6" s="99">
        <v>79.0</v>
      </c>
      <c r="C6" s="99">
        <v>1.0</v>
      </c>
      <c r="D6" s="100" t="s">
        <v>22</v>
      </c>
      <c r="E6" s="7">
        <f t="shared" si="1"/>
        <v>79</v>
      </c>
      <c r="F6" s="20">
        <f t="shared" si="2"/>
        <v>1.897627091</v>
      </c>
      <c r="G6" s="2"/>
      <c r="H6" s="2"/>
      <c r="I6" s="2"/>
      <c r="J6" s="2"/>
      <c r="K6" s="2"/>
      <c r="L6" s="20"/>
      <c r="M6" s="20"/>
      <c r="N6" s="20"/>
      <c r="O6" s="20"/>
      <c r="P6" s="20"/>
      <c r="Q6" s="20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99" t="s">
        <v>353</v>
      </c>
      <c r="B7" s="99">
        <v>126.0</v>
      </c>
      <c r="C7" s="99">
        <v>6.0</v>
      </c>
      <c r="D7" s="100" t="s">
        <v>22</v>
      </c>
      <c r="E7" s="7">
        <f t="shared" si="1"/>
        <v>21</v>
      </c>
      <c r="F7" s="20">
        <f t="shared" si="2"/>
        <v>1.322219295</v>
      </c>
      <c r="G7" s="2"/>
      <c r="H7" s="2"/>
      <c r="I7" s="2"/>
      <c r="J7" s="2"/>
      <c r="K7" s="2"/>
      <c r="L7" s="20"/>
      <c r="M7" s="20"/>
      <c r="N7" s="20"/>
      <c r="O7" s="20"/>
      <c r="P7" s="20"/>
      <c r="Q7" s="20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99" t="s">
        <v>354</v>
      </c>
      <c r="B8" s="99">
        <v>68.0</v>
      </c>
      <c r="C8" s="99">
        <v>1.0</v>
      </c>
      <c r="D8" s="100" t="s">
        <v>22</v>
      </c>
      <c r="E8" s="7">
        <f t="shared" si="1"/>
        <v>68</v>
      </c>
      <c r="F8" s="20">
        <f t="shared" si="2"/>
        <v>1.832508913</v>
      </c>
      <c r="G8" s="2"/>
      <c r="H8" s="2"/>
      <c r="I8" s="2"/>
      <c r="J8" s="2"/>
      <c r="K8" s="2"/>
      <c r="L8" s="20"/>
      <c r="M8" s="20"/>
      <c r="N8" s="20"/>
      <c r="O8" s="20"/>
      <c r="P8" s="20"/>
      <c r="Q8" s="20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99" t="s">
        <v>355</v>
      </c>
      <c r="B9" s="99">
        <v>128.0</v>
      </c>
      <c r="C9" s="99">
        <v>6.0</v>
      </c>
      <c r="D9" s="100" t="s">
        <v>22</v>
      </c>
      <c r="E9" s="7">
        <f t="shared" si="1"/>
        <v>21.33333333</v>
      </c>
      <c r="F9" s="20">
        <f t="shared" si="2"/>
        <v>1.329058719</v>
      </c>
      <c r="G9" s="2"/>
      <c r="H9" s="20">
        <f>AVERAGE(E4:E13)</f>
        <v>54.49333333</v>
      </c>
      <c r="I9" s="20">
        <f>_xlfn.STDEV.S(E4:E13)</f>
        <v>44.86489128</v>
      </c>
      <c r="J9" s="20">
        <f>AVERAGE(F4:F13)</f>
        <v>1.593031377</v>
      </c>
      <c r="K9" s="20">
        <f>_xlfn.STDEV.S(F4:F13)</f>
        <v>0.3835607789</v>
      </c>
      <c r="L9" s="20"/>
      <c r="M9" s="20"/>
      <c r="N9" s="20"/>
      <c r="O9" s="20"/>
      <c r="P9" s="20"/>
      <c r="Q9" s="20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99" t="s">
        <v>356</v>
      </c>
      <c r="B10" s="99">
        <v>141.0</v>
      </c>
      <c r="C10" s="99">
        <v>3.0</v>
      </c>
      <c r="D10" s="100" t="s">
        <v>22</v>
      </c>
      <c r="E10" s="7">
        <f t="shared" si="1"/>
        <v>47</v>
      </c>
      <c r="F10" s="20">
        <f t="shared" si="2"/>
        <v>1.672097858</v>
      </c>
      <c r="G10" s="2"/>
      <c r="H10" s="2"/>
      <c r="I10" s="2"/>
      <c r="J10" s="2"/>
      <c r="K10" s="2"/>
      <c r="L10" s="20"/>
      <c r="M10" s="20"/>
      <c r="N10" s="20"/>
      <c r="O10" s="20"/>
      <c r="P10" s="20"/>
      <c r="Q10" s="20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01" t="s">
        <v>357</v>
      </c>
      <c r="B11" s="101">
        <v>142.0</v>
      </c>
      <c r="C11" s="101">
        <v>1.0</v>
      </c>
      <c r="D11" s="102" t="s">
        <v>22</v>
      </c>
      <c r="E11" s="7">
        <f t="shared" si="1"/>
        <v>142</v>
      </c>
      <c r="F11" s="20">
        <f t="shared" si="2"/>
        <v>2.152288344</v>
      </c>
      <c r="G11" s="2"/>
      <c r="H11" s="2"/>
      <c r="I11" s="2"/>
      <c r="J11" s="2"/>
      <c r="K11" s="2"/>
      <c r="L11" s="20"/>
      <c r="M11" s="20"/>
      <c r="N11" s="20"/>
      <c r="O11" s="20"/>
      <c r="P11" s="20"/>
      <c r="Q11" s="20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99" t="s">
        <v>358</v>
      </c>
      <c r="B12" s="99">
        <v>58.0</v>
      </c>
      <c r="C12" s="99">
        <v>6.0</v>
      </c>
      <c r="D12" s="100" t="s">
        <v>22</v>
      </c>
      <c r="E12" s="7">
        <f t="shared" si="1"/>
        <v>9.666666667</v>
      </c>
      <c r="F12" s="20">
        <f t="shared" si="2"/>
        <v>0.9852767432</v>
      </c>
      <c r="G12" s="2"/>
      <c r="H12" s="2"/>
      <c r="I12" s="2"/>
      <c r="J12" s="2"/>
      <c r="K12" s="2"/>
      <c r="L12" s="20"/>
      <c r="M12" s="20"/>
      <c r="N12" s="20"/>
      <c r="O12" s="20"/>
      <c r="P12" s="20"/>
      <c r="Q12" s="20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99" t="s">
        <v>39</v>
      </c>
      <c r="B13" s="99">
        <v>79.0</v>
      </c>
      <c r="C13" s="99">
        <v>3.0</v>
      </c>
      <c r="D13" s="100" t="s">
        <v>22</v>
      </c>
      <c r="E13" s="7">
        <f t="shared" si="1"/>
        <v>26.33333333</v>
      </c>
      <c r="F13" s="20">
        <f t="shared" si="2"/>
        <v>1.420505837</v>
      </c>
      <c r="G13" s="2"/>
      <c r="H13" s="2"/>
      <c r="I13" s="2"/>
      <c r="J13" s="2"/>
      <c r="K13" s="2"/>
      <c r="L13" s="20"/>
      <c r="M13" s="20"/>
      <c r="N13" s="20"/>
      <c r="O13" s="20"/>
      <c r="P13" s="20"/>
      <c r="Q13" s="20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03" t="s">
        <v>40</v>
      </c>
      <c r="B14" s="103">
        <v>95.0</v>
      </c>
      <c r="C14" s="103">
        <v>5.0</v>
      </c>
      <c r="D14" s="104" t="s">
        <v>41</v>
      </c>
      <c r="E14" s="7">
        <f t="shared" si="1"/>
        <v>19</v>
      </c>
      <c r="F14" s="20">
        <f t="shared" si="2"/>
        <v>1.278753601</v>
      </c>
      <c r="G14" s="2"/>
      <c r="H14" s="2"/>
      <c r="I14" s="2"/>
      <c r="J14" s="2"/>
      <c r="K14" s="2"/>
      <c r="L14" s="20"/>
      <c r="M14" s="20"/>
      <c r="N14" s="20"/>
      <c r="O14" s="20"/>
      <c r="P14" s="20"/>
      <c r="Q14" s="20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03" t="s">
        <v>43</v>
      </c>
      <c r="B15" s="103">
        <v>127.0</v>
      </c>
      <c r="C15" s="103">
        <v>4.0</v>
      </c>
      <c r="D15" s="104" t="s">
        <v>41</v>
      </c>
      <c r="E15" s="7">
        <f t="shared" si="1"/>
        <v>31.75</v>
      </c>
      <c r="F15" s="20">
        <f t="shared" si="2"/>
        <v>1.50174373</v>
      </c>
      <c r="G15" s="2"/>
      <c r="H15" s="2"/>
      <c r="I15" s="2"/>
      <c r="J15" s="2"/>
      <c r="K15" s="2"/>
      <c r="L15" s="20"/>
      <c r="M15" s="20"/>
      <c r="N15" s="20"/>
      <c r="O15" s="20"/>
      <c r="P15" s="20"/>
      <c r="Q15" s="20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03" t="s">
        <v>45</v>
      </c>
      <c r="B16" s="103">
        <v>90.0</v>
      </c>
      <c r="C16" s="103">
        <v>6.0</v>
      </c>
      <c r="D16" s="104" t="s">
        <v>41</v>
      </c>
      <c r="E16" s="7">
        <f t="shared" si="1"/>
        <v>15</v>
      </c>
      <c r="F16" s="20">
        <f t="shared" si="2"/>
        <v>1.176091259</v>
      </c>
      <c r="G16" s="2"/>
      <c r="H16" s="2"/>
      <c r="I16" s="2"/>
      <c r="J16" s="2"/>
      <c r="K16" s="2"/>
      <c r="L16" s="20"/>
      <c r="M16" s="20"/>
      <c r="N16" s="20"/>
      <c r="O16" s="20"/>
      <c r="P16" s="20"/>
      <c r="Q16" s="20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03" t="s">
        <v>47</v>
      </c>
      <c r="B17" s="103">
        <v>122.0</v>
      </c>
      <c r="C17" s="103">
        <v>5.0</v>
      </c>
      <c r="D17" s="104" t="s">
        <v>41</v>
      </c>
      <c r="E17" s="7">
        <f t="shared" si="1"/>
        <v>24.4</v>
      </c>
      <c r="F17" s="20">
        <f t="shared" si="2"/>
        <v>1.387389826</v>
      </c>
      <c r="G17" s="2"/>
      <c r="H17" s="2"/>
      <c r="I17" s="2"/>
      <c r="J17" s="2"/>
      <c r="K17" s="2"/>
      <c r="L17" s="20"/>
      <c r="M17" s="20"/>
      <c r="N17" s="20"/>
      <c r="O17" s="20"/>
      <c r="P17" s="20"/>
      <c r="Q17" s="20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03" t="s">
        <v>48</v>
      </c>
      <c r="B18" s="103">
        <v>97.0</v>
      </c>
      <c r="C18" s="103">
        <v>5.0</v>
      </c>
      <c r="D18" s="104" t="s">
        <v>41</v>
      </c>
      <c r="E18" s="7">
        <f t="shared" si="1"/>
        <v>19.4</v>
      </c>
      <c r="F18" s="20">
        <f t="shared" si="2"/>
        <v>1.28780173</v>
      </c>
      <c r="G18" s="2"/>
      <c r="H18" s="2"/>
      <c r="I18" s="2"/>
      <c r="J18" s="2"/>
      <c r="K18" s="2"/>
      <c r="L18" s="20"/>
      <c r="M18" s="20"/>
      <c r="N18" s="20"/>
      <c r="O18" s="20"/>
      <c r="P18" s="20"/>
      <c r="Q18" s="20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03" t="s">
        <v>49</v>
      </c>
      <c r="B19" s="103">
        <v>131.0</v>
      </c>
      <c r="C19" s="103">
        <v>5.0</v>
      </c>
      <c r="D19" s="104" t="s">
        <v>41</v>
      </c>
      <c r="E19" s="7">
        <f t="shared" si="1"/>
        <v>26.2</v>
      </c>
      <c r="F19" s="20">
        <f t="shared" si="2"/>
        <v>1.418301291</v>
      </c>
      <c r="G19" s="2"/>
      <c r="H19" s="2"/>
      <c r="I19" s="2"/>
      <c r="J19" s="2"/>
      <c r="K19" s="2"/>
      <c r="L19" s="20"/>
      <c r="M19" s="20"/>
      <c r="N19" s="20"/>
      <c r="O19" s="20"/>
      <c r="P19" s="20"/>
      <c r="Q19" s="20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03" t="s">
        <v>51</v>
      </c>
      <c r="B20" s="103">
        <v>118.0</v>
      </c>
      <c r="C20" s="103">
        <v>3.0</v>
      </c>
      <c r="D20" s="104" t="s">
        <v>41</v>
      </c>
      <c r="E20" s="7">
        <f t="shared" si="1"/>
        <v>39.33333333</v>
      </c>
      <c r="F20" s="20">
        <f t="shared" si="2"/>
        <v>1.594760753</v>
      </c>
      <c r="G20" s="2"/>
      <c r="H20" s="20">
        <f>AVERAGE(E14:E26)</f>
        <v>22.46410256</v>
      </c>
      <c r="I20" s="20">
        <f>_xlfn.STDEV.S(E14:E26)</f>
        <v>7.633360159</v>
      </c>
      <c r="J20" s="20">
        <f>AVERAGE(F14:F26)</f>
        <v>1.328097058</v>
      </c>
      <c r="K20" s="20">
        <f>_xlfn.STDEV.S(F14:F26)</f>
        <v>0.1504187535</v>
      </c>
      <c r="L20" s="20"/>
      <c r="M20" s="20"/>
      <c r="N20" s="20"/>
      <c r="O20" s="20"/>
      <c r="P20" s="20"/>
      <c r="Q20" s="20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03" t="s">
        <v>52</v>
      </c>
      <c r="B21" s="103">
        <v>122.0</v>
      </c>
      <c r="C21" s="103">
        <v>5.0</v>
      </c>
      <c r="D21" s="104" t="s">
        <v>41</v>
      </c>
      <c r="E21" s="7">
        <f t="shared" si="1"/>
        <v>24.4</v>
      </c>
      <c r="F21" s="20">
        <f t="shared" si="2"/>
        <v>1.387389826</v>
      </c>
      <c r="G21" s="2"/>
      <c r="H21" s="2"/>
      <c r="I21" s="2"/>
      <c r="J21" s="2"/>
      <c r="K21" s="2"/>
      <c r="L21" s="20"/>
      <c r="M21" s="20"/>
      <c r="N21" s="20"/>
      <c r="O21" s="20"/>
      <c r="P21" s="20"/>
      <c r="Q21" s="20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03" t="s">
        <v>55</v>
      </c>
      <c r="B22" s="103">
        <v>42.0</v>
      </c>
      <c r="C22" s="103">
        <v>4.0</v>
      </c>
      <c r="D22" s="104" t="s">
        <v>41</v>
      </c>
      <c r="E22" s="7">
        <f t="shared" si="1"/>
        <v>10.5</v>
      </c>
      <c r="F22" s="20">
        <f t="shared" si="2"/>
        <v>1.021189299</v>
      </c>
      <c r="G22" s="2"/>
      <c r="H22" s="2"/>
      <c r="I22" s="2"/>
      <c r="J22" s="2"/>
      <c r="K22" s="2"/>
      <c r="L22" s="20"/>
      <c r="M22" s="20"/>
      <c r="N22" s="20"/>
      <c r="O22" s="20"/>
      <c r="P22" s="20"/>
      <c r="Q22" s="20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03" t="s">
        <v>57</v>
      </c>
      <c r="B23" s="103">
        <v>107.0</v>
      </c>
      <c r="C23" s="103">
        <v>4.0</v>
      </c>
      <c r="D23" s="104" t="s">
        <v>41</v>
      </c>
      <c r="E23" s="7">
        <f t="shared" si="1"/>
        <v>26.75</v>
      </c>
      <c r="F23" s="20">
        <f t="shared" si="2"/>
        <v>1.427323786</v>
      </c>
      <c r="G23" s="2"/>
      <c r="H23" s="2"/>
      <c r="I23" s="2"/>
      <c r="J23" s="2"/>
      <c r="K23" s="2"/>
      <c r="L23" s="20"/>
      <c r="M23" s="20"/>
      <c r="N23" s="20"/>
      <c r="O23" s="20"/>
      <c r="P23" s="20"/>
      <c r="Q23" s="20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03" t="s">
        <v>59</v>
      </c>
      <c r="B24" s="103">
        <v>94.0</v>
      </c>
      <c r="C24" s="103">
        <v>6.0</v>
      </c>
      <c r="D24" s="104" t="s">
        <v>41</v>
      </c>
      <c r="E24" s="7">
        <f t="shared" si="1"/>
        <v>15.66666667</v>
      </c>
      <c r="F24" s="20">
        <f t="shared" si="2"/>
        <v>1.194976603</v>
      </c>
      <c r="G24" s="2"/>
      <c r="H24" s="2"/>
      <c r="I24" s="2"/>
      <c r="J24" s="2"/>
      <c r="K24" s="2"/>
      <c r="L24" s="20"/>
      <c r="M24" s="20"/>
      <c r="N24" s="20"/>
      <c r="O24" s="20"/>
      <c r="P24" s="20"/>
      <c r="Q24" s="20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03" t="s">
        <v>65</v>
      </c>
      <c r="B25" s="103">
        <v>131.0</v>
      </c>
      <c r="C25" s="103">
        <v>6.0</v>
      </c>
      <c r="D25" s="104" t="s">
        <v>41</v>
      </c>
      <c r="E25" s="7">
        <f t="shared" si="1"/>
        <v>21.83333333</v>
      </c>
      <c r="F25" s="20">
        <f t="shared" si="2"/>
        <v>1.339120045</v>
      </c>
      <c r="G25" s="2"/>
      <c r="H25" s="2"/>
      <c r="I25" s="2"/>
      <c r="J25" s="2"/>
      <c r="K25" s="2"/>
      <c r="L25" s="20"/>
      <c r="M25" s="20"/>
      <c r="N25" s="20"/>
      <c r="O25" s="20"/>
      <c r="P25" s="20"/>
      <c r="Q25" s="20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03" t="s">
        <v>68</v>
      </c>
      <c r="B26" s="103">
        <v>89.0</v>
      </c>
      <c r="C26" s="103">
        <v>5.0</v>
      </c>
      <c r="D26" s="104" t="s">
        <v>41</v>
      </c>
      <c r="E26" s="7">
        <f t="shared" si="1"/>
        <v>17.8</v>
      </c>
      <c r="F26" s="20">
        <f t="shared" si="2"/>
        <v>1.250420002</v>
      </c>
      <c r="G26" s="2"/>
      <c r="H26" s="2"/>
      <c r="I26" s="2"/>
      <c r="J26" s="2"/>
      <c r="K26" s="2"/>
      <c r="L26" s="20"/>
      <c r="M26" s="20"/>
      <c r="N26" s="20"/>
      <c r="O26" s="20"/>
      <c r="P26" s="20"/>
      <c r="Q26" s="20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05" t="s">
        <v>70</v>
      </c>
      <c r="B27" s="105">
        <v>125.0</v>
      </c>
      <c r="C27" s="105">
        <v>5.0</v>
      </c>
      <c r="D27" s="106" t="s">
        <v>71</v>
      </c>
      <c r="E27" s="7">
        <f t="shared" si="1"/>
        <v>25</v>
      </c>
      <c r="F27" s="20">
        <f t="shared" si="2"/>
        <v>1.397940009</v>
      </c>
      <c r="G27" s="2"/>
      <c r="H27" s="2"/>
      <c r="I27" s="2"/>
      <c r="J27" s="2"/>
      <c r="K27" s="2"/>
      <c r="L27" s="20"/>
      <c r="M27" s="20"/>
      <c r="N27" s="20"/>
      <c r="O27" s="20"/>
      <c r="P27" s="20"/>
      <c r="Q27" s="20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05" t="s">
        <v>74</v>
      </c>
      <c r="B28" s="105">
        <v>106.0</v>
      </c>
      <c r="C28" s="105">
        <v>7.0</v>
      </c>
      <c r="D28" s="106" t="s">
        <v>71</v>
      </c>
      <c r="E28" s="7">
        <f t="shared" si="1"/>
        <v>15.14285714</v>
      </c>
      <c r="F28" s="20">
        <f t="shared" si="2"/>
        <v>1.180207825</v>
      </c>
      <c r="G28" s="2"/>
      <c r="H28" s="2"/>
      <c r="I28" s="2"/>
      <c r="J28" s="2"/>
      <c r="K28" s="2"/>
      <c r="L28" s="20"/>
      <c r="M28" s="20"/>
      <c r="N28" s="20"/>
      <c r="O28" s="20"/>
      <c r="P28" s="20"/>
      <c r="Q28" s="20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05" t="s">
        <v>76</v>
      </c>
      <c r="B29" s="105">
        <v>92.0</v>
      </c>
      <c r="C29" s="105">
        <v>10.0</v>
      </c>
      <c r="D29" s="106" t="s">
        <v>71</v>
      </c>
      <c r="E29" s="7">
        <f t="shared" si="1"/>
        <v>9.2</v>
      </c>
      <c r="F29" s="20">
        <f t="shared" si="2"/>
        <v>0.9637878273</v>
      </c>
      <c r="G29" s="2"/>
      <c r="H29" s="2"/>
      <c r="I29" s="2"/>
      <c r="J29" s="2"/>
      <c r="K29" s="2"/>
      <c r="L29" s="20"/>
      <c r="M29" s="20"/>
      <c r="N29" s="20"/>
      <c r="O29" s="20"/>
      <c r="P29" s="20"/>
      <c r="Q29" s="20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01" t="s">
        <v>78</v>
      </c>
      <c r="B30" s="101">
        <v>101.0</v>
      </c>
      <c r="C30" s="101">
        <v>8.0</v>
      </c>
      <c r="D30" s="102" t="s">
        <v>71</v>
      </c>
      <c r="E30" s="7">
        <f t="shared" si="1"/>
        <v>12.625</v>
      </c>
      <c r="F30" s="20">
        <f t="shared" si="2"/>
        <v>1.101231387</v>
      </c>
      <c r="G30" s="2"/>
      <c r="H30" s="2"/>
      <c r="I30" s="2"/>
      <c r="J30" s="2"/>
      <c r="K30" s="2"/>
      <c r="L30" s="20"/>
      <c r="M30" s="20"/>
      <c r="N30" s="20"/>
      <c r="O30" s="20"/>
      <c r="P30" s="20"/>
      <c r="Q30" s="20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05" t="s">
        <v>80</v>
      </c>
      <c r="B31" s="105">
        <v>38.0</v>
      </c>
      <c r="C31" s="105">
        <v>5.0</v>
      </c>
      <c r="D31" s="106" t="s">
        <v>71</v>
      </c>
      <c r="E31" s="7">
        <f t="shared" si="1"/>
        <v>7.6</v>
      </c>
      <c r="F31" s="20">
        <f t="shared" si="2"/>
        <v>0.8808135923</v>
      </c>
      <c r="G31" s="2"/>
      <c r="H31" s="20">
        <f>AVERAGE(E27:E36)</f>
        <v>21.89345238</v>
      </c>
      <c r="I31" s="20">
        <f>_xlfn.STDEV.S(E27:E36)</f>
        <v>16.57284242</v>
      </c>
      <c r="J31" s="20">
        <f>AVERAGE(F27:F36)</f>
        <v>1.228589345</v>
      </c>
      <c r="K31" s="20">
        <f>_xlfn.STDEV.S(F27:F36)</f>
        <v>0.3330149686</v>
      </c>
      <c r="L31" s="20"/>
      <c r="M31" s="20"/>
      <c r="N31" s="20"/>
      <c r="O31" s="20"/>
      <c r="P31" s="20"/>
      <c r="Q31" s="20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05" t="s">
        <v>81</v>
      </c>
      <c r="B32" s="105">
        <v>104.0</v>
      </c>
      <c r="C32" s="105">
        <v>3.0</v>
      </c>
      <c r="D32" s="106" t="s">
        <v>71</v>
      </c>
      <c r="E32" s="7">
        <f t="shared" si="1"/>
        <v>34.66666667</v>
      </c>
      <c r="F32" s="20">
        <f t="shared" si="2"/>
        <v>1.539912085</v>
      </c>
      <c r="G32" s="2"/>
      <c r="H32" s="2"/>
      <c r="I32" s="2"/>
      <c r="J32" s="2"/>
      <c r="K32" s="2"/>
      <c r="L32" s="20"/>
      <c r="M32" s="20"/>
      <c r="N32" s="20"/>
      <c r="O32" s="20"/>
      <c r="P32" s="20"/>
      <c r="Q32" s="20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05" t="s">
        <v>82</v>
      </c>
      <c r="B33" s="105">
        <v>26.0</v>
      </c>
      <c r="C33" s="105">
        <v>5.0</v>
      </c>
      <c r="D33" s="106" t="s">
        <v>71</v>
      </c>
      <c r="E33" s="7">
        <f t="shared" si="1"/>
        <v>5.2</v>
      </c>
      <c r="F33" s="20">
        <f t="shared" si="2"/>
        <v>0.7160033436</v>
      </c>
      <c r="G33" s="2"/>
      <c r="H33" s="2"/>
      <c r="I33" s="2"/>
      <c r="J33" s="2"/>
      <c r="K33" s="2"/>
      <c r="L33" s="20"/>
      <c r="M33" s="20"/>
      <c r="N33" s="20"/>
      <c r="O33" s="20"/>
      <c r="P33" s="20"/>
      <c r="Q33" s="20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05" t="s">
        <v>84</v>
      </c>
      <c r="B34" s="105">
        <v>75.0</v>
      </c>
      <c r="C34" s="105">
        <v>2.0</v>
      </c>
      <c r="D34" s="106" t="s">
        <v>71</v>
      </c>
      <c r="E34" s="7">
        <f t="shared" si="1"/>
        <v>37.5</v>
      </c>
      <c r="F34" s="20">
        <f t="shared" si="2"/>
        <v>1.574031268</v>
      </c>
      <c r="G34" s="2"/>
      <c r="H34" s="2"/>
      <c r="I34" s="2"/>
      <c r="J34" s="2"/>
      <c r="K34" s="2"/>
      <c r="L34" s="20"/>
      <c r="M34" s="20"/>
      <c r="N34" s="20"/>
      <c r="O34" s="20"/>
      <c r="P34" s="20"/>
      <c r="Q34" s="20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05" t="s">
        <v>87</v>
      </c>
      <c r="B35" s="105">
        <v>114.0</v>
      </c>
      <c r="C35" s="105">
        <v>2.0</v>
      </c>
      <c r="D35" s="106" t="s">
        <v>71</v>
      </c>
      <c r="E35" s="7">
        <f t="shared" si="1"/>
        <v>57</v>
      </c>
      <c r="F35" s="20">
        <f t="shared" si="2"/>
        <v>1.755874856</v>
      </c>
      <c r="G35" s="2"/>
      <c r="H35" s="2"/>
      <c r="I35" s="2"/>
      <c r="J35" s="2"/>
      <c r="K35" s="2"/>
      <c r="L35" s="20"/>
      <c r="M35" s="20"/>
      <c r="N35" s="20"/>
      <c r="O35" s="20"/>
      <c r="P35" s="20"/>
      <c r="Q35" s="20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05" t="s">
        <v>89</v>
      </c>
      <c r="B36" s="105">
        <v>90.0</v>
      </c>
      <c r="C36" s="105">
        <v>6.0</v>
      </c>
      <c r="D36" s="106" t="s">
        <v>71</v>
      </c>
      <c r="E36" s="7">
        <f t="shared" si="1"/>
        <v>15</v>
      </c>
      <c r="F36" s="20">
        <f t="shared" si="2"/>
        <v>1.176091259</v>
      </c>
      <c r="G36" s="2"/>
      <c r="H36" s="2"/>
      <c r="I36" s="2"/>
      <c r="J36" s="2"/>
      <c r="K36" s="2"/>
      <c r="L36" s="20"/>
      <c r="M36" s="20"/>
      <c r="N36" s="20"/>
      <c r="O36" s="20"/>
      <c r="P36" s="20"/>
      <c r="Q36" s="20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112"/>
      <c r="C40" s="112"/>
      <c r="D40" s="112"/>
      <c r="E40" s="112"/>
      <c r="F40" s="11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86"/>
      <c r="B41" s="87"/>
      <c r="C41" s="87"/>
      <c r="D41" s="112"/>
      <c r="E41" s="112"/>
      <c r="F41" s="11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D43" s="113" t="s">
        <v>379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0" customHeight="1">
      <c r="E44" s="11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B45" s="115" t="s">
        <v>380</v>
      </c>
      <c r="C45" s="115"/>
      <c r="D45" s="116"/>
      <c r="E45" s="117"/>
      <c r="F45" s="117"/>
      <c r="G45" s="118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0" customHeight="1">
      <c r="A46" s="119" t="s">
        <v>381</v>
      </c>
      <c r="B46" s="79">
        <f>pow(10,J9-2*K9)</f>
        <v>6.697455224</v>
      </c>
      <c r="D46" s="112"/>
      <c r="E46" s="112"/>
      <c r="F46" s="11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19" t="s">
        <v>245</v>
      </c>
      <c r="B47" s="79">
        <f>pow(10,J9-K9)</f>
        <v>16.19834326</v>
      </c>
      <c r="D47" s="11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19" t="s">
        <v>249</v>
      </c>
      <c r="B48" s="79">
        <f>pow(10,J9)</f>
        <v>39.17701805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19" t="s">
        <v>252</v>
      </c>
      <c r="B49" s="79">
        <f>pow(10,J9+K9)</f>
        <v>94.7528225</v>
      </c>
      <c r="D49" s="2"/>
      <c r="E49" s="11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19" t="s">
        <v>256</v>
      </c>
      <c r="B50" s="79">
        <f>pow(10,J9+2*K9)</f>
        <v>229.1674512</v>
      </c>
      <c r="D50" s="12"/>
      <c r="E50" s="11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D51" s="120" t="s">
        <v>382</v>
      </c>
      <c r="E51" s="11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B52" s="115" t="s">
        <v>380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119" t="s">
        <v>381</v>
      </c>
      <c r="B53" s="121">
        <f>H20-2*I20</f>
        <v>7.197382245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19" t="s">
        <v>245</v>
      </c>
      <c r="B54" s="121">
        <f>H20-I20</f>
        <v>14.8307424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19" t="s">
        <v>249</v>
      </c>
      <c r="B55" s="121">
        <f>H20</f>
        <v>22.46410256</v>
      </c>
      <c r="D55" s="12"/>
      <c r="E55" s="1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19" t="s">
        <v>252</v>
      </c>
      <c r="B56" s="121">
        <f>H20+I20</f>
        <v>30.09746272</v>
      </c>
      <c r="D56" s="112"/>
      <c r="E56" s="11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19" t="s">
        <v>256</v>
      </c>
      <c r="B57" s="121">
        <f>H20+2*I20</f>
        <v>37.73082288</v>
      </c>
      <c r="D57" s="112"/>
      <c r="E57" s="11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D58" s="112"/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D59" s="120" t="s">
        <v>384</v>
      </c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B60" s="115" t="s">
        <v>380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0" customHeight="1">
      <c r="A61" s="119" t="s">
        <v>381</v>
      </c>
      <c r="B61" s="79">
        <f>POW(10,J31-2*K31)</f>
        <v>3.652240834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19" t="s">
        <v>245</v>
      </c>
      <c r="B62" s="79">
        <f>POW(10,J31-K31)</f>
        <v>7.862748356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19" t="s">
        <v>249</v>
      </c>
      <c r="B63" s="79">
        <f>pow(10,J31)</f>
        <v>16.92736446</v>
      </c>
      <c r="D63" s="12"/>
      <c r="E63" s="1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19" t="s">
        <v>252</v>
      </c>
      <c r="B64" s="79">
        <f>pow(10,J31+K31)</f>
        <v>36.44217705</v>
      </c>
      <c r="D64" s="112"/>
      <c r="E64" s="1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19" t="s">
        <v>256</v>
      </c>
      <c r="B65" s="79">
        <f>pow(10,J31+2*K31)</f>
        <v>78.45475714</v>
      </c>
      <c r="D65" s="112"/>
      <c r="E65" s="1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112"/>
      <c r="C66" s="112"/>
      <c r="D66" s="112"/>
      <c r="E66" s="1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112"/>
      <c r="C67" s="112"/>
      <c r="D67" s="112"/>
      <c r="E67" s="1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J2:K2"/>
    <mergeCell ref="E44:G4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0"/>
    <col customWidth="1" min="2" max="2" width="13.29"/>
    <col customWidth="1" min="3" max="3" width="11.43"/>
    <col customWidth="1" min="4" max="4" width="11.57"/>
    <col customWidth="1" min="5" max="5" width="12.0"/>
    <col customWidth="1" min="6" max="6" width="13.14"/>
    <col customWidth="1" min="7" max="7" width="11.71"/>
    <col customWidth="1" min="8" max="8" width="8.0"/>
    <col customWidth="1" min="9" max="9" width="13.57"/>
    <col customWidth="1" min="10" max="26" width="8.0"/>
  </cols>
  <sheetData>
    <row r="1" ht="15.75" customHeight="1">
      <c r="A1" s="96" t="s">
        <v>402</v>
      </c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97" t="s">
        <v>370</v>
      </c>
    </row>
    <row r="3" ht="13.5" customHeight="1">
      <c r="A3" s="81"/>
      <c r="B3" s="81"/>
      <c r="C3" s="81"/>
      <c r="D3" s="81"/>
      <c r="E3" s="82" t="s">
        <v>371</v>
      </c>
      <c r="F3" s="2" t="s">
        <v>372</v>
      </c>
      <c r="G3" s="2"/>
      <c r="H3" s="98" t="s">
        <v>373</v>
      </c>
      <c r="I3" s="98" t="s">
        <v>374</v>
      </c>
      <c r="J3" s="98" t="s">
        <v>375</v>
      </c>
      <c r="K3" s="98" t="s">
        <v>374</v>
      </c>
    </row>
    <row r="4" ht="12.75" customHeight="1">
      <c r="A4" s="99" t="s">
        <v>350</v>
      </c>
      <c r="B4" s="99">
        <v>93.0</v>
      </c>
      <c r="C4" s="99">
        <v>5.0</v>
      </c>
      <c r="D4" s="100" t="s">
        <v>22</v>
      </c>
      <c r="E4" s="7">
        <f t="shared" ref="E4:E36" si="1">B4/C4</f>
        <v>18.6</v>
      </c>
      <c r="F4" s="20">
        <f t="shared" ref="F4:F36" si="2">LOG(E4)
</f>
        <v>1.269512944</v>
      </c>
      <c r="G4" s="2"/>
      <c r="I4" s="2"/>
      <c r="J4" s="2"/>
      <c r="K4" s="2"/>
    </row>
    <row r="5" ht="12.75" customHeight="1">
      <c r="A5" s="99" t="s">
        <v>351</v>
      </c>
      <c r="B5" s="99">
        <v>112.0</v>
      </c>
      <c r="C5" s="99">
        <v>1.0</v>
      </c>
      <c r="D5" s="100" t="s">
        <v>22</v>
      </c>
      <c r="E5" s="7">
        <f t="shared" si="1"/>
        <v>112</v>
      </c>
      <c r="F5" s="20">
        <f t="shared" si="2"/>
        <v>2.049218023</v>
      </c>
      <c r="G5" s="2"/>
      <c r="H5" s="2"/>
      <c r="I5" s="2"/>
      <c r="J5" s="2"/>
      <c r="K5" s="2"/>
    </row>
    <row r="6" ht="12.75" customHeight="1">
      <c r="A6" s="99" t="s">
        <v>352</v>
      </c>
      <c r="B6" s="99">
        <v>79.0</v>
      </c>
      <c r="C6" s="99">
        <v>1.0</v>
      </c>
      <c r="D6" s="100" t="s">
        <v>22</v>
      </c>
      <c r="E6" s="7">
        <f t="shared" si="1"/>
        <v>79</v>
      </c>
      <c r="F6" s="20">
        <f t="shared" si="2"/>
        <v>1.897627091</v>
      </c>
      <c r="G6" s="2"/>
      <c r="H6" s="2"/>
      <c r="I6" s="2"/>
      <c r="J6" s="2"/>
      <c r="K6" s="2"/>
    </row>
    <row r="7" ht="12.75" customHeight="1">
      <c r="A7" s="99" t="s">
        <v>353</v>
      </c>
      <c r="B7" s="99">
        <v>126.0</v>
      </c>
      <c r="C7" s="99">
        <v>6.0</v>
      </c>
      <c r="D7" s="100" t="s">
        <v>22</v>
      </c>
      <c r="E7" s="7">
        <f t="shared" si="1"/>
        <v>21</v>
      </c>
      <c r="F7" s="20">
        <f t="shared" si="2"/>
        <v>1.322219295</v>
      </c>
      <c r="G7" s="2"/>
      <c r="H7" s="2"/>
      <c r="I7" s="2"/>
      <c r="J7" s="2"/>
      <c r="K7" s="2"/>
    </row>
    <row r="8" ht="12.75" customHeight="1">
      <c r="A8" s="99" t="s">
        <v>354</v>
      </c>
      <c r="B8" s="99">
        <v>68.0</v>
      </c>
      <c r="C8" s="99">
        <v>1.0</v>
      </c>
      <c r="D8" s="100" t="s">
        <v>22</v>
      </c>
      <c r="E8" s="7">
        <f t="shared" si="1"/>
        <v>68</v>
      </c>
      <c r="F8" s="20">
        <f t="shared" si="2"/>
        <v>1.832508913</v>
      </c>
      <c r="G8" s="2"/>
      <c r="H8" s="2"/>
      <c r="I8" s="2"/>
      <c r="J8" s="2"/>
      <c r="K8" s="2"/>
    </row>
    <row r="9" ht="12.75" customHeight="1">
      <c r="A9" s="99" t="s">
        <v>355</v>
      </c>
      <c r="B9" s="99">
        <v>128.0</v>
      </c>
      <c r="C9" s="99">
        <v>6.0</v>
      </c>
      <c r="D9" s="100" t="s">
        <v>22</v>
      </c>
      <c r="E9" s="7">
        <f t="shared" si="1"/>
        <v>21.33333333</v>
      </c>
      <c r="F9" s="20">
        <f t="shared" si="2"/>
        <v>1.329058719</v>
      </c>
      <c r="G9" s="2"/>
      <c r="H9" s="20">
        <f>AVERAGE(E4:E13)</f>
        <v>54.49333333</v>
      </c>
      <c r="I9" s="20">
        <f>_xlfn.STDEV.S(E4:E13)</f>
        <v>44.86489128</v>
      </c>
      <c r="J9" s="20">
        <f>AVERAGE(F4:F13)</f>
        <v>1.593031377</v>
      </c>
      <c r="K9" s="20">
        <f>_xlfn.STDEV.S(F4:F13)</f>
        <v>0.3835607789</v>
      </c>
    </row>
    <row r="10" ht="12.75" customHeight="1">
      <c r="A10" s="99" t="s">
        <v>356</v>
      </c>
      <c r="B10" s="99">
        <v>141.0</v>
      </c>
      <c r="C10" s="99">
        <v>3.0</v>
      </c>
      <c r="D10" s="100" t="s">
        <v>22</v>
      </c>
      <c r="E10" s="7">
        <f t="shared" si="1"/>
        <v>47</v>
      </c>
      <c r="F10" s="20">
        <f t="shared" si="2"/>
        <v>1.672097858</v>
      </c>
      <c r="G10" s="2"/>
      <c r="H10" s="2"/>
      <c r="I10" s="2"/>
      <c r="J10" s="2"/>
      <c r="K10" s="2"/>
    </row>
    <row r="11" ht="12.75" customHeight="1">
      <c r="A11" s="101" t="s">
        <v>357</v>
      </c>
      <c r="B11" s="101">
        <v>142.0</v>
      </c>
      <c r="C11" s="101">
        <v>1.0</v>
      </c>
      <c r="D11" s="102" t="s">
        <v>22</v>
      </c>
      <c r="E11" s="7">
        <f t="shared" si="1"/>
        <v>142</v>
      </c>
      <c r="F11" s="20">
        <f t="shared" si="2"/>
        <v>2.152288344</v>
      </c>
      <c r="G11" s="2"/>
      <c r="H11" s="2"/>
      <c r="I11" s="2"/>
      <c r="J11" s="2"/>
      <c r="K11" s="2"/>
    </row>
    <row r="12" ht="12.75" customHeight="1">
      <c r="A12" s="99" t="s">
        <v>358</v>
      </c>
      <c r="B12" s="99">
        <v>58.0</v>
      </c>
      <c r="C12" s="99">
        <v>6.0</v>
      </c>
      <c r="D12" s="100" t="s">
        <v>22</v>
      </c>
      <c r="E12" s="7">
        <f t="shared" si="1"/>
        <v>9.666666667</v>
      </c>
      <c r="F12" s="20">
        <f t="shared" si="2"/>
        <v>0.9852767432</v>
      </c>
      <c r="G12" s="2"/>
      <c r="H12" s="2"/>
      <c r="I12" s="2"/>
      <c r="J12" s="2"/>
      <c r="K12" s="2"/>
    </row>
    <row r="13" ht="12.75" customHeight="1">
      <c r="A13" s="99" t="s">
        <v>39</v>
      </c>
      <c r="B13" s="99">
        <v>79.0</v>
      </c>
      <c r="C13" s="99">
        <v>3.0</v>
      </c>
      <c r="D13" s="100" t="s">
        <v>22</v>
      </c>
      <c r="E13" s="7">
        <f t="shared" si="1"/>
        <v>26.33333333</v>
      </c>
      <c r="F13" s="20">
        <f t="shared" si="2"/>
        <v>1.420505837</v>
      </c>
      <c r="G13" s="2"/>
      <c r="H13" s="2"/>
      <c r="I13" s="2"/>
      <c r="J13" s="2"/>
      <c r="K13" s="2"/>
    </row>
    <row r="14" ht="12.75" customHeight="1">
      <c r="A14" s="103" t="s">
        <v>40</v>
      </c>
      <c r="B14" s="103">
        <v>95.0</v>
      </c>
      <c r="C14" s="103">
        <v>5.0</v>
      </c>
      <c r="D14" s="104" t="s">
        <v>41</v>
      </c>
      <c r="E14" s="7">
        <f t="shared" si="1"/>
        <v>19</v>
      </c>
      <c r="F14" s="20">
        <f t="shared" si="2"/>
        <v>1.278753601</v>
      </c>
      <c r="G14" s="2"/>
      <c r="H14" s="2"/>
      <c r="I14" s="2"/>
      <c r="J14" s="2"/>
      <c r="K14" s="2"/>
    </row>
    <row r="15" ht="12.75" customHeight="1">
      <c r="A15" s="103" t="s">
        <v>43</v>
      </c>
      <c r="B15" s="103">
        <v>127.0</v>
      </c>
      <c r="C15" s="103">
        <v>4.0</v>
      </c>
      <c r="D15" s="104" t="s">
        <v>41</v>
      </c>
      <c r="E15" s="7">
        <f t="shared" si="1"/>
        <v>31.75</v>
      </c>
      <c r="F15" s="20">
        <f t="shared" si="2"/>
        <v>1.50174373</v>
      </c>
      <c r="G15" s="2"/>
      <c r="H15" s="2"/>
      <c r="I15" s="2"/>
      <c r="J15" s="2"/>
      <c r="K15" s="2"/>
    </row>
    <row r="16" ht="12.75" customHeight="1">
      <c r="A16" s="103" t="s">
        <v>45</v>
      </c>
      <c r="B16" s="103">
        <v>90.0</v>
      </c>
      <c r="C16" s="103">
        <v>6.0</v>
      </c>
      <c r="D16" s="104" t="s">
        <v>41</v>
      </c>
      <c r="E16" s="7">
        <f t="shared" si="1"/>
        <v>15</v>
      </c>
      <c r="F16" s="20">
        <f t="shared" si="2"/>
        <v>1.176091259</v>
      </c>
      <c r="G16" s="2"/>
      <c r="H16" s="2"/>
      <c r="I16" s="2"/>
      <c r="J16" s="2"/>
      <c r="K16" s="2"/>
    </row>
    <row r="17" ht="12.75" customHeight="1">
      <c r="A17" s="103" t="s">
        <v>47</v>
      </c>
      <c r="B17" s="103">
        <v>122.0</v>
      </c>
      <c r="C17" s="103">
        <v>5.0</v>
      </c>
      <c r="D17" s="104" t="s">
        <v>41</v>
      </c>
      <c r="E17" s="7">
        <f t="shared" si="1"/>
        <v>24.4</v>
      </c>
      <c r="F17" s="20">
        <f t="shared" si="2"/>
        <v>1.387389826</v>
      </c>
      <c r="G17" s="2"/>
      <c r="H17" s="2"/>
      <c r="I17" s="2"/>
      <c r="J17" s="2"/>
      <c r="K17" s="2"/>
    </row>
    <row r="18" ht="12.75" customHeight="1">
      <c r="A18" s="103" t="s">
        <v>48</v>
      </c>
      <c r="B18" s="103">
        <v>97.0</v>
      </c>
      <c r="C18" s="103">
        <v>5.0</v>
      </c>
      <c r="D18" s="104" t="s">
        <v>41</v>
      </c>
      <c r="E18" s="7">
        <f t="shared" si="1"/>
        <v>19.4</v>
      </c>
      <c r="F18" s="20">
        <f t="shared" si="2"/>
        <v>1.28780173</v>
      </c>
      <c r="G18" s="2"/>
      <c r="H18" s="2"/>
      <c r="I18" s="2"/>
      <c r="J18" s="2"/>
      <c r="K18" s="2"/>
    </row>
    <row r="19" ht="12.75" customHeight="1">
      <c r="A19" s="103" t="s">
        <v>49</v>
      </c>
      <c r="B19" s="103">
        <v>131.0</v>
      </c>
      <c r="C19" s="103">
        <v>5.0</v>
      </c>
      <c r="D19" s="104" t="s">
        <v>41</v>
      </c>
      <c r="E19" s="7">
        <f t="shared" si="1"/>
        <v>26.2</v>
      </c>
      <c r="F19" s="20">
        <f t="shared" si="2"/>
        <v>1.418301291</v>
      </c>
      <c r="G19" s="2"/>
      <c r="H19" s="2"/>
      <c r="I19" s="2"/>
      <c r="J19" s="2"/>
      <c r="K19" s="2"/>
    </row>
    <row r="20" ht="12.75" customHeight="1">
      <c r="A20" s="103" t="s">
        <v>51</v>
      </c>
      <c r="B20" s="103">
        <v>118.0</v>
      </c>
      <c r="C20" s="103">
        <v>3.0</v>
      </c>
      <c r="D20" s="104" t="s">
        <v>41</v>
      </c>
      <c r="E20" s="7">
        <f t="shared" si="1"/>
        <v>39.33333333</v>
      </c>
      <c r="F20" s="20">
        <f t="shared" si="2"/>
        <v>1.594760753</v>
      </c>
      <c r="G20" s="2"/>
      <c r="H20" s="20">
        <f>AVERAGE(E14:E26)</f>
        <v>22.46410256</v>
      </c>
      <c r="I20" s="20">
        <f>_xlfn.STDEV.S(E14:E26)</f>
        <v>7.633360159</v>
      </c>
      <c r="J20" s="20">
        <f>AVERAGE(F14:F26)</f>
        <v>1.328097058</v>
      </c>
      <c r="K20" s="20">
        <f>_xlfn.STDEV.S(F14:F26)</f>
        <v>0.1504187535</v>
      </c>
    </row>
    <row r="21" ht="12.75" customHeight="1">
      <c r="A21" s="103" t="s">
        <v>52</v>
      </c>
      <c r="B21" s="103">
        <v>122.0</v>
      </c>
      <c r="C21" s="103">
        <v>5.0</v>
      </c>
      <c r="D21" s="104" t="s">
        <v>41</v>
      </c>
      <c r="E21" s="7">
        <f t="shared" si="1"/>
        <v>24.4</v>
      </c>
      <c r="F21" s="20">
        <f t="shared" si="2"/>
        <v>1.387389826</v>
      </c>
      <c r="G21" s="2"/>
      <c r="H21" s="2"/>
      <c r="I21" s="2"/>
      <c r="J21" s="2"/>
      <c r="K21" s="2"/>
    </row>
    <row r="22" ht="12.75" customHeight="1">
      <c r="A22" s="103" t="s">
        <v>55</v>
      </c>
      <c r="B22" s="103">
        <v>42.0</v>
      </c>
      <c r="C22" s="103">
        <v>4.0</v>
      </c>
      <c r="D22" s="104" t="s">
        <v>41</v>
      </c>
      <c r="E22" s="7">
        <f t="shared" si="1"/>
        <v>10.5</v>
      </c>
      <c r="F22" s="20">
        <f t="shared" si="2"/>
        <v>1.021189299</v>
      </c>
      <c r="G22" s="2"/>
      <c r="H22" s="2"/>
      <c r="I22" s="2"/>
      <c r="J22" s="2"/>
      <c r="K22" s="2"/>
    </row>
    <row r="23" ht="12.75" customHeight="1">
      <c r="A23" s="103" t="s">
        <v>57</v>
      </c>
      <c r="B23" s="103">
        <v>107.0</v>
      </c>
      <c r="C23" s="103">
        <v>4.0</v>
      </c>
      <c r="D23" s="104" t="s">
        <v>41</v>
      </c>
      <c r="E23" s="7">
        <f t="shared" si="1"/>
        <v>26.75</v>
      </c>
      <c r="F23" s="20">
        <f t="shared" si="2"/>
        <v>1.427323786</v>
      </c>
      <c r="G23" s="2"/>
      <c r="H23" s="2"/>
      <c r="I23" s="2"/>
      <c r="J23" s="2"/>
      <c r="K23" s="2"/>
    </row>
    <row r="24" ht="12.75" customHeight="1">
      <c r="A24" s="103" t="s">
        <v>59</v>
      </c>
      <c r="B24" s="103">
        <v>94.0</v>
      </c>
      <c r="C24" s="103">
        <v>6.0</v>
      </c>
      <c r="D24" s="104" t="s">
        <v>41</v>
      </c>
      <c r="E24" s="7">
        <f t="shared" si="1"/>
        <v>15.66666667</v>
      </c>
      <c r="F24" s="20">
        <f t="shared" si="2"/>
        <v>1.194976603</v>
      </c>
      <c r="G24" s="2"/>
      <c r="H24" s="2"/>
      <c r="I24" s="2"/>
      <c r="J24" s="2"/>
      <c r="K24" s="2"/>
    </row>
    <row r="25" ht="12.75" customHeight="1">
      <c r="A25" s="103" t="s">
        <v>65</v>
      </c>
      <c r="B25" s="103">
        <v>131.0</v>
      </c>
      <c r="C25" s="103">
        <v>6.0</v>
      </c>
      <c r="D25" s="104" t="s">
        <v>41</v>
      </c>
      <c r="E25" s="7">
        <f t="shared" si="1"/>
        <v>21.83333333</v>
      </c>
      <c r="F25" s="20">
        <f t="shared" si="2"/>
        <v>1.339120045</v>
      </c>
      <c r="G25" s="2"/>
      <c r="H25" s="2"/>
      <c r="I25" s="2"/>
      <c r="J25" s="2"/>
      <c r="K25" s="2"/>
    </row>
    <row r="26" ht="12.75" customHeight="1">
      <c r="A26" s="103" t="s">
        <v>68</v>
      </c>
      <c r="B26" s="103">
        <v>89.0</v>
      </c>
      <c r="C26" s="103">
        <v>5.0</v>
      </c>
      <c r="D26" s="104" t="s">
        <v>41</v>
      </c>
      <c r="E26" s="7">
        <f t="shared" si="1"/>
        <v>17.8</v>
      </c>
      <c r="F26" s="20">
        <f t="shared" si="2"/>
        <v>1.250420002</v>
      </c>
      <c r="G26" s="2"/>
      <c r="H26" s="2"/>
      <c r="I26" s="2"/>
      <c r="J26" s="2"/>
      <c r="K26" s="2"/>
    </row>
    <row r="27" ht="12.75" customHeight="1">
      <c r="A27" s="105" t="s">
        <v>70</v>
      </c>
      <c r="B27" s="105">
        <v>125.0</v>
      </c>
      <c r="C27" s="105">
        <v>5.0</v>
      </c>
      <c r="D27" s="106" t="s">
        <v>71</v>
      </c>
      <c r="E27" s="7">
        <f t="shared" si="1"/>
        <v>25</v>
      </c>
      <c r="F27" s="20">
        <f t="shared" si="2"/>
        <v>1.397940009</v>
      </c>
      <c r="G27" s="2"/>
      <c r="H27" s="2"/>
      <c r="I27" s="2"/>
      <c r="J27" s="2"/>
      <c r="K27" s="2"/>
    </row>
    <row r="28" ht="12.75" customHeight="1">
      <c r="A28" s="105" t="s">
        <v>74</v>
      </c>
      <c r="B28" s="105">
        <v>106.0</v>
      </c>
      <c r="C28" s="105">
        <v>7.0</v>
      </c>
      <c r="D28" s="106" t="s">
        <v>71</v>
      </c>
      <c r="E28" s="7">
        <f t="shared" si="1"/>
        <v>15.14285714</v>
      </c>
      <c r="F28" s="20">
        <f t="shared" si="2"/>
        <v>1.180207825</v>
      </c>
      <c r="G28" s="2"/>
      <c r="H28" s="2"/>
      <c r="I28" s="2"/>
      <c r="J28" s="2"/>
      <c r="K28" s="2"/>
    </row>
    <row r="29" ht="12.75" customHeight="1">
      <c r="A29" s="105" t="s">
        <v>76</v>
      </c>
      <c r="B29" s="105">
        <v>92.0</v>
      </c>
      <c r="C29" s="105">
        <v>10.0</v>
      </c>
      <c r="D29" s="106" t="s">
        <v>71</v>
      </c>
      <c r="E29" s="7">
        <f t="shared" si="1"/>
        <v>9.2</v>
      </c>
      <c r="F29" s="20">
        <f t="shared" si="2"/>
        <v>0.9637878273</v>
      </c>
      <c r="G29" s="2"/>
      <c r="H29" s="2"/>
      <c r="I29" s="2"/>
      <c r="J29" s="2"/>
      <c r="K29" s="2"/>
    </row>
    <row r="30" ht="12.75" customHeight="1">
      <c r="A30" s="101" t="s">
        <v>78</v>
      </c>
      <c r="B30" s="101">
        <v>101.0</v>
      </c>
      <c r="C30" s="101">
        <v>8.0</v>
      </c>
      <c r="D30" s="102" t="s">
        <v>71</v>
      </c>
      <c r="E30" s="7">
        <f t="shared" si="1"/>
        <v>12.625</v>
      </c>
      <c r="F30" s="20">
        <f t="shared" si="2"/>
        <v>1.101231387</v>
      </c>
      <c r="G30" s="2"/>
      <c r="H30" s="2"/>
      <c r="I30" s="2"/>
      <c r="J30" s="2"/>
      <c r="K30" s="2"/>
    </row>
    <row r="31" ht="12.75" customHeight="1">
      <c r="A31" s="105" t="s">
        <v>80</v>
      </c>
      <c r="B31" s="105">
        <v>38.0</v>
      </c>
      <c r="C31" s="105">
        <v>5.0</v>
      </c>
      <c r="D31" s="106" t="s">
        <v>71</v>
      </c>
      <c r="E31" s="7">
        <f t="shared" si="1"/>
        <v>7.6</v>
      </c>
      <c r="F31" s="20">
        <f t="shared" si="2"/>
        <v>0.8808135923</v>
      </c>
      <c r="G31" s="2"/>
      <c r="H31" s="20">
        <f>AVERAGE(E27:E36)</f>
        <v>21.89345238</v>
      </c>
      <c r="I31" s="20">
        <f>_xlfn.STDEV.S(E27:E36)</f>
        <v>16.57284242</v>
      </c>
      <c r="J31" s="20">
        <f>AVERAGE(F27:F36)</f>
        <v>1.228589345</v>
      </c>
      <c r="K31" s="20">
        <f>_xlfn.STDEV.S(F27:F36)</f>
        <v>0.3330149686</v>
      </c>
    </row>
    <row r="32" ht="12.75" customHeight="1">
      <c r="A32" s="105" t="s">
        <v>81</v>
      </c>
      <c r="B32" s="105">
        <v>104.0</v>
      </c>
      <c r="C32" s="105">
        <v>3.0</v>
      </c>
      <c r="D32" s="106" t="s">
        <v>71</v>
      </c>
      <c r="E32" s="7">
        <f t="shared" si="1"/>
        <v>34.66666667</v>
      </c>
      <c r="F32" s="20">
        <f t="shared" si="2"/>
        <v>1.539912085</v>
      </c>
      <c r="G32" s="2"/>
      <c r="H32" s="2"/>
      <c r="I32" s="2"/>
      <c r="J32" s="2"/>
      <c r="K32" s="2"/>
    </row>
    <row r="33" ht="12.75" customHeight="1">
      <c r="A33" s="105" t="s">
        <v>82</v>
      </c>
      <c r="B33" s="105">
        <v>26.0</v>
      </c>
      <c r="C33" s="105">
        <v>5.0</v>
      </c>
      <c r="D33" s="106" t="s">
        <v>71</v>
      </c>
      <c r="E33" s="7">
        <f t="shared" si="1"/>
        <v>5.2</v>
      </c>
      <c r="F33" s="20">
        <f t="shared" si="2"/>
        <v>0.7160033436</v>
      </c>
      <c r="G33" s="2"/>
      <c r="H33" s="2"/>
      <c r="I33" s="2"/>
      <c r="J33" s="2"/>
      <c r="K33" s="2"/>
    </row>
    <row r="34" ht="12.75" customHeight="1">
      <c r="A34" s="105" t="s">
        <v>84</v>
      </c>
      <c r="B34" s="105">
        <v>75.0</v>
      </c>
      <c r="C34" s="105">
        <v>2.0</v>
      </c>
      <c r="D34" s="106" t="s">
        <v>71</v>
      </c>
      <c r="E34" s="7">
        <f t="shared" si="1"/>
        <v>37.5</v>
      </c>
      <c r="F34" s="20">
        <f t="shared" si="2"/>
        <v>1.574031268</v>
      </c>
      <c r="G34" s="2"/>
      <c r="H34" s="2"/>
      <c r="I34" s="2"/>
      <c r="J34" s="2"/>
      <c r="K34" s="2"/>
    </row>
    <row r="35" ht="12.75" customHeight="1">
      <c r="A35" s="105" t="s">
        <v>87</v>
      </c>
      <c r="B35" s="105">
        <v>114.0</v>
      </c>
      <c r="C35" s="105">
        <v>2.0</v>
      </c>
      <c r="D35" s="106" t="s">
        <v>71</v>
      </c>
      <c r="E35" s="7">
        <f t="shared" si="1"/>
        <v>57</v>
      </c>
      <c r="F35" s="20">
        <f t="shared" si="2"/>
        <v>1.755874856</v>
      </c>
      <c r="G35" s="2"/>
      <c r="H35" s="2"/>
      <c r="I35" s="2"/>
      <c r="J35" s="2"/>
      <c r="K35" s="2"/>
    </row>
    <row r="36" ht="12.75" customHeight="1">
      <c r="A36" s="105" t="s">
        <v>89</v>
      </c>
      <c r="B36" s="105">
        <v>90.0</v>
      </c>
      <c r="C36" s="105">
        <v>6.0</v>
      </c>
      <c r="D36" s="106" t="s">
        <v>71</v>
      </c>
      <c r="E36" s="7">
        <f t="shared" si="1"/>
        <v>15</v>
      </c>
      <c r="F36" s="20">
        <f t="shared" si="2"/>
        <v>1.176091259</v>
      </c>
      <c r="G36" s="2"/>
      <c r="H36" s="2"/>
      <c r="I36" s="2"/>
      <c r="J36" s="2"/>
      <c r="K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ht="12.75" customHeight="1">
      <c r="A40" s="2"/>
      <c r="B40" s="112"/>
      <c r="C40" s="112"/>
      <c r="D40" s="112"/>
      <c r="E40" s="112"/>
      <c r="F40" s="112"/>
      <c r="G40" s="2"/>
      <c r="H40" s="2"/>
      <c r="I40" s="2"/>
      <c r="J40" s="2"/>
      <c r="K40" s="2"/>
    </row>
    <row r="41" ht="12.75" customHeight="1">
      <c r="A41" s="86"/>
      <c r="B41" s="87"/>
      <c r="C41" s="87"/>
      <c r="D41" s="112"/>
      <c r="E41" s="112"/>
      <c r="F41" s="112"/>
      <c r="G41" s="2"/>
      <c r="H41" s="2"/>
      <c r="I41" s="2"/>
      <c r="J41" s="2"/>
      <c r="K41" s="2"/>
    </row>
    <row r="42" ht="12.75" customHeight="1">
      <c r="H42" s="2"/>
      <c r="I42" s="2"/>
      <c r="J42" s="2"/>
      <c r="K42" s="2"/>
    </row>
    <row r="43" ht="12.75" customHeight="1">
      <c r="D43" s="113" t="s">
        <v>379</v>
      </c>
      <c r="H43" s="2"/>
      <c r="I43" s="2"/>
      <c r="J43" s="2"/>
      <c r="K43" s="2"/>
    </row>
    <row r="44" ht="12.75" customHeight="1">
      <c r="E44" s="114"/>
      <c r="H44" s="2"/>
      <c r="I44" s="2"/>
      <c r="J44" s="2"/>
      <c r="K44" s="2"/>
    </row>
    <row r="45" ht="12.75" customHeight="1">
      <c r="B45" s="115" t="s">
        <v>380</v>
      </c>
      <c r="C45" s="115" t="s">
        <v>403</v>
      </c>
      <c r="D45" s="116" t="s">
        <v>404</v>
      </c>
      <c r="E45" s="117"/>
      <c r="F45" s="117"/>
      <c r="G45" s="118"/>
      <c r="H45" s="2"/>
      <c r="I45" s="2"/>
      <c r="J45" s="2"/>
      <c r="K45" s="2"/>
    </row>
    <row r="46" ht="12.75" customHeight="1">
      <c r="A46" s="119" t="s">
        <v>381</v>
      </c>
      <c r="B46" s="79">
        <f>pow(10,J9-2*K9)</f>
        <v>6.697455224</v>
      </c>
      <c r="C46" s="79">
        <f>pow(10,J9-2*K9-0.5*K9)</f>
        <v>4.306549361</v>
      </c>
      <c r="D46" s="130">
        <f>pow(10,J9-2*K9+0.5*K9)</f>
        <v>10.41574187</v>
      </c>
      <c r="E46" s="112"/>
      <c r="F46" s="112"/>
      <c r="G46" s="2"/>
      <c r="H46" s="2"/>
      <c r="I46" s="2"/>
      <c r="J46" s="2"/>
      <c r="K46" s="2"/>
    </row>
    <row r="47" ht="12.75" customHeight="1">
      <c r="A47" s="119" t="s">
        <v>245</v>
      </c>
      <c r="B47" s="79">
        <f>pow(10,J9-K9)</f>
        <v>16.19834326</v>
      </c>
      <c r="C47" s="79">
        <f>pow(10,J9-K9-0.5*K9)</f>
        <v>10.41574187</v>
      </c>
      <c r="D47" s="130">
        <f>pow(10,J9-K9+0.5*K9)</f>
        <v>25.19132363</v>
      </c>
      <c r="E47" s="2"/>
      <c r="F47" s="2"/>
      <c r="G47" s="2"/>
      <c r="H47" s="2"/>
      <c r="I47" s="2"/>
      <c r="J47" s="2"/>
      <c r="K47" s="2"/>
    </row>
    <row r="48" ht="12.75" customHeight="1">
      <c r="A48" s="119" t="s">
        <v>249</v>
      </c>
      <c r="B48" s="79">
        <f>pow(10,J9)</f>
        <v>39.17701805</v>
      </c>
      <c r="C48" s="79">
        <f>pow(10,J9-0.5*K9)</f>
        <v>25.19132363</v>
      </c>
      <c r="D48" s="131">
        <f>pow(10,J9+0.5*K9)</f>
        <v>60.92727663</v>
      </c>
      <c r="E48" s="2"/>
      <c r="F48" s="2"/>
      <c r="G48" s="2"/>
      <c r="H48" s="2"/>
      <c r="I48" s="2"/>
      <c r="J48" s="2"/>
      <c r="K48" s="2"/>
    </row>
    <row r="49" ht="12.75" customHeight="1">
      <c r="A49" s="119" t="s">
        <v>252</v>
      </c>
      <c r="B49" s="79">
        <f>pow(10,J9+K9)</f>
        <v>94.7528225</v>
      </c>
      <c r="C49" s="79">
        <f>pow(10,J9+K9-0.5*K9)</f>
        <v>60.92727663</v>
      </c>
      <c r="D49" s="131">
        <f>pow(10,J9+K9+0.5*K9)</f>
        <v>147.3576019</v>
      </c>
      <c r="E49" s="112"/>
      <c r="F49" s="2"/>
      <c r="G49" s="2"/>
      <c r="H49" s="2"/>
      <c r="I49" s="2"/>
      <c r="J49" s="2"/>
      <c r="K49" s="2"/>
    </row>
    <row r="50" ht="12.75" customHeight="1">
      <c r="A50" s="119" t="s">
        <v>256</v>
      </c>
      <c r="B50" s="79">
        <f>pow(10,J9+2*K9)</f>
        <v>229.1674512</v>
      </c>
      <c r="C50" s="79">
        <f>pow(10,J9+2*K9-0.5*K9)</f>
        <v>147.3576019</v>
      </c>
      <c r="D50" s="131">
        <f>pow(10,J9+2*K9+0.5*K9)</f>
        <v>356.3964127</v>
      </c>
      <c r="E50" s="112"/>
      <c r="F50" s="2"/>
      <c r="G50" s="2"/>
      <c r="H50" s="2"/>
      <c r="I50" s="2"/>
      <c r="J50" s="2"/>
      <c r="K50" s="2"/>
    </row>
    <row r="51" ht="12.75" customHeight="1">
      <c r="D51" s="120"/>
      <c r="E51" s="112"/>
      <c r="F51" s="2"/>
      <c r="G51" s="2"/>
      <c r="H51" s="2"/>
      <c r="I51" s="2"/>
      <c r="J51" s="2"/>
      <c r="K51" s="2"/>
    </row>
    <row r="52" ht="12.75" customHeight="1">
      <c r="D52" s="120" t="s">
        <v>382</v>
      </c>
      <c r="E52" s="112"/>
      <c r="F52" s="2"/>
      <c r="G52" s="2"/>
      <c r="H52" s="2"/>
      <c r="I52" s="2"/>
      <c r="J52" s="2"/>
      <c r="K52" s="2"/>
    </row>
    <row r="53" ht="12.75" customHeight="1">
      <c r="B53" s="115" t="s">
        <v>380</v>
      </c>
      <c r="C53" s="115" t="s">
        <v>403</v>
      </c>
      <c r="D53" s="132" t="s">
        <v>404</v>
      </c>
      <c r="E53" s="2"/>
      <c r="F53" s="2"/>
      <c r="G53" s="2"/>
      <c r="H53" s="2"/>
      <c r="I53" s="2"/>
      <c r="J53" s="2"/>
      <c r="K53" s="2"/>
    </row>
    <row r="54" ht="13.5" customHeight="1">
      <c r="A54" s="119" t="s">
        <v>381</v>
      </c>
      <c r="B54" s="121">
        <f>H20-2*I20</f>
        <v>7.197382245</v>
      </c>
      <c r="C54" s="121">
        <f>H20-2*I20-0.5*I20</f>
        <v>3.380702166</v>
      </c>
      <c r="D54" s="130">
        <f>H20-2*I20+0.5*I20</f>
        <v>11.01406233</v>
      </c>
      <c r="E54" s="2"/>
      <c r="F54" s="2"/>
      <c r="G54" s="2"/>
      <c r="H54" s="2"/>
      <c r="I54" s="2"/>
      <c r="J54" s="2"/>
      <c r="K54" s="2"/>
    </row>
    <row r="55" ht="12.75" customHeight="1">
      <c r="A55" s="119" t="s">
        <v>245</v>
      </c>
      <c r="B55" s="121">
        <f>H20-I20</f>
        <v>14.8307424</v>
      </c>
      <c r="C55" s="121">
        <f>H20-I20-0.5*I20</f>
        <v>11.01406233</v>
      </c>
      <c r="D55" s="130">
        <f>H20-I20+0.5*I20</f>
        <v>18.64742248</v>
      </c>
      <c r="E55" s="2"/>
      <c r="F55" s="2"/>
      <c r="G55" s="2"/>
      <c r="H55" s="2"/>
      <c r="I55" s="2"/>
      <c r="J55" s="2"/>
      <c r="K55" s="2"/>
    </row>
    <row r="56" ht="12.75" customHeight="1">
      <c r="A56" s="119" t="s">
        <v>249</v>
      </c>
      <c r="B56" s="121">
        <f>H20</f>
        <v>22.46410256</v>
      </c>
      <c r="C56" s="121">
        <f>H20-0.5*I20</f>
        <v>18.64742248</v>
      </c>
      <c r="D56" s="130">
        <f>H20+0.5*I20</f>
        <v>26.28078264</v>
      </c>
      <c r="E56" s="112"/>
      <c r="F56" s="2"/>
      <c r="G56" s="2"/>
      <c r="H56" s="2"/>
      <c r="I56" s="2"/>
      <c r="J56" s="2"/>
      <c r="K56" s="2"/>
    </row>
    <row r="57" ht="12.75" customHeight="1">
      <c r="A57" s="119" t="s">
        <v>252</v>
      </c>
      <c r="B57" s="121">
        <f>H20+I20</f>
        <v>30.09746272</v>
      </c>
      <c r="C57" s="121">
        <f>H20+I20-0.5*I20</f>
        <v>26.28078264</v>
      </c>
      <c r="D57" s="130">
        <f>H20+I20+0.5*I20</f>
        <v>33.9141428</v>
      </c>
      <c r="E57" s="112"/>
      <c r="F57" s="2"/>
      <c r="G57" s="2"/>
      <c r="H57" s="2"/>
      <c r="I57" s="2"/>
      <c r="J57" s="2"/>
      <c r="K57" s="2"/>
    </row>
    <row r="58" ht="12.75" customHeight="1">
      <c r="A58" s="119" t="s">
        <v>256</v>
      </c>
      <c r="B58" s="121">
        <f>H20+2*I20</f>
        <v>37.73082288</v>
      </c>
      <c r="C58" s="121">
        <f>H20+2*I20-0.5*I20</f>
        <v>33.9141428</v>
      </c>
      <c r="D58" s="130">
        <f>H20+2*I20+0.5*I20</f>
        <v>41.54750296</v>
      </c>
      <c r="F58" s="2"/>
      <c r="G58" s="2"/>
      <c r="H58" s="2"/>
      <c r="I58" s="2"/>
      <c r="J58" s="2"/>
      <c r="K58" s="2"/>
    </row>
    <row r="59" ht="12.75" customHeight="1">
      <c r="D59" s="112"/>
      <c r="E59" s="112"/>
      <c r="F59" s="2"/>
      <c r="G59" s="2"/>
      <c r="H59" s="2"/>
      <c r="I59" s="2"/>
      <c r="J59" s="2"/>
      <c r="K59" s="2"/>
    </row>
    <row r="60" ht="12.75" customHeight="1">
      <c r="D60" s="120" t="s">
        <v>384</v>
      </c>
      <c r="E60" s="112"/>
      <c r="F60" s="2"/>
      <c r="G60" s="2"/>
      <c r="H60" s="2"/>
      <c r="I60" s="2"/>
      <c r="J60" s="2"/>
      <c r="K60" s="2"/>
    </row>
    <row r="61" ht="12.75" customHeight="1">
      <c r="B61" s="115" t="s">
        <v>380</v>
      </c>
      <c r="C61" s="115" t="s">
        <v>403</v>
      </c>
      <c r="D61" s="132" t="s">
        <v>404</v>
      </c>
      <c r="E61" s="2"/>
      <c r="F61" s="2"/>
      <c r="G61" s="2"/>
      <c r="H61" s="2"/>
      <c r="I61" s="2"/>
      <c r="J61" s="2"/>
      <c r="K61" s="2"/>
    </row>
    <row r="62" ht="12.0" customHeight="1">
      <c r="A62" s="119" t="s">
        <v>381</v>
      </c>
      <c r="B62" s="79">
        <f>POW(10,J31-2*K31)</f>
        <v>3.652240834</v>
      </c>
      <c r="C62" s="79">
        <f>pow(10,J31-2*K31-0.5*K31)</f>
        <v>2.4891549</v>
      </c>
      <c r="D62" s="131">
        <f>pow(10,J31-2*K31+0.5*K31)</f>
        <v>5.358791899</v>
      </c>
      <c r="E62" s="2"/>
      <c r="F62" s="2"/>
      <c r="G62" s="2"/>
      <c r="H62" s="2"/>
      <c r="I62" s="2"/>
      <c r="J62" s="2"/>
      <c r="K62" s="2"/>
    </row>
    <row r="63" ht="12.75" customHeight="1">
      <c r="A63" s="119" t="s">
        <v>245</v>
      </c>
      <c r="B63" s="79">
        <f>POW(10,J31-K31)</f>
        <v>7.862748356</v>
      </c>
      <c r="C63" s="79">
        <f>pow(10,J31-K31-0.5*K31)</f>
        <v>5.358791899</v>
      </c>
      <c r="D63" s="131">
        <f>pow(10,J31-K31+0.5*K31)</f>
        <v>11.53670694</v>
      </c>
      <c r="E63" s="2"/>
      <c r="F63" s="2"/>
      <c r="G63" s="2"/>
      <c r="H63" s="2"/>
      <c r="I63" s="2"/>
      <c r="J63" s="2"/>
      <c r="K63" s="2"/>
    </row>
    <row r="64" ht="12.75" customHeight="1">
      <c r="A64" s="119" t="s">
        <v>249</v>
      </c>
      <c r="B64" s="79">
        <f>pow(10,J31)</f>
        <v>16.92736446</v>
      </c>
      <c r="C64" s="79">
        <f>pow(10,J31-0.5*K31)</f>
        <v>11.53670694</v>
      </c>
      <c r="D64" s="131">
        <f>pow(10,J31+0.5*K31)</f>
        <v>24.83686801</v>
      </c>
      <c r="E64" s="112"/>
      <c r="F64" s="2"/>
      <c r="G64" s="2"/>
      <c r="H64" s="2"/>
      <c r="I64" s="2"/>
      <c r="J64" s="2"/>
      <c r="K64" s="2"/>
    </row>
    <row r="65" ht="12.75" customHeight="1">
      <c r="A65" s="119" t="s">
        <v>252</v>
      </c>
      <c r="B65" s="79">
        <f>pow(10,J31+K31)</f>
        <v>36.44217705</v>
      </c>
      <c r="C65" s="79">
        <f>pow(10,J31+K31-0.5*K31)</f>
        <v>24.83686801</v>
      </c>
      <c r="D65" s="130">
        <f>pow(10,J31+K31+0.5*K31)</f>
        <v>53.47019871</v>
      </c>
      <c r="E65" s="112"/>
      <c r="F65" s="2"/>
      <c r="G65" s="2"/>
      <c r="H65" s="2"/>
      <c r="I65" s="2"/>
      <c r="J65" s="2"/>
      <c r="K65" s="2"/>
    </row>
    <row r="66" ht="12.75" customHeight="1">
      <c r="A66" s="119" t="s">
        <v>256</v>
      </c>
      <c r="B66" s="79">
        <f>pow(10,J31+2*K31)</f>
        <v>78.45475714</v>
      </c>
      <c r="C66" s="79">
        <f>pow(10,J31+2*K31-0.5*K31)</f>
        <v>53.47019871</v>
      </c>
      <c r="D66" s="130">
        <f>pow(10,J31+2*K31+0.5*K31)</f>
        <v>115.1136346</v>
      </c>
      <c r="E66" s="112"/>
      <c r="F66" s="2"/>
      <c r="G66" s="2"/>
      <c r="H66" s="2"/>
      <c r="I66" s="2"/>
      <c r="J66" s="2"/>
      <c r="K66" s="2"/>
    </row>
    <row r="67" ht="12.75" customHeight="1"/>
    <row r="68" ht="12.75" customHeight="1"/>
    <row r="69" ht="12.75" customHeight="1">
      <c r="A69" s="92" t="s">
        <v>190</v>
      </c>
    </row>
    <row r="70" ht="13.5" customHeight="1">
      <c r="B70" s="43" t="s">
        <v>192</v>
      </c>
      <c r="C70" s="10" t="s">
        <v>10</v>
      </c>
      <c r="D70" s="10" t="s">
        <v>363</v>
      </c>
      <c r="E70" s="113" t="s">
        <v>405</v>
      </c>
      <c r="F70" s="115" t="s">
        <v>11</v>
      </c>
      <c r="G70" s="115" t="s">
        <v>406</v>
      </c>
    </row>
    <row r="71" ht="12.75" customHeight="1">
      <c r="B71" s="79" t="s">
        <v>196</v>
      </c>
      <c r="C71" s="79">
        <v>6.0</v>
      </c>
      <c r="D71" s="16" t="s">
        <v>357</v>
      </c>
      <c r="E71" s="79">
        <f>B11</f>
        <v>142</v>
      </c>
      <c r="F71" s="133" t="str">
        <f>D11</f>
        <v>Calculation</v>
      </c>
      <c r="G71" s="134">
        <f>B49*C71</f>
        <v>568.516935</v>
      </c>
      <c r="H71" s="134" t="s">
        <v>252</v>
      </c>
    </row>
    <row r="72" ht="12.75" customHeight="1">
      <c r="B72" s="79" t="s">
        <v>199</v>
      </c>
      <c r="C72" s="79">
        <v>2.0</v>
      </c>
      <c r="D72" s="16" t="s">
        <v>78</v>
      </c>
      <c r="E72" s="79">
        <f>E30</f>
        <v>12.625</v>
      </c>
      <c r="F72" s="133" t="str">
        <f>D30</f>
        <v>I/O</v>
      </c>
      <c r="G72" s="79">
        <f>B64*C72</f>
        <v>33.85472893</v>
      </c>
      <c r="H72" s="134" t="s">
        <v>256</v>
      </c>
    </row>
    <row r="73" ht="12.75" customHeight="1"/>
    <row r="74" ht="12.75" customHeight="1"/>
    <row r="75" ht="12.75" customHeight="1">
      <c r="A75" s="92" t="s">
        <v>204</v>
      </c>
      <c r="D75" s="16"/>
    </row>
    <row r="76" ht="12.0" customHeight="1">
      <c r="B76" s="43" t="s">
        <v>206</v>
      </c>
      <c r="C76" s="10" t="s">
        <v>10</v>
      </c>
      <c r="D76" s="10" t="s">
        <v>363</v>
      </c>
      <c r="E76" s="115" t="s">
        <v>405</v>
      </c>
      <c r="F76" s="115" t="s">
        <v>11</v>
      </c>
      <c r="G76" s="115" t="s">
        <v>406</v>
      </c>
    </row>
    <row r="77" ht="12.75" customHeight="1">
      <c r="B77" s="79" t="s">
        <v>208</v>
      </c>
      <c r="C77" s="79">
        <v>5.0</v>
      </c>
      <c r="D77" s="16" t="s">
        <v>51</v>
      </c>
      <c r="E77" s="79">
        <f>E20</f>
        <v>39.33333333</v>
      </c>
      <c r="F77" s="133" t="str">
        <f>D20</f>
        <v>Data</v>
      </c>
      <c r="G77" s="134">
        <f>B58*5</f>
        <v>188.6541144</v>
      </c>
      <c r="H77" s="134" t="s">
        <v>256</v>
      </c>
    </row>
    <row r="78" ht="12.75" customHeight="1">
      <c r="B78" s="79" t="s">
        <v>211</v>
      </c>
      <c r="C78" s="79">
        <v>2.0</v>
      </c>
      <c r="D78" s="16" t="s">
        <v>47</v>
      </c>
      <c r="E78" s="79">
        <f>E17</f>
        <v>24.4</v>
      </c>
      <c r="F78" s="133" t="str">
        <f>D17</f>
        <v>Data</v>
      </c>
      <c r="G78" s="79">
        <f>B56*2</f>
        <v>44.92820513</v>
      </c>
      <c r="H78" s="134" t="s">
        <v>256</v>
      </c>
    </row>
    <row r="79" ht="12.75" customHeight="1">
      <c r="B79" s="79" t="s">
        <v>215</v>
      </c>
      <c r="C79" s="79">
        <v>4.0</v>
      </c>
      <c r="D79" s="16" t="s">
        <v>57</v>
      </c>
      <c r="E79" s="79">
        <f>E23</f>
        <v>26.75</v>
      </c>
      <c r="F79" s="133" t="str">
        <f>D23</f>
        <v>Data</v>
      </c>
      <c r="G79" s="79">
        <f>B57*4</f>
        <v>120.3898509</v>
      </c>
      <c r="H79" s="134" t="s">
        <v>256</v>
      </c>
    </row>
    <row r="80" ht="12.75" customHeight="1">
      <c r="B80" s="79" t="s">
        <v>219</v>
      </c>
      <c r="C80" s="79">
        <v>3.0</v>
      </c>
      <c r="D80" s="16" t="s">
        <v>52</v>
      </c>
      <c r="E80" s="79">
        <f>E21</f>
        <v>24.4</v>
      </c>
      <c r="F80" s="133" t="str">
        <f>D21</f>
        <v>Data</v>
      </c>
      <c r="G80" s="79">
        <f>B56*3</f>
        <v>67.39230769</v>
      </c>
      <c r="H80" s="134" t="s">
        <v>256</v>
      </c>
    </row>
    <row r="81" ht="12.75" customHeight="1">
      <c r="B81" s="79" t="s">
        <v>222</v>
      </c>
      <c r="C81" s="79">
        <v>5.0</v>
      </c>
      <c r="D81" s="16" t="s">
        <v>350</v>
      </c>
      <c r="E81" s="79">
        <f>E4</f>
        <v>18.6</v>
      </c>
      <c r="F81" s="133" t="str">
        <f>D4</f>
        <v>Calculation</v>
      </c>
      <c r="G81" s="79">
        <f>B47*5</f>
        <v>80.99171628</v>
      </c>
      <c r="H81" s="134" t="s">
        <v>252</v>
      </c>
    </row>
    <row r="82" ht="12.75" customHeight="1">
      <c r="B82" s="79" t="s">
        <v>225</v>
      </c>
      <c r="C82" s="79">
        <v>7.0</v>
      </c>
      <c r="D82" s="16" t="s">
        <v>354</v>
      </c>
      <c r="E82" s="79">
        <f>E8</f>
        <v>68</v>
      </c>
      <c r="F82" s="133" t="str">
        <f>D8</f>
        <v>Calculation</v>
      </c>
      <c r="G82" s="79">
        <f>B49*7</f>
        <v>663.2697575</v>
      </c>
      <c r="H82" s="134" t="s">
        <v>252</v>
      </c>
    </row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4">
    <mergeCell ref="J2:K2"/>
    <mergeCell ref="E44:G44"/>
    <mergeCell ref="A69:B69"/>
    <mergeCell ref="A75:B75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71"/>
    <col customWidth="1" min="2" max="2" width="15.14"/>
    <col customWidth="1" min="3" max="5" width="12.71"/>
    <col customWidth="1" min="6" max="6" width="14.14"/>
    <col customWidth="1" min="7" max="7" width="12.71"/>
    <col customWidth="1" min="8" max="9" width="8.0"/>
    <col customWidth="1" min="10" max="10" width="13.43"/>
    <col customWidth="1" min="11" max="11" width="33.71"/>
    <col customWidth="1" min="12" max="12" width="8.0"/>
    <col customWidth="1" min="13" max="13" width="13.86"/>
    <col customWidth="1" min="14" max="14" width="12.86"/>
    <col customWidth="1" min="15" max="15" width="8.0"/>
    <col customWidth="1" min="16" max="16" width="15.14"/>
    <col customWidth="1" min="17" max="17" width="8.0"/>
    <col customWidth="1" min="18" max="20" width="12.29"/>
    <col customWidth="1" min="21" max="21" width="8.0"/>
    <col customWidth="1" min="22" max="22" width="10.43"/>
    <col customWidth="1" min="23" max="23" width="8.0"/>
    <col customWidth="1" min="24" max="24" width="10.0"/>
    <col customWidth="1" min="25" max="25" width="11.43"/>
    <col customWidth="1" min="26" max="28" width="8.0"/>
  </cols>
  <sheetData>
    <row r="1" ht="15.75" customHeight="1">
      <c r="A1" s="96" t="s">
        <v>407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2.75" customHeight="1">
      <c r="D3" s="79" t="s">
        <v>408</v>
      </c>
      <c r="E3" s="79" t="s">
        <v>409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38.25" customHeight="1">
      <c r="B4" s="82"/>
      <c r="C4" s="86" t="s">
        <v>6</v>
      </c>
      <c r="D4" s="87" t="s">
        <v>359</v>
      </c>
      <c r="E4" s="87" t="s">
        <v>360</v>
      </c>
      <c r="F4" s="87" t="s">
        <v>361</v>
      </c>
      <c r="G4" s="88" t="s">
        <v>362</v>
      </c>
      <c r="H4" s="2"/>
      <c r="I4" s="2"/>
      <c r="J4" s="2"/>
      <c r="K4" s="135" t="s">
        <v>410</v>
      </c>
      <c r="L4" s="2"/>
      <c r="M4" s="136" t="s">
        <v>411</v>
      </c>
      <c r="N4" s="136" t="s">
        <v>412</v>
      </c>
      <c r="O4" s="137" t="s">
        <v>413</v>
      </c>
      <c r="P4" s="136" t="s">
        <v>414</v>
      </c>
      <c r="Q4" s="2"/>
      <c r="R4" s="136" t="s">
        <v>415</v>
      </c>
      <c r="S4" s="136" t="s">
        <v>416</v>
      </c>
      <c r="T4" s="136" t="s">
        <v>417</v>
      </c>
      <c r="V4" s="136"/>
      <c r="Y4" s="136" t="s">
        <v>418</v>
      </c>
      <c r="Z4" s="136" t="s">
        <v>419</v>
      </c>
      <c r="AA4" s="136" t="s">
        <v>420</v>
      </c>
      <c r="AB4" s="2"/>
    </row>
    <row r="5" ht="12.75" customHeight="1">
      <c r="B5" s="138"/>
      <c r="C5" s="79" t="s">
        <v>103</v>
      </c>
      <c r="D5" s="79">
        <v>124.0</v>
      </c>
      <c r="E5" s="79">
        <v>98.0</v>
      </c>
      <c r="F5" s="79">
        <v>360.0</v>
      </c>
      <c r="G5" s="79">
        <v>300.0</v>
      </c>
      <c r="H5" s="2"/>
      <c r="I5" s="2"/>
      <c r="J5" s="139">
        <f>(D5-D27)*(E5-E27)</f>
        <v>40932.0325</v>
      </c>
      <c r="L5" s="2"/>
      <c r="M5" s="2"/>
      <c r="N5" s="2"/>
      <c r="O5" s="2"/>
      <c r="Q5" s="2"/>
      <c r="R5" s="2"/>
      <c r="S5" s="2"/>
      <c r="T5" s="2"/>
      <c r="U5" s="139">
        <f>E5-(M14*D5+N14)</f>
        <v>-57.26498451</v>
      </c>
      <c r="V5" s="20">
        <f t="shared" ref="V5:V24" si="1">pow(U5,2)</f>
        <v>3279.278451</v>
      </c>
      <c r="W5" s="140">
        <f>D5-D27</f>
        <v>-188.15</v>
      </c>
      <c r="X5" s="79">
        <f t="shared" ref="X5:X24" si="2">pow(W5,2)</f>
        <v>35400.4225</v>
      </c>
      <c r="Y5" s="2"/>
      <c r="Z5" s="2"/>
      <c r="AA5" s="2"/>
      <c r="AB5" s="2"/>
    </row>
    <row r="6" ht="12.75" customHeight="1">
      <c r="B6" s="138"/>
      <c r="C6" s="79" t="s">
        <v>106</v>
      </c>
      <c r="D6" s="79">
        <v>360.0</v>
      </c>
      <c r="E6" s="79">
        <v>284.0</v>
      </c>
      <c r="F6" s="79">
        <v>900.0</v>
      </c>
      <c r="G6" s="79">
        <v>720.0</v>
      </c>
      <c r="H6" s="2"/>
      <c r="I6" s="2"/>
      <c r="J6" s="139">
        <f>(D6-D27)*(E6-E27)</f>
        <v>-1509.6675</v>
      </c>
      <c r="K6" s="2"/>
      <c r="L6" s="2"/>
      <c r="M6" s="2"/>
      <c r="N6" s="2"/>
      <c r="O6" s="2"/>
      <c r="P6" s="2"/>
      <c r="Q6" s="2"/>
      <c r="R6" s="2"/>
      <c r="S6" s="2"/>
      <c r="T6" s="2"/>
      <c r="U6" s="139">
        <f>E6-M14*D6-N14</f>
        <v>-72.31342275</v>
      </c>
      <c r="V6" s="20">
        <f t="shared" si="1"/>
        <v>5229.23111</v>
      </c>
      <c r="W6" s="141">
        <f>D6-D27</f>
        <v>47.85</v>
      </c>
      <c r="X6" s="79">
        <f t="shared" si="2"/>
        <v>2289.6225</v>
      </c>
      <c r="Y6" s="2"/>
      <c r="Z6" s="2"/>
      <c r="AA6" s="2"/>
      <c r="AB6" s="2"/>
    </row>
    <row r="7" ht="12.75" customHeight="1">
      <c r="B7" s="138"/>
      <c r="C7" s="79" t="s">
        <v>109</v>
      </c>
      <c r="D7" s="79">
        <v>229.0</v>
      </c>
      <c r="E7" s="79">
        <v>292.0</v>
      </c>
      <c r="F7" s="79">
        <v>540.0</v>
      </c>
      <c r="G7" s="79">
        <v>720.0</v>
      </c>
      <c r="H7" s="2"/>
      <c r="I7" s="2"/>
      <c r="J7" s="142">
        <f>(D7-D27)*(E7-E27)</f>
        <v>1958.1825</v>
      </c>
      <c r="K7" s="2"/>
      <c r="L7" s="2"/>
      <c r="M7" s="2"/>
      <c r="N7" s="2"/>
      <c r="O7" s="2"/>
      <c r="P7" s="2"/>
      <c r="Q7" s="2"/>
      <c r="R7" s="2"/>
      <c r="S7" s="2"/>
      <c r="T7" s="2"/>
      <c r="U7" s="142">
        <f>E7-M14*D7-N14</f>
        <v>47.28549847</v>
      </c>
      <c r="V7" s="20">
        <f t="shared" si="1"/>
        <v>2235.918366</v>
      </c>
      <c r="W7" s="141">
        <f>D7-D27</f>
        <v>-83.15</v>
      </c>
      <c r="X7" s="79">
        <f t="shared" si="2"/>
        <v>6913.9225</v>
      </c>
      <c r="Y7" s="2"/>
      <c r="Z7" s="2"/>
      <c r="AA7" s="2"/>
      <c r="AB7" s="2"/>
    </row>
    <row r="8" ht="12.75" customHeight="1">
      <c r="B8" s="138"/>
      <c r="C8" s="79" t="s">
        <v>111</v>
      </c>
      <c r="D8" s="79">
        <v>321.0</v>
      </c>
      <c r="E8" s="79">
        <v>286.0</v>
      </c>
      <c r="F8" s="79">
        <v>840.0</v>
      </c>
      <c r="G8" s="79">
        <v>780.0</v>
      </c>
      <c r="H8" s="2"/>
      <c r="I8" s="2"/>
      <c r="J8" s="142">
        <f>(D8-D27)*(E8-E27)</f>
        <v>-261.5175</v>
      </c>
      <c r="K8" s="2"/>
      <c r="L8" s="2"/>
      <c r="M8" s="2"/>
      <c r="N8" s="2"/>
      <c r="O8" s="2"/>
      <c r="P8" s="2"/>
      <c r="Q8" s="2"/>
      <c r="R8" s="2"/>
      <c r="S8" s="2"/>
      <c r="T8" s="2"/>
      <c r="U8" s="139">
        <f>E8-M14*D8-N14</f>
        <v>-37.08931643</v>
      </c>
      <c r="V8" s="20">
        <f t="shared" si="1"/>
        <v>1375.617394</v>
      </c>
      <c r="W8" s="141">
        <f>D8-D27</f>
        <v>8.85</v>
      </c>
      <c r="X8" s="79">
        <f t="shared" si="2"/>
        <v>78.3225</v>
      </c>
      <c r="Y8" s="2"/>
      <c r="Z8" s="2"/>
      <c r="AA8" s="2"/>
      <c r="AB8" s="2"/>
    </row>
    <row r="9" ht="12.75" customHeight="1">
      <c r="B9" s="138"/>
      <c r="C9" s="79" t="s">
        <v>113</v>
      </c>
      <c r="D9" s="79">
        <v>279.0</v>
      </c>
      <c r="E9" s="79">
        <v>350.0</v>
      </c>
      <c r="F9" s="79">
        <v>720.0</v>
      </c>
      <c r="G9" s="79">
        <v>900.0</v>
      </c>
      <c r="H9" s="2"/>
      <c r="I9" s="2"/>
      <c r="J9" s="142">
        <f>(D9-D27)*(E9-E27)</f>
        <v>-1142.0175</v>
      </c>
      <c r="K9" s="2"/>
      <c r="L9" s="2"/>
      <c r="M9" s="2"/>
      <c r="N9" s="2"/>
      <c r="O9" s="2"/>
      <c r="P9" s="2"/>
      <c r="Q9" s="2"/>
      <c r="R9" s="2"/>
      <c r="S9" s="2"/>
      <c r="T9" s="2"/>
      <c r="U9" s="139">
        <f>E9-M14*D9-N14</f>
        <v>62.69049037</v>
      </c>
      <c r="V9" s="20">
        <f t="shared" si="1"/>
        <v>3930.097583</v>
      </c>
      <c r="W9" s="141">
        <f>D9-D27</f>
        <v>-33.15</v>
      </c>
      <c r="X9" s="79">
        <f t="shared" si="2"/>
        <v>1098.9225</v>
      </c>
      <c r="Y9" s="2"/>
      <c r="Z9" s="2"/>
      <c r="AA9" s="2"/>
      <c r="AB9" s="2"/>
    </row>
    <row r="10" ht="12.75" customHeight="1">
      <c r="B10" s="138"/>
      <c r="C10" s="79" t="s">
        <v>116</v>
      </c>
      <c r="D10" s="79">
        <v>352.0</v>
      </c>
      <c r="E10" s="79">
        <v>464.0</v>
      </c>
      <c r="F10" s="79">
        <v>780.0</v>
      </c>
      <c r="G10" s="79">
        <v>1380.0</v>
      </c>
      <c r="H10" s="2"/>
      <c r="I10" s="2"/>
      <c r="J10" s="142">
        <f>(D10-D27)*(E10-E27)</f>
        <v>5915.7325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142">
        <f>E10-M14*D10-N14</f>
        <v>114.5017785</v>
      </c>
      <c r="V10" s="20">
        <f t="shared" si="1"/>
        <v>13110.65729</v>
      </c>
      <c r="W10" s="141">
        <f>D10-D27</f>
        <v>39.85</v>
      </c>
      <c r="X10" s="79">
        <f t="shared" si="2"/>
        <v>1588.0225</v>
      </c>
      <c r="Y10" s="2"/>
      <c r="Z10" s="2"/>
      <c r="AA10" s="2"/>
      <c r="AB10" s="2"/>
    </row>
    <row r="11" ht="12.75" customHeight="1">
      <c r="B11" s="138"/>
      <c r="C11" s="79" t="s">
        <v>119</v>
      </c>
      <c r="D11" s="79">
        <v>297.0</v>
      </c>
      <c r="E11" s="79">
        <v>381.0</v>
      </c>
      <c r="F11" s="79">
        <v>780.0</v>
      </c>
      <c r="G11" s="79">
        <v>1020.0</v>
      </c>
      <c r="H11" s="2"/>
      <c r="I11" s="2"/>
      <c r="J11" s="142">
        <f>(D11-D27)*(E11-E27)</f>
        <v>-991.5675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142">
        <f>E11-M14*D11-N14</f>
        <v>78.35628746</v>
      </c>
      <c r="V11" s="20">
        <f t="shared" si="1"/>
        <v>6139.707784</v>
      </c>
      <c r="W11" s="141">
        <f>D11-D27</f>
        <v>-15.15</v>
      </c>
      <c r="X11" s="79">
        <f t="shared" si="2"/>
        <v>229.5225</v>
      </c>
      <c r="Y11" s="2"/>
      <c r="Z11" s="2"/>
      <c r="AA11" s="2"/>
      <c r="AB11" s="2"/>
    </row>
    <row r="12" ht="12.75" customHeight="1">
      <c r="B12" s="138"/>
      <c r="C12" s="79" t="s">
        <v>120</v>
      </c>
      <c r="D12" s="79">
        <v>263.0</v>
      </c>
      <c r="E12" s="79">
        <v>369.0</v>
      </c>
      <c r="F12" s="79">
        <v>660.0</v>
      </c>
      <c r="G12" s="79">
        <v>960.0</v>
      </c>
      <c r="H12" s="2"/>
      <c r="I12" s="2"/>
      <c r="J12" s="142">
        <f>(D12-D27)*(E12-E27)</f>
        <v>-2627.0675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142">
        <f>E12-M14*D12-N14</f>
        <v>95.32089296</v>
      </c>
      <c r="V12" s="20">
        <f t="shared" si="1"/>
        <v>9086.072636</v>
      </c>
      <c r="W12" s="141">
        <f>D12-D27</f>
        <v>-49.15</v>
      </c>
      <c r="X12" s="79">
        <f t="shared" si="2"/>
        <v>2415.7225</v>
      </c>
      <c r="Y12" s="2"/>
      <c r="Z12" s="2"/>
      <c r="AA12" s="2"/>
      <c r="AB12" s="2"/>
    </row>
    <row r="13" ht="12.75" customHeight="1">
      <c r="B13" s="138"/>
      <c r="C13" s="79" t="s">
        <v>123</v>
      </c>
      <c r="D13" s="79">
        <v>357.0</v>
      </c>
      <c r="E13" s="79">
        <v>365.0</v>
      </c>
      <c r="F13" s="79">
        <v>900.0</v>
      </c>
      <c r="G13" s="79">
        <v>900.0</v>
      </c>
      <c r="H13" s="2"/>
      <c r="I13" s="2"/>
      <c r="J13" s="139">
        <f>(D13-D27)*(E13-E27)</f>
        <v>2217.8325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142">
        <f>E13-M14*D13-N14</f>
        <v>11.24227773</v>
      </c>
      <c r="V13" s="20">
        <f t="shared" si="1"/>
        <v>126.3888086</v>
      </c>
      <c r="W13" s="141">
        <f>D13-D27</f>
        <v>44.85</v>
      </c>
      <c r="X13" s="79">
        <f t="shared" si="2"/>
        <v>2011.5225</v>
      </c>
      <c r="Y13" s="2"/>
      <c r="Z13" s="2"/>
      <c r="AA13" s="2"/>
      <c r="AB13" s="2"/>
    </row>
    <row r="14" ht="12.75" customHeight="1">
      <c r="B14" s="138"/>
      <c r="C14" s="79" t="s">
        <v>125</v>
      </c>
      <c r="D14" s="79">
        <v>311.0</v>
      </c>
      <c r="E14" s="79">
        <v>284.0</v>
      </c>
      <c r="F14" s="79">
        <v>780.0</v>
      </c>
      <c r="G14" s="79">
        <v>720.0</v>
      </c>
      <c r="H14" s="2"/>
      <c r="I14" s="2"/>
      <c r="J14" s="139">
        <f>(D14-D27)*(E14-E27)</f>
        <v>36.2825</v>
      </c>
      <c r="K14" s="16">
        <f>CORREL(D5:D24,E5:E24)</f>
        <v>0.7409685917</v>
      </c>
      <c r="L14" s="2"/>
      <c r="M14" s="136">
        <v>0.851900162048667</v>
      </c>
      <c r="N14" s="136">
        <v>49.6293644165083</v>
      </c>
      <c r="O14" s="2">
        <f>'Calc-2'!G71+'Calc-2'!G72+'Calc-2'!G77+'Calc-2'!G78+'Calc-2'!G79+'Calc-2'!G80+'Calc-2'!G81+'Calc-2'!G82 + 369 - 14</f>
        <v>2122.997616</v>
      </c>
      <c r="P14" s="2">
        <f>('Calc-2'!G71+'Calc-2'!G72+'Calc-2'!G77+'Calc-2'!G78+'Calc-2'!G79+'Calc-2'!G80+'Calc-2'!G81+'Calc-2'!G82 -14 + 369)*M14+N14</f>
        <v>1858.211377</v>
      </c>
      <c r="Q14" s="2"/>
      <c r="R14" s="2">
        <f>_xlfn.T.INV.2T(0.3,18)</f>
        <v>1.067169516</v>
      </c>
      <c r="S14" s="2">
        <f>ABS(K14)*SQRT(18)/SQRT(1-POW(K14,2))</f>
        <v>4.68127733</v>
      </c>
      <c r="T14" s="136" t="s">
        <v>421</v>
      </c>
      <c r="U14" s="142">
        <f>E14-M14*D14-N14</f>
        <v>-30.57031481</v>
      </c>
      <c r="V14" s="20">
        <f t="shared" si="1"/>
        <v>934.5441478</v>
      </c>
      <c r="W14" s="141">
        <f>D14-D27</f>
        <v>-1.15</v>
      </c>
      <c r="X14" s="79">
        <f t="shared" si="2"/>
        <v>1.3225</v>
      </c>
      <c r="Y14" s="2">
        <f>R14*SQRT((sum(V5:V24))/20)*SQRT(1+(1/20)+(P14/sum(X5:X24)))</f>
        <v>83.8166851</v>
      </c>
      <c r="Z14" s="2">
        <f>P14-Y14</f>
        <v>1774.394692</v>
      </c>
      <c r="AA14" s="2">
        <f>P14+Y14</f>
        <v>1942.028063</v>
      </c>
      <c r="AB14" s="2"/>
    </row>
    <row r="15" ht="12.75" customHeight="1">
      <c r="B15" s="138"/>
      <c r="C15" s="79" t="s">
        <v>128</v>
      </c>
      <c r="D15" s="79">
        <v>341.0</v>
      </c>
      <c r="E15" s="79">
        <v>277.0</v>
      </c>
      <c r="F15" s="79">
        <v>840.0</v>
      </c>
      <c r="G15" s="79">
        <v>600.0</v>
      </c>
      <c r="H15" s="2"/>
      <c r="I15" s="2"/>
      <c r="J15" s="142">
        <f>(D15-D27)*(E15-E27)</f>
        <v>-1112.1675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142">
        <f>E15-M14*D15-N14</f>
        <v>-63.12731968</v>
      </c>
      <c r="V15" s="20">
        <f t="shared" si="1"/>
        <v>3985.058489</v>
      </c>
      <c r="W15" s="143">
        <f>D15-D27</f>
        <v>28.85</v>
      </c>
      <c r="X15" s="79">
        <f t="shared" si="2"/>
        <v>832.3225</v>
      </c>
      <c r="Y15" s="2"/>
      <c r="Z15" s="2"/>
      <c r="AA15" s="2"/>
      <c r="AB15" s="2"/>
    </row>
    <row r="16" ht="12.75" customHeight="1">
      <c r="B16" s="138"/>
      <c r="C16" s="79" t="s">
        <v>129</v>
      </c>
      <c r="D16" s="79">
        <v>153.0</v>
      </c>
      <c r="E16" s="79">
        <v>212.0</v>
      </c>
      <c r="F16" s="79">
        <v>420.0</v>
      </c>
      <c r="G16" s="79">
        <v>480.0</v>
      </c>
      <c r="H16" s="2"/>
      <c r="I16" s="2"/>
      <c r="J16" s="142">
        <f>(D16-D27)*(E16-E27)</f>
        <v>16479.9825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142">
        <f>E16-M14*D16-N14</f>
        <v>32.02991079</v>
      </c>
      <c r="V16" s="20">
        <f t="shared" si="1"/>
        <v>1025.915185</v>
      </c>
      <c r="W16" s="143">
        <f>D16-D27</f>
        <v>-159.15</v>
      </c>
      <c r="X16" s="79">
        <f t="shared" si="2"/>
        <v>25328.7225</v>
      </c>
      <c r="Y16" s="2"/>
      <c r="Z16" s="2"/>
      <c r="AA16" s="2"/>
      <c r="AB16" s="2"/>
    </row>
    <row r="17" ht="12.75" customHeight="1">
      <c r="B17" s="14"/>
      <c r="C17" s="79" t="s">
        <v>131</v>
      </c>
      <c r="D17" s="79">
        <v>390.0</v>
      </c>
      <c r="E17" s="79">
        <v>319.0</v>
      </c>
      <c r="F17" s="79">
        <v>1020.0</v>
      </c>
      <c r="G17" s="79">
        <v>720.0</v>
      </c>
      <c r="H17" s="2"/>
      <c r="I17" s="2"/>
      <c r="J17" s="142">
        <f>(D17-D27)*(E17-E27)</f>
        <v>268.5825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142">
        <f>E17-M14*D17-N14</f>
        <v>-62.87042762</v>
      </c>
      <c r="V17" s="20">
        <f t="shared" si="1"/>
        <v>3952.690669</v>
      </c>
      <c r="W17" s="144">
        <f>D17-D27</f>
        <v>77.85</v>
      </c>
      <c r="X17" s="79">
        <f t="shared" si="2"/>
        <v>6060.6225</v>
      </c>
      <c r="Y17" s="2"/>
      <c r="Z17" s="2"/>
      <c r="AA17" s="2"/>
      <c r="AB17" s="2"/>
    </row>
    <row r="18" ht="12.75" customHeight="1">
      <c r="B18" s="14"/>
      <c r="C18" s="79" t="s">
        <v>133</v>
      </c>
      <c r="D18" s="79">
        <v>260.0</v>
      </c>
      <c r="E18" s="79">
        <v>218.0</v>
      </c>
      <c r="F18" s="79">
        <v>660.0</v>
      </c>
      <c r="G18" s="79">
        <v>540.0</v>
      </c>
      <c r="H18" s="2"/>
      <c r="I18" s="2"/>
      <c r="J18" s="142">
        <f>(D18-D27)*(E18-E27)</f>
        <v>5087.2325</v>
      </c>
      <c r="K18" s="2"/>
      <c r="L18" s="2"/>
      <c r="M18" s="2"/>
      <c r="N18" s="2"/>
      <c r="O18" s="2"/>
      <c r="P18" s="145"/>
      <c r="Q18" s="2"/>
      <c r="R18" s="2"/>
      <c r="S18" s="2"/>
      <c r="T18" s="2"/>
      <c r="U18" s="142">
        <f>E18-M14*D18-N14</f>
        <v>-53.12340655</v>
      </c>
      <c r="V18" s="20">
        <f t="shared" si="1"/>
        <v>2822.096323</v>
      </c>
      <c r="W18" s="143">
        <f>D18-D27</f>
        <v>-52.15</v>
      </c>
      <c r="X18" s="79">
        <f t="shared" si="2"/>
        <v>2719.6225</v>
      </c>
      <c r="Y18" s="2"/>
      <c r="Z18" s="2"/>
      <c r="AA18" s="2"/>
      <c r="AB18" s="2"/>
    </row>
    <row r="19" ht="12.75" customHeight="1">
      <c r="B19" s="14"/>
      <c r="C19" s="79" t="s">
        <v>135</v>
      </c>
      <c r="D19" s="79">
        <v>215.0</v>
      </c>
      <c r="E19" s="79">
        <v>238.0</v>
      </c>
      <c r="F19" s="79">
        <v>540.0</v>
      </c>
      <c r="G19" s="79">
        <v>600.0</v>
      </c>
      <c r="H19" s="2"/>
      <c r="I19" s="2"/>
      <c r="J19" s="142">
        <f>(D19-D27)*(E196-E27)</f>
        <v>30655.6825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142">
        <f>E19-M14*D19-N14</f>
        <v>5.212100743</v>
      </c>
      <c r="V19" s="20">
        <f t="shared" si="1"/>
        <v>27.16599416</v>
      </c>
      <c r="W19" s="143">
        <f>D19-D27</f>
        <v>-97.15</v>
      </c>
      <c r="X19" s="79">
        <f t="shared" si="2"/>
        <v>9438.1225</v>
      </c>
      <c r="Y19" s="2"/>
      <c r="Z19" s="2"/>
      <c r="AA19" s="2"/>
      <c r="AB19" s="2"/>
    </row>
    <row r="20" ht="12.75" customHeight="1">
      <c r="B20" s="14"/>
      <c r="C20" s="79" t="s">
        <v>137</v>
      </c>
      <c r="D20" s="79">
        <v>468.0</v>
      </c>
      <c r="E20" s="79">
        <v>312.0</v>
      </c>
      <c r="F20" s="79">
        <v>1200.0</v>
      </c>
      <c r="G20" s="79">
        <v>660.0</v>
      </c>
      <c r="H20" s="2"/>
      <c r="I20" s="2"/>
      <c r="J20" s="142">
        <f>(D20-D27)*(E20-E27)</f>
        <v>-553.2675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142">
        <f>E20-M14*D20-N14</f>
        <v>-136.3186403</v>
      </c>
      <c r="V20" s="20">
        <f t="shared" si="1"/>
        <v>18582.77168</v>
      </c>
      <c r="W20" s="143">
        <f>D20-D27</f>
        <v>155.85</v>
      </c>
      <c r="X20" s="79">
        <f t="shared" si="2"/>
        <v>24289.2225</v>
      </c>
      <c r="Y20" s="2"/>
      <c r="Z20" s="2"/>
      <c r="AA20" s="2"/>
      <c r="AB20" s="2"/>
    </row>
    <row r="21" ht="12.75" customHeight="1">
      <c r="B21" s="14"/>
      <c r="C21" s="79" t="s">
        <v>139</v>
      </c>
      <c r="D21" s="79">
        <v>528.0</v>
      </c>
      <c r="E21" s="79">
        <v>676.0</v>
      </c>
      <c r="F21" s="79">
        <v>1260.0</v>
      </c>
      <c r="G21" s="79">
        <v>1620.0</v>
      </c>
      <c r="H21" s="2"/>
      <c r="I21" s="2"/>
      <c r="J21" s="142">
        <f>(D21-D27)*(E21-E27)</f>
        <v>77803.1325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139">
        <f>E21-M14*D21-N14</f>
        <v>176.56735</v>
      </c>
      <c r="V21" s="20">
        <f t="shared" si="1"/>
        <v>31176.02909</v>
      </c>
      <c r="W21" s="143">
        <f>D21-D27</f>
        <v>215.85</v>
      </c>
      <c r="X21" s="79">
        <f t="shared" si="2"/>
        <v>46591.2225</v>
      </c>
      <c r="Y21" s="2"/>
      <c r="Z21" s="2"/>
      <c r="AA21" s="2"/>
      <c r="AB21" s="2"/>
    </row>
    <row r="22" ht="12.75" customHeight="1">
      <c r="B22" s="14"/>
      <c r="C22" s="79" t="s">
        <v>140</v>
      </c>
      <c r="D22" s="79">
        <v>232.0</v>
      </c>
      <c r="E22" s="79">
        <v>266.0</v>
      </c>
      <c r="F22" s="79">
        <v>600.0</v>
      </c>
      <c r="G22" s="79">
        <v>840.0</v>
      </c>
      <c r="H22" s="2"/>
      <c r="I22" s="2"/>
      <c r="J22" s="142">
        <f>(D22-D27)*(E22-E27)</f>
        <v>3971.4325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142">
        <f>E22-M14*D22-N14</f>
        <v>18.72979799</v>
      </c>
      <c r="V22" s="20">
        <f t="shared" si="1"/>
        <v>350.8053327</v>
      </c>
      <c r="W22" s="143">
        <f>D22-D27</f>
        <v>-80.15</v>
      </c>
      <c r="X22" s="79">
        <f t="shared" si="2"/>
        <v>6424.0225</v>
      </c>
      <c r="Y22" s="2"/>
      <c r="Z22" s="2"/>
      <c r="AA22" s="2"/>
      <c r="AB22" s="2"/>
    </row>
    <row r="23" ht="12.75" customHeight="1">
      <c r="B23" s="14"/>
      <c r="C23" s="79" t="s">
        <v>141</v>
      </c>
      <c r="D23" s="79">
        <v>304.0</v>
      </c>
      <c r="E23" s="79">
        <v>225.0</v>
      </c>
      <c r="F23" s="79">
        <v>780.0</v>
      </c>
      <c r="G23" s="79">
        <v>600.0</v>
      </c>
      <c r="H23" s="2"/>
      <c r="I23" s="2"/>
      <c r="J23" s="142">
        <f>(D23-D27)*(E23-E27)</f>
        <v>737.9825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139">
        <f>E23-M14*D23-N14</f>
        <v>-83.60701368</v>
      </c>
      <c r="V23" s="20">
        <f t="shared" si="1"/>
        <v>6990.132736</v>
      </c>
      <c r="W23" s="143">
        <f>D23-D27</f>
        <v>-8.15</v>
      </c>
      <c r="X23" s="79">
        <f t="shared" si="2"/>
        <v>66.4225</v>
      </c>
      <c r="Y23" s="2"/>
      <c r="Z23" s="2"/>
      <c r="AA23" s="2"/>
      <c r="AB23" s="2"/>
    </row>
    <row r="24" ht="12.75" customHeight="1">
      <c r="B24" s="14"/>
      <c r="C24" s="79" t="s">
        <v>142</v>
      </c>
      <c r="D24" s="79">
        <v>459.0</v>
      </c>
      <c r="E24" s="79">
        <v>395.0</v>
      </c>
      <c r="F24" s="79">
        <v>1080.0</v>
      </c>
      <c r="G24" s="79">
        <v>1080.0</v>
      </c>
      <c r="H24" s="2"/>
      <c r="I24" s="2"/>
      <c r="J24" s="142">
        <f>(D24-D27)*(E24-E27)</f>
        <v>11667.2325</v>
      </c>
      <c r="K24" s="2"/>
      <c r="L24" s="2"/>
      <c r="M24" s="2"/>
      <c r="N24" s="145"/>
      <c r="O24" s="2"/>
      <c r="P24" s="2"/>
      <c r="Q24" s="2"/>
      <c r="R24" s="2"/>
      <c r="S24" s="2"/>
      <c r="T24" s="2"/>
      <c r="U24" s="142">
        <f>E24-M14*D24-N14</f>
        <v>-45.6515388</v>
      </c>
      <c r="V24" s="20">
        <f t="shared" si="1"/>
        <v>2084.062995</v>
      </c>
      <c r="W24" s="143">
        <f>D24-D27</f>
        <v>146.85</v>
      </c>
      <c r="X24" s="79">
        <f t="shared" si="2"/>
        <v>21564.9225</v>
      </c>
      <c r="Y24" s="2"/>
      <c r="Z24" s="2"/>
      <c r="AA24" s="2"/>
      <c r="AB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13"/>
      <c r="R25" s="2"/>
      <c r="S25" s="2"/>
      <c r="T25" s="2"/>
      <c r="U25" s="2"/>
      <c r="V25" s="2"/>
      <c r="W25" s="2"/>
      <c r="Y25" s="2"/>
      <c r="Z25" s="2"/>
      <c r="AA25" s="2"/>
      <c r="AB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0">
        <f>SUM(V5:V24)</f>
        <v>116444.2421</v>
      </c>
      <c r="W26" s="2"/>
      <c r="X26" s="2">
        <f>SUM(X5:X25)</f>
        <v>195342.55</v>
      </c>
      <c r="Y26" s="2"/>
      <c r="Z26" s="2"/>
      <c r="AA26" s="2"/>
      <c r="AB26" s="2"/>
    </row>
    <row r="27" ht="12.75" customHeight="1">
      <c r="A27" s="2"/>
      <c r="B27" s="2"/>
      <c r="C27" s="136" t="s">
        <v>422</v>
      </c>
      <c r="D27" s="2">
        <f t="shared" ref="D27:E27" si="3">AVERAGE(D5:D24)</f>
        <v>312.15</v>
      </c>
      <c r="E27" s="2">
        <f t="shared" si="3"/>
        <v>315.55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2.75" customHeight="1">
      <c r="A28" s="2"/>
      <c r="B28" s="2"/>
      <c r="C28" s="136" t="s">
        <v>423</v>
      </c>
      <c r="D28" s="20">
        <f t="shared" ref="D28:E28" si="4">_xlfn.STDEV.S(D5:D24)</f>
        <v>101.3961875</v>
      </c>
      <c r="E28" s="2">
        <f t="shared" si="4"/>
        <v>116.5763698</v>
      </c>
      <c r="F28" s="2"/>
      <c r="G28" s="14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2.75" customHeight="1">
      <c r="A29" s="2"/>
      <c r="B29" s="2"/>
      <c r="C29" s="2"/>
      <c r="D29" s="20"/>
      <c r="E29" s="2"/>
      <c r="F29" s="2"/>
      <c r="G29" s="146"/>
      <c r="H29" s="2"/>
      <c r="I29" s="2"/>
      <c r="J29" s="2"/>
      <c r="K29" s="2"/>
      <c r="L29" s="2"/>
      <c r="M29" s="2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rintOptions/>
  <pageMargins bottom="0.75" footer="0.0" header="0.0" left="0.7" right="0.7" top="0.75"/>
  <pageSetup orientation="landscape"/>
  <drawing r:id="rId1"/>
</worksheet>
</file>