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F99E48B-646B-427C-B8D8-51AFCFFB01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ính toán tài chính đầu tư trạm" sheetId="1" r:id="rId1"/>
    <sheet name="1" sheetId="2" r:id="rId2"/>
  </sheets>
  <calcPr calcId="181029"/>
  <extLst>
    <ext uri="GoogleSheetsCustomDataVersion2">
      <go:sheetsCustomData xmlns:go="http://customooxmlschemas.google.com/" r:id="rId6" roundtripDataChecksum="4hX2kC0MYydpUlf7pNfL+UTyo6KUg/+LarMGrYNh5ZQ="/>
    </ext>
  </extLst>
</workbook>
</file>

<file path=xl/calcChain.xml><?xml version="1.0" encoding="utf-8"?>
<calcChain xmlns="http://schemas.openxmlformats.org/spreadsheetml/2006/main">
  <c r="B5" i="2" l="1"/>
  <c r="B17" i="1"/>
  <c r="J52" i="1" s="1"/>
  <c r="C27" i="2"/>
  <c r="B13" i="2"/>
  <c r="K5" i="2"/>
  <c r="K47" i="1"/>
  <c r="J47" i="1"/>
  <c r="I47" i="1"/>
  <c r="H47" i="1"/>
  <c r="G47" i="1"/>
  <c r="F47" i="1"/>
  <c r="E47" i="1"/>
  <c r="D47" i="1"/>
  <c r="C47" i="1"/>
  <c r="B47" i="1"/>
  <c r="B45" i="1"/>
  <c r="C5" i="2" l="1"/>
  <c r="C17" i="2" s="1"/>
  <c r="D52" i="1"/>
  <c r="G48" i="1"/>
  <c r="H48" i="1"/>
  <c r="F52" i="1"/>
  <c r="C52" i="1"/>
  <c r="F48" i="1"/>
  <c r="E52" i="1"/>
  <c r="I48" i="1"/>
  <c r="G52" i="1"/>
  <c r="K52" i="1"/>
  <c r="J48" i="1"/>
  <c r="C48" i="1"/>
  <c r="K48" i="1"/>
  <c r="I52" i="1"/>
  <c r="E48" i="1"/>
  <c r="B44" i="1"/>
  <c r="B48" i="1"/>
  <c r="H52" i="1"/>
  <c r="D48" i="1"/>
  <c r="B52" i="1"/>
  <c r="B17" i="2"/>
  <c r="B30" i="2" s="1"/>
  <c r="K17" i="2"/>
  <c r="D5" i="2" l="1"/>
  <c r="D17" i="2" s="1"/>
  <c r="D20" i="2" s="1"/>
  <c r="D46" i="1" s="1"/>
  <c r="C30" i="2"/>
  <c r="C20" i="2"/>
  <c r="C46" i="1" s="1"/>
  <c r="C19" i="2"/>
  <c r="C42" i="1" s="1"/>
  <c r="B20" i="2"/>
  <c r="B46" i="1" s="1"/>
  <c r="B19" i="2"/>
  <c r="B42" i="1" s="1"/>
  <c r="K30" i="2"/>
  <c r="K20" i="2"/>
  <c r="K46" i="1" s="1"/>
  <c r="K19" i="2"/>
  <c r="K42" i="1" s="1"/>
  <c r="D19" i="2" l="1"/>
  <c r="D42" i="1" s="1"/>
  <c r="D30" i="2"/>
  <c r="E5" i="2"/>
  <c r="E17" i="2" s="1"/>
  <c r="C41" i="1"/>
  <c r="C49" i="1"/>
  <c r="C43" i="1" s="1"/>
  <c r="B49" i="1"/>
  <c r="B41" i="1"/>
  <c r="K49" i="1"/>
  <c r="K43" i="1" s="1"/>
  <c r="K41" i="1"/>
  <c r="D41" i="1"/>
  <c r="D49" i="1"/>
  <c r="D43" i="1" s="1"/>
  <c r="F5" i="2" l="1"/>
  <c r="F17" i="2" s="1"/>
  <c r="E20" i="2"/>
  <c r="E46" i="1" s="1"/>
  <c r="E19" i="2"/>
  <c r="E42" i="1" s="1"/>
  <c r="E30" i="2"/>
  <c r="D50" i="1"/>
  <c r="K50" i="1"/>
  <c r="B43" i="1"/>
  <c r="C50" i="1"/>
  <c r="C51" i="1" s="1"/>
  <c r="G5" i="2" l="1"/>
  <c r="E41" i="1"/>
  <c r="E49" i="1"/>
  <c r="E43" i="1" s="1"/>
  <c r="H5" i="2"/>
  <c r="G17" i="2"/>
  <c r="F19" i="2"/>
  <c r="F42" i="1" s="1"/>
  <c r="F20" i="2"/>
  <c r="F46" i="1" s="1"/>
  <c r="F30" i="2"/>
  <c r="D54" i="1"/>
  <c r="D55" i="1" s="1"/>
  <c r="D56" i="1" s="1"/>
  <c r="D57" i="1" s="1"/>
  <c r="D53" i="1"/>
  <c r="K54" i="1"/>
  <c r="K55" i="1" s="1"/>
  <c r="K56" i="1" s="1"/>
  <c r="K57" i="1" s="1"/>
  <c r="K53" i="1"/>
  <c r="K51" i="1"/>
  <c r="C54" i="1"/>
  <c r="C55" i="1" s="1"/>
  <c r="C56" i="1" s="1"/>
  <c r="C57" i="1" s="1"/>
  <c r="C53" i="1"/>
  <c r="B50" i="1"/>
  <c r="D51" i="1"/>
  <c r="G19" i="2" l="1"/>
  <c r="G42" i="1" s="1"/>
  <c r="G30" i="2"/>
  <c r="G20" i="2"/>
  <c r="G46" i="1" s="1"/>
  <c r="F41" i="1"/>
  <c r="F49" i="1"/>
  <c r="F43" i="1" s="1"/>
  <c r="I5" i="2"/>
  <c r="H17" i="2"/>
  <c r="E50" i="1"/>
  <c r="B54" i="1"/>
  <c r="B55" i="1" s="1"/>
  <c r="B56" i="1" s="1"/>
  <c r="B53" i="1"/>
  <c r="B51" i="1"/>
  <c r="E53" i="1" l="1"/>
  <c r="E51" i="1"/>
  <c r="E54" i="1"/>
  <c r="E55" i="1" s="1"/>
  <c r="E56" i="1" s="1"/>
  <c r="E57" i="1" s="1"/>
  <c r="H20" i="2"/>
  <c r="H46" i="1" s="1"/>
  <c r="H30" i="2"/>
  <c r="H19" i="2"/>
  <c r="H42" i="1" s="1"/>
  <c r="J5" i="2"/>
  <c r="J17" i="2" s="1"/>
  <c r="I17" i="2"/>
  <c r="F50" i="1"/>
  <c r="G49" i="1"/>
  <c r="G43" i="1" s="1"/>
  <c r="G41" i="1"/>
  <c r="B57" i="1"/>
  <c r="J30" i="2" l="1"/>
  <c r="J20" i="2"/>
  <c r="J46" i="1" s="1"/>
  <c r="J19" i="2"/>
  <c r="J42" i="1" s="1"/>
  <c r="G50" i="1"/>
  <c r="I19" i="2"/>
  <c r="I42" i="1" s="1"/>
  <c r="I30" i="2"/>
  <c r="I20" i="2"/>
  <c r="I46" i="1" s="1"/>
  <c r="H49" i="1"/>
  <c r="H43" i="1" s="1"/>
  <c r="H41" i="1"/>
  <c r="F51" i="1"/>
  <c r="F54" i="1"/>
  <c r="F55" i="1" s="1"/>
  <c r="F56" i="1" s="1"/>
  <c r="F57" i="1" s="1"/>
  <c r="F58" i="1" s="1"/>
  <c r="F53" i="1"/>
  <c r="E58" i="1"/>
  <c r="D58" i="1"/>
  <c r="C58" i="1"/>
  <c r="B58" i="1"/>
  <c r="H62" i="1" l="1"/>
  <c r="J41" i="1"/>
  <c r="J49" i="1"/>
  <c r="J43" i="1" s="1"/>
  <c r="I49" i="1"/>
  <c r="I41" i="1"/>
  <c r="G53" i="1"/>
  <c r="G51" i="1"/>
  <c r="G54" i="1"/>
  <c r="G55" i="1" s="1"/>
  <c r="G56" i="1" s="1"/>
  <c r="G57" i="1" s="1"/>
  <c r="G58" i="1" s="1"/>
  <c r="H50" i="1"/>
  <c r="I43" i="1" l="1"/>
  <c r="I50" i="1" s="1"/>
  <c r="J50" i="1"/>
  <c r="H54" i="1"/>
  <c r="H55" i="1" s="1"/>
  <c r="H56" i="1" s="1"/>
  <c r="H57" i="1" s="1"/>
  <c r="H58" i="1" s="1"/>
  <c r="H53" i="1"/>
  <c r="H51" i="1"/>
  <c r="I51" i="1" l="1"/>
  <c r="I54" i="1"/>
  <c r="I55" i="1" s="1"/>
  <c r="I56" i="1" s="1"/>
  <c r="I57" i="1" s="1"/>
  <c r="I58" i="1" s="1"/>
  <c r="I53" i="1"/>
  <c r="J51" i="1"/>
  <c r="J54" i="1"/>
  <c r="J55" i="1" s="1"/>
  <c r="J56" i="1" s="1"/>
  <c r="J57" i="1" s="1"/>
  <c r="J58" i="1" s="1"/>
  <c r="J53" i="1"/>
  <c r="F62" i="1"/>
  <c r="D62" i="1" l="1"/>
  <c r="K58" i="1"/>
  <c r="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ID#AAAAdCgGhWc
    (2022-08-10 10:00:39)
"Chậm" - Trạm sạc dòng xoay chiều (AC).
"Nhanh" - Trạm sạc dòng một chiều (DC).</t>
        </r>
      </text>
    </comment>
    <comment ref="A15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ID#AAAAdCgGhWU
    (2022-08-10 10:00:39)
Mỗi trạm có thể có nhiều cổng sạc. Cần phải chỉ ra công suất của cổng sạc. Nếu như không có cổng sạc thì để giá trị bằng 0.</t>
        </r>
      </text>
    </comment>
    <comment ref="A17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ID#AAAAdCgGhWo
    (2022-08-10 10:00:39)
Chi phí mua trạm sạc</t>
        </r>
      </text>
    </comment>
    <comment ref="A21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ID#AAAAdCgGhWQ
    (2022-08-10 10:00:39)
Giá trị khuyến nghị là 5% trong năm 2022 và 12% trong năm 2031. Các giá trị này được dựa trên thống kê sử dụng tại Việt Nam và các thị trường phát triển khác.
% tải - % dự báo thời gian sử dụng trạm sạc. Nếu như cổng sạc được sử dụng 6 giờ trong một ngày đêm thì % tải là 25% (=6/24).</t>
        </r>
      </text>
    </comment>
    <comment ref="A2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ID#AAAAdCgGhWs
    (2022-08-10 10:00:39)
Đơn giá mà người sử dụng ôtô trả tiền sạc điện. Đơn giá này thay đổi tùy theo yêu cầu của bên bán và tình hình thị trường.</t>
        </r>
      </text>
    </comment>
    <comment ref="A25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ID#AAAAdCgGhWg
    (2022-08-10 10:00:39)
Đơn giá mua điện từ Công ty điện lực hoặc Bên cung cấp khác.</t>
        </r>
      </text>
    </comment>
    <comment ref="A27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ID#AAAAdCgGhWw
    (2022-08-10 10:00:39)
Chi phí thuê mặt bằng đặt trạm sạc (nếu có)</t>
        </r>
      </text>
    </comment>
    <comment ref="A31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ID#AAAAdCgGhWY
    (2022-08-10 10:00:39)
Theo quy định là 20%.
Thuế thu nhập doanh nghiệp</t>
        </r>
      </text>
    </comment>
    <comment ref="A3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ID#AAAAdCgGhW0
    (2022-08-10 10:00:39)
giá trị khuyến nghị tại Việt Nam là 14%.
Tỷ lệ chiết khấu dòng tiền có tính đến lạm phát, đầu tư không rủi do và rủi do của nhà đầu tư</t>
        </r>
      </text>
    </comment>
    <comment ref="A52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ID#AAAAdCgGhWk
    (2022-08-10 10:00:39)
Thời gian hoạt động của trạm sạc là 10 năm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U4R4/WOBRdrRM2wAPggFgbzzoWg=="/>
    </ext>
  </extLst>
</comments>
</file>

<file path=xl/sharedStrings.xml><?xml version="1.0" encoding="utf-8"?>
<sst xmlns="http://schemas.openxmlformats.org/spreadsheetml/2006/main" count="67" uniqueCount="66">
  <si>
    <t>Tính toán thời gian hoàn vốn kinh doanh trạm sạc ô tô</t>
  </si>
  <si>
    <t>Bạn có thể đánh giá thời gian hoàn vốn trạm sạc và các đầu tư cần thiết để lắp đặt và bảo đảm làm việc của trạm sạc</t>
  </si>
  <si>
    <r>
      <rPr>
        <sz val="10"/>
        <color rgb="FFFFFF00"/>
        <rFont val="Arial"/>
      </rPr>
      <t>█</t>
    </r>
    <r>
      <rPr>
        <sz val="10"/>
        <color rgb="FFFFFFFF"/>
        <rFont val="Arial"/>
      </rPr>
      <t xml:space="preserve"> Các ô màu vàng để hiệu chỉnh. ◥ Giải thích cho các ô được ký hiệu hình tam giác</t>
    </r>
  </si>
  <si>
    <t>Nhập các tham số:</t>
  </si>
  <si>
    <t>1. Xác định mô hình trạm sạc</t>
  </si>
  <si>
    <t>Chủng loại trạm sạc</t>
  </si>
  <si>
    <t xml:space="preserve">  </t>
  </si>
  <si>
    <t>Cổng 1</t>
  </si>
  <si>
    <t>Cổng 2</t>
  </si>
  <si>
    <t>Cổng 3</t>
  </si>
  <si>
    <t>Công suất trạm sạc, kW</t>
  </si>
  <si>
    <t>Giá thành trạm sạc, VNĐ</t>
  </si>
  <si>
    <t>2. Các tham số làm việc của trạm sạc</t>
  </si>
  <si>
    <t>% tải trạm dự kiến</t>
  </si>
  <si>
    <t>Đơn giá điện sạc xe, VNĐ/kWh</t>
  </si>
  <si>
    <t>Đơn giá mua điện, VNĐ/kWh</t>
  </si>
  <si>
    <t>Chi phí thuê mặt bằng đặt trạm sạc, VNĐ/năm</t>
  </si>
  <si>
    <t>3. Khác</t>
  </si>
  <si>
    <t>Thuế thu nhập doanh nghiệp, %</t>
  </si>
  <si>
    <t>Tỷ lệ chiết khấu của dòng tiền , %</t>
  </si>
  <si>
    <t>Doanh thu dự kiến và các chi phí</t>
  </si>
  <si>
    <t>NĂM ĐẦU TƯ</t>
  </si>
  <si>
    <t>DOANH THU, VNĐ</t>
  </si>
  <si>
    <r>
      <rPr>
        <sz val="10"/>
        <color rgb="FF000000"/>
        <rFont val="Arial"/>
      </rPr>
      <t xml:space="preserve">Doanh thu từ dịch vụ trạm sạc
</t>
    </r>
    <r>
      <rPr>
        <i/>
        <sz val="10"/>
        <color rgb="FF000000"/>
        <rFont val="Arial"/>
      </rPr>
      <t>(Xem cách tính trong Thẻ 1)</t>
    </r>
  </si>
  <si>
    <t>CÁC CHI PHÍ, VNĐ</t>
  </si>
  <si>
    <t>Giá thành trạm sạc</t>
  </si>
  <si>
    <r>
      <rPr>
        <sz val="10"/>
        <color rgb="FF000000"/>
        <rFont val="Arial"/>
      </rPr>
      <t xml:space="preserve">Lắp đặt trạm sạc
</t>
    </r>
    <r>
      <rPr>
        <i/>
        <sz val="10"/>
        <color rgb="FF000000"/>
        <rFont val="Arial"/>
      </rPr>
      <t>(Xem cách tính trong Thẻ 1)</t>
    </r>
  </si>
  <si>
    <r>
      <rPr>
        <sz val="10"/>
        <color rgb="FF000000"/>
        <rFont val="Arial"/>
      </rPr>
      <t xml:space="preserve">Chi phí năng lượng điện
</t>
    </r>
    <r>
      <rPr>
        <i/>
        <sz val="10"/>
        <color rgb="FF000000"/>
        <rFont val="Arial"/>
      </rPr>
      <t>(Xem cách tính trong Thẻ 1)</t>
    </r>
  </si>
  <si>
    <t>Thuê địa điểm đặt trạm</t>
  </si>
  <si>
    <r>
      <rPr>
        <sz val="10"/>
        <color rgb="FF000000"/>
        <rFont val="Arial"/>
      </rPr>
      <t xml:space="preserve">Bảo dưỡng kỹ thuật và các phụ kiện 
</t>
    </r>
    <r>
      <rPr>
        <i/>
        <sz val="10"/>
        <color rgb="FF000000"/>
        <rFont val="Arial"/>
      </rPr>
      <t>(Chi phí hằng năm cho bảo trì kỹ thuật và phụ kiện trạm sạc - Xem cách tính trong Thẻ 1)</t>
    </r>
  </si>
  <si>
    <r>
      <rPr>
        <sz val="10"/>
        <color rgb="FF000000"/>
        <rFont val="Arial"/>
      </rPr>
      <t xml:space="preserve">Dịch vụ tài chính và đăng ký phần mềm cho trạm sạc 
</t>
    </r>
    <r>
      <rPr>
        <i/>
        <sz val="10"/>
        <color rgb="FF000000"/>
        <rFont val="Arial"/>
      </rPr>
      <t>(Xem cách tính trong Thẻ 1)</t>
    </r>
  </si>
  <si>
    <r>
      <rPr>
        <b/>
        <sz val="10"/>
        <color rgb="FF000000"/>
        <rFont val="Arial"/>
      </rPr>
      <t xml:space="preserve">Chỉ số EBITDA, VNĐ 
</t>
    </r>
    <r>
      <rPr>
        <i/>
        <sz val="10"/>
        <color rgb="FF000000"/>
        <rFont val="Arial"/>
      </rPr>
      <t>(EBITDA= Lợi nhuận trước thuế + khấu hao tài sản + chi phí lãi vay)
- Đo lường hiệu suất kinh doanh của trụ sạc, bao gồm tổng doanh thu trừ đi các loại chi phí ngoại trừ tiền lãi vay, khấu hao và thuế.</t>
    </r>
  </si>
  <si>
    <r>
      <rPr>
        <sz val="10"/>
        <color rgb="FF000000"/>
        <rFont val="Arial"/>
      </rPr>
      <t xml:space="preserve">% EBITDA 
</t>
    </r>
    <r>
      <rPr>
        <i/>
        <sz val="10"/>
        <color rgb="FF000000"/>
        <rFont val="Arial"/>
      </rPr>
      <t>(Tỷ lệ lãi EBITDA = EBITDA/Doanh thu)
- Đây là tỷ suất lợi nhuận hoạt động tiền mặt của trạm sạc, không tính đến các loại chi phí, thuế và cấu trúc vốn)</t>
    </r>
  </si>
  <si>
    <t>Khấu hao</t>
  </si>
  <si>
    <r>
      <rPr>
        <b/>
        <sz val="10"/>
        <color rgb="FF000000"/>
        <rFont val="Arial"/>
      </rPr>
      <t xml:space="preserve">Chỉ số EBIT, VNĐ 
</t>
    </r>
    <r>
      <rPr>
        <i/>
        <sz val="10"/>
        <color rgb="FF000000"/>
        <rFont val="Arial"/>
      </rPr>
      <t>(EBIT = Lợi nhuận trước thuế + Chi phí lãi vay)
- Đo lường lợi nhuận của trụ sạc, bao gồm tổng doanh thu trừ đi chi phí, ngoại trừ thuế thu nhập và lãi vay.</t>
    </r>
  </si>
  <si>
    <t>Thuế thu nhập doanh nghiệp</t>
  </si>
  <si>
    <t>LỢI NHUẬN DÒNG, VNĐ</t>
  </si>
  <si>
    <r>
      <rPr>
        <sz val="10"/>
        <color rgb="FF000000"/>
        <rFont val="Arial"/>
      </rPr>
      <t xml:space="preserve">Dòng tiền thu được 
</t>
    </r>
    <r>
      <rPr>
        <i/>
        <sz val="10"/>
        <color rgb="FF000000"/>
        <rFont val="Arial"/>
      </rPr>
      <t>(= Lợi nhuận dòng+khấu khao)</t>
    </r>
  </si>
  <si>
    <r>
      <rPr>
        <sz val="10"/>
        <color rgb="FF000000"/>
        <rFont val="Arial"/>
      </rPr>
      <t xml:space="preserve">Dòng tiền chiết khấu 
</t>
    </r>
    <r>
      <rPr>
        <i/>
        <sz val="10"/>
        <color rgb="FF000000"/>
        <rFont val="Arial"/>
      </rPr>
      <t>(Dòng tiền trong tương lai - Discounted cash flow DCF)</t>
    </r>
  </si>
  <si>
    <r>
      <rPr>
        <sz val="10"/>
        <color theme="1"/>
        <rFont val="Arial"/>
      </rPr>
      <t xml:space="preserve">Dòng tiền chiết khấu lũy kế 
</t>
    </r>
    <r>
      <rPr>
        <i/>
        <sz val="10"/>
        <color theme="1"/>
        <rFont val="Arial"/>
      </rPr>
      <t>(Tổng dòng tiền thu được=∑DCF từng năm )</t>
    </r>
  </si>
  <si>
    <t>Thời gian hoàn vốn (năm)</t>
  </si>
  <si>
    <t>Chỉ số hiệu quả của dự án NPV, VNĐ
(Giá trị hiện tại của dòng tiền dự án)</t>
  </si>
  <si>
    <t>Tỷ suất hoàn vốn nội bộ IRR</t>
  </si>
  <si>
    <t>Số lượt sạc (lượt)</t>
  </si>
  <si>
    <t xml:space="preserve">CÁC DỮ LIỆU TÍNH TOÁN </t>
  </si>
  <si>
    <r>
      <rPr>
        <b/>
        <sz val="10"/>
        <color rgb="FFFFFF00"/>
        <rFont val="Arial"/>
      </rPr>
      <t>█</t>
    </r>
    <r>
      <rPr>
        <b/>
        <sz val="10"/>
        <color theme="1"/>
        <rFont val="Arial"/>
      </rPr>
      <t xml:space="preserve"> </t>
    </r>
    <r>
      <rPr>
        <b/>
        <sz val="10"/>
        <color theme="0"/>
        <rFont val="Arial"/>
      </rPr>
      <t xml:space="preserve"> Các ô màu vàng để hiệu chỉnh được</t>
    </r>
  </si>
  <si>
    <t xml:space="preserve">Năm </t>
  </si>
  <si>
    <t>% tải của trạm sạc</t>
  </si>
  <si>
    <t>Giới hạn công suất, kW</t>
  </si>
  <si>
    <t>Các chi phí lắp đặt, VNĐ</t>
  </si>
  <si>
    <t>Trung bình cho mỗi phiên (lượt) sạc, kWh</t>
  </si>
  <si>
    <t>Dòng một chiều DC</t>
  </si>
  <si>
    <t>Công suất phát của trạm sạc, kW</t>
  </si>
  <si>
    <t>Cổng sạc 1</t>
  </si>
  <si>
    <t>Cổng sạc 2</t>
  </si>
  <si>
    <t>Cổng sạc 3</t>
  </si>
  <si>
    <t>Giới hạn công suất</t>
  </si>
  <si>
    <t>Công suất trung bình hiện tại (công suất làm việc)</t>
  </si>
  <si>
    <t>Công suất được phát trong 1 năm, kWh
(Công suất sử dụng trong 1 năm=365,25 ngày)</t>
  </si>
  <si>
    <t>Doanh thu từ dịch vụ trạm sạc, VNĐ
(Doanh thu bán điện trong 1 năm)</t>
  </si>
  <si>
    <t>Chi phí năng lượng điện, VNĐ
(Chi phí mua điện trong 1 năm)</t>
  </si>
  <si>
    <t>Chi phí hằng năm bảo trì kỹ thuật (trạm sạc và phụ kiện), % giá trị ban đầu của trạm sạc</t>
  </si>
  <si>
    <t>% từ doanh thu</t>
  </si>
  <si>
    <t>Thu phí phần mềm cố định trong 1 năm, VNĐ/năm</t>
  </si>
  <si>
    <r>
      <rPr>
        <b/>
        <sz val="10"/>
        <color theme="1"/>
        <rFont val="Calibri"/>
      </rPr>
      <t xml:space="preserve">Dịch vụ tài chính và đăng ký phần mềm cho trạm sạc </t>
    </r>
    <r>
      <rPr>
        <sz val="10"/>
        <color theme="1"/>
        <rFont val="Calibri"/>
      </rPr>
      <t xml:space="preserve">
(Chi phí chi trả cho dịch vụ tài chính (phí chuyển tiền ngân hàng, vn pay..... khi dùng App thanh toán)+phí duy trì phần mềm là =1% doanh thu của trạm sạc+phí duy trì cố định (tầm 60usd)</t>
    </r>
  </si>
  <si>
    <t>Số phiên (lượt) sạc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</si>
</sst>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"/>
    <numFmt numFmtId="166" formatCode="0.0%"/>
  </numFmts>
  <fonts count="28">
    <font>
      <sz val="11"/>
      <color theme="1"/>
      <name val="Calibri"/>
      <scheme val="minor"/>
    </font>
    <font>
      <sz val="10"/>
      <color rgb="FFFFFFFF"/>
      <name val="Arial"/>
    </font>
    <font>
      <u/>
      <sz val="11"/>
      <color theme="10"/>
      <name val="Calibri"/>
    </font>
    <font>
      <sz val="11"/>
      <name val="Calibri"/>
    </font>
    <font>
      <sz val="11"/>
      <color theme="1"/>
      <name val="Calibri"/>
    </font>
    <font>
      <b/>
      <sz val="20"/>
      <color rgb="FFFFFFFF"/>
      <name val="Arial"/>
    </font>
    <font>
      <sz val="2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rgb="FF3C78D8"/>
      <name val="Arial"/>
    </font>
    <font>
      <sz val="10"/>
      <color rgb="FFCCCC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1"/>
      <color theme="1"/>
      <name val="Arial"/>
    </font>
    <font>
      <i/>
      <sz val="10"/>
      <color rgb="FF212529"/>
      <name val="Arial"/>
    </font>
    <font>
      <sz val="10"/>
      <color theme="1"/>
      <name val="Calibri"/>
    </font>
    <font>
      <b/>
      <sz val="16"/>
      <color rgb="FFFFFFFF"/>
      <name val="Arial"/>
    </font>
    <font>
      <b/>
      <sz val="11"/>
      <color theme="1"/>
      <name val="Calibri"/>
    </font>
    <font>
      <b/>
      <i/>
      <sz val="10"/>
      <color theme="1"/>
      <name val="Arial"/>
    </font>
    <font>
      <b/>
      <sz val="10"/>
      <color theme="1"/>
      <name val="Calibri"/>
    </font>
    <font>
      <sz val="10"/>
      <color rgb="FFFFFF00"/>
      <name val="Arial"/>
    </font>
    <font>
      <i/>
      <sz val="10"/>
      <color rgb="FF000000"/>
      <name val="Arial"/>
    </font>
    <font>
      <i/>
      <sz val="10"/>
      <color theme="1"/>
      <name val="Arial"/>
    </font>
    <font>
      <b/>
      <sz val="10"/>
      <color rgb="FFFFFF00"/>
      <name val="Arial"/>
    </font>
    <font>
      <b/>
      <sz val="10"/>
      <color theme="0"/>
      <name val="Arial"/>
    </font>
  </fonts>
  <fills count="17">
    <fill>
      <patternFill patternType="none"/>
    </fill>
    <fill>
      <patternFill patternType="gray125"/>
    </fill>
    <fill>
      <patternFill patternType="solid">
        <fgColor rgb="FF252527"/>
        <bgColor rgb="FF25252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70C163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252527"/>
      </left>
      <right style="thin">
        <color rgb="FF252527"/>
      </right>
      <top style="thin">
        <color rgb="FF252527"/>
      </top>
      <bottom style="thin">
        <color rgb="FF252527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52527"/>
      </left>
      <right/>
      <top style="thin">
        <color rgb="FF252527"/>
      </top>
      <bottom style="thin">
        <color rgb="FF252527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0" fontId="10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4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3" fontId="7" fillId="4" borderId="5" xfId="0" applyNumberFormat="1" applyFont="1" applyFill="1" applyBorder="1" applyAlignment="1">
      <alignment horizontal="left"/>
    </xf>
    <xf numFmtId="0" fontId="7" fillId="5" borderId="8" xfId="0" applyFont="1" applyFill="1" applyBorder="1"/>
    <xf numFmtId="0" fontId="7" fillId="5" borderId="9" xfId="0" applyFont="1" applyFill="1" applyBorder="1"/>
    <xf numFmtId="0" fontId="7" fillId="3" borderId="10" xfId="0" applyFont="1" applyFill="1" applyBorder="1"/>
    <xf numFmtId="0" fontId="7" fillId="3" borderId="3" xfId="0" applyFont="1" applyFill="1" applyBorder="1" applyAlignment="1">
      <alignment horizontal="left"/>
    </xf>
    <xf numFmtId="9" fontId="7" fillId="4" borderId="5" xfId="0" applyNumberFormat="1" applyFont="1" applyFill="1" applyBorder="1" applyAlignment="1">
      <alignment horizontal="left"/>
    </xf>
    <xf numFmtId="164" fontId="7" fillId="3" borderId="6" xfId="0" applyNumberFormat="1" applyFont="1" applyFill="1" applyBorder="1"/>
    <xf numFmtId="165" fontId="7" fillId="4" borderId="5" xfId="0" applyNumberFormat="1" applyFont="1" applyFill="1" applyBorder="1" applyAlignment="1">
      <alignment horizontal="left"/>
    </xf>
    <xf numFmtId="166" fontId="7" fillId="4" borderId="5" xfId="0" applyNumberFormat="1" applyFont="1" applyFill="1" applyBorder="1" applyAlignment="1">
      <alignment horizontal="left"/>
    </xf>
    <xf numFmtId="0" fontId="9" fillId="6" borderId="11" xfId="0" applyFont="1" applyFill="1" applyBorder="1"/>
    <xf numFmtId="0" fontId="7" fillId="6" borderId="11" xfId="0" applyFont="1" applyFill="1" applyBorder="1"/>
    <xf numFmtId="3" fontId="7" fillId="6" borderId="11" xfId="0" applyNumberFormat="1" applyFont="1" applyFill="1" applyBorder="1"/>
    <xf numFmtId="0" fontId="9" fillId="6" borderId="12" xfId="0" applyFont="1" applyFill="1" applyBorder="1"/>
    <xf numFmtId="0" fontId="7" fillId="6" borderId="12" xfId="0" applyFont="1" applyFill="1" applyBorder="1"/>
    <xf numFmtId="9" fontId="7" fillId="6" borderId="12" xfId="0" applyNumberFormat="1" applyFont="1" applyFill="1" applyBorder="1"/>
    <xf numFmtId="3" fontId="7" fillId="6" borderId="12" xfId="0" applyNumberFormat="1" applyFont="1" applyFill="1" applyBorder="1"/>
    <xf numFmtId="0" fontId="8" fillId="6" borderId="12" xfId="0" applyFont="1" applyFill="1" applyBorder="1"/>
    <xf numFmtId="0" fontId="7" fillId="6" borderId="13" xfId="0" applyFont="1" applyFill="1" applyBorder="1"/>
    <xf numFmtId="0" fontId="11" fillId="6" borderId="13" xfId="0" applyFont="1" applyFill="1" applyBorder="1"/>
    <xf numFmtId="0" fontId="9" fillId="6" borderId="5" xfId="0" applyFont="1" applyFill="1" applyBorder="1"/>
    <xf numFmtId="0" fontId="12" fillId="7" borderId="5" xfId="0" applyFont="1" applyFill="1" applyBorder="1"/>
    <xf numFmtId="3" fontId="12" fillId="7" borderId="5" xfId="0" applyNumberFormat="1" applyFont="1" applyFill="1" applyBorder="1"/>
    <xf numFmtId="0" fontId="13" fillId="0" borderId="5" xfId="0" applyFont="1" applyBorder="1" applyAlignment="1">
      <alignment horizontal="left" vertical="center" wrapText="1"/>
    </xf>
    <xf numFmtId="3" fontId="7" fillId="6" borderId="5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8" borderId="14" xfId="0" applyFont="1" applyFill="1" applyBorder="1"/>
    <xf numFmtId="3" fontId="12" fillId="8" borderId="14" xfId="0" applyNumberFormat="1" applyFont="1" applyFill="1" applyBorder="1"/>
    <xf numFmtId="0" fontId="13" fillId="0" borderId="15" xfId="0" applyFont="1" applyBorder="1"/>
    <xf numFmtId="3" fontId="13" fillId="0" borderId="15" xfId="0" applyNumberFormat="1" applyFont="1" applyBorder="1"/>
    <xf numFmtId="0" fontId="13" fillId="0" borderId="15" xfId="0" applyFont="1" applyBorder="1" applyAlignment="1">
      <alignment wrapText="1"/>
    </xf>
    <xf numFmtId="3" fontId="7" fillId="6" borderId="15" xfId="0" applyNumberFormat="1" applyFont="1" applyFill="1" applyBorder="1"/>
    <xf numFmtId="0" fontId="13" fillId="0" borderId="15" xfId="0" applyFont="1" applyBorder="1" applyAlignment="1">
      <alignment vertical="center" wrapText="1"/>
    </xf>
    <xf numFmtId="3" fontId="7" fillId="6" borderId="1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3" fontId="13" fillId="0" borderId="15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wrapText="1"/>
    </xf>
    <xf numFmtId="3" fontId="12" fillId="9" borderId="5" xfId="0" applyNumberFormat="1" applyFont="1" applyFill="1" applyBorder="1" applyAlignment="1">
      <alignment vertical="center"/>
    </xf>
    <xf numFmtId="0" fontId="13" fillId="0" borderId="14" xfId="0" applyFont="1" applyBorder="1" applyAlignment="1">
      <alignment vertical="center" wrapText="1"/>
    </xf>
    <xf numFmtId="9" fontId="13" fillId="0" borderId="14" xfId="0" applyNumberFormat="1" applyFont="1" applyBorder="1" applyAlignment="1">
      <alignment vertical="center"/>
    </xf>
    <xf numFmtId="0" fontId="13" fillId="0" borderId="16" xfId="0" applyFont="1" applyBorder="1"/>
    <xf numFmtId="3" fontId="13" fillId="0" borderId="16" xfId="0" applyNumberFormat="1" applyFont="1" applyBorder="1"/>
    <xf numFmtId="0" fontId="12" fillId="9" borderId="5" xfId="0" applyFont="1" applyFill="1" applyBorder="1" applyAlignment="1">
      <alignment vertical="center" wrapText="1"/>
    </xf>
    <xf numFmtId="0" fontId="13" fillId="0" borderId="5" xfId="0" applyFont="1" applyBorder="1"/>
    <xf numFmtId="3" fontId="13" fillId="0" borderId="5" xfId="0" applyNumberFormat="1" applyFont="1" applyBorder="1"/>
    <xf numFmtId="0" fontId="12" fillId="9" borderId="5" xfId="0" applyFont="1" applyFill="1" applyBorder="1"/>
    <xf numFmtId="3" fontId="12" fillId="9" borderId="5" xfId="0" applyNumberFormat="1" applyFont="1" applyFill="1" applyBorder="1"/>
    <xf numFmtId="0" fontId="13" fillId="10" borderId="14" xfId="0" applyFont="1" applyFill="1" applyBorder="1" applyAlignment="1">
      <alignment vertical="center" wrapText="1"/>
    </xf>
    <xf numFmtId="3" fontId="13" fillId="10" borderId="14" xfId="0" applyNumberFormat="1" applyFont="1" applyFill="1" applyBorder="1" applyAlignment="1">
      <alignment vertical="center"/>
    </xf>
    <xf numFmtId="0" fontId="13" fillId="10" borderId="15" xfId="0" applyFont="1" applyFill="1" applyBorder="1" applyAlignment="1">
      <alignment horizontal="left" vertical="center" wrapText="1"/>
    </xf>
    <xf numFmtId="3" fontId="13" fillId="10" borderId="15" xfId="0" applyNumberFormat="1" applyFont="1" applyFill="1" applyBorder="1"/>
    <xf numFmtId="0" fontId="7" fillId="10" borderId="16" xfId="0" applyFont="1" applyFill="1" applyBorder="1" applyAlignment="1">
      <alignment horizontal="left" vertical="center" wrapText="1"/>
    </xf>
    <xf numFmtId="3" fontId="7" fillId="10" borderId="16" xfId="0" applyNumberFormat="1" applyFont="1" applyFill="1" applyBorder="1" applyAlignment="1">
      <alignment horizontal="right" vertical="center"/>
    </xf>
    <xf numFmtId="0" fontId="9" fillId="10" borderId="11" xfId="0" applyFont="1" applyFill="1" applyBorder="1"/>
    <xf numFmtId="0" fontId="7" fillId="10" borderId="11" xfId="0" applyFont="1" applyFill="1" applyBorder="1"/>
    <xf numFmtId="0" fontId="14" fillId="6" borderId="12" xfId="0" applyFont="1" applyFill="1" applyBorder="1"/>
    <xf numFmtId="0" fontId="14" fillId="6" borderId="13" xfId="0" applyFont="1" applyFill="1" applyBorder="1"/>
    <xf numFmtId="0" fontId="14" fillId="6" borderId="17" xfId="0" applyFont="1" applyFill="1" applyBorder="1"/>
    <xf numFmtId="3" fontId="8" fillId="6" borderId="5" xfId="0" applyNumberFormat="1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9" fontId="8" fillId="6" borderId="5" xfId="0" applyNumberFormat="1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3" fontId="7" fillId="6" borderId="12" xfId="0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4" fillId="6" borderId="11" xfId="0" applyFont="1" applyFill="1" applyBorder="1"/>
    <xf numFmtId="0" fontId="17" fillId="0" borderId="0" xfId="0" applyFont="1"/>
    <xf numFmtId="3" fontId="18" fillId="6" borderId="12" xfId="0" applyNumberFormat="1" applyFont="1" applyFill="1" applyBorder="1"/>
    <xf numFmtId="3" fontId="7" fillId="10" borderId="12" xfId="0" applyNumberFormat="1" applyFont="1" applyFill="1" applyBorder="1"/>
    <xf numFmtId="0" fontId="7" fillId="10" borderId="12" xfId="0" applyFont="1" applyFill="1" applyBorder="1"/>
    <xf numFmtId="0" fontId="9" fillId="0" borderId="0" xfId="0" applyFont="1"/>
    <xf numFmtId="0" fontId="7" fillId="0" borderId="0" xfId="0" applyFont="1"/>
    <xf numFmtId="0" fontId="20" fillId="0" borderId="0" xfId="0" applyFont="1"/>
    <xf numFmtId="0" fontId="21" fillId="13" borderId="5" xfId="0" applyFont="1" applyFill="1" applyBorder="1"/>
    <xf numFmtId="0" fontId="22" fillId="0" borderId="0" xfId="0" applyFont="1"/>
    <xf numFmtId="166" fontId="7" fillId="0" borderId="5" xfId="0" applyNumberFormat="1" applyFont="1" applyBorder="1"/>
    <xf numFmtId="0" fontId="22" fillId="0" borderId="0" xfId="0" applyFont="1" applyAlignment="1">
      <alignment vertical="center"/>
    </xf>
    <xf numFmtId="0" fontId="21" fillId="1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7" fillId="4" borderId="5" xfId="0" applyNumberFormat="1" applyFont="1" applyFill="1" applyBorder="1"/>
    <xf numFmtId="0" fontId="20" fillId="0" borderId="0" xfId="0" applyFont="1" applyAlignment="1">
      <alignment vertical="center"/>
    </xf>
    <xf numFmtId="0" fontId="21" fillId="13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7" fillId="0" borderId="5" xfId="0" applyFont="1" applyBorder="1"/>
    <xf numFmtId="3" fontId="4" fillId="0" borderId="5" xfId="0" applyNumberFormat="1" applyFont="1" applyBorder="1" applyAlignment="1">
      <alignment vertical="center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7" fillId="0" borderId="5" xfId="0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9" fontId="7" fillId="4" borderId="5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6" fontId="7" fillId="4" borderId="5" xfId="0" applyNumberFormat="1" applyFont="1" applyFill="1" applyBorder="1" applyAlignment="1">
      <alignment vertical="center"/>
    </xf>
    <xf numFmtId="3" fontId="7" fillId="0" borderId="5" xfId="0" applyNumberFormat="1" applyFont="1" applyBorder="1"/>
    <xf numFmtId="0" fontId="13" fillId="14" borderId="16" xfId="0" applyFont="1" applyFill="1" applyBorder="1" applyAlignment="1">
      <alignment horizontal="left" vertical="center" wrapText="1"/>
    </xf>
    <xf numFmtId="3" fontId="13" fillId="14" borderId="16" xfId="0" applyNumberFormat="1" applyFont="1" applyFill="1" applyBorder="1" applyAlignment="1">
      <alignment vertical="center"/>
    </xf>
    <xf numFmtId="0" fontId="1" fillId="2" borderId="23" xfId="0" applyFont="1" applyFill="1" applyBorder="1"/>
    <xf numFmtId="0" fontId="2" fillId="15" borderId="22" xfId="0" applyFont="1" applyFill="1" applyBorder="1" applyAlignment="1">
      <alignment horizontal="center" vertical="center" wrapText="1"/>
    </xf>
    <xf numFmtId="0" fontId="3" fillId="16" borderId="22" xfId="0" applyFont="1" applyFill="1" applyBorder="1"/>
    <xf numFmtId="0" fontId="0" fillId="16" borderId="22" xfId="0" applyFill="1" applyBorder="1"/>
    <xf numFmtId="0" fontId="19" fillId="11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9" fillId="12" borderId="19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lang="en-US" b="1" i="0">
                <a:solidFill>
                  <a:srgbClr val="000000"/>
                </a:solidFill>
                <a:latin typeface="+mn-lt"/>
              </a:rPr>
              <a:t>Điểm hoàn vốn (Dòng tiền chiết khấu lũy kế ), VNĐ</a:t>
            </a:r>
          </a:p>
        </c:rich>
      </c:tx>
      <c:layout>
        <c:manualLayout>
          <c:xMode val="edge"/>
          <c:yMode val="edge"/>
          <c:x val="0.26504444444444447"/>
          <c:y val="1.796945193171608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Dòng tiền chiết khấu lũy kế 
(Tổng dòng tiền thu được=∑DCF từng năm )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'Tính toán tài chính đầu tư trạm'!$B$40:$K$40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'Tính toán tài chính đầu tư trạm'!$B$58:$K$58</c:f>
              <c:numCache>
                <c:formatCode>#,##0</c:formatCode>
                <c:ptCount val="10"/>
                <c:pt idx="0">
                  <c:v>-187145769.70000005</c:v>
                </c:pt>
                <c:pt idx="1">
                  <c:v>-62739517.108695596</c:v>
                </c:pt>
                <c:pt idx="2">
                  <c:v>56089213.870510444</c:v>
                </c:pt>
                <c:pt idx="3">
                  <c:v>168678876.37400362</c:v>
                </c:pt>
                <c:pt idx="4">
                  <c:v>274635392.65289056</c:v>
                </c:pt>
                <c:pt idx="5">
                  <c:v>373773634.57194293</c:v>
                </c:pt>
                <c:pt idx="6">
                  <c:v>466069619.55109888</c:v>
                </c:pt>
                <c:pt idx="7">
                  <c:v>551621622.22255921</c:v>
                </c:pt>
                <c:pt idx="8">
                  <c:v>630618689.26619089</c:v>
                </c:pt>
                <c:pt idx="9">
                  <c:v>703315287.77575028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C7-47F7-A2D0-0D8E8042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009529"/>
        <c:axId val="2081652375"/>
      </c:barChart>
      <c:catAx>
        <c:axId val="95400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652375"/>
        <c:crosses val="autoZero"/>
        <c:auto val="1"/>
        <c:lblAlgn val="ctr"/>
        <c:lblOffset val="100"/>
        <c:noMultiLvlLbl val="1"/>
      </c:catAx>
      <c:valAx>
        <c:axId val="208165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009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lang="en-US" b="1" i="0">
                <a:solidFill>
                  <a:srgbClr val="000000"/>
                </a:solidFill>
                <a:latin typeface="+mn-lt"/>
              </a:rPr>
              <a:t>Lợi nhuận thuần, VNĐ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LỢI NHUẬN DÒNG, VNĐ</c:v>
          </c:tx>
          <c:spPr>
            <a:solidFill>
              <a:srgbClr val="70C16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'Tính toán tài chính đầu tư trạm'!$B$40:$K$40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'Tính toán tài chính đầu tư trạm'!$B$55:$K$55</c:f>
              <c:numCache>
                <c:formatCode>#,##0</c:formatCode>
                <c:ptCount val="10"/>
                <c:pt idx="0">
                  <c:v>-220645769.70000005</c:v>
                </c:pt>
                <c:pt idx="1">
                  <c:v>109567190.48000011</c:v>
                </c:pt>
                <c:pt idx="2">
                  <c:v>123650996.71999998</c:v>
                </c:pt>
                <c:pt idx="3">
                  <c:v>137734802.96000013</c:v>
                </c:pt>
                <c:pt idx="4">
                  <c:v>151818609.19999999</c:v>
                </c:pt>
                <c:pt idx="5">
                  <c:v>165902415.43999976</c:v>
                </c:pt>
                <c:pt idx="6">
                  <c:v>179986221.67999992</c:v>
                </c:pt>
                <c:pt idx="7">
                  <c:v>194070027.92000008</c:v>
                </c:pt>
                <c:pt idx="8">
                  <c:v>208153834.16000023</c:v>
                </c:pt>
                <c:pt idx="9">
                  <c:v>222237640.40000001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F9-4015-8FC9-90C2ACD4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10735"/>
        <c:axId val="400437658"/>
      </c:barChart>
      <c:catAx>
        <c:axId val="49911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437658"/>
        <c:crosses val="autoZero"/>
        <c:auto val="1"/>
        <c:lblAlgn val="ctr"/>
        <c:lblOffset val="100"/>
        <c:noMultiLvlLbl val="1"/>
      </c:catAx>
      <c:valAx>
        <c:axId val="400437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LỢI NHUẬN THUẦN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110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64</xdr:row>
      <xdr:rowOff>9525</xdr:rowOff>
    </xdr:from>
    <xdr:ext cx="5715000" cy="3533775"/>
    <xdr:graphicFrame macro="">
      <xdr:nvGraphicFramePr>
        <xdr:cNvPr id="1552686065" name="Chart 1" title="Диаграмма">
          <a:extLst>
            <a:ext uri="{FF2B5EF4-FFF2-40B4-BE49-F238E27FC236}">
              <a16:creationId xmlns:a16="http://schemas.microsoft.com/office/drawing/2014/main" id="{00000000-0008-0000-0000-0000F11B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64</xdr:row>
      <xdr:rowOff>19050</xdr:rowOff>
    </xdr:from>
    <xdr:ext cx="5715000" cy="3533775"/>
    <xdr:graphicFrame macro="">
      <xdr:nvGraphicFramePr>
        <xdr:cNvPr id="46809115" name="Chart 2" title="Диаграмма">
          <a:extLst>
            <a:ext uri="{FF2B5EF4-FFF2-40B4-BE49-F238E27FC236}">
              <a16:creationId xmlns:a16="http://schemas.microsoft.com/office/drawing/2014/main" id="{00000000-0008-0000-0000-00001B40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opLeftCell="A13" workbookViewId="0">
      <selection activeCell="B40" sqref="B40:K40"/>
    </sheetView>
  </sheetViews>
  <sheetFormatPr defaultColWidth="14.42578125" defaultRowHeight="15" customHeight="1"/>
  <cols>
    <col min="1" max="1" width="47.7109375" customWidth="1"/>
    <col min="2" max="2" width="18.28515625" customWidth="1"/>
    <col min="3" max="3" width="15.42578125" customWidth="1"/>
    <col min="4" max="4" width="21.85546875" customWidth="1"/>
    <col min="5" max="5" width="13.5703125" customWidth="1"/>
    <col min="6" max="6" width="15" customWidth="1"/>
    <col min="7" max="11" width="14" customWidth="1"/>
  </cols>
  <sheetData>
    <row r="1" spans="1:13">
      <c r="A1" s="1">
        <v>1</v>
      </c>
      <c r="B1" s="1"/>
      <c r="C1" s="1"/>
      <c r="D1" s="1"/>
      <c r="E1" s="1"/>
      <c r="F1" s="112"/>
      <c r="G1" s="113"/>
      <c r="H1" s="114"/>
      <c r="I1" s="114"/>
      <c r="J1" s="114"/>
      <c r="K1" s="114"/>
      <c r="L1" s="2"/>
      <c r="M1" s="2"/>
    </row>
    <row r="2" spans="1:13" ht="26.25">
      <c r="A2" s="3" t="s">
        <v>0</v>
      </c>
      <c r="B2" s="4"/>
      <c r="C2" s="4"/>
      <c r="D2" s="4"/>
      <c r="E2" s="1"/>
      <c r="F2" s="112"/>
      <c r="G2" s="114"/>
      <c r="H2" s="115"/>
      <c r="I2" s="115"/>
      <c r="J2" s="115"/>
      <c r="K2" s="114"/>
      <c r="L2" s="2"/>
      <c r="M2" s="2"/>
    </row>
    <row r="3" spans="1:13">
      <c r="A3" s="1"/>
      <c r="B3" s="1"/>
      <c r="C3" s="1"/>
      <c r="D3" s="1"/>
      <c r="E3" s="1"/>
      <c r="F3" s="112"/>
      <c r="G3" s="114"/>
      <c r="H3" s="115"/>
      <c r="I3" s="115"/>
      <c r="J3" s="115"/>
      <c r="K3" s="114"/>
      <c r="L3" s="2"/>
      <c r="M3" s="2"/>
    </row>
    <row r="4" spans="1:13">
      <c r="A4" s="1" t="s">
        <v>1</v>
      </c>
      <c r="B4" s="1"/>
      <c r="C4" s="1"/>
      <c r="D4" s="1"/>
      <c r="E4" s="1"/>
      <c r="F4" s="112"/>
      <c r="G4" s="114"/>
      <c r="H4" s="115"/>
      <c r="I4" s="115"/>
      <c r="J4" s="115"/>
      <c r="K4" s="114"/>
      <c r="L4" s="2"/>
      <c r="M4" s="2"/>
    </row>
    <row r="5" spans="1:13">
      <c r="A5" s="1" t="s">
        <v>2</v>
      </c>
      <c r="B5" s="1"/>
      <c r="C5" s="1"/>
      <c r="D5" s="1"/>
      <c r="E5" s="1"/>
      <c r="F5" s="112"/>
      <c r="G5" s="114"/>
      <c r="H5" s="115"/>
      <c r="I5" s="115"/>
      <c r="J5" s="115"/>
      <c r="K5" s="114"/>
      <c r="L5" s="2"/>
      <c r="M5" s="2"/>
    </row>
    <row r="6" spans="1:13">
      <c r="A6" s="1"/>
      <c r="B6" s="1"/>
      <c r="C6" s="1"/>
      <c r="D6" s="1"/>
      <c r="E6" s="1"/>
      <c r="F6" s="112"/>
      <c r="G6" s="114"/>
      <c r="H6" s="114"/>
      <c r="I6" s="114"/>
      <c r="J6" s="114"/>
      <c r="K6" s="114"/>
      <c r="L6" s="2"/>
      <c r="M6" s="2"/>
    </row>
    <row r="7" spans="1:13" ht="15.75" customHeight="1">
      <c r="A7" s="5"/>
      <c r="B7" s="5"/>
      <c r="C7" s="5"/>
      <c r="D7" s="5"/>
      <c r="E7" s="5"/>
      <c r="F7" s="5"/>
      <c r="G7" s="13"/>
      <c r="H7" s="13"/>
      <c r="I7" s="13"/>
      <c r="J7" s="13"/>
      <c r="K7" s="13"/>
      <c r="L7" s="2"/>
      <c r="M7" s="2"/>
    </row>
    <row r="8" spans="1:13" ht="15.75" customHeight="1">
      <c r="A8" s="6" t="s">
        <v>3</v>
      </c>
      <c r="B8" s="5"/>
      <c r="C8" s="5"/>
      <c r="D8" s="5"/>
      <c r="E8" s="5"/>
      <c r="F8" s="5"/>
      <c r="G8" s="5"/>
      <c r="H8" s="7"/>
      <c r="I8" s="5"/>
      <c r="J8" s="5"/>
      <c r="K8" s="5"/>
      <c r="L8" s="2"/>
      <c r="M8" s="2"/>
    </row>
    <row r="9" spans="1:13" ht="15.75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2"/>
      <c r="M9" s="2"/>
    </row>
    <row r="10" spans="1:13" ht="15.75" customHeight="1">
      <c r="A10" s="7" t="s">
        <v>4</v>
      </c>
      <c r="B10" s="5"/>
      <c r="C10" s="5"/>
      <c r="D10" s="5"/>
      <c r="E10" s="5"/>
      <c r="F10" s="5"/>
      <c r="G10" s="5"/>
      <c r="H10" s="8"/>
      <c r="I10" s="5"/>
      <c r="J10" s="5"/>
      <c r="K10" s="5"/>
      <c r="L10" s="2"/>
      <c r="M10" s="2"/>
    </row>
    <row r="11" spans="1:13" ht="15.75" customHeight="1">
      <c r="A11" s="7"/>
      <c r="B11" s="9"/>
      <c r="C11" s="5"/>
      <c r="D11" s="5"/>
      <c r="E11" s="5"/>
      <c r="F11" s="5"/>
      <c r="G11" s="5"/>
      <c r="H11" s="5"/>
      <c r="I11" s="5"/>
      <c r="J11" s="5"/>
      <c r="K11" s="5"/>
      <c r="L11" s="2"/>
      <c r="M11" s="2"/>
    </row>
    <row r="12" spans="1:13" ht="15.75" customHeight="1">
      <c r="A12" s="10" t="s">
        <v>5</v>
      </c>
      <c r="B12" s="11" t="s">
        <v>51</v>
      </c>
      <c r="C12" s="12" t="s">
        <v>6</v>
      </c>
      <c r="D12" s="5"/>
      <c r="E12" s="5"/>
      <c r="F12" s="5"/>
      <c r="G12" s="5"/>
      <c r="H12" s="5"/>
      <c r="I12" s="5"/>
      <c r="J12" s="5"/>
      <c r="K12" s="5"/>
      <c r="L12" s="2"/>
      <c r="M12" s="2"/>
    </row>
    <row r="13" spans="1:13" ht="15.75" customHeight="1">
      <c r="A13" s="7"/>
      <c r="B13" s="13"/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</row>
    <row r="14" spans="1:13" ht="15.75" customHeight="1">
      <c r="A14" s="5"/>
      <c r="B14" s="9" t="s">
        <v>7</v>
      </c>
      <c r="C14" s="9" t="s">
        <v>8</v>
      </c>
      <c r="D14" s="9" t="s">
        <v>9</v>
      </c>
      <c r="E14" s="9"/>
      <c r="F14" s="9"/>
      <c r="G14" s="9"/>
      <c r="H14" s="9"/>
      <c r="I14" s="9"/>
      <c r="J14" s="5"/>
      <c r="K14" s="5"/>
      <c r="L14" s="2"/>
      <c r="M14" s="2"/>
    </row>
    <row r="15" spans="1:13" ht="15.75" customHeight="1">
      <c r="A15" s="10" t="s">
        <v>10</v>
      </c>
      <c r="B15" s="14">
        <v>30</v>
      </c>
      <c r="C15" s="14">
        <v>20</v>
      </c>
      <c r="D15" s="14">
        <v>20</v>
      </c>
      <c r="E15" s="15"/>
      <c r="F15" s="16"/>
      <c r="G15" s="16"/>
      <c r="H15" s="16"/>
      <c r="I15" s="16"/>
      <c r="J15" s="12"/>
      <c r="K15" s="5"/>
      <c r="L15" s="2"/>
      <c r="M15" s="2"/>
    </row>
    <row r="16" spans="1:13" ht="15.75" customHeight="1">
      <c r="A16" s="7"/>
      <c r="B16" s="17"/>
      <c r="C16" s="13"/>
      <c r="D16" s="13"/>
      <c r="E16" s="13"/>
      <c r="F16" s="13"/>
      <c r="G16" s="13"/>
      <c r="H16" s="13"/>
      <c r="I16" s="13"/>
      <c r="J16" s="5"/>
      <c r="K16" s="5"/>
      <c r="L16" s="2"/>
      <c r="M16" s="2"/>
    </row>
    <row r="17" spans="1:13" ht="15.75" customHeight="1">
      <c r="A17" s="10" t="s">
        <v>11</v>
      </c>
      <c r="B17" s="14">
        <f>96000000*2 +143000000</f>
        <v>335000000</v>
      </c>
      <c r="C17" s="12"/>
      <c r="D17" s="5"/>
      <c r="E17" s="5"/>
      <c r="F17" s="5"/>
      <c r="G17" s="5"/>
      <c r="H17" s="5"/>
      <c r="I17" s="5"/>
      <c r="J17" s="5"/>
      <c r="K17" s="5"/>
      <c r="L17" s="2"/>
      <c r="M17" s="2"/>
    </row>
    <row r="18" spans="1:13" ht="15.75" customHeight="1">
      <c r="A18" s="7"/>
      <c r="B18" s="13"/>
      <c r="C18" s="5"/>
      <c r="D18" s="5"/>
      <c r="E18" s="5"/>
      <c r="F18" s="5"/>
      <c r="G18" s="5"/>
      <c r="H18" s="5"/>
      <c r="I18" s="5"/>
      <c r="J18" s="5"/>
      <c r="K18" s="5"/>
      <c r="L18" s="2"/>
      <c r="M18" s="2"/>
    </row>
    <row r="19" spans="1:13" ht="15.75" customHeight="1">
      <c r="A19" s="7" t="s">
        <v>12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</row>
    <row r="20" spans="1:13" ht="15.75" customHeight="1">
      <c r="A20" s="5"/>
      <c r="B20" s="18">
        <v>2024</v>
      </c>
      <c r="C20" s="18">
        <v>2033</v>
      </c>
      <c r="D20" s="5"/>
      <c r="E20" s="5"/>
      <c r="F20" s="5"/>
      <c r="G20" s="5"/>
      <c r="H20" s="5"/>
      <c r="I20" s="5"/>
      <c r="J20" s="5"/>
      <c r="K20" s="5"/>
      <c r="L20" s="2"/>
      <c r="M20" s="2"/>
    </row>
    <row r="21" spans="1:13" ht="15.75" customHeight="1">
      <c r="A21" s="10" t="s">
        <v>13</v>
      </c>
      <c r="B21" s="19">
        <v>0.45</v>
      </c>
      <c r="C21" s="19">
        <v>0.75</v>
      </c>
      <c r="D21" s="20"/>
      <c r="E21" s="5"/>
      <c r="F21" s="5"/>
      <c r="G21" s="5"/>
      <c r="H21" s="5"/>
      <c r="I21" s="5"/>
      <c r="J21" s="5"/>
      <c r="K21" s="5"/>
      <c r="L21" s="2"/>
      <c r="M21" s="2"/>
    </row>
    <row r="22" spans="1:13" ht="15.75" customHeight="1">
      <c r="A22" s="7"/>
      <c r="B22" s="17"/>
      <c r="C22" s="13"/>
      <c r="D22" s="5"/>
      <c r="E22" s="5"/>
      <c r="F22" s="5"/>
      <c r="G22" s="5"/>
      <c r="H22" s="5"/>
      <c r="I22" s="5"/>
      <c r="J22" s="5"/>
      <c r="K22" s="5"/>
      <c r="L22" s="2"/>
      <c r="M22" s="2"/>
    </row>
    <row r="23" spans="1:13" ht="15.75" customHeight="1">
      <c r="A23" s="10" t="s">
        <v>14</v>
      </c>
      <c r="B23" s="21">
        <v>4300</v>
      </c>
      <c r="C23" s="12"/>
      <c r="D23" s="5"/>
      <c r="E23" s="5"/>
      <c r="F23" s="5"/>
      <c r="G23" s="5"/>
      <c r="H23" s="5"/>
      <c r="I23" s="5"/>
      <c r="J23" s="5"/>
      <c r="K23" s="5"/>
      <c r="L23" s="2"/>
      <c r="M23" s="2"/>
    </row>
    <row r="24" spans="1:13" ht="15.75" customHeight="1">
      <c r="A24" s="7"/>
      <c r="B24" s="17"/>
      <c r="C24" s="5"/>
      <c r="D24" s="5"/>
      <c r="E24" s="5"/>
      <c r="F24" s="5"/>
      <c r="G24" s="5"/>
      <c r="H24" s="5"/>
      <c r="I24" s="5"/>
      <c r="J24" s="5"/>
      <c r="K24" s="5"/>
      <c r="L24" s="2"/>
      <c r="M24" s="2"/>
    </row>
    <row r="25" spans="1:13" ht="15.75" customHeight="1">
      <c r="A25" s="10" t="s">
        <v>15</v>
      </c>
      <c r="B25" s="21">
        <v>3200</v>
      </c>
      <c r="C25" s="12"/>
      <c r="D25" s="5"/>
      <c r="E25" s="5"/>
      <c r="F25" s="5"/>
      <c r="G25" s="5"/>
      <c r="H25" s="5"/>
      <c r="I25" s="5"/>
      <c r="J25" s="5"/>
      <c r="K25" s="5"/>
      <c r="L25" s="2"/>
      <c r="M25" s="2"/>
    </row>
    <row r="26" spans="1:13" ht="15.75" customHeight="1">
      <c r="A26" s="5"/>
      <c r="B26" s="17"/>
      <c r="C26" s="5"/>
      <c r="D26" s="5"/>
      <c r="E26" s="5"/>
      <c r="F26" s="5"/>
      <c r="G26" s="5"/>
      <c r="H26" s="5"/>
      <c r="I26" s="5"/>
      <c r="J26" s="5"/>
      <c r="K26" s="5"/>
      <c r="L26" s="2"/>
      <c r="M26" s="2"/>
    </row>
    <row r="27" spans="1:13" ht="15.75" customHeight="1">
      <c r="A27" s="10" t="s">
        <v>16</v>
      </c>
      <c r="B27" s="14">
        <v>100000000</v>
      </c>
      <c r="C27" s="12"/>
      <c r="D27" s="5"/>
      <c r="E27" s="5"/>
      <c r="F27" s="5"/>
      <c r="G27" s="5"/>
      <c r="H27" s="5"/>
      <c r="I27" s="5"/>
      <c r="J27" s="5"/>
      <c r="K27" s="5"/>
      <c r="L27" s="2"/>
      <c r="M27" s="2"/>
    </row>
    <row r="28" spans="1:13" ht="15.75" customHeight="1">
      <c r="A28" s="5"/>
      <c r="B28" s="13"/>
      <c r="C28" s="5"/>
      <c r="D28" s="5"/>
      <c r="E28" s="5"/>
      <c r="F28" s="5"/>
      <c r="G28" s="5"/>
      <c r="H28" s="5"/>
      <c r="I28" s="5"/>
      <c r="J28" s="5"/>
      <c r="K28" s="5"/>
      <c r="L28" s="2"/>
      <c r="M28" s="2"/>
    </row>
    <row r="29" spans="1:13" ht="15.75" customHeight="1">
      <c r="A29" s="7" t="s">
        <v>17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2"/>
      <c r="M29" s="2"/>
    </row>
    <row r="30" spans="1:13" ht="15.75" customHeight="1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  <c r="L30" s="2"/>
      <c r="M30" s="2"/>
    </row>
    <row r="31" spans="1:13" ht="15.75" customHeight="1">
      <c r="A31" s="10" t="s">
        <v>18</v>
      </c>
      <c r="B31" s="19">
        <v>0.2</v>
      </c>
      <c r="C31" s="12"/>
      <c r="D31" s="5"/>
      <c r="E31" s="5"/>
      <c r="F31" s="5"/>
      <c r="G31" s="5"/>
      <c r="H31" s="5"/>
      <c r="I31" s="5"/>
      <c r="J31" s="5"/>
      <c r="K31" s="5"/>
      <c r="L31" s="2"/>
      <c r="M31" s="2"/>
    </row>
    <row r="32" spans="1:13" ht="15.75" customHeight="1">
      <c r="A32" s="5"/>
      <c r="B32" s="17"/>
      <c r="C32" s="5"/>
      <c r="D32" s="5"/>
      <c r="E32" s="5"/>
      <c r="F32" s="5"/>
      <c r="G32" s="5"/>
      <c r="H32" s="5"/>
      <c r="I32" s="5"/>
      <c r="J32" s="5"/>
      <c r="K32" s="5"/>
      <c r="L32" s="2"/>
      <c r="M32" s="2"/>
    </row>
    <row r="33" spans="1:13" ht="15.75" customHeight="1">
      <c r="A33" s="10" t="s">
        <v>19</v>
      </c>
      <c r="B33" s="22">
        <v>0.15</v>
      </c>
      <c r="C33" s="12"/>
      <c r="D33" s="5"/>
      <c r="E33" s="5"/>
      <c r="F33" s="5"/>
      <c r="G33" s="5"/>
      <c r="H33" s="5"/>
      <c r="I33" s="5"/>
      <c r="J33" s="5"/>
      <c r="K33" s="5"/>
      <c r="L33" s="2"/>
      <c r="M33" s="2"/>
    </row>
    <row r="34" spans="1:13" ht="15.75" customHeight="1">
      <c r="A34" s="7"/>
      <c r="B34" s="13"/>
      <c r="C34" s="5"/>
      <c r="D34" s="5"/>
      <c r="E34" s="5"/>
      <c r="F34" s="5"/>
      <c r="G34" s="5"/>
      <c r="H34" s="5"/>
      <c r="I34" s="5"/>
      <c r="J34" s="5"/>
      <c r="K34" s="5"/>
      <c r="L34" s="2"/>
      <c r="M34" s="2"/>
    </row>
    <row r="35" spans="1:1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2"/>
      <c r="M35" s="2"/>
    </row>
    <row r="36" spans="1:13" ht="15.75" customHeight="1">
      <c r="A36" s="23"/>
      <c r="B36" s="24"/>
      <c r="C36" s="24"/>
      <c r="D36" s="25"/>
      <c r="E36" s="24"/>
      <c r="F36" s="24"/>
      <c r="G36" s="24"/>
      <c r="H36" s="24"/>
      <c r="I36" s="24"/>
      <c r="J36" s="24"/>
      <c r="K36" s="24"/>
      <c r="L36" s="2"/>
      <c r="M36" s="2"/>
    </row>
    <row r="37" spans="1:13" ht="15.75" customHeight="1">
      <c r="A37" s="26"/>
      <c r="B37" s="27"/>
      <c r="C37" s="27"/>
      <c r="D37" s="28"/>
      <c r="E37" s="29"/>
      <c r="F37" s="29"/>
      <c r="G37" s="27"/>
      <c r="H37" s="29"/>
      <c r="I37" s="27"/>
      <c r="J37" s="27"/>
      <c r="K37" s="27"/>
      <c r="L37" s="2"/>
      <c r="M37" s="2"/>
    </row>
    <row r="38" spans="1:13" ht="15.75" customHeight="1">
      <c r="A38" s="30" t="s">
        <v>20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"/>
      <c r="M38" s="2"/>
    </row>
    <row r="39" spans="1:13" ht="15.75" customHeight="1">
      <c r="A39" s="31"/>
      <c r="B39" s="32">
        <v>0</v>
      </c>
      <c r="C39" s="32">
        <v>1</v>
      </c>
      <c r="D39" s="32">
        <v>2</v>
      </c>
      <c r="E39" s="32">
        <v>3</v>
      </c>
      <c r="F39" s="32">
        <v>4</v>
      </c>
      <c r="G39" s="32">
        <v>5</v>
      </c>
      <c r="H39" s="32">
        <v>6</v>
      </c>
      <c r="I39" s="32">
        <v>7</v>
      </c>
      <c r="J39" s="32">
        <v>8</v>
      </c>
      <c r="K39" s="32">
        <v>9</v>
      </c>
      <c r="L39" s="2"/>
      <c r="M39" s="2"/>
    </row>
    <row r="40" spans="1:13" ht="15.75" customHeight="1">
      <c r="A40" s="33" t="s">
        <v>21</v>
      </c>
      <c r="B40" s="33">
        <v>2025</v>
      </c>
      <c r="C40" s="33">
        <v>2026</v>
      </c>
      <c r="D40" s="33">
        <v>2027</v>
      </c>
      <c r="E40" s="33">
        <v>2028</v>
      </c>
      <c r="F40" s="33">
        <v>2029</v>
      </c>
      <c r="G40" s="33">
        <v>2030</v>
      </c>
      <c r="H40" s="33">
        <v>2031</v>
      </c>
      <c r="I40" s="33">
        <v>2032</v>
      </c>
      <c r="J40" s="33">
        <v>2033</v>
      </c>
      <c r="K40" s="33">
        <v>2034</v>
      </c>
      <c r="L40" s="2"/>
      <c r="M40" s="2"/>
    </row>
    <row r="41" spans="1:13" ht="15.75" customHeight="1">
      <c r="A41" s="34" t="s">
        <v>22</v>
      </c>
      <c r="B41" s="35">
        <f t="shared" ref="B41:K41" si="0">SUM(B42)</f>
        <v>966845970</v>
      </c>
      <c r="C41" s="35">
        <f t="shared" si="0"/>
        <v>1038464190.0000001</v>
      </c>
      <c r="D41" s="35">
        <f t="shared" si="0"/>
        <v>1110082410</v>
      </c>
      <c r="E41" s="35">
        <f t="shared" si="0"/>
        <v>1181700630.0000002</v>
      </c>
      <c r="F41" s="35">
        <f t="shared" si="0"/>
        <v>1253318850</v>
      </c>
      <c r="G41" s="35">
        <f t="shared" si="0"/>
        <v>1324937069.9999998</v>
      </c>
      <c r="H41" s="35">
        <f t="shared" si="0"/>
        <v>1396555290</v>
      </c>
      <c r="I41" s="35">
        <f t="shared" si="0"/>
        <v>1468173510</v>
      </c>
      <c r="J41" s="35">
        <f t="shared" si="0"/>
        <v>1539791730.0000002</v>
      </c>
      <c r="K41" s="35">
        <f t="shared" si="0"/>
        <v>1611409950</v>
      </c>
      <c r="L41" s="2"/>
      <c r="M41" s="2"/>
    </row>
    <row r="42" spans="1:13" ht="33" customHeight="1">
      <c r="A42" s="36" t="s">
        <v>23</v>
      </c>
      <c r="B42" s="37">
        <f>'1'!B19</f>
        <v>966845970</v>
      </c>
      <c r="C42" s="37">
        <f>'1'!C19</f>
        <v>1038464190.0000001</v>
      </c>
      <c r="D42" s="37">
        <f>'1'!D19</f>
        <v>1110082410</v>
      </c>
      <c r="E42" s="37">
        <f>'1'!E19</f>
        <v>1181700630.0000002</v>
      </c>
      <c r="F42" s="37">
        <f>'1'!F19</f>
        <v>1253318850</v>
      </c>
      <c r="G42" s="37">
        <f>'1'!G19</f>
        <v>1324937069.9999998</v>
      </c>
      <c r="H42" s="37">
        <f>'1'!H19</f>
        <v>1396555290</v>
      </c>
      <c r="I42" s="37">
        <f>'1'!I19</f>
        <v>1468173510</v>
      </c>
      <c r="J42" s="37">
        <f>'1'!J19</f>
        <v>1539791730.0000002</v>
      </c>
      <c r="K42" s="37">
        <f>'1'!K19</f>
        <v>1611409950</v>
      </c>
      <c r="L42" s="38"/>
      <c r="M42" s="38"/>
    </row>
    <row r="43" spans="1:13" ht="15.75" customHeight="1">
      <c r="A43" s="39" t="s">
        <v>24</v>
      </c>
      <c r="B43" s="40">
        <f t="shared" ref="B43:K43" si="1">SUM(B44:B49)</f>
        <v>1187491739.7</v>
      </c>
      <c r="C43" s="40">
        <f t="shared" si="1"/>
        <v>901505201.89999998</v>
      </c>
      <c r="D43" s="40">
        <f t="shared" si="1"/>
        <v>955518664.10000002</v>
      </c>
      <c r="E43" s="40">
        <f t="shared" si="1"/>
        <v>1009532126.3000001</v>
      </c>
      <c r="F43" s="40">
        <f t="shared" si="1"/>
        <v>1063545588.5</v>
      </c>
      <c r="G43" s="40">
        <f t="shared" si="1"/>
        <v>1117559050.7</v>
      </c>
      <c r="H43" s="40">
        <f t="shared" si="1"/>
        <v>1171572512.9000001</v>
      </c>
      <c r="I43" s="40">
        <f t="shared" si="1"/>
        <v>1225585975.0999999</v>
      </c>
      <c r="J43" s="40">
        <f t="shared" si="1"/>
        <v>1279599437.3</v>
      </c>
      <c r="K43" s="40">
        <f t="shared" si="1"/>
        <v>1333612899.5</v>
      </c>
      <c r="L43" s="2"/>
      <c r="M43" s="2"/>
    </row>
    <row r="44" spans="1:13" ht="15.75" customHeight="1">
      <c r="A44" s="41" t="s">
        <v>25</v>
      </c>
      <c r="B44" s="42">
        <f>B17</f>
        <v>335000000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2"/>
      <c r="M44" s="2"/>
    </row>
    <row r="45" spans="1:13" ht="29.25" customHeight="1">
      <c r="A45" s="43" t="s">
        <v>26</v>
      </c>
      <c r="B45" s="44">
        <f>VLOOKUP($B$12,'1'!A9:C9,3,FALSE())</f>
        <v>5000000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2"/>
      <c r="M45" s="2"/>
    </row>
    <row r="46" spans="1:13" ht="30" customHeight="1">
      <c r="A46" s="45" t="s">
        <v>27</v>
      </c>
      <c r="B46" s="46">
        <f>'1'!B20</f>
        <v>719513280</v>
      </c>
      <c r="C46" s="46">
        <f>'1'!C20</f>
        <v>772810560</v>
      </c>
      <c r="D46" s="46">
        <f>'1'!D20</f>
        <v>826107840</v>
      </c>
      <c r="E46" s="46">
        <f>'1'!E20</f>
        <v>879405120.00000012</v>
      </c>
      <c r="F46" s="46">
        <f>'1'!F20</f>
        <v>932702400</v>
      </c>
      <c r="G46" s="46">
        <f>'1'!G20</f>
        <v>985999679.99999988</v>
      </c>
      <c r="H46" s="46">
        <f>'1'!H20</f>
        <v>1039296960</v>
      </c>
      <c r="I46" s="46">
        <f>'1'!I20</f>
        <v>1092594240</v>
      </c>
      <c r="J46" s="46">
        <f>'1'!J20</f>
        <v>1145891520</v>
      </c>
      <c r="K46" s="46">
        <f>'1'!K20</f>
        <v>1199188800</v>
      </c>
      <c r="L46" s="47"/>
      <c r="M46" s="47"/>
    </row>
    <row r="47" spans="1:13" ht="15.75" customHeight="1">
      <c r="A47" s="41" t="s">
        <v>28</v>
      </c>
      <c r="B47" s="42">
        <f t="shared" ref="B47:K47" si="2">$B$27</f>
        <v>100000000</v>
      </c>
      <c r="C47" s="42">
        <f t="shared" si="2"/>
        <v>100000000</v>
      </c>
      <c r="D47" s="42">
        <f t="shared" si="2"/>
        <v>100000000</v>
      </c>
      <c r="E47" s="42">
        <f t="shared" si="2"/>
        <v>100000000</v>
      </c>
      <c r="F47" s="42">
        <f t="shared" si="2"/>
        <v>100000000</v>
      </c>
      <c r="G47" s="42">
        <f t="shared" si="2"/>
        <v>100000000</v>
      </c>
      <c r="H47" s="42">
        <f t="shared" si="2"/>
        <v>100000000</v>
      </c>
      <c r="I47" s="42">
        <f t="shared" si="2"/>
        <v>100000000</v>
      </c>
      <c r="J47" s="42">
        <f t="shared" si="2"/>
        <v>100000000</v>
      </c>
      <c r="K47" s="42">
        <f t="shared" si="2"/>
        <v>100000000</v>
      </c>
      <c r="L47" s="2"/>
      <c r="M47" s="2"/>
    </row>
    <row r="48" spans="1:13" ht="42" customHeight="1">
      <c r="A48" s="48" t="s">
        <v>29</v>
      </c>
      <c r="B48" s="49">
        <f>'1'!$B$23*$B$17</f>
        <v>16750000</v>
      </c>
      <c r="C48" s="49">
        <f>'1'!$B$23*$B$17</f>
        <v>16750000</v>
      </c>
      <c r="D48" s="49">
        <f>'1'!$B$23*$B$17</f>
        <v>16750000</v>
      </c>
      <c r="E48" s="49">
        <f>'1'!$B$23*$B$17</f>
        <v>16750000</v>
      </c>
      <c r="F48" s="49">
        <f>'1'!$B$23*$B$17</f>
        <v>16750000</v>
      </c>
      <c r="G48" s="49">
        <f>'1'!$B$23*$B$17</f>
        <v>16750000</v>
      </c>
      <c r="H48" s="49">
        <f>'1'!$B$23*$B$17</f>
        <v>16750000</v>
      </c>
      <c r="I48" s="49">
        <f>'1'!$B$23*$B$17</f>
        <v>16750000</v>
      </c>
      <c r="J48" s="49">
        <f>'1'!$B$23*$B$17</f>
        <v>16750000</v>
      </c>
      <c r="K48" s="49">
        <f>'1'!$B$23*$B$17</f>
        <v>16750000</v>
      </c>
      <c r="L48" s="2"/>
      <c r="M48" s="2"/>
    </row>
    <row r="49" spans="1:13" ht="31.5" customHeight="1">
      <c r="A49" s="110" t="s">
        <v>30</v>
      </c>
      <c r="B49" s="111">
        <f>'1'!$B$27*B42+'1'!$C$27</f>
        <v>11228459.700000001</v>
      </c>
      <c r="C49" s="111">
        <f>'1'!$B$27*C42+'1'!$C$27</f>
        <v>11944641.900000002</v>
      </c>
      <c r="D49" s="111">
        <f>'1'!$B$27*D42+'1'!$C$27</f>
        <v>12660824.1</v>
      </c>
      <c r="E49" s="111">
        <f>'1'!$B$27*E42+'1'!$C$27</f>
        <v>13377006.300000003</v>
      </c>
      <c r="F49" s="111">
        <f>'1'!$B$27*F42+'1'!$C$27</f>
        <v>14093188.5</v>
      </c>
      <c r="G49" s="111">
        <f>'1'!$B$27*G42+'1'!$C$27</f>
        <v>14809370.699999997</v>
      </c>
      <c r="H49" s="111">
        <f>'1'!$B$27*H42+'1'!$C$27</f>
        <v>15525552.9</v>
      </c>
      <c r="I49" s="111">
        <f>'1'!$B$27*I42+'1'!$C$27</f>
        <v>16241735.1</v>
      </c>
      <c r="J49" s="111">
        <f>'1'!$B$27*J42+'1'!$C$27</f>
        <v>16957917.300000004</v>
      </c>
      <c r="K49" s="111">
        <f>'1'!$B$27*K42+'1'!$C$27</f>
        <v>17674099.5</v>
      </c>
      <c r="L49" s="2"/>
      <c r="M49" s="2"/>
    </row>
    <row r="50" spans="1:13" ht="87.75" customHeight="1">
      <c r="A50" s="50" t="s">
        <v>31</v>
      </c>
      <c r="B50" s="51">
        <f t="shared" ref="B50:K50" si="3">B41-B43</f>
        <v>-220645769.70000005</v>
      </c>
      <c r="C50" s="51">
        <f t="shared" si="3"/>
        <v>136958988.10000014</v>
      </c>
      <c r="D50" s="51">
        <f t="shared" si="3"/>
        <v>154563745.89999998</v>
      </c>
      <c r="E50" s="51">
        <f t="shared" si="3"/>
        <v>172168503.70000017</v>
      </c>
      <c r="F50" s="51">
        <f t="shared" si="3"/>
        <v>189773261.5</v>
      </c>
      <c r="G50" s="51">
        <f t="shared" si="3"/>
        <v>207378019.29999971</v>
      </c>
      <c r="H50" s="51">
        <f t="shared" si="3"/>
        <v>224982777.0999999</v>
      </c>
      <c r="I50" s="51">
        <f t="shared" si="3"/>
        <v>242587534.9000001</v>
      </c>
      <c r="J50" s="51">
        <f t="shared" si="3"/>
        <v>260192292.70000029</v>
      </c>
      <c r="K50" s="51">
        <f t="shared" si="3"/>
        <v>277797050.5</v>
      </c>
      <c r="L50" s="2"/>
      <c r="M50" s="2"/>
    </row>
    <row r="51" spans="1:13" ht="75" customHeight="1">
      <c r="A51" s="52" t="s">
        <v>32</v>
      </c>
      <c r="B51" s="53">
        <f t="shared" ref="B51:K51" si="4">IF(B43&gt;0,B50/B41,0)</f>
        <v>-0.22821191435487914</v>
      </c>
      <c r="C51" s="53">
        <f t="shared" si="4"/>
        <v>0.13188609623601957</v>
      </c>
      <c r="D51" s="53">
        <f t="shared" si="4"/>
        <v>0.13923628057488091</v>
      </c>
      <c r="E51" s="53">
        <f t="shared" si="4"/>
        <v>0.14569553347872899</v>
      </c>
      <c r="F51" s="53">
        <f t="shared" si="4"/>
        <v>0.15141658605070848</v>
      </c>
      <c r="G51" s="53">
        <f t="shared" si="4"/>
        <v>0.15651914645274417</v>
      </c>
      <c r="H51" s="53">
        <f t="shared" si="4"/>
        <v>0.16109836732636623</v>
      </c>
      <c r="I51" s="53">
        <f t="shared" si="4"/>
        <v>0.16523083494402518</v>
      </c>
      <c r="J51" s="53">
        <f t="shared" si="4"/>
        <v>0.16897888696934374</v>
      </c>
      <c r="K51" s="53">
        <f t="shared" si="4"/>
        <v>0.17239377881463372</v>
      </c>
      <c r="L51" s="2"/>
      <c r="M51" s="2"/>
    </row>
    <row r="52" spans="1:13" ht="15.75" customHeight="1">
      <c r="A52" s="54" t="s">
        <v>33</v>
      </c>
      <c r="B52" s="55">
        <f t="shared" ref="B52:K52" si="5">$B$17/10</f>
        <v>33500000</v>
      </c>
      <c r="C52" s="55">
        <f t="shared" si="5"/>
        <v>33500000</v>
      </c>
      <c r="D52" s="55">
        <f t="shared" si="5"/>
        <v>33500000</v>
      </c>
      <c r="E52" s="55">
        <f t="shared" si="5"/>
        <v>33500000</v>
      </c>
      <c r="F52" s="55">
        <f t="shared" si="5"/>
        <v>33500000</v>
      </c>
      <c r="G52" s="55">
        <f t="shared" si="5"/>
        <v>33500000</v>
      </c>
      <c r="H52" s="55">
        <f t="shared" si="5"/>
        <v>33500000</v>
      </c>
      <c r="I52" s="55">
        <f t="shared" si="5"/>
        <v>33500000</v>
      </c>
      <c r="J52" s="55">
        <f t="shared" si="5"/>
        <v>33500000</v>
      </c>
      <c r="K52" s="55">
        <f t="shared" si="5"/>
        <v>33500000</v>
      </c>
      <c r="L52" s="2"/>
      <c r="M52" s="2"/>
    </row>
    <row r="53" spans="1:13" ht="65.25" customHeight="1">
      <c r="A53" s="56" t="s">
        <v>34</v>
      </c>
      <c r="B53" s="51">
        <f t="shared" ref="B53:K53" si="6">B50-B52</f>
        <v>-254145769.70000005</v>
      </c>
      <c r="C53" s="51">
        <f t="shared" si="6"/>
        <v>103458988.10000014</v>
      </c>
      <c r="D53" s="51">
        <f t="shared" si="6"/>
        <v>121063745.89999998</v>
      </c>
      <c r="E53" s="51">
        <f t="shared" si="6"/>
        <v>138668503.70000017</v>
      </c>
      <c r="F53" s="51">
        <f t="shared" si="6"/>
        <v>156273261.5</v>
      </c>
      <c r="G53" s="51">
        <f t="shared" si="6"/>
        <v>173878019.29999971</v>
      </c>
      <c r="H53" s="51">
        <f t="shared" si="6"/>
        <v>191482777.0999999</v>
      </c>
      <c r="I53" s="51">
        <f t="shared" si="6"/>
        <v>209087534.9000001</v>
      </c>
      <c r="J53" s="51">
        <f t="shared" si="6"/>
        <v>226692292.70000029</v>
      </c>
      <c r="K53" s="51">
        <f t="shared" si="6"/>
        <v>244297050.5</v>
      </c>
      <c r="L53" s="2"/>
      <c r="M53" s="2"/>
    </row>
    <row r="54" spans="1:13" ht="15.75" customHeight="1">
      <c r="A54" s="57" t="s">
        <v>35</v>
      </c>
      <c r="B54" s="58">
        <f t="shared" ref="B54:K54" si="7">IF(B50&lt;0,0,B50*$B$31)</f>
        <v>0</v>
      </c>
      <c r="C54" s="58">
        <f t="shared" si="7"/>
        <v>27391797.620000031</v>
      </c>
      <c r="D54" s="58">
        <f t="shared" si="7"/>
        <v>30912749.179999996</v>
      </c>
      <c r="E54" s="58">
        <f t="shared" si="7"/>
        <v>34433700.740000032</v>
      </c>
      <c r="F54" s="58">
        <f t="shared" si="7"/>
        <v>37954652.300000004</v>
      </c>
      <c r="G54" s="58">
        <f t="shared" si="7"/>
        <v>41475603.859999947</v>
      </c>
      <c r="H54" s="58">
        <f t="shared" si="7"/>
        <v>44996555.419999987</v>
      </c>
      <c r="I54" s="58">
        <f t="shared" si="7"/>
        <v>48517506.980000019</v>
      </c>
      <c r="J54" s="58">
        <f t="shared" si="7"/>
        <v>52038458.540000059</v>
      </c>
      <c r="K54" s="58">
        <f t="shared" si="7"/>
        <v>55559410.100000001</v>
      </c>
      <c r="L54" s="2"/>
      <c r="M54" s="2"/>
    </row>
    <row r="55" spans="1:13" ht="15.75" customHeight="1">
      <c r="A55" s="59" t="s">
        <v>36</v>
      </c>
      <c r="B55" s="60">
        <f t="shared" ref="B55:K55" si="8">B50-B54</f>
        <v>-220645769.70000005</v>
      </c>
      <c r="C55" s="60">
        <f t="shared" si="8"/>
        <v>109567190.48000011</v>
      </c>
      <c r="D55" s="60">
        <f t="shared" si="8"/>
        <v>123650996.71999998</v>
      </c>
      <c r="E55" s="60">
        <f t="shared" si="8"/>
        <v>137734802.96000013</v>
      </c>
      <c r="F55" s="60">
        <f t="shared" si="8"/>
        <v>151818609.19999999</v>
      </c>
      <c r="G55" s="60">
        <f t="shared" si="8"/>
        <v>165902415.43999976</v>
      </c>
      <c r="H55" s="60">
        <f t="shared" si="8"/>
        <v>179986221.67999992</v>
      </c>
      <c r="I55" s="60">
        <f t="shared" si="8"/>
        <v>194070027.92000008</v>
      </c>
      <c r="J55" s="60">
        <f t="shared" si="8"/>
        <v>208153834.16000023</v>
      </c>
      <c r="K55" s="60">
        <f t="shared" si="8"/>
        <v>222237640.40000001</v>
      </c>
      <c r="L55" s="2"/>
      <c r="M55" s="2"/>
    </row>
    <row r="56" spans="1:13" ht="37.5" customHeight="1">
      <c r="A56" s="61" t="s">
        <v>37</v>
      </c>
      <c r="B56" s="62">
        <f t="shared" ref="B56:K56" si="9">B55+B52</f>
        <v>-187145769.70000005</v>
      </c>
      <c r="C56" s="62">
        <f t="shared" si="9"/>
        <v>143067190.48000011</v>
      </c>
      <c r="D56" s="62">
        <f t="shared" si="9"/>
        <v>157150996.71999997</v>
      </c>
      <c r="E56" s="62">
        <f t="shared" si="9"/>
        <v>171234802.96000013</v>
      </c>
      <c r="F56" s="62">
        <f t="shared" si="9"/>
        <v>185318609.19999999</v>
      </c>
      <c r="G56" s="62">
        <f t="shared" si="9"/>
        <v>199402415.43999976</v>
      </c>
      <c r="H56" s="62">
        <f t="shared" si="9"/>
        <v>213486221.67999992</v>
      </c>
      <c r="I56" s="62">
        <f t="shared" si="9"/>
        <v>227570027.92000008</v>
      </c>
      <c r="J56" s="62">
        <f t="shared" si="9"/>
        <v>241653834.16000023</v>
      </c>
      <c r="K56" s="62">
        <f t="shared" si="9"/>
        <v>255737640.40000001</v>
      </c>
      <c r="L56" s="2"/>
      <c r="M56" s="2"/>
    </row>
    <row r="57" spans="1:13" ht="39" customHeight="1">
      <c r="A57" s="63" t="s">
        <v>38</v>
      </c>
      <c r="B57" s="64">
        <f t="shared" ref="B57:K57" si="10">B56/(((1+$B$33)^B39))</f>
        <v>-187145769.70000005</v>
      </c>
      <c r="C57" s="64">
        <f t="shared" si="10"/>
        <v>124406252.59130445</v>
      </c>
      <c r="D57" s="64">
        <f t="shared" si="10"/>
        <v>118828730.97920604</v>
      </c>
      <c r="E57" s="64">
        <f t="shared" si="10"/>
        <v>112589662.50349317</v>
      </c>
      <c r="F57" s="64">
        <f t="shared" si="10"/>
        <v>105956516.27888697</v>
      </c>
      <c r="G57" s="64">
        <f t="shared" si="10"/>
        <v>99138241.919052392</v>
      </c>
      <c r="H57" s="64">
        <f t="shared" si="10"/>
        <v>92295984.979155973</v>
      </c>
      <c r="I57" s="64">
        <f t="shared" si="10"/>
        <v>85552002.671460375</v>
      </c>
      <c r="J57" s="64">
        <f t="shared" si="10"/>
        <v>78997067.043631673</v>
      </c>
      <c r="K57" s="64">
        <f t="shared" si="10"/>
        <v>72696598.509559423</v>
      </c>
      <c r="L57" s="2"/>
      <c r="M57" s="2"/>
    </row>
    <row r="58" spans="1:13" ht="43.5" customHeight="1">
      <c r="A58" s="65" t="s">
        <v>39</v>
      </c>
      <c r="B58" s="66">
        <f t="shared" ref="B58:K58" si="11">SUM($B$57:B57)</f>
        <v>-187145769.70000005</v>
      </c>
      <c r="C58" s="66">
        <f t="shared" si="11"/>
        <v>-62739517.108695596</v>
      </c>
      <c r="D58" s="66">
        <f t="shared" si="11"/>
        <v>56089213.870510444</v>
      </c>
      <c r="E58" s="66">
        <f t="shared" si="11"/>
        <v>168678876.37400362</v>
      </c>
      <c r="F58" s="66">
        <f t="shared" si="11"/>
        <v>274635392.65289056</v>
      </c>
      <c r="G58" s="66">
        <f t="shared" si="11"/>
        <v>373773634.57194293</v>
      </c>
      <c r="H58" s="66">
        <f t="shared" si="11"/>
        <v>466069619.55109888</v>
      </c>
      <c r="I58" s="66">
        <f t="shared" si="11"/>
        <v>551621622.22255921</v>
      </c>
      <c r="J58" s="66">
        <f t="shared" si="11"/>
        <v>630618689.26619089</v>
      </c>
      <c r="K58" s="66">
        <f t="shared" si="11"/>
        <v>703315287.77575028</v>
      </c>
      <c r="L58" s="2"/>
      <c r="M58" s="2"/>
    </row>
    <row r="59" spans="1:13" ht="15.7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2"/>
      <c r="M59" s="2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27"/>
      <c r="K60" s="27"/>
      <c r="L60" s="2"/>
      <c r="M60" s="2"/>
    </row>
    <row r="61" spans="1:13" ht="15.75" customHeight="1">
      <c r="A61" s="69"/>
      <c r="B61" s="70"/>
      <c r="C61" s="70"/>
      <c r="D61" s="70"/>
      <c r="E61" s="70"/>
      <c r="F61" s="70"/>
      <c r="G61" s="70"/>
      <c r="H61" s="70"/>
      <c r="I61" s="69"/>
      <c r="J61" s="27"/>
      <c r="K61" s="27"/>
      <c r="L61" s="2"/>
      <c r="M61" s="2"/>
    </row>
    <row r="62" spans="1:13" ht="15.75" customHeight="1">
      <c r="A62" s="71"/>
      <c r="B62" s="72">
        <f>IF(COUNTIF(58:58,"&lt;0")=10,"&gt;10",COUNTIF(58:58,"&lt;0"))</f>
        <v>2</v>
      </c>
      <c r="C62" s="73"/>
      <c r="D62" s="72">
        <f>SUM(B57:K57)</f>
        <v>703315287.77575028</v>
      </c>
      <c r="E62" s="73"/>
      <c r="F62" s="74">
        <f>IRR(56:56)</f>
        <v>0.84718639771028603</v>
      </c>
      <c r="G62" s="73"/>
      <c r="H62" s="72">
        <f>SUM('1'!B30:K30)</f>
        <v>74949.3</v>
      </c>
      <c r="I62" s="75"/>
      <c r="J62" s="76"/>
      <c r="K62" s="29"/>
      <c r="L62" s="2"/>
      <c r="M62" s="2"/>
    </row>
    <row r="63" spans="1:13" ht="93" customHeight="1">
      <c r="A63" s="71"/>
      <c r="B63" s="77" t="s">
        <v>40</v>
      </c>
      <c r="C63" s="78"/>
      <c r="D63" s="77" t="s">
        <v>41</v>
      </c>
      <c r="E63" s="78"/>
      <c r="F63" s="79" t="s">
        <v>42</v>
      </c>
      <c r="G63" s="78"/>
      <c r="H63" s="79" t="s">
        <v>43</v>
      </c>
      <c r="I63" s="75"/>
      <c r="J63" s="76"/>
      <c r="K63" s="29"/>
      <c r="L63" s="2"/>
      <c r="M63" s="2"/>
    </row>
    <row r="64" spans="1:13" ht="15.75" customHeight="1">
      <c r="A64" s="69"/>
      <c r="B64" s="80"/>
      <c r="C64" s="25"/>
      <c r="D64" s="81"/>
      <c r="E64" s="25"/>
      <c r="F64" s="25"/>
      <c r="G64" s="25"/>
      <c r="H64" s="25"/>
      <c r="I64" s="29"/>
      <c r="J64" s="29"/>
      <c r="K64" s="29"/>
      <c r="L64" s="2"/>
      <c r="M64" s="2"/>
    </row>
    <row r="65" spans="1:13" ht="15.75" customHeight="1">
      <c r="A65" s="82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"/>
      <c r="M65" s="2"/>
    </row>
    <row r="66" spans="1:13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2"/>
      <c r="M66" s="2"/>
    </row>
    <row r="67" spans="1:13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2"/>
      <c r="M67" s="2"/>
    </row>
    <row r="68" spans="1:13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2"/>
      <c r="M68" s="2"/>
    </row>
    <row r="69" spans="1:13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2"/>
      <c r="M69" s="2"/>
    </row>
    <row r="70" spans="1:13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2"/>
      <c r="M70" s="2"/>
    </row>
    <row r="71" spans="1:13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2"/>
      <c r="M71" s="2"/>
    </row>
    <row r="72" spans="1:13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2"/>
      <c r="M72" s="2"/>
    </row>
    <row r="73" spans="1:1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2"/>
      <c r="M73" s="2"/>
    </row>
    <row r="74" spans="1:13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2"/>
      <c r="M74" s="2"/>
    </row>
    <row r="75" spans="1:13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2"/>
      <c r="M75" s="2"/>
    </row>
    <row r="76" spans="1:13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2"/>
      <c r="M76" s="2"/>
    </row>
    <row r="77" spans="1:13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2"/>
      <c r="M77" s="2"/>
    </row>
    <row r="78" spans="1:13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2"/>
      <c r="M78" s="2"/>
    </row>
    <row r="79" spans="1:13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2"/>
      <c r="M79" s="2"/>
    </row>
    <row r="80" spans="1:13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2"/>
      <c r="M80" s="2"/>
    </row>
    <row r="81" spans="1:13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2"/>
      <c r="M81" s="2"/>
    </row>
    <row r="82" spans="1:13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2"/>
      <c r="M82" s="2"/>
    </row>
    <row r="83" spans="1:13" ht="15.75" customHeight="1">
      <c r="A83" s="2"/>
      <c r="B83" s="2"/>
    </row>
    <row r="84" spans="1:13" ht="15.75" customHeight="1">
      <c r="A84" s="2"/>
      <c r="B84" s="2"/>
    </row>
    <row r="85" spans="1:13" ht="15.75" customHeight="1"/>
    <row r="86" spans="1:13" ht="15.75" customHeight="1"/>
    <row r="87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spans="1:2" ht="15.75" customHeight="1"/>
    <row r="98" spans="1:2" ht="15.75" customHeight="1"/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</sheetData>
  <mergeCells count="1">
    <mergeCell ref="G1:K6"/>
  </mergeCells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'1'!$A$9:$A$9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L8" sqref="L8"/>
    </sheetView>
  </sheetViews>
  <sheetFormatPr defaultColWidth="14.42578125" defaultRowHeight="15" customHeight="1" outlineLevelRow="1"/>
  <cols>
    <col min="1" max="1" width="43.7109375" customWidth="1"/>
    <col min="2" max="2" width="17.7109375" customWidth="1"/>
    <col min="3" max="3" width="15.42578125" customWidth="1"/>
    <col min="4" max="4" width="15.7109375" customWidth="1"/>
  </cols>
  <sheetData>
    <row r="1" spans="1:26" ht="15.75" customHeight="1" outlineLevel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26" ht="30.75" customHeight="1" outlineLevel="1">
      <c r="A2" s="116" t="s">
        <v>44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27" customHeight="1" outlineLevel="1">
      <c r="A3" s="119" t="s">
        <v>45</v>
      </c>
      <c r="B3" s="117"/>
      <c r="C3" s="117"/>
      <c r="D3" s="117"/>
      <c r="E3" s="117"/>
      <c r="F3" s="117"/>
      <c r="G3" s="117"/>
      <c r="H3" s="117"/>
      <c r="I3" s="117"/>
      <c r="J3" s="117"/>
      <c r="K3" s="118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 outlineLevel="1">
      <c r="A4" s="87" t="s">
        <v>46</v>
      </c>
      <c r="B4" s="88">
        <v>2025</v>
      </c>
      <c r="C4" s="88">
        <v>2026</v>
      </c>
      <c r="D4" s="88">
        <v>2027</v>
      </c>
      <c r="E4" s="88">
        <v>2028</v>
      </c>
      <c r="F4" s="88">
        <v>2029</v>
      </c>
      <c r="G4" s="88">
        <v>2030</v>
      </c>
      <c r="H4" s="88">
        <v>2031</v>
      </c>
      <c r="I4" s="88">
        <v>2032</v>
      </c>
      <c r="J4" s="88">
        <v>2033</v>
      </c>
      <c r="K4" s="88">
        <v>2034</v>
      </c>
    </row>
    <row r="5" spans="1:26" ht="15.75" customHeight="1" outlineLevel="1">
      <c r="A5" s="89" t="s">
        <v>47</v>
      </c>
      <c r="B5" s="90">
        <f>'Tính toán tài chính đầu tư trạm'!B21</f>
        <v>0.45</v>
      </c>
      <c r="C5" s="90">
        <f t="shared" ref="C5:J5" si="0">($K$5-$B$5)/9+B5</f>
        <v>0.48333333333333334</v>
      </c>
      <c r="D5" s="90">
        <f t="shared" si="0"/>
        <v>0.51666666666666672</v>
      </c>
      <c r="E5" s="90">
        <f t="shared" si="0"/>
        <v>0.55000000000000004</v>
      </c>
      <c r="F5" s="90">
        <f t="shared" si="0"/>
        <v>0.58333333333333337</v>
      </c>
      <c r="G5" s="90">
        <f t="shared" si="0"/>
        <v>0.6166666666666667</v>
      </c>
      <c r="H5" s="90">
        <f t="shared" si="0"/>
        <v>0.65</v>
      </c>
      <c r="I5" s="90">
        <f t="shared" si="0"/>
        <v>0.68333333333333335</v>
      </c>
      <c r="J5" s="90">
        <f t="shared" si="0"/>
        <v>0.71666666666666667</v>
      </c>
      <c r="K5" s="90">
        <f>'Tính toán tài chính đầu tư trạm'!C21</f>
        <v>0.75</v>
      </c>
    </row>
    <row r="6" spans="1:26" ht="15.75" customHeight="1" outlineLevel="1">
      <c r="A6" s="89"/>
      <c r="B6" s="86"/>
      <c r="C6" s="86"/>
      <c r="D6" s="86"/>
      <c r="E6" s="86"/>
      <c r="F6" s="86"/>
      <c r="G6" s="86"/>
      <c r="H6" s="86"/>
      <c r="I6" s="86"/>
      <c r="J6" s="86"/>
      <c r="K6" s="86"/>
    </row>
    <row r="7" spans="1:26" ht="15.75" customHeight="1" outlineLevel="1">
      <c r="A7" s="89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26" ht="39" customHeight="1" outlineLevel="1">
      <c r="A8" s="91"/>
      <c r="B8" s="92" t="s">
        <v>48</v>
      </c>
      <c r="C8" s="92" t="s">
        <v>49</v>
      </c>
      <c r="D8" s="92" t="s">
        <v>50</v>
      </c>
      <c r="E8" s="93"/>
      <c r="F8" s="93"/>
      <c r="G8" s="93"/>
      <c r="H8" s="93"/>
      <c r="I8" s="93"/>
      <c r="J8" s="93"/>
      <c r="K8" s="9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 outlineLevel="1">
      <c r="A9" s="87" t="s">
        <v>51</v>
      </c>
      <c r="B9" s="11">
        <v>30</v>
      </c>
      <c r="C9" s="94">
        <v>5000000</v>
      </c>
      <c r="D9" s="94">
        <v>40</v>
      </c>
      <c r="E9" s="86"/>
      <c r="F9" s="86"/>
      <c r="G9" s="86"/>
      <c r="H9" s="86"/>
      <c r="I9" s="86"/>
      <c r="J9" s="86"/>
      <c r="K9" s="86"/>
    </row>
    <row r="10" spans="1:26" ht="15.75" customHeight="1" outlineLevel="1">
      <c r="A10" s="89"/>
      <c r="B10" s="86"/>
      <c r="C10" s="86"/>
      <c r="D10" s="86"/>
      <c r="E10" s="86"/>
      <c r="F10" s="86"/>
      <c r="G10" s="86"/>
      <c r="H10" s="86"/>
      <c r="I10" s="86"/>
      <c r="J10" s="86"/>
      <c r="K10" s="86"/>
    </row>
    <row r="11" spans="1:26" ht="15.75" customHeight="1" outlineLevel="1">
      <c r="A11" s="2"/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26" ht="20.25" customHeight="1" outlineLevel="1">
      <c r="A12" s="95" t="s">
        <v>52</v>
      </c>
      <c r="B12" s="96" t="s">
        <v>53</v>
      </c>
      <c r="C12" s="96" t="s">
        <v>54</v>
      </c>
      <c r="D12" s="96" t="s">
        <v>55</v>
      </c>
      <c r="E12" s="93"/>
      <c r="F12" s="93"/>
      <c r="G12" s="93"/>
      <c r="H12" s="93"/>
      <c r="I12" s="93"/>
      <c r="J12" s="93"/>
      <c r="K12" s="93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 outlineLevel="1">
      <c r="A13" s="2" t="s">
        <v>56</v>
      </c>
      <c r="B13" s="97">
        <f>VLOOKUP('Tính toán tài chính đầu tư trạm'!$B$12,A9:D9,2,FALSE())</f>
        <v>30</v>
      </c>
      <c r="C13" s="97">
        <v>20</v>
      </c>
      <c r="D13" s="98">
        <v>20</v>
      </c>
      <c r="E13" s="86"/>
      <c r="F13" s="86"/>
      <c r="G13" s="86"/>
      <c r="H13" s="86"/>
      <c r="I13" s="86"/>
      <c r="J13" s="86"/>
      <c r="K13" s="86"/>
    </row>
    <row r="14" spans="1:26" ht="18" customHeight="1" outlineLevel="1">
      <c r="A14" s="47" t="s">
        <v>57</v>
      </c>
      <c r="B14" s="99">
        <v>23</v>
      </c>
      <c r="C14" s="99">
        <v>17</v>
      </c>
      <c r="D14" s="99">
        <v>17</v>
      </c>
      <c r="E14" s="93"/>
      <c r="F14" s="93"/>
      <c r="G14" s="93"/>
      <c r="H14" s="93"/>
      <c r="I14" s="93"/>
      <c r="J14" s="93"/>
      <c r="K14" s="93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 outlineLevel="1">
      <c r="A15" s="2"/>
      <c r="D15" s="86"/>
      <c r="E15" s="86"/>
      <c r="F15" s="86"/>
      <c r="G15" s="86"/>
      <c r="H15" s="86"/>
      <c r="I15" s="86"/>
      <c r="J15" s="86"/>
      <c r="K15" s="86"/>
    </row>
    <row r="16" spans="1:26" ht="15.75" customHeight="1" outlineLevel="1">
      <c r="A16" s="2"/>
      <c r="D16" s="86"/>
      <c r="E16" s="86"/>
      <c r="F16" s="86"/>
      <c r="G16" s="86"/>
      <c r="H16" s="86"/>
      <c r="I16" s="86"/>
      <c r="J16" s="86"/>
      <c r="K16" s="86"/>
    </row>
    <row r="17" spans="1:26" ht="34.5" customHeight="1" outlineLevel="1">
      <c r="A17" s="100" t="s">
        <v>58</v>
      </c>
      <c r="B17" s="99">
        <f t="shared" ref="B17:K17" si="1">($B$14+$C$14+$D$14)*B5*24*365.25</f>
        <v>224847.9</v>
      </c>
      <c r="C17" s="99">
        <f t="shared" si="1"/>
        <v>241503.30000000002</v>
      </c>
      <c r="D17" s="99">
        <f t="shared" si="1"/>
        <v>258158.7</v>
      </c>
      <c r="E17" s="99">
        <f t="shared" si="1"/>
        <v>274814.10000000003</v>
      </c>
      <c r="F17" s="99">
        <f t="shared" si="1"/>
        <v>291469.5</v>
      </c>
      <c r="G17" s="99">
        <f t="shared" si="1"/>
        <v>308124.89999999997</v>
      </c>
      <c r="H17" s="99">
        <f t="shared" si="1"/>
        <v>324780.3</v>
      </c>
      <c r="I17" s="99">
        <f t="shared" si="1"/>
        <v>341435.7</v>
      </c>
      <c r="J17" s="99">
        <f t="shared" si="1"/>
        <v>358091.10000000003</v>
      </c>
      <c r="K17" s="99">
        <f t="shared" si="1"/>
        <v>374746.5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 outlineLevel="1">
      <c r="A18" s="2"/>
      <c r="D18" s="86"/>
      <c r="E18" s="86"/>
      <c r="F18" s="86"/>
      <c r="G18" s="86"/>
      <c r="H18" s="86"/>
      <c r="I18" s="86"/>
      <c r="J18" s="86"/>
      <c r="K18" s="86"/>
    </row>
    <row r="19" spans="1:26" ht="33" customHeight="1" outlineLevel="1">
      <c r="A19" s="101" t="s">
        <v>59</v>
      </c>
      <c r="B19" s="102">
        <f>B17*'Tính toán tài chính đầu tư trạm'!$B$23</f>
        <v>966845970</v>
      </c>
      <c r="C19" s="102">
        <f>C17*'Tính toán tài chính đầu tư trạm'!$B$23</f>
        <v>1038464190.0000001</v>
      </c>
      <c r="D19" s="102">
        <f>D17*'Tính toán tài chính đầu tư trạm'!$B$23</f>
        <v>1110082410</v>
      </c>
      <c r="E19" s="102">
        <f>E17*'Tính toán tài chính đầu tư trạm'!$B$23</f>
        <v>1181700630.0000002</v>
      </c>
      <c r="F19" s="102">
        <f>F17*'Tính toán tài chính đầu tư trạm'!$B$23</f>
        <v>1253318850</v>
      </c>
      <c r="G19" s="102">
        <f>G17*'Tính toán tài chính đầu tư trạm'!$B$23</f>
        <v>1324937069.9999998</v>
      </c>
      <c r="H19" s="102">
        <f>H17*'Tính toán tài chính đầu tư trạm'!$B$23</f>
        <v>1396555290</v>
      </c>
      <c r="I19" s="102">
        <f>I17*'Tính toán tài chính đầu tư trạm'!$B$23</f>
        <v>1468173510</v>
      </c>
      <c r="J19" s="102">
        <f>J17*'Tính toán tài chính đầu tư trạm'!$B$23</f>
        <v>1539791730.0000002</v>
      </c>
      <c r="K19" s="102">
        <f>K17*'Tính toán tài chính đầu tư trạm'!$B$23</f>
        <v>1611409950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36" customHeight="1" outlineLevel="1">
      <c r="A20" s="101" t="s">
        <v>60</v>
      </c>
      <c r="B20" s="102">
        <f>B17*'Tính toán tài chính đầu tư trạm'!$B$25</f>
        <v>719513280</v>
      </c>
      <c r="C20" s="102">
        <f>C17*'Tính toán tài chính đầu tư trạm'!$B$25</f>
        <v>772810560</v>
      </c>
      <c r="D20" s="102">
        <f>D17*'Tính toán tài chính đầu tư trạm'!$B$25</f>
        <v>826107840</v>
      </c>
      <c r="E20" s="102">
        <f>E17*'Tính toán tài chính đầu tư trạm'!$B$25</f>
        <v>879405120.00000012</v>
      </c>
      <c r="F20" s="102">
        <f>F17*'Tính toán tài chính đầu tư trạm'!$B$25</f>
        <v>932702400</v>
      </c>
      <c r="G20" s="102">
        <f>G17*'Tính toán tài chính đầu tư trạm'!$B$25</f>
        <v>985999679.99999988</v>
      </c>
      <c r="H20" s="102">
        <f>H17*'Tính toán tài chính đầu tư trạm'!$B$25</f>
        <v>1039296960</v>
      </c>
      <c r="I20" s="102">
        <f>I17*'Tính toán tài chính đầu tư trạm'!$B$25</f>
        <v>1092594240</v>
      </c>
      <c r="J20" s="102">
        <f>J17*'Tính toán tài chính đầu tư trạm'!$B$25</f>
        <v>1145891520</v>
      </c>
      <c r="K20" s="102">
        <f>K17*'Tính toán tài chính đầu tư trạm'!$B$25</f>
        <v>1199188800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outlineLevel="1">
      <c r="A21" s="89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26" ht="15.75" customHeight="1" outlineLevel="1">
      <c r="A22" s="89"/>
      <c r="B22" s="86"/>
      <c r="C22" s="86"/>
      <c r="D22" s="86"/>
      <c r="E22" s="86"/>
      <c r="F22" s="86"/>
      <c r="G22" s="86"/>
      <c r="H22" s="86"/>
      <c r="I22" s="86"/>
      <c r="J22" s="86"/>
      <c r="K22" s="86"/>
    </row>
    <row r="23" spans="1:26" ht="30.75" customHeight="1" outlineLevel="1">
      <c r="A23" s="103" t="s">
        <v>61</v>
      </c>
      <c r="B23" s="104">
        <v>0.05</v>
      </c>
      <c r="C23" s="93"/>
      <c r="D23" s="93"/>
      <c r="E23" s="93"/>
      <c r="F23" s="93"/>
      <c r="G23" s="93"/>
      <c r="H23" s="93"/>
      <c r="I23" s="93"/>
      <c r="J23" s="93"/>
      <c r="K23" s="93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 outlineLevel="1">
      <c r="A24" s="89"/>
      <c r="B24" s="86"/>
      <c r="C24" s="86"/>
      <c r="D24" s="86"/>
      <c r="E24" s="86"/>
      <c r="F24" s="86"/>
      <c r="G24" s="86"/>
      <c r="H24" s="86"/>
      <c r="I24" s="86"/>
      <c r="J24" s="86"/>
      <c r="K24" s="86"/>
    </row>
    <row r="25" spans="1:26" ht="15.75" customHeight="1" outlineLevel="1">
      <c r="A25" s="89"/>
      <c r="B25" s="86"/>
      <c r="C25" s="86"/>
      <c r="D25" s="86"/>
      <c r="E25" s="86"/>
      <c r="F25" s="86"/>
      <c r="G25" s="86"/>
      <c r="H25" s="86"/>
      <c r="I25" s="86"/>
      <c r="J25" s="86"/>
      <c r="K25" s="86"/>
    </row>
    <row r="26" spans="1:26" ht="55.5" customHeight="1" outlineLevel="1">
      <c r="A26" s="89"/>
      <c r="B26" s="105" t="s">
        <v>62</v>
      </c>
      <c r="C26" s="106" t="s">
        <v>63</v>
      </c>
      <c r="D26" s="86"/>
      <c r="E26" s="86"/>
      <c r="F26" s="86"/>
      <c r="G26" s="86"/>
      <c r="H26" s="86"/>
      <c r="I26" s="86"/>
      <c r="J26" s="86"/>
      <c r="K26" s="86"/>
    </row>
    <row r="27" spans="1:26" ht="107.25" customHeight="1" outlineLevel="1">
      <c r="A27" s="107" t="s">
        <v>64</v>
      </c>
      <c r="B27" s="108">
        <v>0.01</v>
      </c>
      <c r="C27" s="102">
        <f>60*26000</f>
        <v>1560000</v>
      </c>
      <c r="D27" s="86"/>
      <c r="E27" s="86"/>
      <c r="F27" s="86"/>
      <c r="G27" s="86"/>
      <c r="H27" s="86"/>
      <c r="I27" s="86"/>
      <c r="J27" s="86"/>
      <c r="K27" s="86"/>
    </row>
    <row r="28" spans="1:26" ht="15.75" customHeight="1" outlineLevel="1">
      <c r="A28" s="89"/>
      <c r="B28" s="86"/>
      <c r="C28" s="86"/>
      <c r="D28" s="86"/>
      <c r="E28" s="86"/>
      <c r="F28" s="86"/>
      <c r="G28" s="86"/>
      <c r="H28" s="86"/>
      <c r="I28" s="86"/>
      <c r="J28" s="86"/>
      <c r="K28" s="86"/>
    </row>
    <row r="29" spans="1:26" ht="15.75" customHeight="1" outlineLevel="1">
      <c r="A29" s="89"/>
      <c r="B29" s="86"/>
      <c r="C29" s="86"/>
      <c r="D29" s="86"/>
      <c r="E29" s="86"/>
      <c r="F29" s="86"/>
      <c r="G29" s="86"/>
      <c r="H29" s="86"/>
      <c r="I29" s="86"/>
      <c r="J29" s="86"/>
      <c r="K29" s="86"/>
    </row>
    <row r="30" spans="1:26" ht="15.75" customHeight="1" outlineLevel="1">
      <c r="A30" s="89" t="s">
        <v>65</v>
      </c>
      <c r="B30" s="109">
        <f>B17/(VLOOKUP('Tính toán tài chính đầu tư trạm'!$B$12,$A$9:$D$9,4,FALSE()))</f>
        <v>5621.1975000000002</v>
      </c>
      <c r="C30" s="109">
        <f>C17/(VLOOKUP('Tính toán tài chính đầu tư trạm'!$B$12,$A$9:$D$9,4,FALSE()))</f>
        <v>6037.5825000000004</v>
      </c>
      <c r="D30" s="109">
        <f>D17/(VLOOKUP('Tính toán tài chính đầu tư trạm'!$B$12,$A$9:$D$9,4,FALSE()))</f>
        <v>6453.9675000000007</v>
      </c>
      <c r="E30" s="109">
        <f>E17/(VLOOKUP('Tính toán tài chính đầu tư trạm'!$B$12,$A$9:$D$9,4,FALSE()))</f>
        <v>6870.3525000000009</v>
      </c>
      <c r="F30" s="109">
        <f>F17/(VLOOKUP('Tính toán tài chính đầu tư trạm'!$B$12,$A$9:$D$9,4,FALSE()))</f>
        <v>7286.7375000000002</v>
      </c>
      <c r="G30" s="109">
        <f>G17/(VLOOKUP('Tính toán tài chính đầu tư trạm'!$B$12,$A$9:$D$9,4,FALSE()))</f>
        <v>7703.1224999999995</v>
      </c>
      <c r="H30" s="109">
        <f>H17/(VLOOKUP('Tính toán tài chính đầu tư trạm'!$B$12,$A$9:$D$9,4,FALSE()))</f>
        <v>8119.5074999999997</v>
      </c>
      <c r="I30" s="109">
        <f>I17/(VLOOKUP('Tính toán tài chính đầu tư trạm'!$B$12,$A$9:$D$9,4,FALSE()))</f>
        <v>8535.8924999999999</v>
      </c>
      <c r="J30" s="109">
        <f>J17/(VLOOKUP('Tính toán tài chính đầu tư trạm'!$B$12,$A$9:$D$9,4,FALSE()))</f>
        <v>8952.2775000000001</v>
      </c>
      <c r="K30" s="109">
        <f>K17/(VLOOKUP('Tính toán tài chính đầu tư trạm'!$B$12,$A$9:$D$9,4,FALSE()))</f>
        <v>9368.6625000000004</v>
      </c>
    </row>
    <row r="31" spans="1:26" ht="15.75" customHeight="1" outlineLevel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</row>
    <row r="32" spans="1:26" ht="15.75" customHeight="1" outlineLevel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</row>
    <row r="33" spans="1:11" ht="15.75" customHeight="1" outlineLevel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</row>
    <row r="34" spans="1:11" ht="15.75" customHeight="1" outlineLevel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</row>
    <row r="35" spans="1:11" ht="15.75" customHeight="1" outlineLevel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</row>
    <row r="36" spans="1:11" ht="15.75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</row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2:K2"/>
    <mergeCell ref="A3:K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Tính toán tài chính đầu tư trạm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quyền nguyễn văn</cp:lastModifiedBy>
  <dcterms:created xsi:type="dcterms:W3CDTF">2024-05-22T16:46:17Z</dcterms:created>
  <dcterms:modified xsi:type="dcterms:W3CDTF">2025-04-04T10:26:54Z</dcterms:modified>
</cp:coreProperties>
</file>