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5a61ef8c6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cbb7d87ae1e4cdc"/>
    <x:sheet xmlns:r="http://schemas.openxmlformats.org/officeDocument/2006/relationships" name="Full Historical Literature" sheetId="2" r:id="R26022f6043734d5c"/>
    <x:sheet xmlns:r="http://schemas.openxmlformats.org/officeDocument/2006/relationships" name="Core Lineage Literature" sheetId="3" r:id="R9e47fd12414f476d"/>
    <x:sheet xmlns:r="http://schemas.openxmlformats.org/officeDocument/2006/relationships" name="2020-2026 Frontier" sheetId="4" r:id="R182b0404f830403b"/>
    <x:sheet xmlns:r="http://schemas.openxmlformats.org/officeDocument/2006/relationships" name="HD+ Literature" sheetId="5" r:id="R4b9c2b170260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3"/>
      <x:color rgb="FFFFFFFF"/>
      <x:name val="Carlito"/>
    </x:font>
    <x:font>
      <x:sz val="11"/>
      <x:color rgb="FF6B4F00"/>
      <x:name val="Carlito"/>
    </x:font>
    <x:font>
      <x:sz val="11"/>
      <x:color rgb="FF164E50"/>
      <x:name val="Carlito"/>
    </x:font>
    <x:font>
      <x:b/>
      <x:sz val="10"/>
      <x:color rgb="FFFFFFFF"/>
      <x:name val="Aptos"/>
    </x:font>
    <x:font>
      <x:i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sz val="10"/>
      <x:color rgb="FF6B4F00"/>
      <x:name val="Aptos"/>
    </x:font>
    <x:font>
      <x:sz val="10"/>
      <x:color rgb="FF164E50"/>
      <x:name val="Aptos"/>
    </x:font>
    <x:font>
      <x:b/>
      <x:sz val="16"/>
      <x:color rgb="FFFFFFFF"/>
      <x:name val="Carlito"/>
    </x:font>
    <x:font>
      <x:i/>
      <x:sz val="10"/>
      <x:color rgb="FFFFFFFF"/>
      <x:name val="Carlito"/>
    </x:font>
    <x:font>
      <x:sz val="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7D7F"/>
      </x:patternFill>
    </x:fill>
    <x:fill>
      <x:patternFill patternType="solid">
        <x:fgColor rgb="FF245E91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E3F2F1"/>
      </x:patternFill>
    </x:fill>
    <x:fill>
      <x:patternFill patternType="solid">
        <x:fgColor rgb="FFF6F8FA"/>
      </x:patternFill>
    </x:fill>
  </x:fills>
  <x:borders count="24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medium">
        <x:color rgb="FFE6B450"/>
      </x:left>
      <x:top style="medium">
        <x:color rgb="FFE6B450"/>
      </x:top>
    </x:border>
    <x:border>
      <x:top style="medium">
        <x:color rgb="FFE6B450"/>
      </x:top>
    </x:border>
    <x:border>
      <x:right style="medium">
        <x:color rgb="FFE6B450"/>
      </x:right>
      <x:top style="medium">
        <x:color rgb="FFE6B450"/>
      </x:top>
    </x:border>
    <x:border>
      <x:left style="medium">
        <x:color rgb="FFE6B450"/>
      </x:left>
    </x:border>
    <x:border>
      <x:right style="medium">
        <x:color rgb="FFE6B450"/>
      </x:right>
    </x:border>
    <x:border>
      <x:left style="medium">
        <x:color rgb="FFE6B450"/>
      </x:left>
      <x:bottom style="medium">
        <x:color rgb="FFE6B450"/>
      </x:bottom>
    </x:border>
    <x:border>
      <x:bottom style="medium">
        <x:color rgb="FFE6B450"/>
      </x:bottom>
    </x:border>
    <x:border>
      <x:right style="medium">
        <x:color rgb="FFE6B450"/>
      </x:right>
      <x:bottom style="medium">
        <x:color rgb="FFE6B450"/>
      </x:bottom>
    </x:border>
    <x:border>
      <x:left style="medium">
        <x:color rgb="FF167D7F"/>
      </x:left>
      <x:top style="medium">
        <x:color rgb="FF167D7F"/>
      </x:top>
    </x:border>
    <x:border>
      <x:top style="medium">
        <x:color rgb="FF167D7F"/>
      </x:top>
    </x:border>
    <x:border>
      <x:right style="medium">
        <x:color rgb="FF167D7F"/>
      </x:right>
      <x:top style="medium">
        <x:color rgb="FF167D7F"/>
      </x:top>
    </x:border>
    <x:border>
      <x:left style="medium">
        <x:color rgb="FF167D7F"/>
      </x:left>
    </x:border>
    <x:border>
      <x:right style="medium">
        <x:color rgb="FF167D7F"/>
      </x:right>
    </x:border>
    <x:border>
      <x:left style="medium">
        <x:color rgb="FF167D7F"/>
      </x:left>
      <x:bottom style="medium">
        <x:color rgb="FF167D7F"/>
      </x:bottom>
    </x:border>
    <x:border>
      <x:bottom style="medium">
        <x:color rgb="FF167D7F"/>
      </x:bottom>
    </x:border>
    <x:border>
      <x:right style="medium">
        <x:color rgb="FF167D7F"/>
      </x:right>
      <x:bottom style="medium">
        <x:color rgb="FF167D7F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top style="thin">
        <x:color rgb="FFD0D7DE"/>
      </x:top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200" fontId="11" fillId="5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12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4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6" xfId="0" applyNumberFormat="1" applyFont="1" applyFill="1" applyBorder="1" applyAlignment="1">
      <x:alignment vertical="center" wrapText="1"/>
    </x:xf>
    <x:xf numFmtId="0" fontId="12" fillId="6" borderId="7" xfId="0" applyNumberFormat="1" applyFont="1" applyFill="1" applyBorder="1" applyAlignment="1">
      <x:alignment vertical="center" wrapText="1"/>
    </x:xf>
    <x:xf numFmtId="0" fontId="12" fillId="6" borderId="8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13" fillId="7" borderId="10" xfId="0" applyNumberFormat="1" applyFont="1" applyFill="1" applyBorder="1" applyAlignment="1">
      <x:alignment vertical="center" wrapText="1"/>
    </x:xf>
    <x:xf numFmtId="0" fontId="13" fillId="7" borderId="11" xfId="0" applyNumberFormat="1" applyFont="1" applyFill="1" applyBorder="1" applyAlignment="1">
      <x:alignment vertical="center" wrapText="1"/>
    </x:xf>
    <x:xf numFmtId="0" fontId="13" fillId="7" borderId="12" xfId="0" applyNumberFormat="1" applyFont="1" applyFill="1" applyBorder="1" applyAlignment="1">
      <x:alignment vertical="center" wrapText="1"/>
    </x:xf>
    <x:xf numFmtId="0" fontId="13" fillId="7" borderId="13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14" xfId="0" applyNumberFormat="1" applyFont="1" applyFill="1" applyBorder="1" applyAlignment="1">
      <x:alignment vertical="center" wrapText="1"/>
    </x:xf>
    <x:xf numFmtId="0" fontId="13" fillId="7" borderId="15" xfId="0" applyNumberFormat="1" applyFont="1" applyFill="1" applyBorder="1" applyAlignment="1">
      <x:alignment vertical="center" wrapText="1"/>
    </x:xf>
    <x:xf numFmtId="0" fontId="13" fillId="7" borderId="16" xfId="0" applyNumberFormat="1" applyFont="1" applyFill="1" applyBorder="1" applyAlignment="1">
      <x:alignment vertical="center" wrapText="1"/>
    </x:xf>
    <x:xf numFmtId="0" fontId="13" fillId="7" borderId="17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21" xfId="0" applyNumberFormat="1" applyFont="1" applyFill="1" applyBorder="1"/>
    <x:xf numFmtId="0" fontId="16" fillId="0" borderId="22" xfId="0" applyNumberFormat="1" applyFont="1" applyFill="1" applyBorder="1"/>
    <x:xf numFmtId="0" fontId="16" fillId="0" borderId="23" xfId="0" applyNumberFormat="1" applyFont="1" applyFill="1" applyBorder="1"/>
    <x:xf numFmtId="0" fontId="16" fillId="0" borderId="21" xfId="0" applyNumberFormat="1" applyFont="1" applyFill="1" applyBorder="1" applyAlignment="1">
      <x:alignment wrapText="1"/>
    </x:xf>
    <x:xf numFmtId="0" fontId="16" fillId="0" borderId="22" xfId="0" applyNumberFormat="1" applyFont="1" applyFill="1" applyBorder="1" applyAlignment="1">
      <x:alignment wrapText="1"/>
    </x:xf>
    <x:xf numFmtId="0" fontId="16" fillId="0" borderId="23" xfId="0" applyNumberFormat="1" applyFont="1" applyFill="1" applyBorder="1" applyAlignment="1">
      <x:alignment wrapText="1"/>
    </x:xf>
    <x:xf numFmtId="0" fontId="16" fillId="0" borderId="21" xfId="0" applyNumberFormat="1" applyFont="1" applyFill="1" applyBorder="1" applyAlignment="1">
      <x:alignment vertical="top" wrapText="1"/>
    </x:xf>
    <x:xf numFmtId="0" fontId="16" fillId="0" borderId="22" xfId="0" applyNumberFormat="1" applyFont="1" applyFill="1" applyBorder="1" applyAlignment="1">
      <x:alignment vertical="top" wrapText="1"/>
    </x:xf>
    <x:xf numFmtId="0" fontId="16" fillId="0" borderId="23" xfId="0" applyNumberFormat="1" applyFont="1" applyFill="1" applyBorder="1" applyAlignment="1">
      <x:alignment vertical="top" wrapText="1"/>
    </x:xf>
    <x:xf numFmtId="0" fontId="16" fillId="8" borderId="21" xfId="0" applyNumberFormat="1" applyFont="1" applyFill="1" applyBorder="1" applyAlignment="1">
      <x:alignment vertical="top" wrapText="1"/>
    </x:xf>
    <x:xf numFmtId="0" fontId="16" fillId="8" borderId="22" xfId="0" applyNumberFormat="1" applyFont="1" applyFill="1" applyBorder="1" applyAlignment="1">
      <x:alignment vertical="top" wrapText="1"/>
    </x:xf>
    <x:xf numFmtId="0" fontId="16" fillId="8" borderId="23" xfId="0" applyNumberFormat="1" applyFont="1" applyFill="1" applyBorder="1" applyAlignment="1">
      <x:alignment vertical="top" wrapText="1"/>
    </x:xf>
    <x:xf numFmtId="201" fontId="16" fillId="8" borderId="21" xfId="0" applyNumberFormat="1" applyFont="1" applyFill="1" applyBorder="1" applyAlignment="1">
      <x:alignment vertical="top" wrapText="1"/>
    </x:xf>
    <x:xf numFmtId="201" fontId="16" fillId="0" borderId="22" xfId="0" applyNumberFormat="1" applyFont="1" applyFill="1" applyBorder="1" applyAlignment="1">
      <x:alignment vertical="top" wrapText="1"/>
    </x:xf>
    <x:xf numFmtId="201" fontId="16" fillId="8" borderId="22" xfId="0" applyNumberFormat="1" applyFont="1" applyFill="1" applyBorder="1" applyAlignment="1">
      <x:alignment vertical="top" wrapText="1"/>
    </x:xf>
    <x:xf numFmtId="201" fontId="16" fillId="8" borderId="23" xfId="0" applyNumberFormat="1" applyFont="1" applyFill="1" applyBorder="1" applyAlignment="1">
      <x:alignment vertical="top" wrapText="1"/>
    </x:xf>
    <x:xf numFmtId="201" fontId="16" fillId="8" borderId="21" xfId="0" applyNumberFormat="1" applyFont="1" applyFill="1" applyBorder="1" applyAlignment="1">
      <x:alignment horizontal="center" vertical="top" wrapText="1"/>
    </x:xf>
    <x:xf numFmtId="201" fontId="16" fillId="0" borderId="22" xfId="0" applyNumberFormat="1" applyFont="1" applyFill="1" applyBorder="1" applyAlignment="1">
      <x:alignment horizontal="center" vertical="top" wrapText="1"/>
    </x:xf>
    <x:xf numFmtId="201" fontId="16" fillId="8" borderId="22" xfId="0" applyNumberFormat="1" applyFont="1" applyFill="1" applyBorder="1" applyAlignment="1">
      <x:alignment horizontal="center" vertical="top" wrapText="1"/>
    </x:xf>
    <x:xf numFmtId="201" fontId="16" fillId="8" borderId="23" xfId="0" applyNumberFormat="1" applyFont="1" applyFill="1" applyBorder="1" applyAlignment="1">
      <x:alignment horizontal="center" vertical="top" wrapText="1"/>
    </x:xf>
    <x:xf numFmtId="0" fontId="16" fillId="8" borderId="21" xfId="0" applyNumberFormat="1" applyFont="1" applyFill="1" applyBorder="1" applyAlignment="1">
      <x:alignment horizontal="center" vertical="top" wrapText="1"/>
    </x:xf>
    <x:xf numFmtId="0" fontId="16" fillId="0" borderId="22" xfId="0" applyNumberFormat="1" applyFont="1" applyFill="1" applyBorder="1" applyAlignment="1">
      <x:alignment horizontal="center" vertical="top" wrapText="1"/>
    </x:xf>
    <x:xf numFmtId="0" fontId="16" fillId="8" borderId="22" xfId="0" applyNumberFormat="1" applyFont="1" applyFill="1" applyBorder="1" applyAlignment="1">
      <x:alignment horizontal="center" vertical="top" wrapText="1"/>
    </x:xf>
    <x:xf numFmtId="0" fontId="16" fillId="8" borderId="23" xfId="0" applyNumberFormat="1" applyFont="1" applyFill="1" applyBorder="1" applyAlignment="1">
      <x:alignment horizontal="center" vertical="top" wrapText="1"/>
    </x:xf>
    <x:xf numFmtId="201" fontId="16" fillId="0" borderId="23" xfId="0" applyNumberFormat="1" applyFont="1" applyFill="1" applyBorder="1" applyAlignment="1">
      <x:alignment vertical="top" wrapText="1"/>
    </x:xf>
    <x:xf numFmtId="201" fontId="16" fillId="0" borderId="23" xfId="0" applyNumberFormat="1" applyFont="1" applyFill="1" applyBorder="1" applyAlignment="1">
      <x:alignment horizontal="center" vertical="top" wrapText="1"/>
    </x:xf>
    <x:xf numFmtId="0" fontId="16" fillId="0" borderId="2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ac1d6ed3e4472" /><Relationship Type="http://schemas.openxmlformats.org/officeDocument/2006/relationships/theme" Target="/xl/theme/theme1.xml" Id="R7f317dfd7d394a70" /><Relationship Type="http://schemas.openxmlformats.org/officeDocument/2006/relationships/sharedStrings" Target="/xl/sharedStrings.xml" Id="Rf480012b00f54562" /><Relationship Type="http://schemas.openxmlformats.org/officeDocument/2006/relationships/worksheet" Target="/xl/worksheets/sheet1.xml" Id="Rbcbb7d87ae1e4cdc" /><Relationship Type="http://schemas.openxmlformats.org/officeDocument/2006/relationships/worksheet" Target="/xl/worksheets/sheet2.xml" Id="R26022f6043734d5c" /><Relationship Type="http://schemas.openxmlformats.org/officeDocument/2006/relationships/worksheet" Target="/xl/worksheets/sheet3.xml" Id="R9e47fd12414f476d" /><Relationship Type="http://schemas.openxmlformats.org/officeDocument/2006/relationships/worksheet" Target="/xl/worksheets/sheet4.xml" Id="R182b0404f830403b" /><Relationship Type="http://schemas.openxmlformats.org/officeDocument/2006/relationships/worksheet" Target="/xl/worksheets/sheet5.xml" Id="R4b9c2b17026044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570d4280f145b8" /><Relationship Type="http://schemas.openxmlformats.org/officeDocument/2006/relationships/image" Target="/xl/media/image2.png" Id="R68af27a5d88c4c22" /><Relationship Type="http://schemas.openxmlformats.org/officeDocument/2006/relationships/image" Target="/xl/media/image3.png" Id="Rc7c6d900923a4ed9" /><Relationship Type="http://schemas.openxmlformats.org/officeDocument/2006/relationships/image" Target="/xl/media/image4.png" Id="Rc74754d550294234" /><Relationship Type="http://schemas.openxmlformats.org/officeDocument/2006/relationships/image" Target="/xl/media/image5.png" Id="R9f3a9902180f4189" /><Relationship Type="http://schemas.openxmlformats.org/officeDocument/2006/relationships/image" Target="/xl/media/image6.png" Id="R698ecafbb302409f" /><Relationship Type="http://schemas.openxmlformats.org/officeDocument/2006/relationships/image" Target="/xl/media/image7.png" Id="R63a49f91e35543c2" /><Relationship Type="http://schemas.openxmlformats.org/officeDocument/2006/relationships/image" Target="/xl/media/image8.png" Id="R39cdf0b32e6c40cb" /><Relationship Type="http://schemas.openxmlformats.org/officeDocument/2006/relationships/image" Target="/xl/media/image9.png" Id="R5223485c3dc143b5" /><Relationship Type="http://schemas.openxmlformats.org/officeDocument/2006/relationships/image" Target="/xl/media/image10.png" Id="Rc5a8e14baabe4c2d" /><Relationship Type="http://schemas.openxmlformats.org/officeDocument/2006/relationships/image" Target="/xl/media/image11.png" Id="Re2c8411d80bb4d73" /><Relationship Type="http://schemas.openxmlformats.org/officeDocument/2006/relationships/image" Target="/xl/media/image12.png" Id="Ra98d9fa51a6b49a8" /><Relationship Type="http://schemas.openxmlformats.org/officeDocument/2006/relationships/image" Target="/xl/media/image13.png" Id="R83fe7c02b36f4603" /><Relationship Type="http://schemas.openxmlformats.org/officeDocument/2006/relationships/image" Target="/xl/media/image14.png" Id="R3a996505ab914a2c" /><Relationship Type="http://schemas.openxmlformats.org/officeDocument/2006/relationships/image" Target="/xl/media/image15.png" Id="Rfbf9e6aa01e04919" /><Relationship Type="http://schemas.openxmlformats.org/officeDocument/2006/relationships/image" Target="/xl/media/image16.png" Id="R54641da74fe84ca9" /><Relationship Type="http://schemas.openxmlformats.org/officeDocument/2006/relationships/image" Target="/xl/media/image17.png" Id="Rb7e57d7a908d4548" /><Relationship Type="http://schemas.openxmlformats.org/officeDocument/2006/relationships/image" Target="/xl/media/image18.png" Id="Rc4296ca4708045bc" /><Relationship Type="http://schemas.openxmlformats.org/officeDocument/2006/relationships/image" Target="/xl/media/image19.png" Id="Rab63712223324381" /><Relationship Type="http://schemas.openxmlformats.org/officeDocument/2006/relationships/image" Target="/xl/media/image20.png" Id="R24c720c6d08544b9" /><Relationship Type="http://schemas.openxmlformats.org/officeDocument/2006/relationships/image" Target="/xl/media/image21.png" Id="R81e70bc40be54bf0" /><Relationship Type="http://schemas.openxmlformats.org/officeDocument/2006/relationships/image" Target="/xl/media/image22.png" Id="Rd2fa5074804f46c8" /><Relationship Type="http://schemas.openxmlformats.org/officeDocument/2006/relationships/image" Target="/xl/media/image23.png" Id="Rcfe77e1de2d342f8" /><Relationship Type="http://schemas.openxmlformats.org/officeDocument/2006/relationships/image" Target="/xl/media/image24.png" Id="R824f26cc99154d27" /><Relationship Type="http://schemas.openxmlformats.org/officeDocument/2006/relationships/image" Target="/xl/media/image25.png" Id="Rd4a1a3a8b46d459b" /><Relationship Type="http://schemas.openxmlformats.org/officeDocument/2006/relationships/image" Target="/xl/media/image26.png" Id="Rd8d26745714a4445" /><Relationship Type="http://schemas.openxmlformats.org/officeDocument/2006/relationships/image" Target="/xl/media/image27.png" Id="R739ca717b2b24785" /><Relationship Type="http://schemas.openxmlformats.org/officeDocument/2006/relationships/image" Target="/xl/media/image28.png" Id="Re1518362de1242f9" /><Relationship Type="http://schemas.openxmlformats.org/officeDocument/2006/relationships/image" Target="/xl/media/image29.png" Id="R28ce5b5000f6484a" /><Relationship Type="http://schemas.openxmlformats.org/officeDocument/2006/relationships/image" Target="/xl/media/image30.png" Id="Rea241e9e769a48cd" /><Relationship Type="http://schemas.openxmlformats.org/officeDocument/2006/relationships/image" Target="/xl/media/image31.png" Id="R6019c7fa1dba46aa" /><Relationship Type="http://schemas.openxmlformats.org/officeDocument/2006/relationships/image" Target="/xl/media/image32.png" Id="R5adb4c427fec496e" /><Relationship Type="http://schemas.openxmlformats.org/officeDocument/2006/relationships/image" Target="/xl/media/image33.png" Id="Re4212abdb8a748d5" /><Relationship Type="http://schemas.openxmlformats.org/officeDocument/2006/relationships/image" Target="/xl/media/image34.png" Id="R15d5ccdc50534bbf" /><Relationship Type="http://schemas.openxmlformats.org/officeDocument/2006/relationships/image" Target="/xl/media/image35.png" Id="Rd778d7513c434f97" /><Relationship Type="http://schemas.openxmlformats.org/officeDocument/2006/relationships/image" Target="/xl/media/image36.png" Id="R108a31b18080412e" /><Relationship Type="http://schemas.openxmlformats.org/officeDocument/2006/relationships/image" Target="/xl/media/image37.png" Id="Rf666ab2e93ee4c1a" /><Relationship Type="http://schemas.openxmlformats.org/officeDocument/2006/relationships/image" Target="/xl/media/image38.png" Id="R9ce0714f035a4bf4" /><Relationship Type="http://schemas.openxmlformats.org/officeDocument/2006/relationships/image" Target="/xl/media/image39.png" Id="Rca3ffe4734bc4b08" /><Relationship Type="http://schemas.openxmlformats.org/officeDocument/2006/relationships/image" Target="/xl/media/image40.png" Id="R662edf5164d94b24" /><Relationship Type="http://schemas.openxmlformats.org/officeDocument/2006/relationships/image" Target="/xl/media/image41.png" Id="Rda1a0db6cc194b7a" /><Relationship Type="http://schemas.openxmlformats.org/officeDocument/2006/relationships/image" Target="/xl/media/image42.png" Id="R9758e6ffc50a4b1d" /><Relationship Type="http://schemas.openxmlformats.org/officeDocument/2006/relationships/image" Target="/xl/media/image43.png" Id="Rf77cbc0301a54d27" /><Relationship Type="http://schemas.openxmlformats.org/officeDocument/2006/relationships/image" Target="/xl/media/image44.png" Id="R62fe72a9ba7a4c50" /><Relationship Type="http://schemas.openxmlformats.org/officeDocument/2006/relationships/image" Target="/xl/media/image45.png" Id="Re4cb44b904d34044" /><Relationship Type="http://schemas.openxmlformats.org/officeDocument/2006/relationships/image" Target="/xl/media/image46.png" Id="R7f58c661e6794f6f" /><Relationship Type="http://schemas.openxmlformats.org/officeDocument/2006/relationships/image" Target="/xl/media/image47.png" Id="Rf86a2085c8714ed8" /><Relationship Type="http://schemas.openxmlformats.org/officeDocument/2006/relationships/image" Target="/xl/media/image48.png" Id="R45341dbc9f734315" /><Relationship Type="http://schemas.openxmlformats.org/officeDocument/2006/relationships/image" Target="/xl/media/image49.png" Id="R8d2396647428420e" /><Relationship Type="http://schemas.openxmlformats.org/officeDocument/2006/relationships/image" Target="/xl/media/image50.png" Id="Ra6b3502f5cc34697" /><Relationship Type="http://schemas.openxmlformats.org/officeDocument/2006/relationships/image" Target="/xl/media/image51.png" Id="Rbf4b6e4625334e77" /><Relationship Type="http://schemas.openxmlformats.org/officeDocument/2006/relationships/image" Target="/xl/media/image52.png" Id="R03478816ef5a4675" /><Relationship Type="http://schemas.openxmlformats.org/officeDocument/2006/relationships/image" Target="/xl/media/image53.png" Id="R29b823956bcf4b76" /><Relationship Type="http://schemas.openxmlformats.org/officeDocument/2006/relationships/image" Target="/xl/media/image54.png" Id="Rbaf2e74689ce49e1" /><Relationship Type="http://schemas.openxmlformats.org/officeDocument/2006/relationships/image" Target="/xl/media/image55.png" Id="R5e53b949fd5a4912" /><Relationship Type="http://schemas.openxmlformats.org/officeDocument/2006/relationships/image" Target="/xl/media/image56.png" Id="R5c1354c1afb04865" /><Relationship Type="http://schemas.openxmlformats.org/officeDocument/2006/relationships/image" Target="/xl/media/image57.png" Id="R51e32bb6ff344fa9" /><Relationship Type="http://schemas.openxmlformats.org/officeDocument/2006/relationships/image" Target="/xl/media/image58.png" Id="R38e49040fa904087" /><Relationship Type="http://schemas.openxmlformats.org/officeDocument/2006/relationships/image" Target="/xl/media/image59.png" Id="R0d979caf9a1a4454" /><Relationship Type="http://schemas.openxmlformats.org/officeDocument/2006/relationships/image" Target="/xl/media/image60.png" Id="R0030477846e942b9" /><Relationship Type="http://schemas.openxmlformats.org/officeDocument/2006/relationships/image" Target="/xl/media/image61.png" Id="R0e514b1fc6ad433c" /><Relationship Type="http://schemas.openxmlformats.org/officeDocument/2006/relationships/image" Target="/xl/media/image62.png" Id="Rc96ad794ddfb4245" /><Relationship Type="http://schemas.openxmlformats.org/officeDocument/2006/relationships/image" Target="/xl/media/image63.png" Id="Rd129da702d3f484f" /><Relationship Type="http://schemas.openxmlformats.org/officeDocument/2006/relationships/image" Target="/xl/media/image64.png" Id="R1a996d2545b6490e" /><Relationship Type="http://schemas.openxmlformats.org/officeDocument/2006/relationships/image" Target="/xl/media/image65.png" Id="Rc21e1207f98c460b" /><Relationship Type="http://schemas.openxmlformats.org/officeDocument/2006/relationships/image" Target="/xl/media/image66.png" Id="R4aa6a08d97b54fc4" /><Relationship Type="http://schemas.openxmlformats.org/officeDocument/2006/relationships/image" Target="/xl/media/image67.png" Id="R50a508815d504f4a" /><Relationship Type="http://schemas.openxmlformats.org/officeDocument/2006/relationships/image" Target="/xl/media/image68.png" Id="R8e3eaf0318d6403d" /><Relationship Type="http://schemas.openxmlformats.org/officeDocument/2006/relationships/image" Target="/xl/media/image69.png" Id="R1350f2700eae4dbc" /><Relationship Type="http://schemas.openxmlformats.org/officeDocument/2006/relationships/image" Target="/xl/media/image70.png" Id="R57e0ea4b5d9d49fb" /><Relationship Type="http://schemas.openxmlformats.org/officeDocument/2006/relationships/image" Target="/xl/media/image71.png" Id="R65e13483e47241f5" /><Relationship Type="http://schemas.openxmlformats.org/officeDocument/2006/relationships/image" Target="/xl/media/image72.png" Id="R444f45e315be4aff" /><Relationship Type="http://schemas.openxmlformats.org/officeDocument/2006/relationships/image" Target="/xl/media/image73.png" Id="R86c46bd687894cdc" /><Relationship Type="http://schemas.openxmlformats.org/officeDocument/2006/relationships/image" Target="/xl/media/image74.png" Id="Rbf8308d67aa3454e" /><Relationship Type="http://schemas.openxmlformats.org/officeDocument/2006/relationships/image" Target="/xl/media/image75.png" Id="R85c2c8071c994ee2" /><Relationship Type="http://schemas.openxmlformats.org/officeDocument/2006/relationships/image" Target="/xl/media/image76.png" Id="Rae9a3e51fa524001" /><Relationship Type="http://schemas.openxmlformats.org/officeDocument/2006/relationships/image" Target="/xl/media/image77.png" Id="R4cac2ba2891d4f3e" /><Relationship Type="http://schemas.openxmlformats.org/officeDocument/2006/relationships/image" Target="/xl/media/image78.png" Id="R3fda4f70aff74108" /><Relationship Type="http://schemas.openxmlformats.org/officeDocument/2006/relationships/image" Target="/xl/media/image79.png" Id="R26ae5f2bb3854740" /><Relationship Type="http://schemas.openxmlformats.org/officeDocument/2006/relationships/image" Target="/xl/media/image80.png" Id="R10ed4cd6aef6471d" /><Relationship Type="http://schemas.openxmlformats.org/officeDocument/2006/relationships/image" Target="/xl/media/image81.png" Id="Rc0b3ffb9624d4fcb" /><Relationship Type="http://schemas.openxmlformats.org/officeDocument/2006/relationships/image" Target="/xl/media/image82.png" Id="Rfc0d56b7e6dc4d5f" /><Relationship Type="http://schemas.openxmlformats.org/officeDocument/2006/relationships/image" Target="/xl/media/image83.png" Id="R8b4644dd317d4063" /><Relationship Type="http://schemas.openxmlformats.org/officeDocument/2006/relationships/image" Target="/xl/media/image84.png" Id="Ra6639b8c59984a04" /><Relationship Type="http://schemas.openxmlformats.org/officeDocument/2006/relationships/image" Target="/xl/media/image85.png" Id="R5429b7957bca4b33" /><Relationship Type="http://schemas.openxmlformats.org/officeDocument/2006/relationships/image" Target="/xl/media/image86.png" Id="R842d7f20c83c420a" /><Relationship Type="http://schemas.openxmlformats.org/officeDocument/2006/relationships/image" Target="/xl/media/image87.png" Id="R18ca452c672c474d" /><Relationship Type="http://schemas.openxmlformats.org/officeDocument/2006/relationships/image" Target="/xl/media/image88.png" Id="R3922443e806c4706" /><Relationship Type="http://schemas.openxmlformats.org/officeDocument/2006/relationships/image" Target="/xl/media/image89.png" Id="R395482d5bd954afd" /><Relationship Type="http://schemas.openxmlformats.org/officeDocument/2006/relationships/image" Target="/xl/media/image90.png" Id="R9373df57e0664518" /><Relationship Type="http://schemas.openxmlformats.org/officeDocument/2006/relationships/image" Target="/xl/media/image91.png" Id="R6ba53db991cd4621" /><Relationship Type="http://schemas.openxmlformats.org/officeDocument/2006/relationships/image" Target="/xl/media/image92.png" Id="Rdf09623483514a7e" /><Relationship Type="http://schemas.openxmlformats.org/officeDocument/2006/relationships/image" Target="/xl/media/image93.png" Id="R0a531f26007f4148" /><Relationship Type="http://schemas.openxmlformats.org/officeDocument/2006/relationships/image" Target="/xl/media/image94.png" Id="R6a9c30cc25ae4a88" /><Relationship Type="http://schemas.openxmlformats.org/officeDocument/2006/relationships/image" Target="/xl/media/image95.png" Id="R246b4446f7ef4134" /><Relationship Type="http://schemas.openxmlformats.org/officeDocument/2006/relationships/image" Target="/xl/media/image96.png" Id="Re25592927b2643a5" /><Relationship Type="http://schemas.openxmlformats.org/officeDocument/2006/relationships/image" Target="/xl/media/image97.png" Id="Rd5454ca14a5f4b5a" /><Relationship Type="http://schemas.openxmlformats.org/officeDocument/2006/relationships/image" Target="/xl/media/image98.png" Id="R4c5bbd692f2c4e07" /><Relationship Type="http://schemas.openxmlformats.org/officeDocument/2006/relationships/image" Target="/xl/media/image99.png" Id="R07a8d747c3e642cf" /><Relationship Type="http://schemas.openxmlformats.org/officeDocument/2006/relationships/image" Target="/xl/media/image100.png" Id="R71f1eccf0c92440a" /><Relationship Type="http://schemas.openxmlformats.org/officeDocument/2006/relationships/image" Target="/xl/media/image101.png" Id="R1a222faf45be4893" /><Relationship Type="http://schemas.openxmlformats.org/officeDocument/2006/relationships/image" Target="/xl/media/image102.png" Id="Rb76d899238fa4610" /><Relationship Type="http://schemas.openxmlformats.org/officeDocument/2006/relationships/image" Target="/xl/media/image103.png" Id="R4f97aeea9b0942ed" /><Relationship Type="http://schemas.openxmlformats.org/officeDocument/2006/relationships/image" Target="/xl/media/image104.png" Id="R7f257ac7cff64a8e" /><Relationship Type="http://schemas.openxmlformats.org/officeDocument/2006/relationships/image" Target="/xl/media/image105.png" Id="R3cd28cfa43904017" /><Relationship Type="http://schemas.openxmlformats.org/officeDocument/2006/relationships/image" Target="/xl/media/image106.png" Id="R69415a26b5594965" /><Relationship Type="http://schemas.openxmlformats.org/officeDocument/2006/relationships/image" Target="/xl/media/image107.png" Id="R113430e3c7394668" /><Relationship Type="http://schemas.openxmlformats.org/officeDocument/2006/relationships/image" Target="/xl/media/image108.png" Id="R56eaac4b483046c4" /><Relationship Type="http://schemas.openxmlformats.org/officeDocument/2006/relationships/image" Target="/xl/media/image109.png" Id="Rf1cd021aa0854a3d" /><Relationship Type="http://schemas.openxmlformats.org/officeDocument/2006/relationships/image" Target="/xl/media/image110.png" Id="Re963831e749f4987" /><Relationship Type="http://schemas.openxmlformats.org/officeDocument/2006/relationships/image" Target="/xl/media/image111.png" Id="Ra66818ca22aa4bae" /><Relationship Type="http://schemas.openxmlformats.org/officeDocument/2006/relationships/image" Target="/xl/media/image112.png" Id="R874a5c9b6ed84abe" /><Relationship Type="http://schemas.openxmlformats.org/officeDocument/2006/relationships/image" Target="/xl/media/image113.png" Id="R196fc0c51d3c447f" /><Relationship Type="http://schemas.openxmlformats.org/officeDocument/2006/relationships/image" Target="/xl/media/image114.png" Id="R38eb20b3534444c0" /><Relationship Type="http://schemas.openxmlformats.org/officeDocument/2006/relationships/image" Target="/xl/media/image115.png" Id="R7f6c77cc8e094e1e" /><Relationship Type="http://schemas.openxmlformats.org/officeDocument/2006/relationships/image" Target="/xl/media/image116.png" Id="Ra5aef302b181415f" /><Relationship Type="http://schemas.openxmlformats.org/officeDocument/2006/relationships/image" Target="/xl/media/image117.png" Id="R9c5d580b45d64333" /><Relationship Type="http://schemas.openxmlformats.org/officeDocument/2006/relationships/image" Target="/xl/media/image118.png" Id="R60b325d167a84d0a" /><Relationship Type="http://schemas.openxmlformats.org/officeDocument/2006/relationships/image" Target="/xl/media/image119.png" Id="R3947f7823bb044e6" /><Relationship Type="http://schemas.openxmlformats.org/officeDocument/2006/relationships/image" Target="/xl/media/image120.png" Id="R25bf23d339544fce" /><Relationship Type="http://schemas.openxmlformats.org/officeDocument/2006/relationships/image" Target="/xl/media/image121.png" Id="Rcb9de2fdcdc84e35" /><Relationship Type="http://schemas.openxmlformats.org/officeDocument/2006/relationships/image" Target="/xl/media/image122.png" Id="R19cd57d73c3841d2" /><Relationship Type="http://schemas.openxmlformats.org/officeDocument/2006/relationships/image" Target="/xl/media/image123.png" Id="R59aaf7160e8347cc" /><Relationship Type="http://schemas.openxmlformats.org/officeDocument/2006/relationships/image" Target="/xl/media/image124.png" Id="Rff3a6a56d06644b2" /><Relationship Type="http://schemas.openxmlformats.org/officeDocument/2006/relationships/image" Target="/xl/media/image125.png" Id="R4e8a6135216545e7" /><Relationship Type="http://schemas.openxmlformats.org/officeDocument/2006/relationships/image" Target="/xl/media/image126.png" Id="Rcef69f4a1a844368" /><Relationship Type="http://schemas.openxmlformats.org/officeDocument/2006/relationships/image" Target="/xl/media/image127.png" Id="R9d373525ecb64165" /><Relationship Type="http://schemas.openxmlformats.org/officeDocument/2006/relationships/image" Target="/xl/media/image128.png" Id="R541fbf7925c14729" /><Relationship Type="http://schemas.openxmlformats.org/officeDocument/2006/relationships/image" Target="/xl/media/image129.png" Id="Rcfb6d1518e964e8b" /><Relationship Type="http://schemas.openxmlformats.org/officeDocument/2006/relationships/image" Target="/xl/media/image130.png" Id="R51b467de32554cef" /><Relationship Type="http://schemas.openxmlformats.org/officeDocument/2006/relationships/image" Target="/xl/media/image131.png" Id="R2bb8950fb2b84c7d" /><Relationship Type="http://schemas.openxmlformats.org/officeDocument/2006/relationships/image" Target="/xl/media/image132.png" Id="R11f30fb4f3324598" /><Relationship Type="http://schemas.openxmlformats.org/officeDocument/2006/relationships/image" Target="/xl/media/image133.png" Id="Rf81d023bb1be45de" /><Relationship Type="http://schemas.openxmlformats.org/officeDocument/2006/relationships/image" Target="/xl/media/image134.png" Id="R96716c9fbf604d19" /><Relationship Type="http://schemas.openxmlformats.org/officeDocument/2006/relationships/image" Target="/xl/media/image135.png" Id="Rcd8cfebdf96942c7" /><Relationship Type="http://schemas.openxmlformats.org/officeDocument/2006/relationships/image" Target="/xl/media/image136.png" Id="R18ead0d7867145c2" /><Relationship Type="http://schemas.openxmlformats.org/officeDocument/2006/relationships/image" Target="/xl/media/image137.png" Id="R3cc0181338a444be" /><Relationship Type="http://schemas.openxmlformats.org/officeDocument/2006/relationships/image" Target="/xl/media/image138.png" Id="R18109785567a4a01" /><Relationship Type="http://schemas.openxmlformats.org/officeDocument/2006/relationships/image" Target="/xl/media/image139.png" Id="R0d9abfcef1054432" /><Relationship Type="http://schemas.openxmlformats.org/officeDocument/2006/relationships/image" Target="/xl/media/image140.png" Id="R435b867f65eb4b4a" /><Relationship Type="http://schemas.openxmlformats.org/officeDocument/2006/relationships/image" Target="/xl/media/image141.png" Id="R07e10dbfc0744953" /><Relationship Type="http://schemas.openxmlformats.org/officeDocument/2006/relationships/image" Target="/xl/media/image142.png" Id="Rfdf7fb962be04a14" /><Relationship Type="http://schemas.openxmlformats.org/officeDocument/2006/relationships/image" Target="/xl/media/image143.png" Id="Rad6a39a80b784e23" /><Relationship Type="http://schemas.openxmlformats.org/officeDocument/2006/relationships/image" Target="/xl/media/image144.png" Id="Rdb81ee44dc38467e" /><Relationship Type="http://schemas.openxmlformats.org/officeDocument/2006/relationships/image" Target="/xl/media/image145.png" Id="R341a54d16d8f4edf" /><Relationship Type="http://schemas.openxmlformats.org/officeDocument/2006/relationships/image" Target="/xl/media/image146.png" Id="R4fa72f02912a4df6" /><Relationship Type="http://schemas.openxmlformats.org/officeDocument/2006/relationships/image" Target="/xl/media/image147.png" Id="R4df7e826b99a42f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48.png" Id="R46a42e42702749be" /><Relationship Type="http://schemas.openxmlformats.org/officeDocument/2006/relationships/image" Target="/xl/media/image149.png" Id="R3260c88fc3084920" /><Relationship Type="http://schemas.openxmlformats.org/officeDocument/2006/relationships/image" Target="/xl/media/image150.png" Id="R1a56309d794b4d97" /><Relationship Type="http://schemas.openxmlformats.org/officeDocument/2006/relationships/image" Target="/xl/media/image151.png" Id="Re849f88e81fc4542" /><Relationship Type="http://schemas.openxmlformats.org/officeDocument/2006/relationships/image" Target="/xl/media/image152.png" Id="Rcc1b1ecc0d3d4506" /><Relationship Type="http://schemas.openxmlformats.org/officeDocument/2006/relationships/image" Target="/xl/media/image153.png" Id="R459caba3aad54dad" /><Relationship Type="http://schemas.openxmlformats.org/officeDocument/2006/relationships/image" Target="/xl/media/image154.png" Id="Reda662cc648248ee" /><Relationship Type="http://schemas.openxmlformats.org/officeDocument/2006/relationships/image" Target="/xl/media/image155.png" Id="Rb5ad87ddaf0a42b2" /><Relationship Type="http://schemas.openxmlformats.org/officeDocument/2006/relationships/image" Target="/xl/media/image156.png" Id="Reace84b391244e9e" /><Relationship Type="http://schemas.openxmlformats.org/officeDocument/2006/relationships/image" Target="/xl/media/image157.png" Id="R27a559a616eb48a2" /><Relationship Type="http://schemas.openxmlformats.org/officeDocument/2006/relationships/image" Target="/xl/media/image158.png" Id="R7c5264901153400b" /><Relationship Type="http://schemas.openxmlformats.org/officeDocument/2006/relationships/image" Target="/xl/media/image159.png" Id="R5daed3ae3cd4428b" /><Relationship Type="http://schemas.openxmlformats.org/officeDocument/2006/relationships/image" Target="/xl/media/image160.png" Id="R01c62fdc9e6f45a3" /><Relationship Type="http://schemas.openxmlformats.org/officeDocument/2006/relationships/image" Target="/xl/media/image161.png" Id="R03c6a9e41d5f4913" /><Relationship Type="http://schemas.openxmlformats.org/officeDocument/2006/relationships/image" Target="/xl/media/image162.png" Id="R38baec474526434a" /><Relationship Type="http://schemas.openxmlformats.org/officeDocument/2006/relationships/image" Target="/xl/media/image163.png" Id="Rb7f59cb2a8814411" /><Relationship Type="http://schemas.openxmlformats.org/officeDocument/2006/relationships/image" Target="/xl/media/image164.png" Id="R3ed76b0320344859" /><Relationship Type="http://schemas.openxmlformats.org/officeDocument/2006/relationships/image" Target="/xl/media/image165.png" Id="R65ddf1328bdf4b59" /><Relationship Type="http://schemas.openxmlformats.org/officeDocument/2006/relationships/image" Target="/xl/media/image166.png" Id="R51929daf7a404d7a" /><Relationship Type="http://schemas.openxmlformats.org/officeDocument/2006/relationships/image" Target="/xl/media/image167.png" Id="R181acbc8c38b4b2f" /><Relationship Type="http://schemas.openxmlformats.org/officeDocument/2006/relationships/image" Target="/xl/media/image168.png" Id="R49b8bc01d9d24822" /><Relationship Type="http://schemas.openxmlformats.org/officeDocument/2006/relationships/image" Target="/xl/media/image169.png" Id="R9ec8be45049e46e0" /><Relationship Type="http://schemas.openxmlformats.org/officeDocument/2006/relationships/image" Target="/xl/media/image170.png" Id="R48a6c1a319c8402d" /><Relationship Type="http://schemas.openxmlformats.org/officeDocument/2006/relationships/image" Target="/xl/media/image171.png" Id="R5dd473972adf4395" /><Relationship Type="http://schemas.openxmlformats.org/officeDocument/2006/relationships/image" Target="/xl/media/image172.png" Id="R353baf97d7f74095" /><Relationship Type="http://schemas.openxmlformats.org/officeDocument/2006/relationships/image" Target="/xl/media/image173.png" Id="Rfe3c5b4439484ef5" /><Relationship Type="http://schemas.openxmlformats.org/officeDocument/2006/relationships/image" Target="/xl/media/image174.png" Id="R6f71a20c18734723" /><Relationship Type="http://schemas.openxmlformats.org/officeDocument/2006/relationships/image" Target="/xl/media/image175.png" Id="Ra16b6dced4804afd" /><Relationship Type="http://schemas.openxmlformats.org/officeDocument/2006/relationships/image" Target="/xl/media/image176.png" Id="R6ee0819e1ab343c2" /><Relationship Type="http://schemas.openxmlformats.org/officeDocument/2006/relationships/image" Target="/xl/media/image177.png" Id="R9a1ba0edd50b42b7" /><Relationship Type="http://schemas.openxmlformats.org/officeDocument/2006/relationships/image" Target="/xl/media/image178.png" Id="R5ab6f37979a8446c" /><Relationship Type="http://schemas.openxmlformats.org/officeDocument/2006/relationships/image" Target="/xl/media/image179.png" Id="Ra548339680734fd4" /><Relationship Type="http://schemas.openxmlformats.org/officeDocument/2006/relationships/image" Target="/xl/media/image180.png" Id="Rc895bf490a07401c" /><Relationship Type="http://schemas.openxmlformats.org/officeDocument/2006/relationships/image" Target="/xl/media/image181.png" Id="R9fd6a8a66a434e9a" /><Relationship Type="http://schemas.openxmlformats.org/officeDocument/2006/relationships/image" Target="/xl/media/image182.png" Id="R6f1de56cb4824a4c" /><Relationship Type="http://schemas.openxmlformats.org/officeDocument/2006/relationships/image" Target="/xl/media/image183.png" Id="R18d9300fd8644057" /><Relationship Type="http://schemas.openxmlformats.org/officeDocument/2006/relationships/image" Target="/xl/media/image184.png" Id="Rc91f269092eb4467" /><Relationship Type="http://schemas.openxmlformats.org/officeDocument/2006/relationships/image" Target="/xl/media/image185.png" Id="R6153b2cc1562401c" /><Relationship Type="http://schemas.openxmlformats.org/officeDocument/2006/relationships/image" Target="/xl/media/image186.png" Id="Rb95d2586d9994581" /><Relationship Type="http://schemas.openxmlformats.org/officeDocument/2006/relationships/image" Target="/xl/media/image187.png" Id="Rf796dfed308d4e29" /><Relationship Type="http://schemas.openxmlformats.org/officeDocument/2006/relationships/image" Target="/xl/media/image188.png" Id="R0338d584489e4472" /><Relationship Type="http://schemas.openxmlformats.org/officeDocument/2006/relationships/image" Target="/xl/media/image189.png" Id="R337be1d566b04fb6" /><Relationship Type="http://schemas.openxmlformats.org/officeDocument/2006/relationships/image" Target="/xl/media/image190.png" Id="R8bc1bea4d2864f81" /><Relationship Type="http://schemas.openxmlformats.org/officeDocument/2006/relationships/image" Target="/xl/media/image191.png" Id="R6a19d8f4cc094f1a" /><Relationship Type="http://schemas.openxmlformats.org/officeDocument/2006/relationships/image" Target="/xl/media/image192.png" Id="R5b03e9f8501647e3" /><Relationship Type="http://schemas.openxmlformats.org/officeDocument/2006/relationships/image" Target="/xl/media/image193.png" Id="R363c3f9862084ada" /><Relationship Type="http://schemas.openxmlformats.org/officeDocument/2006/relationships/image" Target="/xl/media/image194.png" Id="R11c5579b4cd945b1" /><Relationship Type="http://schemas.openxmlformats.org/officeDocument/2006/relationships/image" Target="/xl/media/image195.png" Id="R4c1ea7d7531248c5" /><Relationship Type="http://schemas.openxmlformats.org/officeDocument/2006/relationships/image" Target="/xl/media/image196.png" Id="R93308d18f5f44143" /><Relationship Type="http://schemas.openxmlformats.org/officeDocument/2006/relationships/image" Target="/xl/media/image197.png" Id="R7d8f45c7d2314d81" /><Relationship Type="http://schemas.openxmlformats.org/officeDocument/2006/relationships/image" Target="/xl/media/image198.png" Id="Rf794e2fac6cd46f2" /><Relationship Type="http://schemas.openxmlformats.org/officeDocument/2006/relationships/image" Target="/xl/media/image199.png" Id="R80a4bfea83cc4cb8" /><Relationship Type="http://schemas.openxmlformats.org/officeDocument/2006/relationships/image" Target="/xl/media/image200.png" Id="R56d14c4dcf5f425d" /><Relationship Type="http://schemas.openxmlformats.org/officeDocument/2006/relationships/image" Target="/xl/media/image201.png" Id="R2ec2a6645db14587" /><Relationship Type="http://schemas.openxmlformats.org/officeDocument/2006/relationships/image" Target="/xl/media/image202.png" Id="R6d0b56e56ca54119" /><Relationship Type="http://schemas.openxmlformats.org/officeDocument/2006/relationships/image" Target="/xl/media/image203.png" Id="R6b4b279ee672414d" /><Relationship Type="http://schemas.openxmlformats.org/officeDocument/2006/relationships/image" Target="/xl/media/image204.png" Id="R039525d034a24df5" /><Relationship Type="http://schemas.openxmlformats.org/officeDocument/2006/relationships/image" Target="/xl/media/image205.png" Id="Rdf47fa02125f4994" /><Relationship Type="http://schemas.openxmlformats.org/officeDocument/2006/relationships/image" Target="/xl/media/image206.png" Id="R1b9e12678f914fb4" /><Relationship Type="http://schemas.openxmlformats.org/officeDocument/2006/relationships/image" Target="/xl/media/image207.png" Id="R256c0e78f3a04549" /><Relationship Type="http://schemas.openxmlformats.org/officeDocument/2006/relationships/image" Target="/xl/media/image208.png" Id="Ref273a4b60b8448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09.png" Id="R98c704c60043476b" /><Relationship Type="http://schemas.openxmlformats.org/officeDocument/2006/relationships/image" Target="/xl/media/image210.png" Id="R63ce456353134c70" /><Relationship Type="http://schemas.openxmlformats.org/officeDocument/2006/relationships/image" Target="/xl/media/image211.png" Id="Rbe499caa9ddd4ff0" /><Relationship Type="http://schemas.openxmlformats.org/officeDocument/2006/relationships/image" Target="/xl/media/image212.png" Id="R6cdf296b8d474f37" /><Relationship Type="http://schemas.openxmlformats.org/officeDocument/2006/relationships/image" Target="/xl/media/image213.png" Id="R63ff8922670f4b89" /><Relationship Type="http://schemas.openxmlformats.org/officeDocument/2006/relationships/image" Target="/xl/media/image214.png" Id="R69494e2b169b4448" /><Relationship Type="http://schemas.openxmlformats.org/officeDocument/2006/relationships/image" Target="/xl/media/image215.png" Id="Rcfe96f718bef46d7" /><Relationship Type="http://schemas.openxmlformats.org/officeDocument/2006/relationships/image" Target="/xl/media/image216.png" Id="R8b615c4d76b44d0a" /><Relationship Type="http://schemas.openxmlformats.org/officeDocument/2006/relationships/image" Target="/xl/media/image217.png" Id="R4d02471aa3b14df8" /><Relationship Type="http://schemas.openxmlformats.org/officeDocument/2006/relationships/image" Target="/xl/media/image218.png" Id="R98c5bebe67f64e29" /><Relationship Type="http://schemas.openxmlformats.org/officeDocument/2006/relationships/image" Target="/xl/media/image219.png" Id="R75bd389d4024446f" /><Relationship Type="http://schemas.openxmlformats.org/officeDocument/2006/relationships/image" Target="/xl/media/image220.png" Id="R03753cd6c7634515" /><Relationship Type="http://schemas.openxmlformats.org/officeDocument/2006/relationships/image" Target="/xl/media/image221.png" Id="R19b6c24a0c5643e7" /><Relationship Type="http://schemas.openxmlformats.org/officeDocument/2006/relationships/image" Target="/xl/media/image222.png" Id="R474e7e29002047f7" /><Relationship Type="http://schemas.openxmlformats.org/officeDocument/2006/relationships/image" Target="/xl/media/image223.png" Id="R23e20e88e84c4349" /><Relationship Type="http://schemas.openxmlformats.org/officeDocument/2006/relationships/image" Target="/xl/media/image224.png" Id="R29034a90b31d4812" /><Relationship Type="http://schemas.openxmlformats.org/officeDocument/2006/relationships/image" Target="/xl/media/image225.png" Id="R3ebf8f545a39429c" /><Relationship Type="http://schemas.openxmlformats.org/officeDocument/2006/relationships/image" Target="/xl/media/image226.png" Id="Rfee0b5e17b6e467f" /><Relationship Type="http://schemas.openxmlformats.org/officeDocument/2006/relationships/image" Target="/xl/media/image227.png" Id="R6567805a68304b66" /><Relationship Type="http://schemas.openxmlformats.org/officeDocument/2006/relationships/image" Target="/xl/media/image228.png" Id="Rc9d86a5128984463" /><Relationship Type="http://schemas.openxmlformats.org/officeDocument/2006/relationships/image" Target="/xl/media/image229.png" Id="R7398db1f4325487c" /><Relationship Type="http://schemas.openxmlformats.org/officeDocument/2006/relationships/image" Target="/xl/media/image230.png" Id="R88f61f6ebe0242a0" /><Relationship Type="http://schemas.openxmlformats.org/officeDocument/2006/relationships/image" Target="/xl/media/image231.png" Id="Rcbd288d4a5df4c5d" /><Relationship Type="http://schemas.openxmlformats.org/officeDocument/2006/relationships/image" Target="/xl/media/image232.png" Id="Rd2482ec130204f01" /><Relationship Type="http://schemas.openxmlformats.org/officeDocument/2006/relationships/image" Target="/xl/media/image233.png" Id="R4b90f3d385644909" /><Relationship Type="http://schemas.openxmlformats.org/officeDocument/2006/relationships/image" Target="/xl/media/image234.png" Id="R005c148fcbc148e9" /><Relationship Type="http://schemas.openxmlformats.org/officeDocument/2006/relationships/image" Target="/xl/media/image235.png" Id="Ra9b4879555604b37" /><Relationship Type="http://schemas.openxmlformats.org/officeDocument/2006/relationships/image" Target="/xl/media/image236.png" Id="R5d87d54beff24fd3" /><Relationship Type="http://schemas.openxmlformats.org/officeDocument/2006/relationships/image" Target="/xl/media/image237.png" Id="Rf4630b0d56fe4c5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38.png" Id="Rcdb3103bd8aa4fd4" /><Relationship Type="http://schemas.openxmlformats.org/officeDocument/2006/relationships/image" Target="/xl/media/image239.png" Id="R870dab9a265949a2" /><Relationship Type="http://schemas.openxmlformats.org/officeDocument/2006/relationships/image" Target="/xl/media/image240.png" Id="Rbd4a6325535c4027" /><Relationship Type="http://schemas.openxmlformats.org/officeDocument/2006/relationships/image" Target="/xl/media/image241.png" Id="R9fd0fedc03e340c8" /><Relationship Type="http://schemas.openxmlformats.org/officeDocument/2006/relationships/image" Target="/xl/media/image242.png" Id="Rf36613785ee64888" /><Relationship Type="http://schemas.openxmlformats.org/officeDocument/2006/relationships/image" Target="/xl/media/image243.png" Id="R16a09e9ca42f4208" /><Relationship Type="http://schemas.openxmlformats.org/officeDocument/2006/relationships/image" Target="/xl/media/image244.png" Id="R3b0f30a8040448ba" /><Relationship Type="http://schemas.openxmlformats.org/officeDocument/2006/relationships/image" Target="/xl/media/image245.png" Id="R729960d1a40a4b11" /><Relationship Type="http://schemas.openxmlformats.org/officeDocument/2006/relationships/image" Target="/xl/media/image246.png" Id="Rc2be8fd0ddd646e9" /><Relationship Type="http://schemas.openxmlformats.org/officeDocument/2006/relationships/image" Target="/xl/media/image247.png" Id="R969b64c26c634bac" /><Relationship Type="http://schemas.openxmlformats.org/officeDocument/2006/relationships/image" Target="/xl/media/image248.png" Id="R998229da827b4918" /><Relationship Type="http://schemas.openxmlformats.org/officeDocument/2006/relationships/image" Target="/xl/media/image249.png" Id="R418b875bcb384d66" /><Relationship Type="http://schemas.openxmlformats.org/officeDocument/2006/relationships/image" Target="/xl/media/image250.png" Id="R600e2b778591462b" /><Relationship Type="http://schemas.openxmlformats.org/officeDocument/2006/relationships/image" Target="/xl/media/image251.png" Id="Ra0fe36eb13d641ab" /><Relationship Type="http://schemas.openxmlformats.org/officeDocument/2006/relationships/image" Target="/xl/media/image252.png" Id="R47104cb5a2cb4c9c" /><Relationship Type="http://schemas.openxmlformats.org/officeDocument/2006/relationships/image" Target="/xl/media/image253.png" Id="Rdfaaf7fb6a364b0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762000" cy="10001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70d4280f1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762000" cy="100012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af27a5d88c4c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762000" cy="100012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c6d900923a4e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762000" cy="1000125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754d55029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762000" cy="1000125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3a9902180f41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762000" cy="1000125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8ecafbb30240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762000" cy="1000125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a49f91e355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762000" cy="1000125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cdf0b32e6c40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762000" cy="1000125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23485c3dc143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62000" cy="1000125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8e14baabe4c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762000" cy="1000125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8411d80bb4d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762000" cy="1000125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8d9fa51a6b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762000" cy="1000125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fe7c02b36f46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1000125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996505ab91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1000125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f9e6aa01e049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1000125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641da74fe84c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762000" cy="1000125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57d7a908d45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1000125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296ca4708045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1000125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637122233243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1000125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720c6d085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1000125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e70bc40be54b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1000125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a5074804f46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1000125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77e1de2d3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762000" cy="1000125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4f26cc9915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762000" cy="1000125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1a3a8b46d45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762000" cy="1000125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26745714a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762000" cy="1000125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9ca717b2b2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762000" cy="1000125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18362de12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762000" cy="1000125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e5b5000f648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762000" cy="1000125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41e9e769a48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762000" cy="1000125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9c7fa1dba46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</xdr:row>
      <xdr:rowOff>0</xdr:rowOff>
    </xdr:from>
    <xdr:ext cx="762000" cy="1000125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b4c427fec49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</xdr:row>
      <xdr:rowOff>0</xdr:rowOff>
    </xdr:from>
    <xdr:ext cx="762000" cy="1000125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212abdb8a7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36</xdr:row>
      <xdr:rowOff>0</xdr:rowOff>
    </xdr:from>
    <xdr:ext cx="762000" cy="1000125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d5ccdc5053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762000" cy="1000125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8d7513c434f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762000" cy="1000125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a31b1808041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762000" cy="1000125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66ab2e93ee4c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762000" cy="1000125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0714f035a4b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762000" cy="1000125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3ffe4734bc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762000" cy="1000125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2edf5164d94b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43</xdr:row>
      <xdr:rowOff>0</xdr:rowOff>
    </xdr:from>
    <xdr:ext cx="762000" cy="1000125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1a0db6cc194b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44</xdr:row>
      <xdr:rowOff>0</xdr:rowOff>
    </xdr:from>
    <xdr:ext cx="762000" cy="1000125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8e6ffc50a4b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762000" cy="1000125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cbc0301a5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762000" cy="1000125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e72a9ba7a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</xdr:row>
      <xdr:rowOff>0</xdr:rowOff>
    </xdr:from>
    <xdr:ext cx="762000" cy="1000125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cb44b904d340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48</xdr:row>
      <xdr:rowOff>0</xdr:rowOff>
    </xdr:from>
    <xdr:ext cx="762000" cy="1000125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8c661e679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762000" cy="1000125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6a2085c8714e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50</xdr:row>
      <xdr:rowOff>0</xdr:rowOff>
    </xdr:from>
    <xdr:ext cx="762000" cy="1000125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41dbc9f73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762000" cy="1000125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239664742842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52</xdr:row>
      <xdr:rowOff>0</xdr:rowOff>
    </xdr:from>
    <xdr:ext cx="762000" cy="1000125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3502f5cc346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53</xdr:row>
      <xdr:rowOff>0</xdr:rowOff>
    </xdr:from>
    <xdr:ext cx="762000" cy="1000125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b6e462533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54</xdr:row>
      <xdr:rowOff>0</xdr:rowOff>
    </xdr:from>
    <xdr:ext cx="762000" cy="1000125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78816ef5a46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55</xdr:row>
      <xdr:rowOff>0</xdr:rowOff>
    </xdr:from>
    <xdr:ext cx="762000" cy="1000125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b823956bcf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56</xdr:row>
      <xdr:rowOff>0</xdr:rowOff>
    </xdr:from>
    <xdr:ext cx="762000" cy="1000125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2e74689ce49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762000" cy="1000125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53b949fd5a49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58</xdr:row>
      <xdr:rowOff>0</xdr:rowOff>
    </xdr:from>
    <xdr:ext cx="762000" cy="1000125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354c1afb048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59</xdr:row>
      <xdr:rowOff>0</xdr:rowOff>
    </xdr:from>
    <xdr:ext cx="762000" cy="1000125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32bb6ff344f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60</xdr:row>
      <xdr:rowOff>0</xdr:rowOff>
    </xdr:from>
    <xdr:ext cx="762000" cy="1000125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49040fa9040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61</xdr:row>
      <xdr:rowOff>0</xdr:rowOff>
    </xdr:from>
    <xdr:ext cx="762000" cy="1000125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79caf9a1a44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62</xdr:row>
      <xdr:rowOff>0</xdr:rowOff>
    </xdr:from>
    <xdr:ext cx="762000" cy="1000125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0477846e9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63</xdr:row>
      <xdr:rowOff>0</xdr:rowOff>
    </xdr:from>
    <xdr:ext cx="762000" cy="1000125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514b1fc6ad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64</xdr:row>
      <xdr:rowOff>0</xdr:rowOff>
    </xdr:from>
    <xdr:ext cx="762000" cy="1000125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ad794ddfb42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65</xdr:row>
      <xdr:rowOff>0</xdr:rowOff>
    </xdr:from>
    <xdr:ext cx="762000" cy="1000125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29da702d3f48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66</xdr:row>
      <xdr:rowOff>0</xdr:rowOff>
    </xdr:from>
    <xdr:ext cx="762000" cy="1000125"/>
    <xdr:pic>
      <xdr:nvPicPr>
        <xdr:cNvPr id="6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996d2545b649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67</xdr:row>
      <xdr:rowOff>0</xdr:rowOff>
    </xdr:from>
    <xdr:ext cx="762000" cy="1000125"/>
    <xdr:pic>
      <xdr:nvPicPr>
        <xdr:cNvPr id="6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e1207f98c46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68</xdr:row>
      <xdr:rowOff>0</xdr:rowOff>
    </xdr:from>
    <xdr:ext cx="762000" cy="1000125"/>
    <xdr:pic>
      <xdr:nvPicPr>
        <xdr:cNvPr id="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a6a08d97b5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69</xdr:row>
      <xdr:rowOff>0</xdr:rowOff>
    </xdr:from>
    <xdr:ext cx="762000" cy="1000125"/>
    <xdr:pic>
      <xdr:nvPicPr>
        <xdr:cNvPr id="67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508815d504f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70</xdr:row>
      <xdr:rowOff>0</xdr:rowOff>
    </xdr:from>
    <xdr:ext cx="762000" cy="1000125"/>
    <xdr:pic>
      <xdr:nvPicPr>
        <xdr:cNvPr id="68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eaf0318d6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71</xdr:row>
      <xdr:rowOff>0</xdr:rowOff>
    </xdr:from>
    <xdr:ext cx="762000" cy="1000125"/>
    <xdr:pic>
      <xdr:nvPicPr>
        <xdr:cNvPr id="69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0f2700eae4d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72</xdr:row>
      <xdr:rowOff>0</xdr:rowOff>
    </xdr:from>
    <xdr:ext cx="762000" cy="1000125"/>
    <xdr:pic>
      <xdr:nvPicPr>
        <xdr:cNvPr id="7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e0ea4b5d9d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73</xdr:row>
      <xdr:rowOff>0</xdr:rowOff>
    </xdr:from>
    <xdr:ext cx="762000" cy="1000125"/>
    <xdr:pic>
      <xdr:nvPicPr>
        <xdr:cNvPr id="7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13483e47241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74</xdr:row>
      <xdr:rowOff>0</xdr:rowOff>
    </xdr:from>
    <xdr:ext cx="762000" cy="1000125"/>
    <xdr:pic>
      <xdr:nvPicPr>
        <xdr:cNvPr id="72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4f45e315be4a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762000" cy="1000125"/>
    <xdr:pic>
      <xdr:nvPicPr>
        <xdr:cNvPr id="73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46bd687894c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76</xdr:row>
      <xdr:rowOff>0</xdr:rowOff>
    </xdr:from>
    <xdr:ext cx="762000" cy="1000125"/>
    <xdr:pic>
      <xdr:nvPicPr>
        <xdr:cNvPr id="74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308d67aa3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77</xdr:row>
      <xdr:rowOff>0</xdr:rowOff>
    </xdr:from>
    <xdr:ext cx="762000" cy="1000125"/>
    <xdr:pic>
      <xdr:nvPicPr>
        <xdr:cNvPr id="75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c2c8071c99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78</xdr:row>
      <xdr:rowOff>0</xdr:rowOff>
    </xdr:from>
    <xdr:ext cx="762000" cy="1000125"/>
    <xdr:pic>
      <xdr:nvPicPr>
        <xdr:cNvPr id="76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a3e51fa5240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79</xdr:row>
      <xdr:rowOff>0</xdr:rowOff>
    </xdr:from>
    <xdr:ext cx="762000" cy="1000125"/>
    <xdr:pic>
      <xdr:nvPicPr>
        <xdr:cNvPr id="77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c2ba2891d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80</xdr:row>
      <xdr:rowOff>0</xdr:rowOff>
    </xdr:from>
    <xdr:ext cx="762000" cy="1000125"/>
    <xdr:pic>
      <xdr:nvPicPr>
        <xdr:cNvPr id="78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a4f70aff741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81</xdr:row>
      <xdr:rowOff>0</xdr:rowOff>
    </xdr:from>
    <xdr:ext cx="762000" cy="1000125"/>
    <xdr:pic>
      <xdr:nvPicPr>
        <xdr:cNvPr id="79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e5f2bb38547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82</xdr:row>
      <xdr:rowOff>0</xdr:rowOff>
    </xdr:from>
    <xdr:ext cx="762000" cy="1000125"/>
    <xdr:pic>
      <xdr:nvPicPr>
        <xdr:cNvPr id="80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d4cd6aef647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83</xdr:row>
      <xdr:rowOff>0</xdr:rowOff>
    </xdr:from>
    <xdr:ext cx="762000" cy="1000125"/>
    <xdr:pic>
      <xdr:nvPicPr>
        <xdr:cNvPr id="8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b3ffb9624d4f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84</xdr:row>
      <xdr:rowOff>0</xdr:rowOff>
    </xdr:from>
    <xdr:ext cx="762000" cy="1000125"/>
    <xdr:pic>
      <xdr:nvPicPr>
        <xdr:cNvPr id="82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0d56b7e6dc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85</xdr:row>
      <xdr:rowOff>0</xdr:rowOff>
    </xdr:from>
    <xdr:ext cx="762000" cy="1000125"/>
    <xdr:pic>
      <xdr:nvPicPr>
        <xdr:cNvPr id="83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4644dd317d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86</xdr:row>
      <xdr:rowOff>0</xdr:rowOff>
    </xdr:from>
    <xdr:ext cx="762000" cy="1000125"/>
    <xdr:pic>
      <xdr:nvPicPr>
        <xdr:cNvPr id="84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39b8c59984a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87</xdr:row>
      <xdr:rowOff>0</xdr:rowOff>
    </xdr:from>
    <xdr:ext cx="762000" cy="1000125"/>
    <xdr:pic>
      <xdr:nvPicPr>
        <xdr:cNvPr id="85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29b7957bca4b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88</xdr:row>
      <xdr:rowOff>0</xdr:rowOff>
    </xdr:from>
    <xdr:ext cx="762000" cy="1000125"/>
    <xdr:pic>
      <xdr:nvPicPr>
        <xdr:cNvPr id="86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2d7f20c83c42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89</xdr:row>
      <xdr:rowOff>0</xdr:rowOff>
    </xdr:from>
    <xdr:ext cx="762000" cy="1000125"/>
    <xdr:pic>
      <xdr:nvPicPr>
        <xdr:cNvPr id="87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a452c672c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90</xdr:row>
      <xdr:rowOff>0</xdr:rowOff>
    </xdr:from>
    <xdr:ext cx="762000" cy="1000125"/>
    <xdr:pic>
      <xdr:nvPicPr>
        <xdr:cNvPr id="88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22443e806c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91</xdr:row>
      <xdr:rowOff>0</xdr:rowOff>
    </xdr:from>
    <xdr:ext cx="762000" cy="1000125"/>
    <xdr:pic>
      <xdr:nvPicPr>
        <xdr:cNvPr id="89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482d5bd95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92</xdr:row>
      <xdr:rowOff>0</xdr:rowOff>
    </xdr:from>
    <xdr:ext cx="762000" cy="1000125"/>
    <xdr:pic>
      <xdr:nvPicPr>
        <xdr:cNvPr id="90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73df57e06645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93</xdr:row>
      <xdr:rowOff>0</xdr:rowOff>
    </xdr:from>
    <xdr:ext cx="762000" cy="1000125"/>
    <xdr:pic>
      <xdr:nvPicPr>
        <xdr:cNvPr id="9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53db991cd46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94</xdr:row>
      <xdr:rowOff>0</xdr:rowOff>
    </xdr:from>
    <xdr:ext cx="762000" cy="1000125"/>
    <xdr:pic>
      <xdr:nvPicPr>
        <xdr:cNvPr id="92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09623483514a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95</xdr:row>
      <xdr:rowOff>0</xdr:rowOff>
    </xdr:from>
    <xdr:ext cx="762000" cy="1000125"/>
    <xdr:pic>
      <xdr:nvPicPr>
        <xdr:cNvPr id="93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31f26007f41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96</xdr:row>
      <xdr:rowOff>0</xdr:rowOff>
    </xdr:from>
    <xdr:ext cx="762000" cy="1000125"/>
    <xdr:pic>
      <xdr:nvPicPr>
        <xdr:cNvPr id="94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c30cc25ae4a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97</xdr:row>
      <xdr:rowOff>0</xdr:rowOff>
    </xdr:from>
    <xdr:ext cx="762000" cy="1000125"/>
    <xdr:pic>
      <xdr:nvPicPr>
        <xdr:cNvPr id="9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6b4446f7ef41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98</xdr:row>
      <xdr:rowOff>0</xdr:rowOff>
    </xdr:from>
    <xdr:ext cx="762000" cy="1000125"/>
    <xdr:pic>
      <xdr:nvPicPr>
        <xdr:cNvPr id="96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5592927b2643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99</xdr:row>
      <xdr:rowOff>0</xdr:rowOff>
    </xdr:from>
    <xdr:ext cx="762000" cy="1000125"/>
    <xdr:pic>
      <xdr:nvPicPr>
        <xdr:cNvPr id="97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454ca14a5f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100</xdr:row>
      <xdr:rowOff>0</xdr:rowOff>
    </xdr:from>
    <xdr:ext cx="762000" cy="1000125"/>
    <xdr:pic>
      <xdr:nvPicPr>
        <xdr:cNvPr id="98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5bbd692f2c4e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101</xdr:row>
      <xdr:rowOff>0</xdr:rowOff>
    </xdr:from>
    <xdr:ext cx="762000" cy="1000125"/>
    <xdr:pic>
      <xdr:nvPicPr>
        <xdr:cNvPr id="99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8d747c3e642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102</xdr:row>
      <xdr:rowOff>0</xdr:rowOff>
    </xdr:from>
    <xdr:ext cx="762000" cy="1000125"/>
    <xdr:pic>
      <xdr:nvPicPr>
        <xdr:cNvPr id="100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f1eccf0c92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103</xdr:row>
      <xdr:rowOff>0</xdr:rowOff>
    </xdr:from>
    <xdr:ext cx="762000" cy="1000125"/>
    <xdr:pic>
      <xdr:nvPicPr>
        <xdr:cNvPr id="10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222faf45be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104</xdr:row>
      <xdr:rowOff>0</xdr:rowOff>
    </xdr:from>
    <xdr:ext cx="762000" cy="1000125"/>
    <xdr:pic>
      <xdr:nvPicPr>
        <xdr:cNvPr id="102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6d899238fa46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105</xdr:row>
      <xdr:rowOff>0</xdr:rowOff>
    </xdr:from>
    <xdr:ext cx="762000" cy="1000125"/>
    <xdr:pic>
      <xdr:nvPicPr>
        <xdr:cNvPr id="103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7aeea9b0942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106</xdr:row>
      <xdr:rowOff>0</xdr:rowOff>
    </xdr:from>
    <xdr:ext cx="762000" cy="1000125"/>
    <xdr:pic>
      <xdr:nvPicPr>
        <xdr:cNvPr id="104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257ac7cff6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107</xdr:row>
      <xdr:rowOff>0</xdr:rowOff>
    </xdr:from>
    <xdr:ext cx="762000" cy="1000125"/>
    <xdr:pic>
      <xdr:nvPicPr>
        <xdr:cNvPr id="105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d28cfa4390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108</xdr:row>
      <xdr:rowOff>0</xdr:rowOff>
    </xdr:from>
    <xdr:ext cx="762000" cy="1000125"/>
    <xdr:pic>
      <xdr:nvPicPr>
        <xdr:cNvPr id="106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15a26b55949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109</xdr:row>
      <xdr:rowOff>0</xdr:rowOff>
    </xdr:from>
    <xdr:ext cx="762000" cy="1000125"/>
    <xdr:pic>
      <xdr:nvPicPr>
        <xdr:cNvPr id="107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3430e3c73946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110</xdr:row>
      <xdr:rowOff>0</xdr:rowOff>
    </xdr:from>
    <xdr:ext cx="762000" cy="1000125"/>
    <xdr:pic>
      <xdr:nvPicPr>
        <xdr:cNvPr id="108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aac4b483046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111</xdr:row>
      <xdr:rowOff>0</xdr:rowOff>
    </xdr:from>
    <xdr:ext cx="762000" cy="1000125"/>
    <xdr:pic>
      <xdr:nvPicPr>
        <xdr:cNvPr id="109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cd021aa085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112</xdr:row>
      <xdr:rowOff>0</xdr:rowOff>
    </xdr:from>
    <xdr:ext cx="762000" cy="1000125"/>
    <xdr:pic>
      <xdr:nvPicPr>
        <xdr:cNvPr id="110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63831e749f49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113</xdr:row>
      <xdr:rowOff>0</xdr:rowOff>
    </xdr:from>
    <xdr:ext cx="762000" cy="1000125"/>
    <xdr:pic>
      <xdr:nvPicPr>
        <xdr:cNvPr id="11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818ca22aa4b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114</xdr:row>
      <xdr:rowOff>0</xdr:rowOff>
    </xdr:from>
    <xdr:ext cx="762000" cy="1000125"/>
    <xdr:pic>
      <xdr:nvPicPr>
        <xdr:cNvPr id="112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a5c9b6ed84a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115</xdr:row>
      <xdr:rowOff>0</xdr:rowOff>
    </xdr:from>
    <xdr:ext cx="762000" cy="1000125"/>
    <xdr:pic>
      <xdr:nvPicPr>
        <xdr:cNvPr id="113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6fc0c51d3c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116</xdr:row>
      <xdr:rowOff>0</xdr:rowOff>
    </xdr:from>
    <xdr:ext cx="762000" cy="1000125"/>
    <xdr:pic>
      <xdr:nvPicPr>
        <xdr:cNvPr id="114" name="/xl/media/image1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b20b35344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117</xdr:row>
      <xdr:rowOff>0</xdr:rowOff>
    </xdr:from>
    <xdr:ext cx="762000" cy="1000125"/>
    <xdr:pic>
      <xdr:nvPicPr>
        <xdr:cNvPr id="115" name="/xl/media/image1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c77cc8e09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118</xdr:row>
      <xdr:rowOff>0</xdr:rowOff>
    </xdr:from>
    <xdr:ext cx="762000" cy="1000125"/>
    <xdr:pic>
      <xdr:nvPicPr>
        <xdr:cNvPr id="116" name="/xl/media/image1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aef302b181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119</xdr:row>
      <xdr:rowOff>0</xdr:rowOff>
    </xdr:from>
    <xdr:ext cx="762000" cy="1000125"/>
    <xdr:pic>
      <xdr:nvPicPr>
        <xdr:cNvPr id="117" name="/xl/media/image1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5d580b45d6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120</xdr:row>
      <xdr:rowOff>0</xdr:rowOff>
    </xdr:from>
    <xdr:ext cx="762000" cy="1000125"/>
    <xdr:pic>
      <xdr:nvPicPr>
        <xdr:cNvPr id="118" name="/xl/media/image1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b325d167a84d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121</xdr:row>
      <xdr:rowOff>0</xdr:rowOff>
    </xdr:from>
    <xdr:ext cx="762000" cy="1000125"/>
    <xdr:pic>
      <xdr:nvPicPr>
        <xdr:cNvPr id="119" name="/xl/media/image1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7f7823bb044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122</xdr:row>
      <xdr:rowOff>0</xdr:rowOff>
    </xdr:from>
    <xdr:ext cx="762000" cy="1000125"/>
    <xdr:pic>
      <xdr:nvPicPr>
        <xdr:cNvPr id="120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f23d339544f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123</xdr:row>
      <xdr:rowOff>0</xdr:rowOff>
    </xdr:from>
    <xdr:ext cx="762000" cy="1000125"/>
    <xdr:pic>
      <xdr:nvPicPr>
        <xdr:cNvPr id="121" name="/xl/media/image1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9de2fdcdc8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124</xdr:row>
      <xdr:rowOff>0</xdr:rowOff>
    </xdr:from>
    <xdr:ext cx="762000" cy="1000125"/>
    <xdr:pic>
      <xdr:nvPicPr>
        <xdr:cNvPr id="122" name="/xl/media/image1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d57d73c3841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125</xdr:row>
      <xdr:rowOff>0</xdr:rowOff>
    </xdr:from>
    <xdr:ext cx="762000" cy="1000125"/>
    <xdr:pic>
      <xdr:nvPicPr>
        <xdr:cNvPr id="123" name="/xl/media/image1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aaf7160e83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126</xdr:row>
      <xdr:rowOff>0</xdr:rowOff>
    </xdr:from>
    <xdr:ext cx="762000" cy="1000125"/>
    <xdr:pic>
      <xdr:nvPicPr>
        <xdr:cNvPr id="124" name="/xl/media/image1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a6a56d066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127</xdr:row>
      <xdr:rowOff>0</xdr:rowOff>
    </xdr:from>
    <xdr:ext cx="762000" cy="1000125"/>
    <xdr:pic>
      <xdr:nvPicPr>
        <xdr:cNvPr id="125" name="/xl/media/image1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a6135216545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762000" cy="1000125"/>
    <xdr:pic>
      <xdr:nvPicPr>
        <xdr:cNvPr id="126" name="/xl/media/image1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f69f4a1a84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129</xdr:row>
      <xdr:rowOff>0</xdr:rowOff>
    </xdr:from>
    <xdr:ext cx="762000" cy="1000125"/>
    <xdr:pic>
      <xdr:nvPicPr>
        <xdr:cNvPr id="127" name="/xl/media/image1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73525ecb6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130</xdr:row>
      <xdr:rowOff>0</xdr:rowOff>
    </xdr:from>
    <xdr:ext cx="762000" cy="1000125"/>
    <xdr:pic>
      <xdr:nvPicPr>
        <xdr:cNvPr id="128" name="/xl/media/image1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1fbf7925c1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131</xdr:row>
      <xdr:rowOff>0</xdr:rowOff>
    </xdr:from>
    <xdr:ext cx="762000" cy="1000125"/>
    <xdr:pic>
      <xdr:nvPicPr>
        <xdr:cNvPr id="129" name="/xl/media/image1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6d1518e964e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132</xdr:row>
      <xdr:rowOff>0</xdr:rowOff>
    </xdr:from>
    <xdr:ext cx="762000" cy="1000125"/>
    <xdr:pic>
      <xdr:nvPicPr>
        <xdr:cNvPr id="130" name="/xl/media/image1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b467de3255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133</xdr:row>
      <xdr:rowOff>0</xdr:rowOff>
    </xdr:from>
    <xdr:ext cx="762000" cy="1000125"/>
    <xdr:pic>
      <xdr:nvPicPr>
        <xdr:cNvPr id="131" name="/xl/media/image1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8950fb2b8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134</xdr:row>
      <xdr:rowOff>0</xdr:rowOff>
    </xdr:from>
    <xdr:ext cx="762000" cy="1000125"/>
    <xdr:pic>
      <xdr:nvPicPr>
        <xdr:cNvPr id="132" name="/xl/media/image1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f30fb4f33245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135</xdr:row>
      <xdr:rowOff>0</xdr:rowOff>
    </xdr:from>
    <xdr:ext cx="762000" cy="1000125"/>
    <xdr:pic>
      <xdr:nvPicPr>
        <xdr:cNvPr id="133" name="/xl/media/image1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d023bb1be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136</xdr:row>
      <xdr:rowOff>0</xdr:rowOff>
    </xdr:from>
    <xdr:ext cx="762000" cy="1000125"/>
    <xdr:pic>
      <xdr:nvPicPr>
        <xdr:cNvPr id="134" name="/xl/media/image1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16c9fbf604d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137</xdr:row>
      <xdr:rowOff>0</xdr:rowOff>
    </xdr:from>
    <xdr:ext cx="762000" cy="1000125"/>
    <xdr:pic>
      <xdr:nvPicPr>
        <xdr:cNvPr id="135" name="/xl/media/image1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8cfebdf96942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138</xdr:row>
      <xdr:rowOff>0</xdr:rowOff>
    </xdr:from>
    <xdr:ext cx="762000" cy="1000125"/>
    <xdr:pic>
      <xdr:nvPicPr>
        <xdr:cNvPr id="136" name="/xl/media/image1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ad0d78671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139</xdr:row>
      <xdr:rowOff>0</xdr:rowOff>
    </xdr:from>
    <xdr:ext cx="762000" cy="1000125"/>
    <xdr:pic>
      <xdr:nvPicPr>
        <xdr:cNvPr id="137" name="/xl/media/image1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0181338a444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140</xdr:row>
      <xdr:rowOff>0</xdr:rowOff>
    </xdr:from>
    <xdr:ext cx="762000" cy="1000125"/>
    <xdr:pic>
      <xdr:nvPicPr>
        <xdr:cNvPr id="138" name="/xl/media/image1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09785567a4a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141</xdr:row>
      <xdr:rowOff>0</xdr:rowOff>
    </xdr:from>
    <xdr:ext cx="762000" cy="1000125"/>
    <xdr:pic>
      <xdr:nvPicPr>
        <xdr:cNvPr id="139" name="/xl/media/image1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abfcef10544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142</xdr:row>
      <xdr:rowOff>0</xdr:rowOff>
    </xdr:from>
    <xdr:ext cx="762000" cy="1000125"/>
    <xdr:pic>
      <xdr:nvPicPr>
        <xdr:cNvPr id="140" name="/xl/media/image1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b867f65eb4b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143</xdr:row>
      <xdr:rowOff>0</xdr:rowOff>
    </xdr:from>
    <xdr:ext cx="762000" cy="1000125"/>
    <xdr:pic>
      <xdr:nvPicPr>
        <xdr:cNvPr id="141" name="/xl/media/image1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10dbfc07449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144</xdr:row>
      <xdr:rowOff>0</xdr:rowOff>
    </xdr:from>
    <xdr:ext cx="762000" cy="1000125"/>
    <xdr:pic>
      <xdr:nvPicPr>
        <xdr:cNvPr id="142" name="/xl/media/image1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7fb962be0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145</xdr:row>
      <xdr:rowOff>0</xdr:rowOff>
    </xdr:from>
    <xdr:ext cx="762000" cy="1000125"/>
    <xdr:pic>
      <xdr:nvPicPr>
        <xdr:cNvPr id="143" name="/xl/media/image1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6a39a80b78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146</xdr:row>
      <xdr:rowOff>0</xdr:rowOff>
    </xdr:from>
    <xdr:ext cx="762000" cy="1000125"/>
    <xdr:pic>
      <xdr:nvPicPr>
        <xdr:cNvPr id="144" name="/xl/media/image1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81ee44dc38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147</xdr:row>
      <xdr:rowOff>0</xdr:rowOff>
    </xdr:from>
    <xdr:ext cx="762000" cy="1000125"/>
    <xdr:pic>
      <xdr:nvPicPr>
        <xdr:cNvPr id="145" name="/xl/media/image1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a54d16d8f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148</xdr:row>
      <xdr:rowOff>0</xdr:rowOff>
    </xdr:from>
    <xdr:ext cx="762000" cy="1000125"/>
    <xdr:pic>
      <xdr:nvPicPr>
        <xdr:cNvPr id="146" name="/xl/media/image1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72f02912a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149</xdr:row>
      <xdr:rowOff>0</xdr:rowOff>
    </xdr:from>
    <xdr:ext cx="762000" cy="1000125"/>
    <xdr:pic>
      <xdr:nvPicPr>
        <xdr:cNvPr id="147" name="/xl/media/image1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f7e826b99a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762000" cy="1000125"/>
    <xdr:pic>
      <xdr:nvPicPr>
        <xdr:cNvPr id="1" name="/xl/media/image1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42e427027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762000" cy="1000125"/>
    <xdr:pic>
      <xdr:nvPicPr>
        <xdr:cNvPr id="2" name="/xl/media/image1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60c88fc30849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762000" cy="1000125"/>
    <xdr:pic>
      <xdr:nvPicPr>
        <xdr:cNvPr id="3" name="/xl/media/image1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56309d794b4d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762000" cy="1000125"/>
    <xdr:pic>
      <xdr:nvPicPr>
        <xdr:cNvPr id="4" name="/xl/media/image1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49f88e81fc45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762000" cy="1000125"/>
    <xdr:pic>
      <xdr:nvPicPr>
        <xdr:cNvPr id="5" name="/xl/media/image1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b1ecc0d3d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762000" cy="1000125"/>
    <xdr:pic>
      <xdr:nvPicPr>
        <xdr:cNvPr id="6" name="/xl/media/image1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9caba3aad5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762000" cy="1000125"/>
    <xdr:pic>
      <xdr:nvPicPr>
        <xdr:cNvPr id="7" name="/xl/media/image1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662cc6482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762000" cy="1000125"/>
    <xdr:pic>
      <xdr:nvPicPr>
        <xdr:cNvPr id="8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d87ddaf0a42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762000" cy="1000125"/>
    <xdr:pic>
      <xdr:nvPicPr>
        <xdr:cNvPr id="9" name="/xl/media/image1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ce84b39124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62000" cy="1000125"/>
    <xdr:pic>
      <xdr:nvPicPr>
        <xdr:cNvPr id="10" name="/xl/media/image1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559a616eb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762000" cy="1000125"/>
    <xdr:pic>
      <xdr:nvPicPr>
        <xdr:cNvPr id="11" name="/xl/media/image1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526490115340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762000" cy="1000125"/>
    <xdr:pic>
      <xdr:nvPicPr>
        <xdr:cNvPr id="12" name="/xl/media/image1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ed3ae3cd4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762000" cy="1000125"/>
    <xdr:pic>
      <xdr:nvPicPr>
        <xdr:cNvPr id="13" name="/xl/media/image1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62fdc9e6f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1000125"/>
    <xdr:pic>
      <xdr:nvPicPr>
        <xdr:cNvPr id="14" name="/xl/media/image1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6a9e41d5f49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1000125"/>
    <xdr:pic>
      <xdr:nvPicPr>
        <xdr:cNvPr id="15" name="/xl/media/image1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baec47452643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1000125"/>
    <xdr:pic>
      <xdr:nvPicPr>
        <xdr:cNvPr id="16" name="/xl/media/image1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59cb2a88144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762000" cy="1000125"/>
    <xdr:pic>
      <xdr:nvPicPr>
        <xdr:cNvPr id="17" name="/xl/media/image1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d76b032034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1000125"/>
    <xdr:pic>
      <xdr:nvPicPr>
        <xdr:cNvPr id="18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df1328bdf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1000125"/>
    <xdr:pic>
      <xdr:nvPicPr>
        <xdr:cNvPr id="19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929daf7a404d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1000125"/>
    <xdr:pic>
      <xdr:nvPicPr>
        <xdr:cNvPr id="20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acbc8c38b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1000125"/>
    <xdr:pic>
      <xdr:nvPicPr>
        <xdr:cNvPr id="21" name="/xl/media/image1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b8bc01d9d248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1000125"/>
    <xdr:pic>
      <xdr:nvPicPr>
        <xdr:cNvPr id="22" name="/xl/media/image1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c8be45049e46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1000125"/>
    <xdr:pic>
      <xdr:nvPicPr>
        <xdr:cNvPr id="23" name="/xl/media/image1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6c1a319c8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762000" cy="1000125"/>
    <xdr:pic>
      <xdr:nvPicPr>
        <xdr:cNvPr id="24" name="/xl/media/image1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473972adf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762000" cy="1000125"/>
    <xdr:pic>
      <xdr:nvPicPr>
        <xdr:cNvPr id="25" name="/xl/media/image1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3baf97d7f740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762000" cy="1000125"/>
    <xdr:pic>
      <xdr:nvPicPr>
        <xdr:cNvPr id="26" name="/xl/media/image1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3c5b443948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762000" cy="1000125"/>
    <xdr:pic>
      <xdr:nvPicPr>
        <xdr:cNvPr id="27" name="/xl/media/image1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71a20c187347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762000" cy="1000125"/>
    <xdr:pic>
      <xdr:nvPicPr>
        <xdr:cNvPr id="28" name="/xl/media/image1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6b6dced480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762000" cy="1000125"/>
    <xdr:pic>
      <xdr:nvPicPr>
        <xdr:cNvPr id="29" name="/xl/media/image1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0819e1ab3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762000" cy="1000125"/>
    <xdr:pic>
      <xdr:nvPicPr>
        <xdr:cNvPr id="30" name="/xl/media/image1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ba0edd50b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762000" cy="1000125"/>
    <xdr:pic>
      <xdr:nvPicPr>
        <xdr:cNvPr id="31" name="/xl/media/image1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6f37979a844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</xdr:row>
      <xdr:rowOff>0</xdr:rowOff>
    </xdr:from>
    <xdr:ext cx="762000" cy="1000125"/>
    <xdr:pic>
      <xdr:nvPicPr>
        <xdr:cNvPr id="32" name="/xl/media/image1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8339680734f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</xdr:row>
      <xdr:rowOff>0</xdr:rowOff>
    </xdr:from>
    <xdr:ext cx="762000" cy="1000125"/>
    <xdr:pic>
      <xdr:nvPicPr>
        <xdr:cNvPr id="33" name="/xl/media/image1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5bf490a0740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36</xdr:row>
      <xdr:rowOff>0</xdr:rowOff>
    </xdr:from>
    <xdr:ext cx="762000" cy="1000125"/>
    <xdr:pic>
      <xdr:nvPicPr>
        <xdr:cNvPr id="34" name="/xl/media/image1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6a8a66a43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762000" cy="1000125"/>
    <xdr:pic>
      <xdr:nvPicPr>
        <xdr:cNvPr id="35" name="/xl/media/image1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de56cb4824a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762000" cy="1000125"/>
    <xdr:pic>
      <xdr:nvPicPr>
        <xdr:cNvPr id="36" name="/xl/media/image1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9300fd86440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762000" cy="1000125"/>
    <xdr:pic>
      <xdr:nvPicPr>
        <xdr:cNvPr id="37" name="/xl/media/image1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f269092eb44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762000" cy="1000125"/>
    <xdr:pic>
      <xdr:nvPicPr>
        <xdr:cNvPr id="38" name="/xl/media/image1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3b2cc156240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762000" cy="1000125"/>
    <xdr:pic>
      <xdr:nvPicPr>
        <xdr:cNvPr id="39" name="/xl/media/image1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d2586d99945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762000" cy="1000125"/>
    <xdr:pic>
      <xdr:nvPicPr>
        <xdr:cNvPr id="40" name="/xl/media/image1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96dfed308d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43</xdr:row>
      <xdr:rowOff>0</xdr:rowOff>
    </xdr:from>
    <xdr:ext cx="762000" cy="1000125"/>
    <xdr:pic>
      <xdr:nvPicPr>
        <xdr:cNvPr id="41" name="/xl/media/image1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8d584489e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44</xdr:row>
      <xdr:rowOff>0</xdr:rowOff>
    </xdr:from>
    <xdr:ext cx="762000" cy="1000125"/>
    <xdr:pic>
      <xdr:nvPicPr>
        <xdr:cNvPr id="42" name="/xl/media/image1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7be1d566b04f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762000" cy="1000125"/>
    <xdr:pic>
      <xdr:nvPicPr>
        <xdr:cNvPr id="43" name="/xl/media/image1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c1bea4d2864f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762000" cy="1000125"/>
    <xdr:pic>
      <xdr:nvPicPr>
        <xdr:cNvPr id="44" name="/xl/media/image1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19d8f4cc09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</xdr:row>
      <xdr:rowOff>0</xdr:rowOff>
    </xdr:from>
    <xdr:ext cx="762000" cy="1000125"/>
    <xdr:pic>
      <xdr:nvPicPr>
        <xdr:cNvPr id="45" name="/xl/media/image1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03e9f85016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48</xdr:row>
      <xdr:rowOff>0</xdr:rowOff>
    </xdr:from>
    <xdr:ext cx="762000" cy="1000125"/>
    <xdr:pic>
      <xdr:nvPicPr>
        <xdr:cNvPr id="46" name="/xl/media/image1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c3f9862084a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762000" cy="1000125"/>
    <xdr:pic>
      <xdr:nvPicPr>
        <xdr:cNvPr id="47" name="/xl/media/image1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c5579b4cd945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50</xdr:row>
      <xdr:rowOff>0</xdr:rowOff>
    </xdr:from>
    <xdr:ext cx="762000" cy="1000125"/>
    <xdr:pic>
      <xdr:nvPicPr>
        <xdr:cNvPr id="48" name="/xl/media/image1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ea7d7531248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762000" cy="1000125"/>
    <xdr:pic>
      <xdr:nvPicPr>
        <xdr:cNvPr id="49" name="/xl/media/image1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08d18f5f441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52</xdr:row>
      <xdr:rowOff>0</xdr:rowOff>
    </xdr:from>
    <xdr:ext cx="762000" cy="1000125"/>
    <xdr:pic>
      <xdr:nvPicPr>
        <xdr:cNvPr id="50" name="/xl/media/image1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8f45c7d2314d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53</xdr:row>
      <xdr:rowOff>0</xdr:rowOff>
    </xdr:from>
    <xdr:ext cx="762000" cy="1000125"/>
    <xdr:pic>
      <xdr:nvPicPr>
        <xdr:cNvPr id="51" name="/xl/media/image1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94e2fac6cd46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54</xdr:row>
      <xdr:rowOff>0</xdr:rowOff>
    </xdr:from>
    <xdr:ext cx="762000" cy="1000125"/>
    <xdr:pic>
      <xdr:nvPicPr>
        <xdr:cNvPr id="52" name="/xl/media/image1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a4bfea83cc4c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55</xdr:row>
      <xdr:rowOff>0</xdr:rowOff>
    </xdr:from>
    <xdr:ext cx="762000" cy="1000125"/>
    <xdr:pic>
      <xdr:nvPicPr>
        <xdr:cNvPr id="53" name="/xl/media/image2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d14c4dcf5f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56</xdr:row>
      <xdr:rowOff>0</xdr:rowOff>
    </xdr:from>
    <xdr:ext cx="762000" cy="1000125"/>
    <xdr:pic>
      <xdr:nvPicPr>
        <xdr:cNvPr id="54" name="/xl/media/image2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c2a6645db145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762000" cy="1000125"/>
    <xdr:pic>
      <xdr:nvPicPr>
        <xdr:cNvPr id="55" name="/xl/media/image2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b56e56ca541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58</xdr:row>
      <xdr:rowOff>0</xdr:rowOff>
    </xdr:from>
    <xdr:ext cx="762000" cy="1000125"/>
    <xdr:pic>
      <xdr:nvPicPr>
        <xdr:cNvPr id="56" name="/xl/media/image2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4b279ee672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59</xdr:row>
      <xdr:rowOff>0</xdr:rowOff>
    </xdr:from>
    <xdr:ext cx="762000" cy="1000125"/>
    <xdr:pic>
      <xdr:nvPicPr>
        <xdr:cNvPr id="57" name="/xl/media/image2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9525d034a2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60</xdr:row>
      <xdr:rowOff>0</xdr:rowOff>
    </xdr:from>
    <xdr:ext cx="762000" cy="1000125"/>
    <xdr:pic>
      <xdr:nvPicPr>
        <xdr:cNvPr id="58" name="/xl/media/image2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7fa02125f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61</xdr:row>
      <xdr:rowOff>0</xdr:rowOff>
    </xdr:from>
    <xdr:ext cx="762000" cy="1000125"/>
    <xdr:pic>
      <xdr:nvPicPr>
        <xdr:cNvPr id="59" name="/xl/media/image2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e12678f91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62</xdr:row>
      <xdr:rowOff>0</xdr:rowOff>
    </xdr:from>
    <xdr:ext cx="762000" cy="1000125"/>
    <xdr:pic>
      <xdr:nvPicPr>
        <xdr:cNvPr id="60" name="/xl/media/image2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6c0e78f3a0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63</xdr:row>
      <xdr:rowOff>0</xdr:rowOff>
    </xdr:from>
    <xdr:ext cx="762000" cy="1000125"/>
    <xdr:pic>
      <xdr:nvPicPr>
        <xdr:cNvPr id="61" name="/xl/media/image2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73a4b60b8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762000" cy="1000125"/>
    <xdr:pic>
      <xdr:nvPicPr>
        <xdr:cNvPr id="1" name="/xl/media/image2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704c6004347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762000" cy="1000125"/>
    <xdr:pic>
      <xdr:nvPicPr>
        <xdr:cNvPr id="2" name="/xl/media/image2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e456353134c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762000" cy="1000125"/>
    <xdr:pic>
      <xdr:nvPicPr>
        <xdr:cNvPr id="3" name="/xl/media/image2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499caa9ddd4f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762000" cy="1000125"/>
    <xdr:pic>
      <xdr:nvPicPr>
        <xdr:cNvPr id="4" name="/xl/media/image2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df296b8d474f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762000" cy="1000125"/>
    <xdr:pic>
      <xdr:nvPicPr>
        <xdr:cNvPr id="5" name="/xl/media/image2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f8922670f4b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762000" cy="1000125"/>
    <xdr:pic>
      <xdr:nvPicPr>
        <xdr:cNvPr id="6" name="/xl/media/image2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94e2b169b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762000" cy="1000125"/>
    <xdr:pic>
      <xdr:nvPicPr>
        <xdr:cNvPr id="7" name="/xl/media/image2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96f718bef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762000" cy="1000125"/>
    <xdr:pic>
      <xdr:nvPicPr>
        <xdr:cNvPr id="8" name="/xl/media/image2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15c4d76b44d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762000" cy="1000125"/>
    <xdr:pic>
      <xdr:nvPicPr>
        <xdr:cNvPr id="9" name="/xl/media/image2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2471aa3b1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62000" cy="1000125"/>
    <xdr:pic>
      <xdr:nvPicPr>
        <xdr:cNvPr id="10" name="/xl/media/image2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5bebe67f6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762000" cy="1000125"/>
    <xdr:pic>
      <xdr:nvPicPr>
        <xdr:cNvPr id="11" name="/xl/media/image2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bd389d4024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762000" cy="1000125"/>
    <xdr:pic>
      <xdr:nvPicPr>
        <xdr:cNvPr id="12" name="/xl/media/image2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753cd6c763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762000" cy="1000125"/>
    <xdr:pic>
      <xdr:nvPicPr>
        <xdr:cNvPr id="13" name="/xl/media/image2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b6c24a0c56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1000125"/>
    <xdr:pic>
      <xdr:nvPicPr>
        <xdr:cNvPr id="14" name="/xl/media/image2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4e7e29002047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1000125"/>
    <xdr:pic>
      <xdr:nvPicPr>
        <xdr:cNvPr id="15" name="/xl/media/image2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e20e88e84c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1000125"/>
    <xdr:pic>
      <xdr:nvPicPr>
        <xdr:cNvPr id="16" name="/xl/media/image2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034a90b31d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762000" cy="1000125"/>
    <xdr:pic>
      <xdr:nvPicPr>
        <xdr:cNvPr id="17" name="/xl/media/image2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f8f545a39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1000125"/>
    <xdr:pic>
      <xdr:nvPicPr>
        <xdr:cNvPr id="18" name="/xl/media/image2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e0b5e17b6e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1000125"/>
    <xdr:pic>
      <xdr:nvPicPr>
        <xdr:cNvPr id="19" name="/xl/media/image2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67805a68304b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1000125"/>
    <xdr:pic>
      <xdr:nvPicPr>
        <xdr:cNvPr id="20" name="/xl/media/image2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d86a51289844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1000125"/>
    <xdr:pic>
      <xdr:nvPicPr>
        <xdr:cNvPr id="21" name="/xl/media/image2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98db1f432548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1000125"/>
    <xdr:pic>
      <xdr:nvPicPr>
        <xdr:cNvPr id="22" name="/xl/media/image2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f61f6ebe0242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1000125"/>
    <xdr:pic>
      <xdr:nvPicPr>
        <xdr:cNvPr id="23" name="/xl/media/image2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d288d4a5df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762000" cy="1000125"/>
    <xdr:pic>
      <xdr:nvPicPr>
        <xdr:cNvPr id="24" name="/xl/media/image2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482ec13020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762000" cy="1000125"/>
    <xdr:pic>
      <xdr:nvPicPr>
        <xdr:cNvPr id="25" name="/xl/media/image2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0f3d38564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762000" cy="1000125"/>
    <xdr:pic>
      <xdr:nvPicPr>
        <xdr:cNvPr id="26" name="/xl/media/image2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5c148fcbc148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762000" cy="1000125"/>
    <xdr:pic>
      <xdr:nvPicPr>
        <xdr:cNvPr id="27" name="/xl/media/image2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4879555604b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762000" cy="1000125"/>
    <xdr:pic>
      <xdr:nvPicPr>
        <xdr:cNvPr id="28" name="/xl/media/image2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7d54beff24f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762000" cy="1000125"/>
    <xdr:pic>
      <xdr:nvPicPr>
        <xdr:cNvPr id="29" name="/xl/media/image2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630b0d56fe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762000" cy="1000125"/>
    <xdr:pic>
      <xdr:nvPicPr>
        <xdr:cNvPr id="1" name="/xl/media/image2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b3103bd8aa4f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762000" cy="1000125"/>
    <xdr:pic>
      <xdr:nvPicPr>
        <xdr:cNvPr id="2" name="/xl/media/image2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0dab9a2659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762000" cy="1000125"/>
    <xdr:pic>
      <xdr:nvPicPr>
        <xdr:cNvPr id="3" name="/xl/media/image2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4a6325535c40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762000" cy="1000125"/>
    <xdr:pic>
      <xdr:nvPicPr>
        <xdr:cNvPr id="4" name="/xl/media/image2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0fedc03e3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762000" cy="1000125"/>
    <xdr:pic>
      <xdr:nvPicPr>
        <xdr:cNvPr id="5" name="/xl/media/image2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613785ee6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762000" cy="1000125"/>
    <xdr:pic>
      <xdr:nvPicPr>
        <xdr:cNvPr id="6" name="/xl/media/image2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a09e9ca42f42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762000" cy="1000125"/>
    <xdr:pic>
      <xdr:nvPicPr>
        <xdr:cNvPr id="7" name="/xl/media/image2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0f30a8040448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762000" cy="1000125"/>
    <xdr:pic>
      <xdr:nvPicPr>
        <xdr:cNvPr id="8" name="/xl/media/image2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960d1a40a4b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762000" cy="1000125"/>
    <xdr:pic>
      <xdr:nvPicPr>
        <xdr:cNvPr id="9" name="/xl/media/image2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e8fd0ddd646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62000" cy="1000125"/>
    <xdr:pic>
      <xdr:nvPicPr>
        <xdr:cNvPr id="10" name="/xl/media/image2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9b64c26c634b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762000" cy="1000125"/>
    <xdr:pic>
      <xdr:nvPicPr>
        <xdr:cNvPr id="11" name="/xl/media/image2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8229da827b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762000" cy="1000125"/>
    <xdr:pic>
      <xdr:nvPicPr>
        <xdr:cNvPr id="12" name="/xl/media/image2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8b875bcb384d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762000" cy="1000125"/>
    <xdr:pic>
      <xdr:nvPicPr>
        <xdr:cNvPr id="13" name="/xl/media/image2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e2b77859146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1000125"/>
    <xdr:pic>
      <xdr:nvPicPr>
        <xdr:cNvPr id="14" name="/xl/media/image2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fe36eb13d6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1000125"/>
    <xdr:pic>
      <xdr:nvPicPr>
        <xdr:cNvPr id="15" name="/xl/media/image2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104cb5a2cb4c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1000125"/>
    <xdr:pic>
      <xdr:nvPicPr>
        <xdr:cNvPr id="16" name="/xl/media/image2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aaf7fb6a364b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LineageLiterature1" displayName="LineageLiterature1" ref="A3:O150" headerRowCount="1" totalsRowCount="0" totalsRowShown="0">
  <x:autoFilter ref="A3:O150"/>
  <x:tableColumns count="15">
    <x:tableColumn id="1" name="文献图"/>
    <x:tableColumn id="2" name="图片类型"/>
    <x:tableColumn id="3" name="图中标签"/>
    <x:tableColumn id="4" name="节点ID"/>
    <x:tableColumn id="5" name="年份"/>
    <x:tableColumn id="6" name="完整文献题名"/>
    <x:tableColumn id="7" name="作者"/>
    <x:tableColumn id="8" name="期刊/来源"/>
    <x:tableColumn id="9" name="研究分支"/>
    <x:tableColumn id="10" name="证据等级"/>
    <x:tableColumn id="11" name="核查状态"/>
    <x:tableColumn id="12" name="DOI"/>
    <x:tableColumn id="13" name="arXiv"/>
    <x:tableColumn id="14" name="来源链接"/>
    <x:tableColumn id="15" name="精读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eageLiterature2" displayName="LineageLiterature2" ref="A3:O64" headerRowCount="1" totalsRowCount="0" totalsRowShown="0">
  <x:autoFilter ref="A3:O64"/>
  <x:tableColumns count="15">
    <x:tableColumn id="1" name="文献图"/>
    <x:tableColumn id="2" name="图片类型"/>
    <x:tableColumn id="3" name="图中标签"/>
    <x:tableColumn id="4" name="节点ID"/>
    <x:tableColumn id="5" name="年份"/>
    <x:tableColumn id="6" name="完整文献题名"/>
    <x:tableColumn id="7" name="作者"/>
    <x:tableColumn id="8" name="期刊/来源"/>
    <x:tableColumn id="9" name="研究分支"/>
    <x:tableColumn id="10" name="证据等级"/>
    <x:tableColumn id="11" name="核查状态"/>
    <x:tableColumn id="12" name="DOI"/>
    <x:tableColumn id="13" name="arXiv"/>
    <x:tableColumn id="14" name="来源链接"/>
    <x:tableColumn id="15" name="精读记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eageLiterature3" displayName="LineageLiterature3" ref="A3:O32" headerRowCount="1" totalsRowCount="0" totalsRowShown="0">
  <x:autoFilter ref="A3:O32"/>
  <x:tableColumns count="15">
    <x:tableColumn id="1" name="文献图"/>
    <x:tableColumn id="2" name="图片类型"/>
    <x:tableColumn id="3" name="图中标签"/>
    <x:tableColumn id="4" name="节点ID"/>
    <x:tableColumn id="5" name="年份"/>
    <x:tableColumn id="6" name="完整文献题名"/>
    <x:tableColumn id="7" name="作者"/>
    <x:tableColumn id="8" name="期刊/来源"/>
    <x:tableColumn id="9" name="研究分支"/>
    <x:tableColumn id="10" name="证据等级"/>
    <x:tableColumn id="11" name="核查状态"/>
    <x:tableColumn id="12" name="DOI"/>
    <x:tableColumn id="13" name="arXiv"/>
    <x:tableColumn id="14" name="来源链接"/>
    <x:tableColumn id="15" name="精读记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neageLiterature4" displayName="LineageLiterature4" ref="A3:O19" headerRowCount="1" totalsRowCount="0" totalsRowShown="0">
  <x:autoFilter ref="A3:O19"/>
  <x:tableColumns count="15">
    <x:tableColumn id="1" name="文献图"/>
    <x:tableColumn id="2" name="图片类型"/>
    <x:tableColumn id="3" name="图中标签"/>
    <x:tableColumn id="4" name="节点ID"/>
    <x:tableColumn id="5" name="年份"/>
    <x:tableColumn id="6" name="完整文献题名"/>
    <x:tableColumn id="7" name="作者"/>
    <x:tableColumn id="8" name="期刊/来源"/>
    <x:tableColumn id="9" name="研究分支"/>
    <x:tableColumn id="10" name="证据等级"/>
    <x:tableColumn id="11" name="核查状态"/>
    <x:tableColumn id="12" name="DOI"/>
    <x:tableColumn id="13" name="arXiv"/>
    <x:tableColumn id="14" name="来源链接"/>
    <x:tableColumn id="15" name="精读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2d8ffa476884523" /><Relationship Type="http://schemas.openxmlformats.org/officeDocument/2006/relationships/table" Target="/xl/tables/table1.xml" Id="Rc42f9ed73a60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52a55e6273c45f4" /><Relationship Type="http://schemas.openxmlformats.org/officeDocument/2006/relationships/table" Target="/xl/tables/table2.xml" Id="Rf1f6a6000c2545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92d246fda614d76" /><Relationship Type="http://schemas.openxmlformats.org/officeDocument/2006/relationships/table" Target="/xl/tables/table3.xml" Id="R5c5e47d329e7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ef202846e0e432d" /><Relationship Type="http://schemas.openxmlformats.org/officeDocument/2006/relationships/table" Target="/xl/tables/table4.xml" Id="R2c2f849a78a94a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3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38" customHeight="1">
      <x:c r="A1" s="76" t="str">
        <x:v>Fifth-Force Lineage Maps — Complete Literature Title Index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</x:row>
    <x:row r="2" ht="28" customHeight="1">
      <x:c r="A2" s="77" t="str">
        <x:v>All 147 unique literature nodes include a row-level image: 133 verified PDF first-page thumbnails + 14 clearly labeled source metadata cards. Each of the four lineage maps has a corresponding literature table.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</x:row>
    <x:row r="4" ht="30" customHeight="1">
      <x:c r="A4" s="79" t="str">
        <x:v>Lineage Map File</x:v>
      </x:c>
      <x:c r="B4" s="79" t="str">
        <x:v>Corresponding Worksheet</x:v>
      </x:c>
      <x:c r="C4" s="79" t="str">
        <x:v>Literature Rows</x:v>
      </x:c>
      <x:c r="D4" s="79" t="str">
        <x:v>Image Rows</x:v>
      </x:c>
      <x:c r="E4" s="79" t="str">
        <x:v>PDF First Pages</x:v>
      </x:c>
      <x:c r="F4" s="79" t="str">
        <x:v>Metadata Cards</x:v>
      </x:c>
      <x:c r="G4" s="79" t="str">
        <x:v>Full Title Column</x:v>
      </x:c>
      <x:c r="H4" s="79" t="str">
        <x:v>Scope</x:v>
      </x:c>
      <x:c r="I4" s="78"/>
      <x:c r="J4" s="78"/>
      <x:c r="K4" s="78"/>
      <x:c r="L4" s="78"/>
      <x:c r="M4" s="78"/>
      <x:c r="N4" s="78"/>
      <x:c r="O4" s="78"/>
    </x:row>
    <x:row r="5" ht="42" customHeight="1">
      <x:c r="A5" s="80" t="str">
        <x:v>01_full_historical_lineage.png</x:v>
      </x:c>
      <x:c r="B5" s="80" t="str">
        <x:v>Full Historical Literature</x:v>
      </x:c>
      <x:c r="C5" s="81" t="n">
        <x:f>COUNTA('Full Historical Literature'!$D$4:$D$150)</x:f>
        <x:v>147</x:v>
      </x:c>
      <x:c r="D5" s="81" t="n">
        <x:f>COUNTA('Full Historical Literature'!$B$4:$B$150)</x:f>
        <x:v>147</x:v>
      </x:c>
      <x:c r="E5" s="81" t="n">
        <x:f>COUNTIF('Full Historical Literature'!$B$4:$B$150,"PDF_FIRST_PAGE")</x:f>
        <x:v>0</x:v>
      </x:c>
      <x:c r="F5" s="81" t="n">
        <x:f>COUNTIF('Full Historical Literature'!$B$4:$B$150,"METADATA_CARD")+COUNTIF('Full Historical Literature'!$B$4:$B$150,"METADATA_CARD_FALLBACK")</x:f>
        <x:v>0</x:v>
      </x:c>
      <x:c r="G5" s="80" t="str">
        <x:v>Column F</x:v>
      </x:c>
      <x:c r="H5" s="80" t="str">
        <x:v>Full historical core literature nodes</x:v>
      </x:c>
      <x:c r="I5" s="78"/>
      <x:c r="J5" s="78"/>
      <x:c r="K5" s="78"/>
      <x:c r="L5" s="78"/>
      <x:c r="M5" s="78"/>
      <x:c r="N5" s="78"/>
      <x:c r="O5" s="78"/>
    </x:row>
    <x:row r="6" ht="42" customHeight="1">
      <x:c r="A6" s="80" t="str">
        <x:v>02_core_lineage.png</x:v>
      </x:c>
      <x:c r="B6" s="80" t="str">
        <x:v>Core Lineage Literature</x:v>
      </x:c>
      <x:c r="C6" s="81" t="n">
        <x:f>COUNTA('Core Lineage Literature'!$D$4:$D$64)</x:f>
        <x:v>61</x:v>
      </x:c>
      <x:c r="D6" s="81" t="n">
        <x:f>COUNTA('Core Lineage Literature'!$B$4:$B$64)</x:f>
        <x:v>61</x:v>
      </x:c>
      <x:c r="E6" s="81" t="n">
        <x:f>COUNTIF('Core Lineage Literature'!$B$4:$B$64,"PDF_FIRST_PAGE")</x:f>
        <x:v>0</x:v>
      </x:c>
      <x:c r="F6" s="81" t="n">
        <x:f>COUNTIF('Core Lineage Literature'!$B$4:$B$64,"METADATA_CARD")+COUNTIF('Core Lineage Literature'!$B$4:$B$64,"METADATA_CARD_FALLBACK")</x:f>
        <x:v>0</x:v>
      </x:c>
      <x:c r="G6" s="80" t="str">
        <x:v>Column F</x:v>
      </x:c>
      <x:c r="H6" s="80" t="str">
        <x:v>C3 full texts + landmark backbone</x:v>
      </x:c>
      <x:c r="I6" s="78"/>
      <x:c r="J6" s="78"/>
      <x:c r="K6" s="78"/>
      <x:c r="L6" s="78"/>
      <x:c r="M6" s="78"/>
      <x:c r="N6" s="78"/>
      <x:c r="O6" s="78"/>
    </x:row>
    <x:row r="7" ht="42" customHeight="1">
      <x:c r="A7" s="80" t="str">
        <x:v>03_2020-2026_frontier_lineage.png</x:v>
      </x:c>
      <x:c r="B7" s="80" t="str">
        <x:v>2020-2026 Frontier</x:v>
      </x:c>
      <x:c r="C7" s="81" t="n">
        <x:f>COUNTA('2020-2026 Frontier'!$D$4:$D$32)</x:f>
        <x:v>29</x:v>
      </x:c>
      <x:c r="D7" s="81" t="n">
        <x:f>COUNTA('2020-2026 Frontier'!$B$4:$B$32)</x:f>
        <x:v>29</x:v>
      </x:c>
      <x:c r="E7" s="81" t="n">
        <x:f>COUNTIF('2020-2026 Frontier'!$B$4:$B$32,"PDF_FIRST_PAGE")</x:f>
        <x:v>0</x:v>
      </x:c>
      <x:c r="F7" s="81" t="n">
        <x:f>COUNTIF('2020-2026 Frontier'!$B$4:$B$32,"METADATA_CARD")+COUNTIF('2020-2026 Frontier'!$B$4:$B$32,"METADATA_CARD_FALLBACK")</x:f>
        <x:v>0</x:v>
      </x:c>
      <x:c r="G7" s="80" t="str">
        <x:v>Column F</x:v>
      </x:c>
      <x:c r="H7" s="80" t="str">
        <x:v>Verified 2020–2026 frontier</x:v>
      </x:c>
      <x:c r="I7" s="78"/>
      <x:c r="J7" s="78"/>
      <x:c r="K7" s="78"/>
      <x:c r="L7" s="78"/>
      <x:c r="M7" s="78"/>
      <x:c r="N7" s="78"/>
      <x:c r="O7" s="78"/>
    </x:row>
    <x:row r="8" ht="42" customHeight="1">
      <x:c r="A8" s="80" t="str">
        <x:v>04_HDplus_lineage.png</x:v>
      </x:c>
      <x:c r="B8" s="80" t="str">
        <x:v>HD+ Literature</x:v>
      </x:c>
      <x:c r="C8" s="81" t="n">
        <x:f>COUNTA('HD+ Literature'!$D$4:$D$19)</x:f>
        <x:v>16</x:v>
      </x:c>
      <x:c r="D8" s="81" t="n">
        <x:f>COUNTA('HD+ Literature'!$B$4:$B$19)</x:f>
        <x:v>16</x:v>
      </x:c>
      <x:c r="E8" s="81" t="n">
        <x:f>COUNTIF('HD+ Literature'!$B$4:$B$19,"PDF_FIRST_PAGE")</x:f>
        <x:v>0</x:v>
      </x:c>
      <x:c r="F8" s="81" t="n">
        <x:f>COUNTIF('HD+ Literature'!$B$4:$B$19,"METADATA_CARD")+COUNTIF('HD+ Literature'!$B$4:$B$19,"METADATA_CARD_FALLBACK")</x:f>
        <x:v>0</x:v>
      </x:c>
      <x:c r="G8" s="80" t="str">
        <x:v>Column F</x:v>
      </x:c>
      <x:c r="H8" s="80" t="str">
        <x:v>Direct evidence chain for the HD+ project</x:v>
      </x:c>
      <x:c r="I8" s="78"/>
      <x:c r="J8" s="78"/>
      <x:c r="K8" s="78"/>
      <x:c r="L8" s="78"/>
      <x:c r="M8" s="78"/>
      <x:c r="N8" s="78"/>
      <x:c r="O8" s="78"/>
    </x:row>
    <x:row r="9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  <x:c r="M9" s="78"/>
      <x:c r="N9" s="78"/>
      <x:c r="O9" s="78"/>
    </x:row>
    <x:row r="10" ht="27" customHeight="1">
      <x:c r="A10" s="82" t="str">
        <x:v>How to Inspect the Literature</x:v>
      </x:c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2"/>
    </x:row>
    <x:row r="11">
      <x:c r="A11" s="83" t="str">
        <x:v>Column A of each literature worksheet contains an image, and Column B identifies the image type. PDF_FIRST_PAGE is the verified first page of a local full-text PDF. METADATA_CARD is a source card generated from the title, authors, year, and verification status; it is not a paper page. Column D contains the unique node ID, Column F contains the full title, and the DOI, arXiv identifier, and source link are in Columns L–N.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5"/>
    </x:row>
    <x:row r="12">
      <x:c r="A12" s="86"/>
      <x:c r="B12" s="87"/>
      <x:c r="C12" s="87"/>
      <x:c r="D12" s="87"/>
      <x:c r="E12" s="87"/>
      <x:c r="F12" s="87"/>
      <x:c r="G12" s="87"/>
      <x:c r="H12" s="87"/>
      <x:c r="I12" s="87"/>
      <x:c r="J12" s="87"/>
      <x:c r="K12" s="87"/>
      <x:c r="L12" s="87"/>
      <x:c r="M12" s="87"/>
      <x:c r="N12" s="87"/>
      <x:c r="O12" s="88"/>
    </x:row>
    <x:row r="13">
      <x:c r="A13" s="86"/>
      <x:c r="B13" s="87"/>
      <x:c r="C13" s="87"/>
      <x:c r="D13" s="87"/>
      <x:c r="E13" s="87"/>
      <x:c r="F13" s="87"/>
      <x:c r="G13" s="87"/>
      <x:c r="H13" s="87"/>
      <x:c r="I13" s="87"/>
      <x:c r="J13" s="87"/>
      <x:c r="K13" s="87"/>
      <x:c r="L13" s="87"/>
      <x:c r="M13" s="87"/>
      <x:c r="N13" s="87"/>
      <x:c r="O13" s="88"/>
    </x:row>
    <x:row r="14">
      <x:c r="A14" s="89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  <x:c r="O14" s="91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</x:row>
    <x:row r="16" ht="27" customHeight="1">
      <x:c r="A16" s="92" t="str">
        <x:v>Scope Boundary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</x:row>
    <x:row r="17">
      <x:c r="A17" s="93" t="str">
        <x:v>This workbook is the auditable literature index for the four lineage maps. The full historical table contains 147 unique nodes; the core-lineage, frontier, and HD+ tables are subsets, so the same image may appear in more than one worksheet. Verified local or authorized open-access PDF first pages are available for 133 nodes; the remaining 14 use clearly labeled metadata cards. HDPLUS_PROJECT is a project-target node, not a publication, and is therefore excluded from the literature count.</x:v>
      </x:c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5"/>
    </x:row>
    <x:row r="18">
      <x:c r="A18" s="96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8"/>
    </x:row>
    <x:row r="19">
      <x:c r="A19" s="96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8"/>
    </x:row>
    <x:row r="20">
      <x:c r="A20" s="99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1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</x:row>
  </x:sheetData>
  <x:mergeCells>
    <x:mergeCell ref="A1:O1"/>
    <x:mergeCell ref="A2:O2"/>
    <x:mergeCell ref="A10:O10"/>
    <x:mergeCell ref="A11:O14"/>
    <x:mergeCell ref="A16:O16"/>
    <x:mergeCell ref="A17:O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2" hidden="0" customWidth="1"/>
    <x:col min="3" max="3" width="25" hidden="0" customWidth="1"/>
    <x:col min="4" max="4" width="11" hidden="0" customWidth="1"/>
    <x:col min="5" max="5" width="9" hidden="0" customWidth="1"/>
    <x:col min="6" max="6" width="54" hidden="0" customWidth="1"/>
    <x:col min="7" max="7" width="43" hidden="0" customWidth="1"/>
    <x:col min="8" max="8" width="25" hidden="0" customWidth="1"/>
    <x:col min="9" max="9" width="25" hidden="0" customWidth="1"/>
    <x:col min="10" max="10" width="12" hidden="0" customWidth="1"/>
    <x:col min="11" max="11" width="15" hidden="0" customWidth="1"/>
    <x:col min="12" max="12" width="27" hidden="0" customWidth="1"/>
    <x:col min="13" max="13" width="17" hidden="0" customWidth="1"/>
    <x:col min="14" max="14" width="42" hidden="0" customWidth="1"/>
    <x:col min="15" max="15" width="33" hidden="0" customWidth="1"/>
  </x:cols>
  <x:sheetData>
    <x:row r="1" ht="34" customHeight="1">
      <x:c r="A1" s="103" t="str">
        <x:v>01 Full Historical Lineage Map | Complete Literature Title Index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</x:row>
    <x:row r="2" ht="26" customHeight="1">
      <x:c r="A2" s="106" t="str">
        <x:v>Covers 147 core literature nodes; every row includes an image. Column B clearly distinguishes verified PDF first pages from source metadata cards.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</x:row>
    <x:row r="3" ht="32" customHeight="1">
      <x:c r="A3" s="113" t="str">
        <x:v>Literature Image</x:v>
      </x:c>
      <x:c r="B3" s="114" t="str">
        <x:v>Image Type</x:v>
      </x:c>
      <x:c r="C3" s="114" t="str">
        <x:v>Map Label</x:v>
      </x:c>
      <x:c r="D3" s="114" t="str">
        <x:v>Node ID</x:v>
      </x:c>
      <x:c r="E3" s="114" t="str">
        <x:v>Year</x:v>
      </x:c>
      <x:c r="F3" s="114" t="str">
        <x:v>Full Literature Title</x:v>
      </x:c>
      <x:c r="G3" s="114" t="str">
        <x:v>Authors</x:v>
      </x:c>
      <x:c r="H3" s="114" t="str">
        <x:v>Journal / Source</x:v>
      </x:c>
      <x:c r="I3" s="114" t="str">
        <x:v>Research Branch</x:v>
      </x:c>
      <x:c r="J3" s="114" t="str">
        <x:v>Evidence Level</x:v>
      </x:c>
      <x:c r="K3" s="114" t="str">
        <x:v>Verification Status</x:v>
      </x:c>
      <x:c r="L3" s="114" t="str">
        <x:v>DOI</x:v>
      </x:c>
      <x:c r="M3" s="114" t="str">
        <x:v>arXiv</x:v>
      </x:c>
      <x:c r="N3" s="114" t="str">
        <x:v>Source Link</x:v>
      </x:c>
      <x:c r="O3" s="115" t="str">
        <x:v>Deep-Reading Record</x:v>
      </x:c>
    </x:row>
    <x:row r="4" ht="84" customHeight="1">
      <x:c r="A4" s="126" t="str"/>
      <x:c r="B4" s="126" t="str">
        <x:v>METADATA_CARD</x:v>
      </x:c>
      <x:c r="C4" s="126" t="str">
        <x:v>1979 Norman F. Ramsey</x:v>
      </x:c>
      <x:c r="D4" s="126" t="str">
        <x:v>L001</x:v>
      </x:c>
      <x:c r="E4" s="133" t="n">
        <x:v>1979</x:v>
      </x:c>
      <x:c r="F4" s="126" t="str">
        <x:v>The tensor force between two protons at long range</x:v>
      </x:c>
      <x:c r="G4" s="126" t="str">
        <x:v>Norman F. Ramsey</x:v>
      </x:c>
      <x:c r="H4" s="126" t="str">
        <x:v>Physica A: Statistical Mechanics and its Applications</x:v>
      </x:c>
      <x:c r="I4" s="126" t="str">
        <x:v>Neutron &amp; nucleon</x:v>
      </x:c>
      <x:c r="J4" s="137" t="str">
        <x:v>C1</x:v>
      </x:c>
      <x:c r="K4" s="137" t="str">
        <x:v>secondary</x:v>
      </x:c>
      <x:c r="L4" s="126" t="e">
        <x:f>HYPERLINK("https://doi.org/10.1016/0378-4371(79)90217-6","10.1016/0378-4371(79)90217-6")</x:f>
        <x:v>HYPERLINK is not implemented. linkLocation=https://doi.org/10.1016/0378-4371(79)90217-6, friendlyName=10.1016/0378-4371(79)90217-6</x:v>
      </x:c>
      <x:c r="M4" s="126" t="str"/>
      <x:c r="N4" s="126" t="e">
        <x:f>HYPERLINK("https://doi.org/10.1016/0378-4371(79)90217-6","Open PDF / Source")</x:f>
        <x:v>HYPERLINK is not implemented. linkLocation=https://doi.org/10.1016/0378-4371(79)90217-6, friendlyName=Open PDF / Source</x:v>
      </x:c>
      <x:c r="O4" s="126" t="str"/>
    </x:row>
    <x:row r="5" ht="84" customHeight="1">
      <x:c r="A5" s="124" t="str"/>
      <x:c r="B5" s="124" t="str">
        <x:v>METADATA_CARD</x:v>
      </x:c>
      <x:c r="C5" s="124" t="str">
        <x:v>1982 Ansel'm</x:v>
      </x:c>
      <x:c r="D5" s="124" t="str">
        <x:v>L002</x:v>
      </x:c>
      <x:c r="E5" s="134" t="n">
        <x:v>1982</x:v>
      </x:c>
      <x:c r="F5" s="124" t="str">
        <x:v>anselm possible 1982</x:v>
      </x:c>
      <x:c r="G5" s="124" t="str">
        <x:v>Ansel'm</x:v>
      </x:c>
      <x:c r="H5" s="124" t="str"/>
      <x:c r="I5" s="124" t="str">
        <x:v>Other precision probes</x:v>
      </x:c>
      <x:c r="J5" s="138" t="str">
        <x:v>C0</x:v>
      </x:c>
      <x:c r="K5" s="138" t="str">
        <x:v>secondary</x:v>
      </x:c>
      <x:c r="L5" s="124" t="str"/>
      <x:c r="M5" s="124" t="str"/>
      <x:c r="N5" s="124" t="str">
        <x:v>No Public Link</x:v>
      </x:c>
      <x:c r="O5" s="124" t="str"/>
    </x:row>
    <x:row r="6" ht="84" customHeight="1">
      <x:c r="A6" s="127" t="str"/>
      <x:c r="B6" s="127" t="str">
        <x:v>PDF_FIRST_PAGE</x:v>
      </x:c>
      <x:c r="C6" s="127" t="str">
        <x:v>1984 J. Moody</x:v>
      </x:c>
      <x:c r="D6" s="127" t="str">
        <x:v>L003</x:v>
      </x:c>
      <x:c r="E6" s="135" t="n">
        <x:v>1984</x:v>
      </x:c>
      <x:c r="F6" s="127" t="str">
        <x:v>New macroscopic forces?</x:v>
      </x:c>
      <x:c r="G6" s="127" t="str">
        <x:v>J. Moody; Frank Wilczek</x:v>
      </x:c>
      <x:c r="H6" s="127" t="str">
        <x:v>Physical Review D</x:v>
      </x:c>
      <x:c r="I6" s="127" t="str">
        <x:v>Other precision probes</x:v>
      </x:c>
      <x:c r="J6" s="139" t="str">
        <x:v>C1</x:v>
      </x:c>
      <x:c r="K6" s="139" t="str">
        <x:v>secondary</x:v>
      </x:c>
      <x:c r="L6" s="127" t="e">
        <x:f>HYPERLINK("https://doi.org/10.1103/physrevd.30.130","10.1103/physrevd.30.130")</x:f>
        <x:v>HYPERLINK is not implemented. linkLocation=https://doi.org/10.1103/physrevd.30.130, friendlyName=10.1103/physrevd.30.130</x:v>
      </x:c>
      <x:c r="M6" s="127" t="str"/>
      <x:c r="N6" s="127" t="e">
        <x:f>HYPERLINK("https://harvest.aps.org/v2/journals/articles/10.1103/physrevd.30.130/fulltext","Open PDF / Source")</x:f>
        <x:v>HYPERLINK is not implemented. linkLocation=https://harvest.aps.org/v2/journals/articles/10.1103/physrevd.30.130/fulltext, friendlyName=Open PDF / Source</x:v>
      </x:c>
      <x:c r="O6" s="127" t="str"/>
    </x:row>
    <x:row r="7" ht="84" customHeight="1">
      <x:c r="A7" s="124" t="str"/>
      <x:c r="B7" s="124" t="str">
        <x:v>METADATA_CARD</x:v>
      </x:c>
      <x:c r="C7" s="124" t="str">
        <x:v>1990 Rogers C. Ritter</x:v>
      </x:c>
      <x:c r="D7" s="124" t="str">
        <x:v>L004</x:v>
      </x:c>
      <x:c r="E7" s="134" t="n">
        <x:v>1990</x:v>
      </x:c>
      <x:c r="F7" s="124" t="str">
        <x:v>Experimental test of equivalence principle with polarized masses</x:v>
      </x:c>
      <x:c r="G7" s="124" t="str">
        <x:v>Rogers C. Ritter; Charles E. Goldblum; Wei-Tou Ni; George T. Gillies; Clive C. Speake</x:v>
      </x:c>
      <x:c r="H7" s="124" t="str">
        <x:v>Physical Review D</x:v>
      </x:c>
      <x:c r="I7" s="124" t="str">
        <x:v>Torsion &amp; geophysical</x:v>
      </x:c>
      <x:c r="J7" s="138" t="str">
        <x:v>C1</x:v>
      </x:c>
      <x:c r="K7" s="138" t="str">
        <x:v>secondary</x:v>
      </x:c>
      <x:c r="L7" s="124" t="e">
        <x:f>HYPERLINK("https://doi.org/10.1103/physrevd.42.977","10.1103/physrevd.42.977")</x:f>
        <x:v>HYPERLINK is not implemented. linkLocation=https://doi.org/10.1103/physrevd.42.977, friendlyName=10.1103/physrevd.42.977</x:v>
      </x:c>
      <x:c r="M7" s="124" t="str"/>
      <x:c r="N7" s="124" t="e">
        <x:f>HYPERLINK("https://doi.org/10.1103/physrevd.42.977","Open PDF / Source")</x:f>
        <x:v>HYPERLINK is not implemented. linkLocation=https://doi.org/10.1103/physrevd.42.977, friendlyName=Open PDF / Source</x:v>
      </x:c>
      <x:c r="O7" s="124" t="str"/>
    </x:row>
    <x:row r="8" ht="84" customHeight="1">
      <x:c r="A8" s="127" t="str"/>
      <x:c r="B8" s="127" t="str">
        <x:v>METADATA_CARD</x:v>
      </x:c>
      <x:c r="C8" s="127" t="str">
        <x:v>1992 B. J. Venema</x:v>
      </x:c>
      <x:c r="D8" s="127" t="str">
        <x:v>L005</x:v>
      </x:c>
      <x:c r="E8" s="135" t="n">
        <x:v>1992</x:v>
      </x:c>
      <x:c r="F8" s="127" t="str">
        <x:v>Search for a coupling of the Earth’s gravitational field to nuclear spins in atomic mercury</x:v>
      </x:c>
      <x:c r="G8" s="127" t="str">
        <x:v>B. J. Venema; P. K. Majumder; S. K. Lamoreaux; B. R. Heckel; E. N. Fortson</x:v>
      </x:c>
      <x:c r="H8" s="127" t="str">
        <x:v>Physical Review Letters</x:v>
      </x:c>
      <x:c r="I8" s="127" t="str">
        <x:v>Neutron &amp; nucleon</x:v>
      </x:c>
      <x:c r="J8" s="139" t="str">
        <x:v>C1</x:v>
      </x:c>
      <x:c r="K8" s="139" t="str">
        <x:v>secondary</x:v>
      </x:c>
      <x:c r="L8" s="127" t="e">
        <x:f>HYPERLINK("https://doi.org/10.1103/physrevlett.68.135","10.1103/physrevlett.68.135")</x:f>
        <x:v>HYPERLINK is not implemented. linkLocation=https://doi.org/10.1103/physrevlett.68.135, friendlyName=10.1103/physrevlett.68.135</x:v>
      </x:c>
      <x:c r="M8" s="127" t="str"/>
      <x:c r="N8" s="127" t="e">
        <x:f>HYPERLINK("https://doi.org/10.1103/physrevlett.68.135","Open PDF / Source")</x:f>
        <x:v>HYPERLINK is not implemented. linkLocation=https://doi.org/10.1103/physrevlett.68.135, friendlyName=Open PDF / Source</x:v>
      </x:c>
      <x:c r="O8" s="127" t="str"/>
    </x:row>
    <x:row r="9" ht="84" customHeight="1">
      <x:c r="A9" s="124" t="str"/>
      <x:c r="B9" s="124" t="str">
        <x:v>PDF_FIRST_PAGE</x:v>
      </x:c>
      <x:c r="C9" s="124" t="str">
        <x:v>1996 A. N. Youdin</x:v>
      </x:c>
      <x:c r="D9" s="124" t="str">
        <x:v>L006</x:v>
      </x:c>
      <x:c r="E9" s="134" t="n">
        <x:v>1996</x:v>
      </x:c>
      <x:c r="F9" s="124" t="str">
        <x:v>Limits on Spin-Mass Couplings within the Axion Window</x:v>
      </x:c>
      <x:c r="G9" s="124" t="str">
        <x:v>A. N. Youdin; D. Krause, Jr.; K. Jagannathan; L. R. Hunter; S. K. Lamoreaux</x:v>
      </x:c>
      <x:c r="H9" s="124" t="str">
        <x:v>Physical Review Letters</x:v>
      </x:c>
      <x:c r="I9" s="124" t="str">
        <x:v>Neutron &amp; nucleon</x:v>
      </x:c>
      <x:c r="J9" s="138" t="str">
        <x:v>C1</x:v>
      </x:c>
      <x:c r="K9" s="138" t="str">
        <x:v>secondary</x:v>
      </x:c>
      <x:c r="L9" s="124" t="e">
        <x:f>HYPERLINK("https://doi.org/10.1103/physrevlett.77.2170","10.1103/physrevlett.77.2170")</x:f>
        <x:v>HYPERLINK is not implemented. linkLocation=https://doi.org/10.1103/physrevlett.77.2170, friendlyName=10.1103/physrevlett.77.2170</x:v>
      </x:c>
      <x:c r="M9" s="124" t="str"/>
      <x:c r="N9" s="124" t="e">
        <x:f>HYPERLINK("https://harvest.aps.org/v2/journals/articles/10.1103/physrevlett.77.2170/fulltext","Open PDF / Source")</x:f>
        <x:v>HYPERLINK is not implemented. linkLocation=https://harvest.aps.org/v2/journals/articles/10.1103/physrevlett.77.2170/fulltext, friendlyName=Open PDF / Source</x:v>
      </x:c>
      <x:c r="O9" s="124" t="str"/>
    </x:row>
    <x:row r="10" ht="84" customHeight="1">
      <x:c r="A10" s="127" t="str"/>
      <x:c r="B10" s="127" t="str">
        <x:v>METADATA_CARD</x:v>
      </x:c>
      <x:c r="C10" s="127" t="str">
        <x:v>1997 C. S. Wood</x:v>
      </x:c>
      <x:c r="D10" s="127" t="str">
        <x:v>L007</x:v>
      </x:c>
      <x:c r="E10" s="135" t="n">
        <x:v>1997</x:v>
      </x:c>
      <x:c r="F10" s="127" t="str">
        <x:v>Measurement of Parity Nonconservation and an Anapole Moment in Cesium</x:v>
      </x:c>
      <x:c r="G10" s="127" t="str">
        <x:v>C. S. Wood; S. C. Bennett; D. Cho; B. P. Masterson; J. L. Roberts; C. E. Tanner; C. E. Wieman</x:v>
      </x:c>
      <x:c r="H10" s="127" t="str">
        <x:v>Science</x:v>
      </x:c>
      <x:c r="I10" s="127" t="str">
        <x:v>Neutron &amp; nucleon</x:v>
      </x:c>
      <x:c r="J10" s="139" t="str">
        <x:v>C1</x:v>
      </x:c>
      <x:c r="K10" s="139" t="str">
        <x:v>secondary</x:v>
      </x:c>
      <x:c r="L10" s="127" t="e">
        <x:f>HYPERLINK("https://doi.org/10.1126/science.275.5307.1759","10.1126/science.275.5307.1759")</x:f>
        <x:v>HYPERLINK is not implemented. linkLocation=https://doi.org/10.1126/science.275.5307.1759, friendlyName=10.1126/science.275.5307.1759</x:v>
      </x:c>
      <x:c r="M10" s="127" t="str"/>
      <x:c r="N10" s="127" t="e">
        <x:f>HYPERLINK("https://doi.org/10.1126/science.275.5307.1759","Open PDF / Source")</x:f>
        <x:v>HYPERLINK is not implemented. linkLocation=https://doi.org/10.1126/science.275.5307.1759, friendlyName=Open PDF / Source</x:v>
      </x:c>
      <x:c r="O10" s="127" t="str"/>
    </x:row>
    <x:row r="11" ht="84" customHeight="1">
      <x:c r="A11" s="124" t="str"/>
      <x:c r="B11" s="124" t="str">
        <x:v>METADATA_CARD</x:v>
      </x:c>
      <x:c r="C11" s="124" t="str">
        <x:v>1997 Thad G. Walker</x:v>
      </x:c>
      <x:c r="D11" s="124" t="str">
        <x:v>L008</x:v>
      </x:c>
      <x:c r="E11" s="134" t="n">
        <x:v>1997</x:v>
      </x:c>
      <x:c r="F11" s="124" t="str">
        <x:v>Spin-exchange optical pumping of noble-gas nuclei</x:v>
      </x:c>
      <x:c r="G11" s="124" t="str">
        <x:v>Thad G. Walker; William Happer</x:v>
      </x:c>
      <x:c r="H11" s="124" t="str">
        <x:v>Reviews of Modern Physics</x:v>
      </x:c>
      <x:c r="I11" s="124" t="str">
        <x:v>Neutron &amp; nucleon</x:v>
      </x:c>
      <x:c r="J11" s="138" t="str">
        <x:v>C1</x:v>
      </x:c>
      <x:c r="K11" s="138" t="str">
        <x:v>secondary</x:v>
      </x:c>
      <x:c r="L11" s="124" t="e">
        <x:f>HYPERLINK("https://doi.org/10.1103/revmodphys.69.629","10.1103/revmodphys.69.629")</x:f>
        <x:v>HYPERLINK is not implemented. linkLocation=https://doi.org/10.1103/revmodphys.69.629, friendlyName=10.1103/revmodphys.69.629</x:v>
      </x:c>
      <x:c r="M11" s="124" t="str"/>
      <x:c r="N11" s="124" t="e">
        <x:f>HYPERLINK("https://doi.org/10.1103/revmodphys.69.629","Open PDF / Source")</x:f>
        <x:v>HYPERLINK is not implemented. linkLocation=https://doi.org/10.1103/revmodphys.69.629, friendlyName=Open PDF / Source</x:v>
      </x:c>
      <x:c r="O11" s="124" t="str"/>
    </x:row>
    <x:row r="12" ht="84" customHeight="1">
      <x:c r="A12" s="127" t="str"/>
      <x:c r="B12" s="127" t="str">
        <x:v>PDF_FIRST_PAGE</x:v>
      </x:c>
      <x:c r="C12" s="127" t="str">
        <x:v>1999 Wei-Tou Ni</x:v>
      </x:c>
      <x:c r="D12" s="127" t="str">
        <x:v>L009</x:v>
      </x:c>
      <x:c r="E12" s="135" t="n">
        <x:v>1999</x:v>
      </x:c>
      <x:c r="F12" s="127" t="str">
        <x:v>Search for an Axionlike Spin Coupling Using a Paramagnetic Salt with a dc SQUID</x:v>
      </x:c>
      <x:c r="G12" s="127" t="str">
        <x:v>Wei-Tou Ni; Sheau-shi Pan; Hsien-Chi Yeh; Li-Shing Hou; Juling Wan</x:v>
      </x:c>
      <x:c r="H12" s="127" t="str">
        <x:v>Physical Review Letters</x:v>
      </x:c>
      <x:c r="I12" s="127" t="str">
        <x:v>Torsion &amp; geophysical</x:v>
      </x:c>
      <x:c r="J12" s="139" t="str">
        <x:v>C1</x:v>
      </x:c>
      <x:c r="K12" s="139" t="str">
        <x:v>secondary</x:v>
      </x:c>
      <x:c r="L12" s="127" t="e">
        <x:f>HYPERLINK("https://doi.org/10.1103/physrevlett.82.2439","10.1103/physrevlett.82.2439")</x:f>
        <x:v>HYPERLINK is not implemented. linkLocation=https://doi.org/10.1103/physrevlett.82.2439, friendlyName=10.1103/physrevlett.82.2439</x:v>
      </x:c>
      <x:c r="M12" s="127" t="str"/>
      <x:c r="N12" s="127" t="e">
        <x:f>HYPERLINK("https://harvest.aps.org/v2/journals/articles/10.1103/physrevlett.82.2439/fulltext","Open PDF / Source")</x:f>
        <x:v>HYPERLINK is not implemented. linkLocation=https://harvest.aps.org/v2/journals/articles/10.1103/physrevlett.82.2439/fulltext, friendlyName=Open PDF / Source</x:v>
      </x:c>
      <x:c r="O12" s="127" t="str"/>
    </x:row>
    <x:row r="13" ht="84" customHeight="1">
      <x:c r="A13" s="124" t="str"/>
      <x:c r="B13" s="124" t="str">
        <x:v>PDF_FIRST_PAGE</x:v>
      </x:c>
      <x:c r="C13" s="124" t="str">
        <x:v>2003 J. Chiaverini</x:v>
      </x:c>
      <x:c r="D13" s="124" t="str">
        <x:v>L010</x:v>
      </x:c>
      <x:c r="E13" s="134" t="n">
        <x:v>2003</x:v>
      </x:c>
      <x:c r="F13" s="124" t="str">
        <x:v>New Experimental Constraints on Non-Newtonian Forces below 100 μ m</x:v>
      </x:c>
      <x:c r="G13" s="124" t="str">
        <x:v>J. Chiaverini; S. J. Smullin; A. A. Geraci; D. M. Weld; A. Kapitulnik</x:v>
      </x:c>
      <x:c r="H13" s="124" t="str">
        <x:v>Physical Review Letters</x:v>
      </x:c>
      <x:c r="I13" s="124" t="str">
        <x:v>Torsion &amp; geophysical</x:v>
      </x:c>
      <x:c r="J13" s="138" t="str">
        <x:v>C1</x:v>
      </x:c>
      <x:c r="K13" s="138" t="str">
        <x:v>secondary</x:v>
      </x:c>
      <x:c r="L13" s="124" t="e">
        <x:f>HYPERLINK("https://doi.org/10.1103/physrevlett.90.151101","10.1103/physrevlett.90.151101")</x:f>
        <x:v>HYPERLINK is not implemented. linkLocation=https://doi.org/10.1103/physrevlett.90.151101, friendlyName=10.1103/physrevlett.90.151101</x:v>
      </x:c>
      <x:c r="M13" s="124" t="str"/>
      <x:c r="N13" s="124" t="e">
        <x:f>HYPERLINK("https://arxiv.org/pdf/hep-ph/0209325","Open PDF / Source")</x:f>
        <x:v>HYPERLINK is not implemented. linkLocation=https://arxiv.org/pdf/hep-ph/0209325, friendlyName=Open PDF / Source</x:v>
      </x:c>
      <x:c r="O13" s="124" t="str"/>
    </x:row>
    <x:row r="14" ht="84" customHeight="1">
      <x:c r="A14" s="127" t="str"/>
      <x:c r="B14" s="127" t="str">
        <x:v>PDF_FIRST_PAGE</x:v>
      </x:c>
      <x:c r="C14" s="127" t="str">
        <x:v>2006 Dimitar Bakalov</x:v>
      </x:c>
      <x:c r="D14" s="127" t="str">
        <x:v>L011</x:v>
      </x:c>
      <x:c r="E14" s="135" t="n">
        <x:v>2006</x:v>
      </x:c>
      <x:c r="F14" s="127" t="str">
        <x:v>High-Precision Calculation of the Hyperfine Structure of the HD+ Ion</x:v>
      </x:c>
      <x:c r="G14" s="127" t="str">
        <x:v>Dimitar Bakalov; Vladimir I. Korobov; Stephan Schiller</x:v>
      </x:c>
      <x:c r="H14" s="127" t="str">
        <x:v>Physical Review Letters</x:v>
      </x:c>
      <x:c r="I14" s="127" t="str">
        <x:v>HD+ molecular</x:v>
      </x:c>
      <x:c r="J14" s="139" t="str">
        <x:v>C1_identifier</x:v>
      </x:c>
      <x:c r="K14" s="139" t="str">
        <x:v>secondary</x:v>
      </x:c>
      <x:c r="L14" s="127" t="e">
        <x:f>HYPERLINK("https://doi.org/10.1103/physrevlett.97.243001","10.1103/physrevlett.97.243001")</x:f>
        <x:v>HYPERLINK is not implemented. linkLocation=https://doi.org/10.1103/physrevlett.97.243001, friendlyName=10.1103/physrevlett.97.243001</x:v>
      </x:c>
      <x:c r="M14" s="127" t="str"/>
      <x:c r="N14" s="127" t="e">
        <x:f>HYPERLINK("https://www.exphy.hhu.de/fileadmin/redaktion/Fakultaeten/Mathematisch-Naturwissenschaftliche_Fakultaet/Physik/AG_Schiller/older_publications/Bakalov_et_al_High-Precision_Calculation_of_the_Hyperfine_Structure_of_the_HD_Ion_PhysRevLett_97_243001_20063.pdf","Open PDF / Source")</x:f>
        <x:v>HYPERLINK is not implemented. linkLocation=https://www.exphy.hhu.de/fileadmin/redaktion/Fakultaeten/Mathematisch-Naturwissenschaftliche_Fakultaet/Physik/AG_Schiller/older_publications/Bakalov_et_al_High-Precision_Calculation_of_the_Hyperfine_Structure_of_the_HD_Ion_PhysRevLett_97_243001_20063.pdf, friendlyName=Open PDF / Source</x:v>
      </x:c>
      <x:c r="O14" s="127" t="str"/>
    </x:row>
    <x:row r="15" ht="84" customHeight="1">
      <x:c r="A15" s="124" t="str"/>
      <x:c r="B15" s="124" t="str">
        <x:v>PDF_FIRST_PAGE</x:v>
      </x:c>
      <x:c r="C15" s="124" t="str">
        <x:v>2006 B. R. Heckel</x:v>
      </x:c>
      <x:c r="D15" s="124" t="str">
        <x:v>L012</x:v>
      </x:c>
      <x:c r="E15" s="134" t="n">
        <x:v>2006</x:v>
      </x:c>
      <x:c r="F15" s="124" t="str">
        <x:v>New C P -Violation and Preferred-Frame Tests with Polarized Electrons</x:v>
      </x:c>
      <x:c r="G15" s="124" t="str">
        <x:v>B. R. Heckel; C. E. Cramer; T. S. Cook; E. G. Adelberger; S. Schlamminger; U. Schmidt</x:v>
      </x:c>
      <x:c r="H15" s="124" t="str">
        <x:v>Physical Review Letters</x:v>
      </x:c>
      <x:c r="I15" s="124" t="str">
        <x:v>Torsion &amp; geophysical</x:v>
      </x:c>
      <x:c r="J15" s="138" t="str">
        <x:v>C1</x:v>
      </x:c>
      <x:c r="K15" s="138" t="str">
        <x:v>secondary</x:v>
      </x:c>
      <x:c r="L15" s="124" t="e">
        <x:f>HYPERLINK("https://doi.org/10.1103/physrevlett.97.021603","10.1103/physrevlett.97.021603")</x:f>
        <x:v>HYPERLINK is not implemented. linkLocation=https://doi.org/10.1103/physrevlett.97.021603, friendlyName=10.1103/physrevlett.97.021603</x:v>
      </x:c>
      <x:c r="M15" s="124" t="str"/>
      <x:c r="N15" s="124" t="e">
        <x:f>HYPERLINK("https://arxiv.org/pdf/hep-ph/0606218","Open PDF / Source")</x:f>
        <x:v>HYPERLINK is not implemented. linkLocation=https://arxiv.org/pdf/hep-ph/0606218, friendlyName=Open PDF / Source</x:v>
      </x:c>
      <x:c r="O15" s="124" t="str"/>
    </x:row>
    <x:row r="16" ht="84" customHeight="1">
      <x:c r="A16" s="127" t="str"/>
      <x:c r="B16" s="127" t="str">
        <x:v>PDF_FIRST_PAGE</x:v>
      </x:c>
      <x:c r="C16" s="127" t="str">
        <x:v>2006 Bogdan A. Dobrescu</x:v>
      </x:c>
      <x:c r="D16" s="127" t="str">
        <x:v>L013</x:v>
      </x:c>
      <x:c r="E16" s="135" t="n">
        <x:v>2006</x:v>
      </x:c>
      <x:c r="F16" s="127" t="str">
        <x:v>Spin-Dependent Macroscopic Forces from New Particle Exchange</x:v>
      </x:c>
      <x:c r="G16" s="127" t="str">
        <x:v>Bogdan A. Dobrescu; Irina Mocioiu</x:v>
      </x:c>
      <x:c r="H16" s="127" t="str"/>
      <x:c r="I16" s="127" t="str">
        <x:v>Theory &amp; operators</x:v>
      </x:c>
      <x:c r="J16" s="139" t="str">
        <x:v>C3</x:v>
      </x:c>
      <x:c r="K16" s="139" t="str">
        <x:v>green_check</x:v>
      </x:c>
      <x:c r="L16" s="127" t="e">
        <x:f>HYPERLINK("https://doi.org/10.1088/1126-6708/2006/11/005","10.1088/1126-6708/2006/11/005")</x:f>
        <x:v>HYPERLINK is not implemented. linkLocation=https://doi.org/10.1088/1126-6708/2006/11/005, friendlyName=10.1088/1126-6708/2006/11/005</x:v>
      </x:c>
      <x:c r="M16" s="127" t="e">
        <x:f>HYPERLINK("https://arxiv.org/abs/hep-ph/0605342","hep-ph/0605342")</x:f>
        <x:v>HYPERLINK is not implemented. linkLocation=https://arxiv.org/abs/hep-ph/0605342, friendlyName=hep-ph/0605342</x:v>
      </x:c>
      <x:c r="N16" s="127" t="e">
        <x:f>HYPERLINK("https://arxiv.org/abs/hep-ph/0605342","Open PDF / Source")</x:f>
        <x:v>HYPERLINK is not implemented. linkLocation=https://arxiv.org/abs/hep-ph/0605342, friendlyName=Open PDF / Source</x:v>
      </x:c>
      <x:c r="O16" s="127" t="str">
        <x:v>v2_high_recall/reading_records/R01_dobrescu_mocioiu_2006.md</x:v>
      </x:c>
    </x:row>
    <x:row r="17" ht="84" customHeight="1">
      <x:c r="A17" s="124" t="str"/>
      <x:c r="B17" s="124" t="str">
        <x:v>METADATA_CARD</x:v>
      </x:c>
      <x:c r="C17" s="124" t="str">
        <x:v>2008 Alexander G. Glenday</x:v>
      </x:c>
      <x:c r="D17" s="124" t="str">
        <x:v>L014</x:v>
      </x:c>
      <x:c r="E17" s="134" t="n">
        <x:v>2008</x:v>
      </x:c>
      <x:c r="F17" s="124" t="str">
        <x:v>Limits on Anomalous Spin-Spin Couplings between Neutrons</x:v>
      </x:c>
      <x:c r="G17" s="124" t="str">
        <x:v>Alexander G. Glenday; Claire E. Cramer; David F. Phillips; Ronald L. Walsworth</x:v>
      </x:c>
      <x:c r="H17" s="124" t="str">
        <x:v>Physical Review Letters</x:v>
      </x:c>
      <x:c r="I17" s="124" t="str">
        <x:v>Neutron &amp; nucleon</x:v>
      </x:c>
      <x:c r="J17" s="138" t="str">
        <x:v>C1</x:v>
      </x:c>
      <x:c r="K17" s="138" t="str">
        <x:v>secondary</x:v>
      </x:c>
      <x:c r="L17" s="124" t="e">
        <x:f>HYPERLINK("https://doi.org/10.1103/physrevlett.101.261801","10.1103/physrevlett.101.261801")</x:f>
        <x:v>HYPERLINK is not implemented. linkLocation=https://doi.org/10.1103/physrevlett.101.261801, friendlyName=10.1103/physrevlett.101.261801</x:v>
      </x:c>
      <x:c r="M17" s="124" t="str"/>
      <x:c r="N17" s="124" t="e">
        <x:f>HYPERLINK("https://doi.org/10.1103/physrevlett.101.261801","Open PDF / Source")</x:f>
        <x:v>HYPERLINK is not implemented. linkLocation=https://doi.org/10.1103/physrevlett.101.261801, friendlyName=Open PDF / Source</x:v>
      </x:c>
      <x:c r="O17" s="124" t="str"/>
    </x:row>
    <x:row r="18" ht="84" customHeight="1">
      <x:c r="A18" s="127" t="str"/>
      <x:c r="B18" s="127" t="str">
        <x:v>PDF_FIRST_PAGE</x:v>
      </x:c>
      <x:c r="C18" s="127" t="str">
        <x:v>2008 B. R. Heckel</x:v>
      </x:c>
      <x:c r="D18" s="127" t="str">
        <x:v>L015</x:v>
      </x:c>
      <x:c r="E18" s="135" t="n">
        <x:v>2008</x:v>
      </x:c>
      <x:c r="F18" s="127" t="str">
        <x:v>Preferred-frame and C P -violation tests with polarized electrons</x:v>
      </x:c>
      <x:c r="G18" s="127" t="str">
        <x:v>B. R. Heckel; E. G. Adelberger; C. E. Cramer; T. S. Cook; S. Schlamminger; U. Schmidt</x:v>
      </x:c>
      <x:c r="H18" s="127" t="str">
        <x:v>Physical Review D</x:v>
      </x:c>
      <x:c r="I18" s="127" t="str">
        <x:v>Atomic &amp; molecular</x:v>
      </x:c>
      <x:c r="J18" s="139" t="str">
        <x:v>C1</x:v>
      </x:c>
      <x:c r="K18" s="139" t="str">
        <x:v>secondary</x:v>
      </x:c>
      <x:c r="L18" s="127" t="e">
        <x:f>HYPERLINK("https://doi.org/10.1103/physrevd.78.092006","10.1103/physrevd.78.092006")</x:f>
        <x:v>HYPERLINK is not implemented. linkLocation=https://doi.org/10.1103/physrevd.78.092006, friendlyName=10.1103/physrevd.78.092006</x:v>
      </x:c>
      <x:c r="M18" s="127" t="str"/>
      <x:c r="N18" s="127" t="e">
        <x:f>HYPERLINK("https://arxiv.org/pdf/0808.2673","Open PDF / Source")</x:f>
        <x:v>HYPERLINK is not implemented. linkLocation=https://arxiv.org/pdf/0808.2673, friendlyName=Open PDF / Source</x:v>
      </x:c>
      <x:c r="O18" s="127" t="str"/>
    </x:row>
    <x:row r="19" ht="84" customHeight="1">
      <x:c r="A19" s="124" t="str"/>
      <x:c r="B19" s="124" t="str">
        <x:v>PDF_FIRST_PAGE</x:v>
      </x:c>
      <x:c r="C19" s="124" t="str">
        <x:v>2009 G. Vasilakis</x:v>
      </x:c>
      <x:c r="D19" s="124" t="str">
        <x:v>L016</x:v>
      </x:c>
      <x:c r="E19" s="134" t="n">
        <x:v>2009</x:v>
      </x:c>
      <x:c r="F19" s="124" t="str">
        <x:v>Limits on New Long Range Nuclear Spin-Dependent Forces Set with a K − He 3 Comagnetometer</x:v>
      </x:c>
      <x:c r="G19" s="124" t="str">
        <x:v>G. Vasilakis; J. M. Brown; T. W. Kornack; M. V. Romalis</x:v>
      </x:c>
      <x:c r="H19" s="124" t="str">
        <x:v>Physical Review Letters</x:v>
      </x:c>
      <x:c r="I19" s="124" t="str">
        <x:v>Neutron &amp; nucleon</x:v>
      </x:c>
      <x:c r="J19" s="138" t="str">
        <x:v>C1</x:v>
      </x:c>
      <x:c r="K19" s="138" t="str">
        <x:v>secondary</x:v>
      </x:c>
      <x:c r="L19" s="124" t="e">
        <x:f>HYPERLINK("https://doi.org/10.1103/physrevlett.103.261801","10.1103/physrevlett.103.261801")</x:f>
        <x:v>HYPERLINK is not implemented. linkLocation=https://doi.org/10.1103/physrevlett.103.261801, friendlyName=10.1103/physrevlett.103.261801</x:v>
      </x:c>
      <x:c r="M19" s="124" t="str"/>
      <x:c r="N19" s="124" t="e">
        <x:f>HYPERLINK("https://arxiv.org/pdf/0809.4700","Open PDF / Source")</x:f>
        <x:v>HYPERLINK is not implemented. linkLocation=https://arxiv.org/pdf/0809.4700, friendlyName=Open PDF / Source</x:v>
      </x:c>
      <x:c r="O19" s="124" t="str"/>
    </x:row>
    <x:row r="20" ht="84" customHeight="1">
      <x:c r="A20" s="127" t="str"/>
      <x:c r="B20" s="127" t="str">
        <x:v>PDF_FIRST_PAGE</x:v>
      </x:c>
      <x:c r="C20" s="127" t="str">
        <x:v>2010 S. G. Karshenboim</x:v>
      </x:c>
      <x:c r="D20" s="127" t="str">
        <x:v>L017</x:v>
      </x:c>
      <x:c r="E20" s="135" t="n">
        <x:v>2010</x:v>
      </x:c>
      <x:c r="F20" s="127" t="str">
        <x:v>Constraints on a long-range spin-dependent interaction from precision atomic physics</x:v>
      </x:c>
      <x:c r="G20" s="127" t="str">
        <x:v>S. G. Karshenboim</x:v>
      </x:c>
      <x:c r="H20" s="127" t="str">
        <x:v>Physical Review D</x:v>
      </x:c>
      <x:c r="I20" s="127" t="str">
        <x:v>Atomic &amp; molecular</x:v>
      </x:c>
      <x:c r="J20" s="139" t="str">
        <x:v>C1</x:v>
      </x:c>
      <x:c r="K20" s="139" t="str">
        <x:v>secondary</x:v>
      </x:c>
      <x:c r="L20" s="127" t="e">
        <x:f>HYPERLINK("https://doi.org/10.1103/physrevd.82.113013","10.1103/physrevd.82.113013")</x:f>
        <x:v>HYPERLINK is not implemented. linkLocation=https://doi.org/10.1103/physrevd.82.113013, friendlyName=10.1103/physrevd.82.113013</x:v>
      </x:c>
      <x:c r="M20" s="127" t="str"/>
      <x:c r="N20" s="127" t="e">
        <x:f>HYPERLINK("https://arxiv.org/pdf/1005.4868","Open PDF / Source")</x:f>
        <x:v>HYPERLINK is not implemented. linkLocation=https://arxiv.org/pdf/1005.4868, friendlyName=Open PDF / Source</x:v>
      </x:c>
      <x:c r="O20" s="127" t="str"/>
    </x:row>
    <x:row r="21" ht="84" customHeight="1">
      <x:c r="A21" s="124" t="str"/>
      <x:c r="B21" s="124" t="str">
        <x:v>PDF_FIRST_PAGE</x:v>
      </x:c>
      <x:c r="C21" s="124" t="str">
        <x:v>2010 D. F. Jackson Kimball</x:v>
      </x:c>
      <x:c r="D21" s="124" t="str">
        <x:v>L018</x:v>
      </x:c>
      <x:c r="E21" s="134" t="n">
        <x:v>2010</x:v>
      </x:c>
      <x:c r="F21" s="124" t="str">
        <x:v>Constraints on anomalous spin-spin interactions from spin-exchange collisions</x:v>
      </x:c>
      <x:c r="G21" s="124" t="str">
        <x:v>D. F. Jackson Kimball; Alec Boyd; D. Budker</x:v>
      </x:c>
      <x:c r="H21" s="124" t="str">
        <x:v>Physical Review A</x:v>
      </x:c>
      <x:c r="I21" s="124" t="str">
        <x:v>Atomic &amp; molecular</x:v>
      </x:c>
      <x:c r="J21" s="138" t="str">
        <x:v>C1</x:v>
      </x:c>
      <x:c r="K21" s="138" t="str">
        <x:v>secondary</x:v>
      </x:c>
      <x:c r="L21" s="124" t="e">
        <x:f>HYPERLINK("https://doi.org/10.1103/physreva.82.062714","10.1103/physreva.82.062714")</x:f>
        <x:v>HYPERLINK is not implemented. linkLocation=https://doi.org/10.1103/physreva.82.062714, friendlyName=10.1103/physreva.82.062714</x:v>
      </x:c>
      <x:c r="M21" s="124" t="str"/>
      <x:c r="N21" s="124" t="e">
        <x:f>HYPERLINK("https://arxiv.org/pdf/1010.1505","Open PDF / Source")</x:f>
        <x:v>HYPERLINK is not implemented. linkLocation=https://arxiv.org/pdf/1010.1505, friendlyName=Open PDF / Source</x:v>
      </x:c>
      <x:c r="O21" s="124" t="str"/>
    </x:row>
    <x:row r="22" ht="84" customHeight="1">
      <x:c r="A22" s="127" t="str"/>
      <x:c r="B22" s="127" t="str">
        <x:v>PDF_FIRST_PAGE</x:v>
      </x:c>
      <x:c r="C22" s="127" t="str">
        <x:v>2010 J. M. Brown</x:v>
      </x:c>
      <x:c r="D22" s="127" t="str">
        <x:v>L019</x:v>
      </x:c>
      <x:c r="E22" s="135" t="n">
        <x:v>2010</x:v>
      </x:c>
      <x:c r="F22" s="127" t="str">
        <x:v>New Limit on Lorentz- and C P T -Violating Neutron Spin Interactions</x:v>
      </x:c>
      <x:c r="G22" s="127" t="str">
        <x:v>J. M. Brown; S. J. Smullin; T. W. Kornack; M. V. Romalis</x:v>
      </x:c>
      <x:c r="H22" s="127" t="str">
        <x:v>Physical Review Letters</x:v>
      </x:c>
      <x:c r="I22" s="127" t="str">
        <x:v>Neutron &amp; nucleon</x:v>
      </x:c>
      <x:c r="J22" s="139" t="str">
        <x:v>C1</x:v>
      </x:c>
      <x:c r="K22" s="139" t="str">
        <x:v>secondary</x:v>
      </x:c>
      <x:c r="L22" s="127" t="e">
        <x:f>HYPERLINK("https://doi.org/10.1103/physrevlett.105.151604","10.1103/physrevlett.105.151604")</x:f>
        <x:v>HYPERLINK is not implemented. linkLocation=https://doi.org/10.1103/physrevlett.105.151604, friendlyName=10.1103/physrevlett.105.151604</x:v>
      </x:c>
      <x:c r="M22" s="127" t="str"/>
      <x:c r="N22" s="127" t="e">
        <x:f>HYPERLINK("https://arxiv.org/pdf/1006.5425","Open PDF / Source")</x:f>
        <x:v>HYPERLINK is not implemented. linkLocation=https://arxiv.org/pdf/1006.5425, friendlyName=Open PDF / Source</x:v>
      </x:c>
      <x:c r="O22" s="127" t="str"/>
    </x:row>
    <x:row r="23" ht="84" customHeight="1">
      <x:c r="A23" s="124" t="str"/>
      <x:c r="B23" s="124" t="str">
        <x:v>PDF_FIRST_PAGE</x:v>
      </x:c>
      <x:c r="C23" s="124" t="str">
        <x:v>2010 A. K. Petukhov</x:v>
      </x:c>
      <x:c r="D23" s="124" t="str">
        <x:v>L020</x:v>
      </x:c>
      <x:c r="E23" s="134" t="n">
        <x:v>2010</x:v>
      </x:c>
      <x:c r="F23" s="124" t="str">
        <x:v>Polarized He 3 as a Probe for Short-Range Spin-Dependent Interactions</x:v>
      </x:c>
      <x:c r="G23" s="124" t="str">
        <x:v>A. K. Petukhov; G. Pignol; D. Jullien; K. H. Andersen</x:v>
      </x:c>
      <x:c r="H23" s="124" t="str">
        <x:v>Physical Review Letters</x:v>
      </x:c>
      <x:c r="I23" s="124" t="str">
        <x:v>Neutron &amp; nucleon</x:v>
      </x:c>
      <x:c r="J23" s="138" t="str">
        <x:v>C1</x:v>
      </x:c>
      <x:c r="K23" s="138" t="str">
        <x:v>secondary</x:v>
      </x:c>
      <x:c r="L23" s="124" t="e">
        <x:f>HYPERLINK("https://doi.org/10.1103/physrevlett.105.170401","10.1103/physrevlett.105.170401")</x:f>
        <x:v>HYPERLINK is not implemented. linkLocation=https://doi.org/10.1103/physrevlett.105.170401, friendlyName=10.1103/physrevlett.105.170401</x:v>
      </x:c>
      <x:c r="M23" s="124" t="str"/>
      <x:c r="N23" s="124" t="e">
        <x:f>HYPERLINK("https://arxiv.org/pdf/1009.3434","Open PDF / Source")</x:f>
        <x:v>HYPERLINK is not implemented. linkLocation=https://arxiv.org/pdf/1009.3434, friendlyName=Open PDF / Source</x:v>
      </x:c>
      <x:c r="O23" s="124" t="str"/>
    </x:row>
    <x:row r="24" ht="84" customHeight="1">
      <x:c r="A24" s="127" t="str"/>
      <x:c r="B24" s="127" t="str">
        <x:v>PDF_FIRST_PAGE</x:v>
      </x:c>
      <x:c r="C24" s="127" t="str">
        <x:v>2010 S. G. Karshenboim</x:v>
      </x:c>
      <x:c r="D24" s="127" t="str">
        <x:v>L021</x:v>
      </x:c>
      <x:c r="E24" s="135" t="n">
        <x:v>2010</x:v>
      </x:c>
      <x:c r="F24" s="127" t="str">
        <x:v>Precision Physics of Simple Atoms and Constraints on a Light Boson with Ultraweak Coupling</x:v>
      </x:c>
      <x:c r="G24" s="127" t="str">
        <x:v>S. G. Karshenboim</x:v>
      </x:c>
      <x:c r="H24" s="127" t="str">
        <x:v>Physical Review Letters</x:v>
      </x:c>
      <x:c r="I24" s="127" t="str">
        <x:v>Atomic &amp; molecular</x:v>
      </x:c>
      <x:c r="J24" s="139" t="str">
        <x:v>C1</x:v>
      </x:c>
      <x:c r="K24" s="139" t="str">
        <x:v>secondary</x:v>
      </x:c>
      <x:c r="L24" s="127" t="e">
        <x:f>HYPERLINK("https://doi.org/10.1103/physrevlett.104.220406","10.1103/physrevlett.104.220406")</x:f>
        <x:v>HYPERLINK is not implemented. linkLocation=https://doi.org/10.1103/physrevlett.104.220406, friendlyName=10.1103/physrevlett.104.220406</x:v>
      </x:c>
      <x:c r="M24" s="127" t="str"/>
      <x:c r="N24" s="127" t="e">
        <x:f>HYPERLINK("https://arxiv.org/pdf/1005.4859","Open PDF / Source")</x:f>
        <x:v>HYPERLINK is not implemented. linkLocation=https://arxiv.org/pdf/1005.4859, friendlyName=Open PDF / Source</x:v>
      </x:c>
      <x:c r="O24" s="127" t="str"/>
    </x:row>
    <x:row r="25" ht="84" customHeight="1">
      <x:c r="A25" s="124" t="str"/>
      <x:c r="B25" s="124" t="str">
        <x:v>PDF_FIRST_PAGE</x:v>
      </x:c>
      <x:c r="C25" s="124" t="str">
        <x:v>2011 Savely G. Karshenboim</x:v>
      </x:c>
      <x:c r="D25" s="124" t="str">
        <x:v>L022</x:v>
      </x:c>
      <x:c r="E25" s="134" t="n">
        <x:v>2011</x:v>
      </x:c>
      <x:c r="F25" s="124" t="str">
        <x:v>HFS interval of the 2s state of hydrogen-like atoms and a constraint on a pseudovector boson with mass below 1 keV/c^2</x:v>
      </x:c>
      <x:c r="G25" s="124" t="str">
        <x:v>Savely G. Karshenboim</x:v>
      </x:c>
      <x:c r="H25" s="124" t="str"/>
      <x:c r="I25" s="124" t="str">
        <x:v>Other precision probes</x:v>
      </x:c>
      <x:c r="J25" s="138" t="str">
        <x:v>C3</x:v>
      </x:c>
      <x:c r="K25" s="138" t="str">
        <x:v>green_check</x:v>
      </x:c>
      <x:c r="L25" s="124" t="e">
        <x:f>HYPERLINK("https://doi.org/10.1103/physreva.83.062119","10.1103/physreva.83.062119")</x:f>
        <x:v>HYPERLINK is not implemented. linkLocation=https://doi.org/10.1103/physreva.83.062119, friendlyName=10.1103/physreva.83.062119</x:v>
      </x:c>
      <x:c r="M25" s="124" t="e">
        <x:f>HYPERLINK("https://arxiv.org/abs/1005.4875","1005.4875")</x:f>
        <x:v>HYPERLINK is not implemented. linkLocation=https://arxiv.org/abs/1005.4875, friendlyName=1005.4875</x:v>
      </x:c>
      <x:c r="N25" s="124" t="e">
        <x:f>HYPERLINK("https://arxiv.org/abs/1005.4875","Open PDF / Source")</x:f>
        <x:v>HYPERLINK is not implemented. linkLocation=https://arxiv.org/abs/1005.4875, friendlyName=Open PDF / Source</x:v>
      </x:c>
      <x:c r="O25" s="124" t="str">
        <x:v>v2_high_recall/reading_records/R06_karshenboim_2011.md</x:v>
      </x:c>
    </x:row>
    <x:row r="26" ht="84" customHeight="1">
      <x:c r="A26" s="127" t="str"/>
      <x:c r="B26" s="127" t="str">
        <x:v>PDF_FIRST_PAGE</x:v>
      </x:c>
      <x:c r="C26" s="127" t="str">
        <x:v>2011 S. A. Hoedl</x:v>
      </x:c>
      <x:c r="D26" s="127" t="str">
        <x:v>L023</x:v>
      </x:c>
      <x:c r="E26" s="135" t="n">
        <x:v>2011</x:v>
      </x:c>
      <x:c r="F26" s="127" t="str">
        <x:v>Improved Constraints on an Axion-Mediated Force</x:v>
      </x:c>
      <x:c r="G26" s="127" t="str">
        <x:v>S. A. Hoedl; S. M. Fleischer; E. G. Adelberger; B. R. Heckel</x:v>
      </x:c>
      <x:c r="H26" s="127" t="str">
        <x:v>Physical Review Letters</x:v>
      </x:c>
      <x:c r="I26" s="127" t="str">
        <x:v>Neutron &amp; nucleon</x:v>
      </x:c>
      <x:c r="J26" s="139" t="str">
        <x:v>C1</x:v>
      </x:c>
      <x:c r="K26" s="139" t="str">
        <x:v>secondary</x:v>
      </x:c>
      <x:c r="L26" s="127" t="e">
        <x:f>HYPERLINK("https://doi.org/10.1103/physrevlett.106.041801","10.1103/physrevlett.106.041801")</x:f>
        <x:v>HYPERLINK is not implemented. linkLocation=https://doi.org/10.1103/physrevlett.106.041801, friendlyName=10.1103/physrevlett.106.041801</x:v>
      </x:c>
      <x:c r="M26" s="127" t="str"/>
      <x:c r="N26" s="127" t="e">
        <x:f>HYPERLINK("https://harvest.aps.org/v2/journals/articles/10.1103/physrevlett.106.041801/fulltext","Open PDF / Source")</x:f>
        <x:v>HYPERLINK is not implemented. linkLocation=https://harvest.aps.org/v2/journals/articles/10.1103/physrevlett.106.041801/fulltext, friendlyName=Open PDF / Source</x:v>
      </x:c>
      <x:c r="O26" s="127" t="str"/>
    </x:row>
    <x:row r="27" ht="84" customHeight="1">
      <x:c r="A27" s="124" t="str"/>
      <x:c r="B27" s="124" t="str">
        <x:v>PDF_FIRST_PAGE</x:v>
      </x:c>
      <x:c r="C27" s="124" t="str">
        <x:v>2012 Georg Raffelt</x:v>
      </x:c>
      <x:c r="D27" s="124" t="str">
        <x:v>L024</x:v>
      </x:c>
      <x:c r="E27" s="134" t="n">
        <x:v>2012</x:v>
      </x:c>
      <x:c r="F27" s="124" t="str">
        <x:v>Limits on a C P -violating scalar axion-nucleon interaction</x:v>
      </x:c>
      <x:c r="G27" s="124" t="str">
        <x:v>Georg Raffelt</x:v>
      </x:c>
      <x:c r="H27" s="124" t="str">
        <x:v>Physical Review D</x:v>
      </x:c>
      <x:c r="I27" s="124" t="str">
        <x:v>Neutron &amp; nucleon</x:v>
      </x:c>
      <x:c r="J27" s="138" t="str">
        <x:v>C1</x:v>
      </x:c>
      <x:c r="K27" s="138" t="str">
        <x:v>secondary</x:v>
      </x:c>
      <x:c r="L27" s="124" t="e">
        <x:f>HYPERLINK("https://doi.org/10.1103/physrevd.86.015001","10.1103/physrevd.86.015001")</x:f>
        <x:v>HYPERLINK is not implemented. linkLocation=https://doi.org/10.1103/physrevd.86.015001, friendlyName=10.1103/physrevd.86.015001</x:v>
      </x:c>
      <x:c r="M27" s="124" t="str"/>
      <x:c r="N27" s="124" t="e">
        <x:f>HYPERLINK("https://arxiv.org/pdf/1205.1776","Open PDF / Source")</x:f>
        <x:v>HYPERLINK is not implemented. linkLocation=https://arxiv.org/pdf/1205.1776, friendlyName=Open PDF / Source</x:v>
      </x:c>
      <x:c r="O27" s="124" t="str"/>
    </x:row>
    <x:row r="28" ht="84" customHeight="1">
      <x:c r="A28" s="127" t="str"/>
      <x:c r="B28" s="127" t="str">
        <x:v>PDF_FIRST_PAGE</x:v>
      </x:c>
      <x:c r="C28" s="127" t="str">
        <x:v>2012 S. K. Peck</x:v>
      </x:c>
      <x:c r="D28" s="127" t="str">
        <x:v>L025</x:v>
      </x:c>
      <x:c r="E28" s="135" t="n">
        <x:v>2012</x:v>
      </x:c>
      <x:c r="F28" s="127" t="str">
        <x:v>Limits on local Lorentz invariance in mercury and cesium</x:v>
      </x:c>
      <x:c r="G28" s="127" t="str">
        <x:v>S. K. Peck; D. K. Kim; D. Stein; D. Orbaker; A. Foss; M. T. Hummon; L. R. Hunter</x:v>
      </x:c>
      <x:c r="H28" s="127" t="str">
        <x:v>Physical Review A</x:v>
      </x:c>
      <x:c r="I28" s="127" t="str">
        <x:v>Atomic &amp; molecular</x:v>
      </x:c>
      <x:c r="J28" s="139" t="str">
        <x:v>C1</x:v>
      </x:c>
      <x:c r="K28" s="139" t="str">
        <x:v>secondary</x:v>
      </x:c>
      <x:c r="L28" s="127" t="e">
        <x:f>HYPERLINK("https://doi.org/10.1103/physreva.86.012109","10.1103/physreva.86.012109")</x:f>
        <x:v>HYPERLINK is not implemented. linkLocation=https://doi.org/10.1103/physreva.86.012109, friendlyName=10.1103/physreva.86.012109</x:v>
      </x:c>
      <x:c r="M28" s="127" t="str"/>
      <x:c r="N28" s="127" t="e">
        <x:f>HYPERLINK("https://arxiv.org/pdf/1205.5022","Open PDF / Source")</x:f>
        <x:v>HYPERLINK is not implemented. linkLocation=https://arxiv.org/pdf/1205.5022, friendlyName=Open PDF / Source</x:v>
      </x:c>
      <x:c r="O28" s="127" t="str"/>
    </x:row>
    <x:row r="29" ht="84" customHeight="1">
      <x:c r="A29" s="124" t="str"/>
      <x:c r="B29" s="124" t="str">
        <x:v>PDF_FIRST_PAGE</x:v>
      </x:c>
      <x:c r="C29" s="124" t="str">
        <x:v>2012 Florian M. Piegsa</x:v>
      </x:c>
      <x:c r="D29" s="124" t="str">
        <x:v>L026</x:v>
      </x:c>
      <x:c r="E29" s="134" t="n">
        <x:v>2012</x:v>
      </x:c>
      <x:c r="F29" s="124" t="str">
        <x:v>Limits on the Axial Coupling Constant of New Light Bosons</x:v>
      </x:c>
      <x:c r="G29" s="124" t="str">
        <x:v>Florian M. Piegsa; Guillaume Pignol</x:v>
      </x:c>
      <x:c r="H29" s="124" t="str">
        <x:v>Physical Review Letters</x:v>
      </x:c>
      <x:c r="I29" s="124" t="str">
        <x:v>Neutron &amp; nucleon</x:v>
      </x:c>
      <x:c r="J29" s="138" t="str">
        <x:v>C1</x:v>
      </x:c>
      <x:c r="K29" s="138" t="str">
        <x:v>secondary</x:v>
      </x:c>
      <x:c r="L29" s="124" t="e">
        <x:f>HYPERLINK("https://doi.org/10.1103/physrevlett.108.181801","10.1103/physrevlett.108.181801")</x:f>
        <x:v>HYPERLINK is not implemented. linkLocation=https://doi.org/10.1103/physrevlett.108.181801, friendlyName=10.1103/physrevlett.108.181801</x:v>
      </x:c>
      <x:c r="M29" s="124" t="str"/>
      <x:c r="N29" s="124" t="e">
        <x:f>HYPERLINK("https://arxiv.org/pdf/1205.0340","Open PDF / Source")</x:f>
        <x:v>HYPERLINK is not implemented. linkLocation=https://arxiv.org/pdf/1205.0340, friendlyName=Open PDF / Source</x:v>
      </x:c>
      <x:c r="O29" s="124" t="str"/>
    </x:row>
    <x:row r="30" ht="84" customHeight="1">
      <x:c r="A30" s="127" t="str"/>
      <x:c r="B30" s="127" t="str">
        <x:v>PDF_FIRST_PAGE</x:v>
      </x:c>
      <x:c r="C30" s="127" t="str">
        <x:v>2013 K. Tullney</x:v>
      </x:c>
      <x:c r="D30" s="127" t="str">
        <x:v>L027</x:v>
      </x:c>
      <x:c r="E30" s="135" t="n">
        <x:v>2013</x:v>
      </x:c>
      <x:c r="F30" s="127" t="str">
        <x:v>Constraints on Spin-Dependent Short-Range Interaction between Nucleons</x:v>
      </x:c>
      <x:c r="G30" s="127" t="str">
        <x:v>K. Tullney; F. Allmendinger; M. Burghoff; W. Heil; S. Karpuk; W. Kilian; S. Knappe-Grüneberg; W. Müller; U. Schmidt; A. Schnabel; F. Seifert; Yu. Sobolev; L. Trahms</x:v>
      </x:c>
      <x:c r="H30" s="127" t="str">
        <x:v>Physical Review Letters</x:v>
      </x:c>
      <x:c r="I30" s="127" t="str">
        <x:v>Neutron &amp; nucleon</x:v>
      </x:c>
      <x:c r="J30" s="139" t="str">
        <x:v>C1</x:v>
      </x:c>
      <x:c r="K30" s="139" t="str">
        <x:v>secondary</x:v>
      </x:c>
      <x:c r="L30" s="127" t="e">
        <x:f>HYPERLINK("https://doi.org/10.1103/physrevlett.111.100801","10.1103/physrevlett.111.100801")</x:f>
        <x:v>HYPERLINK is not implemented. linkLocation=https://doi.org/10.1103/physrevlett.111.100801, friendlyName=10.1103/physrevlett.111.100801</x:v>
      </x:c>
      <x:c r="M30" s="127" t="str"/>
      <x:c r="N30" s="127" t="e">
        <x:f>HYPERLINK("https://arxiv.org/pdf/1303.6612","Open PDF / Source")</x:f>
        <x:v>HYPERLINK is not implemented. linkLocation=https://arxiv.org/pdf/1303.6612, friendlyName=Open PDF / Source</x:v>
      </x:c>
      <x:c r="O30" s="127" t="str"/>
    </x:row>
    <x:row r="31" ht="84" customHeight="1">
      <x:c r="A31" s="124" t="str"/>
      <x:c r="B31" s="124" t="str">
        <x:v>PDF_FIRST_PAGE</x:v>
      </x:c>
      <x:c r="C31" s="124" t="str">
        <x:v>2013 M. P. Ledbetter</x:v>
      </x:c>
      <x:c r="D31" s="124" t="str">
        <x:v>L028</x:v>
      </x:c>
      <x:c r="E31" s="134" t="n">
        <x:v>2013</x:v>
      </x:c>
      <x:c r="F31" s="124" t="str">
        <x:v>Constraints on short-range spin-dependent interactions from scalar spin-spin coupling in deuterated molecular hydrogen</x:v>
      </x:c>
      <x:c r="G31" s="124" t="str">
        <x:v>M. P. Ledbetter; M. V. Romalis; D. F. Jackson Kimball</x:v>
      </x:c>
      <x:c r="H31" s="124" t="str"/>
      <x:c r="I31" s="124" t="str">
        <x:v>Neutron &amp; nucleon</x:v>
      </x:c>
      <x:c r="J31" s="138" t="str">
        <x:v>C3</x:v>
      </x:c>
      <x:c r="K31" s="138" t="str">
        <x:v>green_check</x:v>
      </x:c>
      <x:c r="L31" s="124" t="e">
        <x:f>HYPERLINK("https://doi.org/10.1103/physrevlett.110.040402","10.1103/physrevlett.110.040402")</x:f>
        <x:v>HYPERLINK is not implemented. linkLocation=https://doi.org/10.1103/physrevlett.110.040402, friendlyName=10.1103/physrevlett.110.040402</x:v>
      </x:c>
      <x:c r="M31" s="124" t="e">
        <x:f>HYPERLINK("https://arxiv.org/abs/1203.6894","1203.6894")</x:f>
        <x:v>HYPERLINK is not implemented. linkLocation=https://arxiv.org/abs/1203.6894, friendlyName=1203.6894</x:v>
      </x:c>
      <x:c r="N31" s="124" t="e">
        <x:f>HYPERLINK("https://arxiv.org/abs/1203.6894","Open PDF / Source")</x:f>
        <x:v>HYPERLINK is not implemented. linkLocation=https://arxiv.org/abs/1203.6894, friendlyName=Open PDF / Source</x:v>
      </x:c>
      <x:c r="O31" s="124" t="str">
        <x:v>v2_high_recall/reading_records/R07_ledbetter_2013_hd.md</x:v>
      </x:c>
    </x:row>
    <x:row r="32" ht="84" customHeight="1">
      <x:c r="A32" s="127" t="str"/>
      <x:c r="B32" s="127" t="str">
        <x:v>PDF_FIRST_PAGE</x:v>
      </x:c>
      <x:c r="C32" s="127" t="str">
        <x:v>2013 M. Bulatowicz</x:v>
      </x:c>
      <x:c r="D32" s="127" t="str">
        <x:v>L029</x:v>
      </x:c>
      <x:c r="E32" s="135" t="n">
        <x:v>2013</x:v>
      </x:c>
      <x:c r="F32" s="127" t="str">
        <x:v>Laboratory Search for a Long-Range T -Odd, P -Odd Interaction from Axionlike Particles Using Dual-Species Nuclear Magnetic Resonance with Polarized Xe 129 and Xe 131 Gas</x:v>
      </x:c>
      <x:c r="G32" s="127" t="str">
        <x:v>M. Bulatowicz; R. Griffith; M. Larsen; J. Mirijanian; C. B. Fu; E. Smith; W. M. Snow; H. Yan; T. G. Walker</x:v>
      </x:c>
      <x:c r="H32" s="127" t="str">
        <x:v>Physical Review Letters</x:v>
      </x:c>
      <x:c r="I32" s="127" t="str">
        <x:v>Atomic &amp; molecular</x:v>
      </x:c>
      <x:c r="J32" s="139" t="str">
        <x:v>C1</x:v>
      </x:c>
      <x:c r="K32" s="139" t="str">
        <x:v>secondary</x:v>
      </x:c>
      <x:c r="L32" s="127" t="e">
        <x:f>HYPERLINK("https://doi.org/10.1103/physrevlett.111.102001","10.1103/physrevlett.111.102001")</x:f>
        <x:v>HYPERLINK is not implemented. linkLocation=https://doi.org/10.1103/physrevlett.111.102001, friendlyName=10.1103/physrevlett.111.102001</x:v>
      </x:c>
      <x:c r="M32" s="127" t="str"/>
      <x:c r="N32" s="127" t="e">
        <x:f>HYPERLINK("https://arxiv.org/pdf/1301.5224","Open PDF / Source")</x:f>
        <x:v>HYPERLINK is not implemented. linkLocation=https://arxiv.org/pdf/1301.5224, friendlyName=Open PDF / Source</x:v>
      </x:c>
      <x:c r="O32" s="127" t="str"/>
    </x:row>
    <x:row r="33" ht="84" customHeight="1">
      <x:c r="A33" s="124" t="str"/>
      <x:c r="B33" s="124" t="str">
        <x:v>PDF_FIRST_PAGE</x:v>
      </x:c>
      <x:c r="C33" s="124" t="str">
        <x:v>2013 P.-H. Chu</x:v>
      </x:c>
      <x:c r="D33" s="124" t="str">
        <x:v>L030</x:v>
      </x:c>
      <x:c r="E33" s="134" t="n">
        <x:v>2013</x:v>
      </x:c>
      <x:c r="F33" s="124" t="str">
        <x:v>Laboratory search for spin-dependent short-range force from axionlike particles using optically polarized He 3 gas</x:v>
      </x:c>
      <x:c r="G33" s="124" t="str">
        <x:v>P.-H. Chu; A. Dennis; C. B. Fu; H. Gao; R. Khatiwada; G. Laskaris; K. Li; E. Smith; W. M. Snow; H. Yan; W. Zheng</x:v>
      </x:c>
      <x:c r="H33" s="124" t="str">
        <x:v>Physical Review D</x:v>
      </x:c>
      <x:c r="I33" s="124" t="str">
        <x:v>Other precision probes</x:v>
      </x:c>
      <x:c r="J33" s="138" t="str">
        <x:v>C1</x:v>
      </x:c>
      <x:c r="K33" s="138" t="str">
        <x:v>secondary</x:v>
      </x:c>
      <x:c r="L33" s="124" t="e">
        <x:f>HYPERLINK("https://doi.org/10.1103/physrevd.87.011105","10.1103/physrevd.87.011105")</x:f>
        <x:v>HYPERLINK is not implemented. linkLocation=https://doi.org/10.1103/physrevd.87.011105, friendlyName=10.1103/physrevd.87.011105</x:v>
      </x:c>
      <x:c r="M33" s="124" t="str"/>
      <x:c r="N33" s="124" t="e">
        <x:f>HYPERLINK("https://arxiv.org/pdf/1211.2644","Open PDF / Source")</x:f>
        <x:v>HYPERLINK is not implemented. linkLocation=https://arxiv.org/pdf/1211.2644, friendlyName=Open PDF / Source</x:v>
      </x:c>
      <x:c r="O33" s="124" t="str"/>
    </x:row>
    <x:row r="34" ht="84" customHeight="1">
      <x:c r="A34" s="127" t="str"/>
      <x:c r="B34" s="127" t="str">
        <x:v>METADATA_CARD</x:v>
      </x:c>
      <x:c r="C34" s="127" t="str">
        <x:v>2013 B. R. Heckel</x:v>
      </x:c>
      <x:c r="D34" s="127" t="str">
        <x:v>L031</x:v>
      </x:c>
      <x:c r="E34" s="135" t="n">
        <x:v>2013</x:v>
      </x:c>
      <x:c r="F34" s="127" t="str">
        <x:v>Limits on Exotic Long-Range Spin-Spin Interactions of Electrons</x:v>
      </x:c>
      <x:c r="G34" s="127" t="str">
        <x:v>B. R. Heckel; W. A. Terrano; E. G. Adelberger</x:v>
      </x:c>
      <x:c r="H34" s="127" t="str">
        <x:v>Physical Review Letters</x:v>
      </x:c>
      <x:c r="I34" s="127" t="str">
        <x:v>Torsion &amp; geophysical</x:v>
      </x:c>
      <x:c r="J34" s="139" t="str">
        <x:v>C1</x:v>
      </x:c>
      <x:c r="K34" s="139" t="str">
        <x:v>secondary</x:v>
      </x:c>
      <x:c r="L34" s="127" t="e">
        <x:f>HYPERLINK("https://doi.org/10.1103/physrevlett.111.151802","10.1103/physrevlett.111.151802")</x:f>
        <x:v>HYPERLINK is not implemented. linkLocation=https://doi.org/10.1103/physrevlett.111.151802, friendlyName=10.1103/physrevlett.111.151802</x:v>
      </x:c>
      <x:c r="M34" s="127" t="str"/>
      <x:c r="N34" s="127" t="e">
        <x:f>HYPERLINK("https://doi.org/10.1103/physrevlett.111.151802","Open PDF / Source")</x:f>
        <x:v>HYPERLINK is not implemented. linkLocation=https://doi.org/10.1103/physrevlett.111.151802, friendlyName=Open PDF / Source</x:v>
      </x:c>
      <x:c r="O34" s="127" t="str"/>
    </x:row>
    <x:row r="35" ht="84" customHeight="1">
      <x:c r="A35" s="124" t="str"/>
      <x:c r="B35" s="124" t="str">
        <x:v>PDF_FIRST_PAGE</x:v>
      </x:c>
      <x:c r="C35" s="124" t="str">
        <x:v>2013 H. Yan</x:v>
      </x:c>
      <x:c r="D35" s="124" t="str">
        <x:v>L032</x:v>
      </x:c>
      <x:c r="E35" s="134" t="n">
        <x:v>2013</x:v>
      </x:c>
      <x:c r="F35" s="124" t="str">
        <x:v>New Limit on Possible Long-Range Parity-Odd Interactions of the Neutron from Neutron-Spin Rotation in Liquid He 4</x:v>
      </x:c>
      <x:c r="G35" s="124" t="str">
        <x:v>H. Yan; W. M. Snow</x:v>
      </x:c>
      <x:c r="H35" s="124" t="str">
        <x:v>Physical Review Letters</x:v>
      </x:c>
      <x:c r="I35" s="124" t="str">
        <x:v>Neutron &amp; nucleon</x:v>
      </x:c>
      <x:c r="J35" s="138" t="str">
        <x:v>C1</x:v>
      </x:c>
      <x:c r="K35" s="138" t="str">
        <x:v>secondary</x:v>
      </x:c>
      <x:c r="L35" s="124" t="e">
        <x:f>HYPERLINK("https://doi.org/10.1103/physrevlett.110.082003","10.1103/physrevlett.110.082003")</x:f>
        <x:v>HYPERLINK is not implemented. linkLocation=https://doi.org/10.1103/physrevlett.110.082003, friendlyName=10.1103/physrevlett.110.082003</x:v>
      </x:c>
      <x:c r="M35" s="124" t="str"/>
      <x:c r="N35" s="124" t="e">
        <x:f>HYPERLINK("https://arxiv.org/pdf/1211.6523","Open PDF / Source")</x:f>
        <x:v>HYPERLINK is not implemented. linkLocation=https://arxiv.org/pdf/1211.6523, friendlyName=Open PDF / Source</x:v>
      </x:c>
      <x:c r="O35" s="124" t="str"/>
    </x:row>
    <x:row r="36" ht="84" customHeight="1">
      <x:c r="A36" s="127" t="str"/>
      <x:c r="B36" s="127" t="str">
        <x:v>PDF_FIRST_PAGE</x:v>
      </x:c>
      <x:c r="C36" s="127" t="str">
        <x:v>2013 Larry Hunter</x:v>
      </x:c>
      <x:c r="D36" s="127" t="str">
        <x:v>L033</x:v>
      </x:c>
      <x:c r="E36" s="135" t="n">
        <x:v>2013</x:v>
      </x:c>
      <x:c r="F36" s="127" t="str">
        <x:v>Using the Earth as a Polarized Electron Source to Search for Long-Range Spin-Spin Interactions</x:v>
      </x:c>
      <x:c r="G36" s="127" t="str">
        <x:v>Larry Hunter; Joel Gordon; Stephen Peck; Daniel Ang; Jung-Fu Lin</x:v>
      </x:c>
      <x:c r="H36" s="127" t="str">
        <x:v>Science</x:v>
      </x:c>
      <x:c r="I36" s="127" t="str">
        <x:v>Atomic &amp; molecular</x:v>
      </x:c>
      <x:c r="J36" s="139" t="str">
        <x:v>C1</x:v>
      </x:c>
      <x:c r="K36" s="139" t="str">
        <x:v>secondary</x:v>
      </x:c>
      <x:c r="L36" s="127" t="e">
        <x:f>HYPERLINK("https://doi.org/10.1126/science.1227460","10.1126/science.1227460")</x:f>
        <x:v>HYPERLINK is not implemented. linkLocation=https://doi.org/10.1126/science.1227460, friendlyName=10.1126/science.1227460</x:v>
      </x:c>
      <x:c r="M36" s="127" t="str"/>
      <x:c r="N36" s="127" t="e">
        <x:f>HYPERLINK("https://www.jsg.utexas.edu/lin/files/HunterGeoelectronsScience2013.pdf","Open PDF / Source")</x:f>
        <x:v>HYPERLINK is not implemented. linkLocation=https://www.jsg.utexas.edu/lin/files/HunterGeoelectronsScience2013.pdf, friendlyName=Open PDF / Source</x:v>
      </x:c>
      <x:c r="O36" s="127" t="str"/>
    </x:row>
    <x:row r="37" ht="84" customHeight="1">
      <x:c r="A37" s="124" t="str"/>
      <x:c r="B37" s="124" t="str">
        <x:v>PDF_FIRST_PAGE</x:v>
      </x:c>
      <x:c r="C37" s="124" t="str">
        <x:v>2014 F. Allmendinger</x:v>
      </x:c>
      <x:c r="D37" s="124" t="str">
        <x:v>L034</x:v>
      </x:c>
      <x:c r="E37" s="134" t="n">
        <x:v>2014</x:v>
      </x:c>
      <x:c r="F37" s="124" t="str">
        <x:v>New Limit on Lorentz-Invariance- and C P T -Violating Neutron Spin Interactions Using a Free-Spin-Precession He 3 - Xe 129 Comagnetometer</x:v>
      </x:c>
      <x:c r="G37" s="124" t="str">
        <x:v>F. Allmendinger; W. Heil; S. Karpuk; W. Kilian; A. Scharth; U. Schmidt; A. Schnabel; Yu. Sobolev; K. Tullney</x:v>
      </x:c>
      <x:c r="H37" s="124" t="str">
        <x:v>Physical Review Letters</x:v>
      </x:c>
      <x:c r="I37" s="124" t="str">
        <x:v>Neutron &amp; nucleon</x:v>
      </x:c>
      <x:c r="J37" s="138" t="str">
        <x:v>C1</x:v>
      </x:c>
      <x:c r="K37" s="138" t="str">
        <x:v>secondary</x:v>
      </x:c>
      <x:c r="L37" s="124" t="e">
        <x:f>HYPERLINK("https://doi.org/10.1103/physrevlett.112.110801","10.1103/physrevlett.112.110801")</x:f>
        <x:v>HYPERLINK is not implemented. linkLocation=https://doi.org/10.1103/physrevlett.112.110801, friendlyName=10.1103/physrevlett.112.110801</x:v>
      </x:c>
      <x:c r="M37" s="124" t="str"/>
      <x:c r="N37" s="124" t="e">
        <x:f>HYPERLINK("https://arxiv.org/pdf/1312.3225","Open PDF / Source")</x:f>
        <x:v>HYPERLINK is not implemented. linkLocation=https://arxiv.org/pdf/1312.3225, friendlyName=Open PDF / Source</x:v>
      </x:c>
      <x:c r="O37" s="124" t="str"/>
    </x:row>
    <x:row r="38" ht="84" customHeight="1">
      <x:c r="A38" s="127" t="str"/>
      <x:c r="B38" s="127" t="str">
        <x:v>PDF_FIRST_PAGE</x:v>
      </x:c>
      <x:c r="C38" s="127" t="str">
        <x:v>2014 T. M. Leslie</x:v>
      </x:c>
      <x:c r="D38" s="127" t="str">
        <x:v>L035</x:v>
      </x:c>
      <x:c r="E38" s="135" t="n">
        <x:v>2014</x:v>
      </x:c>
      <x:c r="F38" s="127" t="str">
        <x:v>Prospects for electron spin-dependent short-range force experiments with rare earth iron garnet test masses</x:v>
      </x:c>
      <x:c r="G38" s="127" t="str">
        <x:v>T. M. Leslie; E. Weisman; R. Khatiwada; J. C. Long</x:v>
      </x:c>
      <x:c r="H38" s="127" t="str">
        <x:v>Physical Review D</x:v>
      </x:c>
      <x:c r="I38" s="127" t="str">
        <x:v>Other precision probes</x:v>
      </x:c>
      <x:c r="J38" s="139" t="str">
        <x:v>C1</x:v>
      </x:c>
      <x:c r="K38" s="139" t="str">
        <x:v>secondary</x:v>
      </x:c>
      <x:c r="L38" s="127" t="e">
        <x:f>HYPERLINK("https://doi.org/10.1103/physrevd.89.114022","10.1103/physrevd.89.114022")</x:f>
        <x:v>HYPERLINK is not implemented. linkLocation=https://doi.org/10.1103/physrevd.89.114022, friendlyName=10.1103/physrevd.89.114022</x:v>
      </x:c>
      <x:c r="M38" s="127" t="str"/>
      <x:c r="N38" s="127" t="e">
        <x:f>HYPERLINK("https://arxiv.org/pdf/1401.6730","Open PDF / Source")</x:f>
        <x:v>HYPERLINK is not implemented. linkLocation=https://arxiv.org/pdf/1401.6730, friendlyName=Open PDF / Source</x:v>
      </x:c>
      <x:c r="O38" s="127" t="str"/>
    </x:row>
    <x:row r="39" ht="84" customHeight="1">
      <x:c r="A39" s="124" t="str"/>
      <x:c r="B39" s="124" t="str">
        <x:v>PDF_FIRST_PAGE</x:v>
      </x:c>
      <x:c r="C39" s="124" t="str">
        <x:v>2014 Asimina Arvanitaki</x:v>
      </x:c>
      <x:c r="D39" s="124" t="str">
        <x:v>L036</x:v>
      </x:c>
      <x:c r="E39" s="134" t="n">
        <x:v>2014</x:v>
      </x:c>
      <x:c r="F39" s="124" t="str">
        <x:v>Resonantly Detecting Axion-Mediated Forces with Nuclear Magnetic Resonance</x:v>
      </x:c>
      <x:c r="G39" s="124" t="str">
        <x:v>Asimina Arvanitaki; Andrew A. Geraci</x:v>
      </x:c>
      <x:c r="H39" s="124" t="str">
        <x:v>Physical Review Letters</x:v>
      </x:c>
      <x:c r="I39" s="124" t="str">
        <x:v>Atomic &amp; molecular</x:v>
      </x:c>
      <x:c r="J39" s="138" t="str">
        <x:v>C1</x:v>
      </x:c>
      <x:c r="K39" s="138" t="str">
        <x:v>secondary</x:v>
      </x:c>
      <x:c r="L39" s="124" t="e">
        <x:f>HYPERLINK("https://doi.org/10.1103/physrevlett.113.161801","10.1103/physrevlett.113.161801")</x:f>
        <x:v>HYPERLINK is not implemented. linkLocation=https://doi.org/10.1103/physrevlett.113.161801, friendlyName=10.1103/physrevlett.113.161801</x:v>
      </x:c>
      <x:c r="M39" s="124" t="str"/>
      <x:c r="N39" s="124" t="e">
        <x:f>HYPERLINK("https://arxiv.org/pdf/1403.1290","Open PDF / Source")</x:f>
        <x:v>HYPERLINK is not implemented. linkLocation=https://arxiv.org/pdf/1403.1290, friendlyName=Open PDF / Source</x:v>
      </x:c>
      <x:c r="O39" s="124" t="str"/>
    </x:row>
    <x:row r="40" ht="84" customHeight="1">
      <x:c r="A40" s="127" t="str"/>
      <x:c r="B40" s="127" t="str">
        <x:v>PDF_FIRST_PAGE</x:v>
      </x:c>
      <x:c r="C40" s="127" t="str">
        <x:v>2014 L. R. Hunter</x:v>
      </x:c>
      <x:c r="D40" s="127" t="str">
        <x:v>L037</x:v>
      </x:c>
      <x:c r="E40" s="135" t="n">
        <x:v>2014</x:v>
      </x:c>
      <x:c r="F40" s="127" t="str">
        <x:v>Using Geoelectrons to Search for Velocity-Dependent Spin-Spin Interactions</x:v>
      </x:c>
      <x:c r="G40" s="127" t="str">
        <x:v>L. R. Hunter; D. G. Ang</x:v>
      </x:c>
      <x:c r="H40" s="127" t="str">
        <x:v>Physical Review Letters</x:v>
      </x:c>
      <x:c r="I40" s="127" t="str">
        <x:v>Neutron &amp; nucleon</x:v>
      </x:c>
      <x:c r="J40" s="139" t="str">
        <x:v>C1</x:v>
      </x:c>
      <x:c r="K40" s="139" t="str">
        <x:v>secondary</x:v>
      </x:c>
      <x:c r="L40" s="127" t="e">
        <x:f>HYPERLINK("https://doi.org/10.1103/physrevlett.112.091803","10.1103/physrevlett.112.091803")</x:f>
        <x:v>HYPERLINK is not implemented. linkLocation=https://doi.org/10.1103/physrevlett.112.091803, friendlyName=10.1103/physrevlett.112.091803</x:v>
      </x:c>
      <x:c r="M40" s="127" t="str"/>
      <x:c r="N40" s="127" t="e">
        <x:f>HYPERLINK("https://arxiv.org/pdf/1306.1118","Open PDF / Source")</x:f>
        <x:v>HYPERLINK is not implemented. linkLocation=https://arxiv.org/pdf/1306.1118, friendlyName=Open PDF / Source</x:v>
      </x:c>
      <x:c r="O40" s="127" t="str"/>
    </x:row>
    <x:row r="41" ht="84" customHeight="1">
      <x:c r="A41" s="124" t="str"/>
      <x:c r="B41" s="124" t="str">
        <x:v>PDF_FIRST_PAGE</x:v>
      </x:c>
      <x:c r="C41" s="124" t="str">
        <x:v>2015 M. Guigue</x:v>
      </x:c>
      <x:c r="D41" s="124" t="str">
        <x:v>L038</x:v>
      </x:c>
      <x:c r="E41" s="134" t="n">
        <x:v>2015</x:v>
      </x:c>
      <x:c r="F41" s="124" t="str">
        <x:v>Constraining short-range spin-dependent forces with polarized He 3</x:v>
      </x:c>
      <x:c r="G41" s="124" t="str">
        <x:v>M. Guigue; D. Jullien; A. K. Petukhov; G. Pignol</x:v>
      </x:c>
      <x:c r="H41" s="124" t="str">
        <x:v>Physical Review D</x:v>
      </x:c>
      <x:c r="I41" s="124" t="str">
        <x:v>Neutron &amp; nucleon</x:v>
      </x:c>
      <x:c r="J41" s="138" t="str">
        <x:v>C1</x:v>
      </x:c>
      <x:c r="K41" s="138" t="str">
        <x:v>secondary</x:v>
      </x:c>
      <x:c r="L41" s="124" t="e">
        <x:f>HYPERLINK("https://doi.org/10.1103/physrevd.92.114001","10.1103/physrevd.92.114001")</x:f>
        <x:v>HYPERLINK is not implemented. linkLocation=https://doi.org/10.1103/physrevd.92.114001, friendlyName=10.1103/physrevd.92.114001</x:v>
      </x:c>
      <x:c r="M41" s="124" t="str"/>
      <x:c r="N41" s="124" t="e">
        <x:f>HYPERLINK("https://arxiv.org/pdf/1511.06993","Open PDF / Source")</x:f>
        <x:v>HYPERLINK is not implemented. linkLocation=https://arxiv.org/pdf/1511.06993, friendlyName=Open PDF / Source</x:v>
      </x:c>
      <x:c r="O41" s="124" t="str"/>
    </x:row>
    <x:row r="42" ht="84" customHeight="1">
      <x:c r="A42" s="127" t="str"/>
      <x:c r="B42" s="127" t="str">
        <x:v>PDF_FIRST_PAGE</x:v>
      </x:c>
      <x:c r="C42" s="127" t="str">
        <x:v>2015 Shlomi Kotler</x:v>
      </x:c>
      <x:c r="D42" s="127" t="str">
        <x:v>L039</x:v>
      </x:c>
      <x:c r="E42" s="135" t="n">
        <x:v>2015</x:v>
      </x:c>
      <x:c r="F42" s="127" t="str">
        <x:v>Constraints on Exotic Dipole-Dipole Couplings between Electrons at the Micrometer Scale</x:v>
      </x:c>
      <x:c r="G42" s="127" t="str">
        <x:v>Shlomi Kotler; Roee Ozeri; Derek F. Jackson Kimball</x:v>
      </x:c>
      <x:c r="H42" s="127" t="str">
        <x:v>Physical Review Letters</x:v>
      </x:c>
      <x:c r="I42" s="127" t="str">
        <x:v>Atomic &amp; molecular</x:v>
      </x:c>
      <x:c r="J42" s="139" t="str">
        <x:v>C1</x:v>
      </x:c>
      <x:c r="K42" s="139" t="str">
        <x:v>secondary</x:v>
      </x:c>
      <x:c r="L42" s="127" t="e">
        <x:f>HYPERLINK("https://doi.org/10.1103/physrevlett.115.081801","10.1103/physrevlett.115.081801")</x:f>
        <x:v>HYPERLINK is not implemented. linkLocation=https://doi.org/10.1103/physrevlett.115.081801, friendlyName=10.1103/physrevlett.115.081801</x:v>
      </x:c>
      <x:c r="M42" s="127" t="str"/>
      <x:c r="N42" s="127" t="e">
        <x:f>HYPERLINK("https://arxiv.org/pdf/1501.07891","Open PDF / Source")</x:f>
        <x:v>HYPERLINK is not implemented. linkLocation=https://arxiv.org/pdf/1501.07891, friendlyName=Open PDF / Source</x:v>
      </x:c>
      <x:c r="O42" s="127" t="str"/>
    </x:row>
    <x:row r="43" ht="84" customHeight="1">
      <x:c r="A43" s="124" t="str"/>
      <x:c r="B43" s="124" t="str">
        <x:v>PDF_FIRST_PAGE</x:v>
      </x:c>
      <x:c r="C43" s="124" t="str">
        <x:v>2015 D F Jackson Kimball</x:v>
      </x:c>
      <x:c r="D43" s="124" t="str">
        <x:v>L040</x:v>
      </x:c>
      <x:c r="E43" s="134" t="n">
        <x:v>2015</x:v>
      </x:c>
      <x:c r="F43" s="124" t="str">
        <x:v>Nuclear spin content and constraints on exotic spin-dependent couplings</x:v>
      </x:c>
      <x:c r="G43" s="124" t="str">
        <x:v>D F Jackson Kimball</x:v>
      </x:c>
      <x:c r="H43" s="124" t="str">
        <x:v>New Journal of Physics</x:v>
      </x:c>
      <x:c r="I43" s="124" t="str">
        <x:v>Neutron &amp; nucleon</x:v>
      </x:c>
      <x:c r="J43" s="138" t="str">
        <x:v>C1</x:v>
      </x:c>
      <x:c r="K43" s="138" t="str">
        <x:v>secondary</x:v>
      </x:c>
      <x:c r="L43" s="124" t="e">
        <x:f>HYPERLINK("https://doi.org/10.1088/1367-2630/17/7/073008","10.1088/1367-2630/17/7/073008")</x:f>
        <x:v>HYPERLINK is not implemented. linkLocation=https://doi.org/10.1088/1367-2630/17/7/073008, friendlyName=10.1088/1367-2630/17/7/073008</x:v>
      </x:c>
      <x:c r="M43" s="124" t="str"/>
      <x:c r="N43" s="124" t="e">
        <x:f>HYPERLINK("https://arxiv.org/pdf/1407.2671","Open PDF / Source")</x:f>
        <x:v>HYPERLINK is not implemented. linkLocation=https://arxiv.org/pdf/1407.2671, friendlyName=Open PDF / Source</x:v>
      </x:c>
      <x:c r="O43" s="124" t="str"/>
    </x:row>
    <x:row r="44" ht="84" customHeight="1">
      <x:c r="A44" s="127" t="str"/>
      <x:c r="B44" s="127" t="str">
        <x:v>PDF_FIRST_PAGE</x:v>
      </x:c>
      <x:c r="C44" s="127" t="str">
        <x:v>2015 Y. V. Stadnik</x:v>
      </x:c>
      <x:c r="D44" s="127" t="str">
        <x:v>L041</x:v>
      </x:c>
      <x:c r="E44" s="135" t="n">
        <x:v>2015</x:v>
      </x:c>
      <x:c r="F44" s="127" t="str">
        <x:v>Nuclear spin-dependent interactions: searches for WIMP, axion and topological defect dark matter, and tests of fundamental symmetries</x:v>
      </x:c>
      <x:c r="G44" s="127" t="str">
        <x:v>Y. V. Stadnik; V. V. Flambaum</x:v>
      </x:c>
      <x:c r="H44" s="127" t="str">
        <x:v>The European Physical Journal C</x:v>
      </x:c>
      <x:c r="I44" s="127" t="str">
        <x:v>Neutron &amp; nucleon</x:v>
      </x:c>
      <x:c r="J44" s="139" t="str">
        <x:v>C1</x:v>
      </x:c>
      <x:c r="K44" s="139" t="str">
        <x:v>secondary</x:v>
      </x:c>
      <x:c r="L44" s="127" t="e">
        <x:f>HYPERLINK("https://doi.org/10.1140/epjc/s10052-015-3326-8","10.1140/epjc/s10052-015-3326-8")</x:f>
        <x:v>HYPERLINK is not implemented. linkLocation=https://doi.org/10.1140/epjc/s10052-015-3326-8, friendlyName=10.1140/epjc/s10052-015-3326-8</x:v>
      </x:c>
      <x:c r="M44" s="127" t="str"/>
      <x:c r="N44" s="127" t="e">
        <x:f>HYPERLINK("https://link.springer.com/content/pdf/10.1140/epjc/s10052-015-3326-8.pdf","Open PDF / Source")</x:f>
        <x:v>HYPERLINK is not implemented. linkLocation=https://link.springer.com/content/pdf/10.1140/epjc/s10052-015-3326-8.pdf, friendlyName=Open PDF / Source</x:v>
      </x:c>
      <x:c r="O44" s="127" t="str"/>
    </x:row>
    <x:row r="45" ht="84" customHeight="1">
      <x:c r="A45" s="124" t="str"/>
      <x:c r="B45" s="124" t="str">
        <x:v>PDF_FIRST_PAGE</x:v>
      </x:c>
      <x:c r="C45" s="124" t="str">
        <x:v>2015 P.-H. Chu</x:v>
      </x:c>
      <x:c r="D45" s="124" t="str">
        <x:v>L042</x:v>
      </x:c>
      <x:c r="E45" s="134" t="n">
        <x:v>2015</x:v>
      </x:c>
      <x:c r="F45" s="124" t="str">
        <x:v>Search for exotic short-range interactions using paramagnetic insulators</x:v>
      </x:c>
      <x:c r="G45" s="124" t="str">
        <x:v>P.-H. Chu; E. Weisman; C.-Y. Liu; J. C. Long</x:v>
      </x:c>
      <x:c r="H45" s="124" t="str">
        <x:v>Physical Review D</x:v>
      </x:c>
      <x:c r="I45" s="124" t="str">
        <x:v>Solid-state &amp; mechanics</x:v>
      </x:c>
      <x:c r="J45" s="138" t="str">
        <x:v>C1</x:v>
      </x:c>
      <x:c r="K45" s="138" t="str">
        <x:v>secondary</x:v>
      </x:c>
      <x:c r="L45" s="124" t="e">
        <x:f>HYPERLINK("https://doi.org/10.1103/physrevd.91.102006","10.1103/physrevd.91.102006")</x:f>
        <x:v>HYPERLINK is not implemented. linkLocation=https://doi.org/10.1103/physrevd.91.102006, friendlyName=10.1103/physrevd.91.102006</x:v>
      </x:c>
      <x:c r="M45" s="124" t="str"/>
      <x:c r="N45" s="124" t="e">
        <x:f>HYPERLINK("https://arxiv.org/pdf/1504.00552","Open PDF / Source")</x:f>
        <x:v>HYPERLINK is not implemented. linkLocation=https://arxiv.org/pdf/1504.00552, friendlyName=Open PDF / Source</x:v>
      </x:c>
      <x:c r="O45" s="124" t="str"/>
    </x:row>
    <x:row r="46" ht="84" customHeight="1">
      <x:c r="A46" s="127" t="str"/>
      <x:c r="B46" s="127" t="str">
        <x:v>PDF_FIRST_PAGE</x:v>
      </x:c>
      <x:c r="C46" s="127" t="str">
        <x:v>2015 W. A. Terrano</x:v>
      </x:c>
      <x:c r="D46" s="127" t="str">
        <x:v>L043</x:v>
      </x:c>
      <x:c r="E46" s="135" t="n">
        <x:v>2015</x:v>
      </x:c>
      <x:c r="F46" s="127" t="str">
        <x:v>Short-Range, Spin-Dependent Interactions of Electrons: A Probe for Exotic Pseudo-Goldstone Bosons</x:v>
      </x:c>
      <x:c r="G46" s="127" t="str">
        <x:v>W. A. Terrano; E. G. Adelberger; J. G. Lee; B. R. Heckel</x:v>
      </x:c>
      <x:c r="H46" s="127" t="str">
        <x:v>Physical Review Letters</x:v>
      </x:c>
      <x:c r="I46" s="127" t="str">
        <x:v>Neutron &amp; nucleon</x:v>
      </x:c>
      <x:c r="J46" s="139" t="str">
        <x:v>C1</x:v>
      </x:c>
      <x:c r="K46" s="139" t="str">
        <x:v>secondary</x:v>
      </x:c>
      <x:c r="L46" s="127" t="e">
        <x:f>HYPERLINK("https://doi.org/10.1103/physrevlett.115.201801","10.1103/physrevlett.115.201801")</x:f>
        <x:v>HYPERLINK is not implemented. linkLocation=https://doi.org/10.1103/physrevlett.115.201801, friendlyName=10.1103/physrevlett.115.201801</x:v>
      </x:c>
      <x:c r="M46" s="127" t="str"/>
      <x:c r="N46" s="127" t="e">
        <x:f>HYPERLINK("https://export.arxiv.org/pdf/1508.02463","Open PDF / Source")</x:f>
        <x:v>HYPERLINK is not implemented. linkLocation=https://export.arxiv.org/pdf/1508.02463, friendlyName=Open PDF / Source</x:v>
      </x:c>
      <x:c r="O46" s="127" t="str"/>
    </x:row>
    <x:row r="47" ht="84" customHeight="1">
      <x:c r="A47" s="124" t="str"/>
      <x:c r="B47" s="124" t="str">
        <x:v>PDF_FIRST_PAGE</x:v>
      </x:c>
      <x:c r="C47" s="124" t="str">
        <x:v>2016 P.-H. Chu</x:v>
      </x:c>
      <x:c r="D47" s="124" t="str">
        <x:v>L044</x:v>
      </x:c>
      <x:c r="E47" s="134" t="n">
        <x:v>2016</x:v>
      </x:c>
      <x:c r="F47" s="124" t="str">
        <x:v>Search for exotic spin-dependent interactions with a spin-exchange relaxation-free magnetometer</x:v>
      </x:c>
      <x:c r="G47" s="124" t="str">
        <x:v>P.-H. Chu; Y. J. Kim; I. Savukov</x:v>
      </x:c>
      <x:c r="H47" s="124" t="str">
        <x:v>Physical Review D</x:v>
      </x:c>
      <x:c r="I47" s="124" t="str">
        <x:v>Vapor spins &amp; comagnetometry</x:v>
      </x:c>
      <x:c r="J47" s="138" t="str">
        <x:v>C1</x:v>
      </x:c>
      <x:c r="K47" s="138" t="str">
        <x:v>secondary</x:v>
      </x:c>
      <x:c r="L47" s="124" t="e">
        <x:f>HYPERLINK("https://doi.org/10.1103/physrevd.94.036002","10.1103/physrevd.94.036002")</x:f>
        <x:v>HYPERLINK is not implemented. linkLocation=https://doi.org/10.1103/physrevd.94.036002, friendlyName=10.1103/physrevd.94.036002</x:v>
      </x:c>
      <x:c r="M47" s="124" t="str"/>
      <x:c r="N47" s="124" t="e">
        <x:f>HYPERLINK("https://arxiv.org/pdf/1606.01152","Open PDF / Source")</x:f>
        <x:v>HYPERLINK is not implemented. linkLocation=https://arxiv.org/pdf/1606.01152, friendlyName=Open PDF / Source</x:v>
      </x:c>
      <x:c r="O47" s="124" t="str"/>
    </x:row>
    <x:row r="48" ht="84" customHeight="1">
      <x:c r="A48" s="127" t="str"/>
      <x:c r="B48" s="127" t="str">
        <x:v>PDF_FIRST_PAGE</x:v>
      </x:c>
      <x:c r="C48" s="127" t="str">
        <x:v>2016 N. Leefer</x:v>
      </x:c>
      <x:c r="D48" s="127" t="str">
        <x:v>L045</x:v>
      </x:c>
      <x:c r="E48" s="135" t="n">
        <x:v>2016</x:v>
      </x:c>
      <x:c r="F48" s="127" t="str">
        <x:v>Search for the Effect of Massive Bodies on Atomic Spectra and Constraints on Yukawa-Type Interactions of Scalar Particles</x:v>
      </x:c>
      <x:c r="G48" s="127" t="str">
        <x:v>N. Leefer; A. Gerhardus; D. Budker; V. V. Flambaum; Y. V. Stadnik</x:v>
      </x:c>
      <x:c r="H48" s="127" t="str">
        <x:v>Physical Review Letters</x:v>
      </x:c>
      <x:c r="I48" s="127" t="str">
        <x:v>Atomic &amp; molecular</x:v>
      </x:c>
      <x:c r="J48" s="139" t="str">
        <x:v>C1</x:v>
      </x:c>
      <x:c r="K48" s="139" t="str">
        <x:v>secondary</x:v>
      </x:c>
      <x:c r="L48" s="127" t="e">
        <x:f>HYPERLINK("https://doi.org/10.1103/physrevlett.117.271601","10.1103/physrevlett.117.271601")</x:f>
        <x:v>HYPERLINK is not implemented. linkLocation=https://doi.org/10.1103/physrevlett.117.271601, friendlyName=10.1103/physrevlett.117.271601</x:v>
      </x:c>
      <x:c r="M48" s="127" t="str"/>
      <x:c r="N48" s="127" t="e">
        <x:f>HYPERLINK("https://arxiv.org/pdf/1607.04956","Open PDF / Source")</x:f>
        <x:v>HYPERLINK is not implemented. linkLocation=https://arxiv.org/pdf/1607.04956, friendlyName=Open PDF / Source</x:v>
      </x:c>
      <x:c r="O48" s="127" t="str"/>
    </x:row>
    <x:row r="49" ht="84" customHeight="1">
      <x:c r="A49" s="124" t="str"/>
      <x:c r="B49" s="124" t="str">
        <x:v>PDF_FIRST_PAGE</x:v>
      </x:c>
      <x:c r="C49" s="124" t="str">
        <x:v>2017 Filip Ficek</x:v>
      </x:c>
      <x:c r="D49" s="124" t="str">
        <x:v>L046</x:v>
      </x:c>
      <x:c r="E49" s="134" t="n">
        <x:v>2017</x:v>
      </x:c>
      <x:c r="F49" s="124" t="str">
        <x:v>Constraints on exotic spin-dependent interactions between electrons from helium fine-structure spectroscopy</x:v>
      </x:c>
      <x:c r="G49" s="124" t="str">
        <x:v>Filip Ficek; Derek F. Jackson Kimball; Mikhail G. Kozlov; Nathan Leefer; Szymon Pustelny; Dmitry Budker</x:v>
      </x:c>
      <x:c r="H49" s="124" t="str">
        <x:v>Physical Review A</x:v>
      </x:c>
      <x:c r="I49" s="124" t="str">
        <x:v>Atomic &amp; molecular</x:v>
      </x:c>
      <x:c r="J49" s="138" t="str">
        <x:v>C1</x:v>
      </x:c>
      <x:c r="K49" s="138" t="str">
        <x:v>secondary</x:v>
      </x:c>
      <x:c r="L49" s="124" t="e">
        <x:f>HYPERLINK("https://doi.org/10.1103/physreva.95.032505","10.1103/physreva.95.032505")</x:f>
        <x:v>HYPERLINK is not implemented. linkLocation=https://doi.org/10.1103/physreva.95.032505, friendlyName=10.1103/physreva.95.032505</x:v>
      </x:c>
      <x:c r="M49" s="124" t="str"/>
      <x:c r="N49" s="124" t="e">
        <x:f>HYPERLINK("https://arxiv.org/pdf/1608.05779","Open PDF / Source")</x:f>
        <x:v>HYPERLINK is not implemented. linkLocation=https://arxiv.org/pdf/1608.05779, friendlyName=Open PDF / Source</x:v>
      </x:c>
      <x:c r="O49" s="124" t="str"/>
    </x:row>
    <x:row r="50" ht="84" customHeight="1">
      <x:c r="A50" s="127" t="str"/>
      <x:c r="B50" s="127" t="str">
        <x:v>PDF_FIRST_PAGE</x:v>
      </x:c>
      <x:c r="C50" s="127" t="str">
        <x:v>2017 Derek F. Jackson Kimball</x:v>
      </x:c>
      <x:c r="D50" s="127" t="str">
        <x:v>L047</x:v>
      </x:c>
      <x:c r="E50" s="135" t="n">
        <x:v>2017</x:v>
      </x:c>
      <x:c r="F50" s="127" t="str">
        <x:v>Constraints on long-range spin-gravity and monopole-dipole couplings of the proton</x:v>
      </x:c>
      <x:c r="G50" s="127" t="str">
        <x:v>Derek F. Jackson Kimball; Jordan Dudley; Yan Li; Dilan Patel; Julian Valdez</x:v>
      </x:c>
      <x:c r="H50" s="127" t="str">
        <x:v>Physical Review D</x:v>
      </x:c>
      <x:c r="I50" s="127" t="str">
        <x:v>Atomic &amp; molecular</x:v>
      </x:c>
      <x:c r="J50" s="139" t="str">
        <x:v>C1</x:v>
      </x:c>
      <x:c r="K50" s="139" t="str">
        <x:v>secondary</x:v>
      </x:c>
      <x:c r="L50" s="127" t="e">
        <x:f>HYPERLINK("https://doi.org/10.1103/physrevd.96.075004","10.1103/physrevd.96.075004")</x:f>
        <x:v>HYPERLINK is not implemented. linkLocation=https://doi.org/10.1103/physrevd.96.075004, friendlyName=10.1103/physrevd.96.075004</x:v>
      </x:c>
      <x:c r="M50" s="127" t="str"/>
      <x:c r="N50" s="127" t="e">
        <x:f>HYPERLINK("https://arxiv.org/pdf/1707.00745","Open PDF / Source")</x:f>
        <x:v>HYPERLINK is not implemented. linkLocation=https://arxiv.org/pdf/1707.00745, friendlyName=Open PDF / Source</x:v>
      </x:c>
      <x:c r="O50" s="127" t="str"/>
    </x:row>
    <x:row r="51" ht="84" customHeight="1">
      <x:c r="A51" s="124" t="str"/>
      <x:c r="B51" s="124" t="str">
        <x:v>PDF_FIRST_PAGE</x:v>
      </x:c>
      <x:c r="C51" s="124" t="str">
        <x:v>2017 Jeff A. Dror</x:v>
      </x:c>
      <x:c r="D51" s="124" t="str">
        <x:v>L048</x:v>
      </x:c>
      <x:c r="E51" s="134" t="n">
        <x:v>2017</x:v>
      </x:c>
      <x:c r="F51" s="124" t="str">
        <x:v>Dark forces coupled to nonconserved currents</x:v>
      </x:c>
      <x:c r="G51" s="124" t="str">
        <x:v>Jeff A. Dror; Robert Lasenby; Maxim Pospelov</x:v>
      </x:c>
      <x:c r="H51" s="124" t="str">
        <x:v>Physical Review D</x:v>
      </x:c>
      <x:c r="I51" s="124" t="str">
        <x:v>Astro, DM &amp; space</x:v>
      </x:c>
      <x:c r="J51" s="138" t="str">
        <x:v>C1</x:v>
      </x:c>
      <x:c r="K51" s="138" t="str">
        <x:v>secondary</x:v>
      </x:c>
      <x:c r="L51" s="124" t="e">
        <x:f>HYPERLINK("https://doi.org/10.1103/physrevd.96.075036","10.1103/physrevd.96.075036")</x:f>
        <x:v>HYPERLINK is not implemented. linkLocation=https://doi.org/10.1103/physrevd.96.075036, friendlyName=10.1103/physrevd.96.075036</x:v>
      </x:c>
      <x:c r="M51" s="124" t="str"/>
      <x:c r="N51" s="124" t="e">
        <x:f>HYPERLINK("https://arxiv.org/pdf/1707.01503","Open PDF / Source")</x:f>
        <x:v>HYPERLINK is not implemented. linkLocation=https://arxiv.org/pdf/1707.01503, friendlyName=Open PDF / Source</x:v>
      </x:c>
      <x:c r="O51" s="124" t="str"/>
    </x:row>
    <x:row r="52" ht="84" customHeight="1">
      <x:c r="A52" s="127" t="str"/>
      <x:c r="B52" s="127" t="str">
        <x:v>PDF_FIRST_PAGE</x:v>
      </x:c>
      <x:c r="C52" s="127" t="str">
        <x:v>2017 N. Crescini</x:v>
      </x:c>
      <x:c r="D52" s="127" t="str">
        <x:v>L049</x:v>
      </x:c>
      <x:c r="E52" s="135" t="n">
        <x:v>2017</x:v>
      </x:c>
      <x:c r="F52" s="127" t="str">
        <x:v>Improved constraints on monopole–dipole interaction mediated by pseudo-scalar bosons</x:v>
      </x:c>
      <x:c r="G52" s="127" t="str">
        <x:v>N. Crescini; C. Braggio; G. Carugno; P. Falferi; A. Ortolan; G. Ruoso</x:v>
      </x:c>
      <x:c r="H52" s="127" t="str">
        <x:v>Physics Letters B</x:v>
      </x:c>
      <x:c r="I52" s="127" t="str">
        <x:v>Neutron &amp; nucleon</x:v>
      </x:c>
      <x:c r="J52" s="139" t="str">
        <x:v>C1</x:v>
      </x:c>
      <x:c r="K52" s="139" t="str">
        <x:v>secondary</x:v>
      </x:c>
      <x:c r="L52" s="127" t="e">
        <x:f>HYPERLINK("https://doi.org/10.1016/j.physletb.2017.09.019","10.1016/j.physletb.2017.09.019")</x:f>
        <x:v>HYPERLINK is not implemented. linkLocation=https://doi.org/10.1016/j.physletb.2017.09.019, friendlyName=10.1016/j.physletb.2017.09.019</x:v>
      </x:c>
      <x:c r="M52" s="127" t="str"/>
      <x:c r="N52" s="127" t="e">
        <x:f>HYPERLINK("https://arxiv.org/pdf/1705.06044","Open PDF / Source")</x:f>
        <x:v>HYPERLINK is not implemented. linkLocation=https://arxiv.org/pdf/1705.06044, friendlyName=Open PDF / Source</x:v>
      </x:c>
      <x:c r="O52" s="127" t="str"/>
    </x:row>
    <x:row r="53" ht="84" customHeight="1">
      <x:c r="A53" s="124" t="str"/>
      <x:c r="B53" s="124" t="str">
        <x:v>PDF_FIRST_PAGE</x:v>
      </x:c>
      <x:c r="C53" s="124" t="str">
        <x:v>2017 V. A. Dzuba</x:v>
      </x:c>
      <x:c r="D53" s="124" t="str">
        <x:v>L050</x:v>
      </x:c>
      <x:c r="E53" s="134" t="n">
        <x:v>2017</x:v>
      </x:c>
      <x:c r="F53" s="124" t="str">
        <x:v>Probing Low-Mass Vector Bosons with Parity Nonconservation and Nuclear Anapole Moment Measurements in Atoms and Molecules</x:v>
      </x:c>
      <x:c r="G53" s="124" t="str">
        <x:v>V. A. Dzuba; V. V. Flambaum; Y. V. Stadnik</x:v>
      </x:c>
      <x:c r="H53" s="124" t="str">
        <x:v>Physical Review Letters</x:v>
      </x:c>
      <x:c r="I53" s="124" t="str">
        <x:v>Neutron &amp; nucleon</x:v>
      </x:c>
      <x:c r="J53" s="138" t="str">
        <x:v>C1</x:v>
      </x:c>
      <x:c r="K53" s="138" t="str">
        <x:v>secondary</x:v>
      </x:c>
      <x:c r="L53" s="124" t="e">
        <x:f>HYPERLINK("https://doi.org/10.1103/physrevlett.119.223201","10.1103/physrevlett.119.223201")</x:f>
        <x:v>HYPERLINK is not implemented. linkLocation=https://doi.org/10.1103/physrevlett.119.223201, friendlyName=10.1103/physrevlett.119.223201</x:v>
      </x:c>
      <x:c r="M53" s="124" t="str"/>
      <x:c r="N53" s="124" t="e">
        <x:f>HYPERLINK("https://arxiv.org/pdf/1709.10009","Open PDF / Source")</x:f>
        <x:v>HYPERLINK is not implemented. linkLocation=https://arxiv.org/pdf/1709.10009, friendlyName=Open PDF / Source</x:v>
      </x:c>
      <x:c r="O53" s="124" t="str"/>
    </x:row>
    <x:row r="54" ht="84" customHeight="1">
      <x:c r="A54" s="127" t="str"/>
      <x:c r="B54" s="127" t="str">
        <x:v>PDF_FIRST_PAGE</x:v>
      </x:c>
      <x:c r="C54" s="127" t="str">
        <x:v>2017 W. Ji</x:v>
      </x:c>
      <x:c r="D54" s="127" t="str">
        <x:v>L051</x:v>
      </x:c>
      <x:c r="E54" s="135" t="n">
        <x:v>2017</x:v>
      </x:c>
      <x:c r="F54" s="127" t="str">
        <x:v>Searching for new spin-dependent interactions with SmCo 5 spin sources and a spin-exchange-relaxation-free comagnetometer</x:v>
      </x:c>
      <x:c r="G54" s="127" t="str">
        <x:v>W. Ji; C. B. Fu; H. Gao</x:v>
      </x:c>
      <x:c r="H54" s="127" t="str">
        <x:v>Physical Review D</x:v>
      </x:c>
      <x:c r="I54" s="127" t="str">
        <x:v>Vapor spins &amp; comagnetometry</x:v>
      </x:c>
      <x:c r="J54" s="139" t="str">
        <x:v>C1</x:v>
      </x:c>
      <x:c r="K54" s="139" t="str">
        <x:v>secondary</x:v>
      </x:c>
      <x:c r="L54" s="127" t="e">
        <x:f>HYPERLINK("https://doi.org/10.1103/physrevd.95.075014","10.1103/physrevd.95.075014")</x:f>
        <x:v>HYPERLINK is not implemented. linkLocation=https://doi.org/10.1103/physrevd.95.075014, friendlyName=10.1103/physrevd.95.075014</x:v>
      </x:c>
      <x:c r="M54" s="127" t="str"/>
      <x:c r="N54" s="127" t="e">
        <x:f>HYPERLINK("https://arxiv.org/pdf/1610.09483","Open PDF / Source")</x:f>
        <x:v>HYPERLINK is not implemented. linkLocation=https://arxiv.org/pdf/1610.09483, friendlyName=Open PDF / Source</x:v>
      </x:c>
      <x:c r="O54" s="127" t="str"/>
    </x:row>
    <x:row r="55" ht="84" customHeight="1">
      <x:c r="A55" s="124" t="str"/>
      <x:c r="B55" s="124" t="str">
        <x:v>PDF_FIRST_PAGE</x:v>
      </x:c>
      <x:c r="C55" s="124" t="str">
        <x:v>2018 C. Haddock</x:v>
      </x:c>
      <x:c r="D55" s="124" t="str">
        <x:v>L052</x:v>
      </x:c>
      <x:c r="E55" s="134" t="n">
        <x:v>2018</x:v>
      </x:c>
      <x:c r="F55" s="124" t="str">
        <x:v>A search for possible long range spin dependent interactions of the neutron from exotic vector boson exchange</x:v>
      </x:c>
      <x:c r="G55" s="124" t="str">
        <x:v>C. Haddock; J. Amadio; E. Anderson; L. Barrón-Palos; B. Crawford; C. Crawford; D. Esposito; W. Fox; I. Francis; J. Fry; H. Gardiner; A. Holley; K. Korsak; J. Lieffers; S. Magers; M. Maldonado-Velázquez; D. Mayorov; J.S. Nico; T. Okudaira; C. Paudel; S. Santra; M. Sarsour; H.M. Shimizu; W.M. Snow; A. Sprow; K. Steffen; H.E. Swanson; F. Tovesson; J. Vanderwerp; P.A. Yergeau</x:v>
      </x:c>
      <x:c r="H55" s="124" t="str">
        <x:v>Physics Letters B</x:v>
      </x:c>
      <x:c r="I55" s="124" t="str">
        <x:v>Neutron &amp; nucleon</x:v>
      </x:c>
      <x:c r="J55" s="138" t="str">
        <x:v>C1</x:v>
      </x:c>
      <x:c r="K55" s="138" t="str">
        <x:v>secondary</x:v>
      </x:c>
      <x:c r="L55" s="124" t="e">
        <x:f>HYPERLINK("https://doi.org/10.1016/j.physletb.2018.06.066","10.1016/j.physletb.2018.06.066")</x:f>
        <x:v>HYPERLINK is not implemented. linkLocation=https://doi.org/10.1016/j.physletb.2018.06.066, friendlyName=10.1016/j.physletb.2018.06.066</x:v>
      </x:c>
      <x:c r="M55" s="124" t="str"/>
      <x:c r="N55" s="124" t="e">
        <x:f>HYPERLINK("https://arxiv.org/pdf/1802.05907","Open PDF / Source")</x:f>
        <x:v>HYPERLINK is not implemented. linkLocation=https://arxiv.org/pdf/1802.05907, friendlyName=Open PDF / Source</x:v>
      </x:c>
      <x:c r="O55" s="124" t="str"/>
    </x:row>
    <x:row r="56" ht="84" customHeight="1">
      <x:c r="A56" s="127" t="str"/>
      <x:c r="B56" s="127" t="str">
        <x:v>PDF_FIRST_PAGE</x:v>
      </x:c>
      <x:c r="C56" s="127" t="str">
        <x:v>2018 Filip Ficek</x:v>
      </x:c>
      <x:c r="D56" s="127" t="str">
        <x:v>L053</x:v>
      </x:c>
      <x:c r="E56" s="135" t="n">
        <x:v>2018</x:v>
      </x:c>
      <x:c r="F56" s="127" t="str">
        <x:v>Constraints on Exotic Spin-Dependent Interactions Between Matter and Antimatter from Antiprotonic Helium Spectroscopy</x:v>
      </x:c>
      <x:c r="G56" s="127" t="str">
        <x:v>Filip Ficek; Pavel Fadeev; Victor V. Flambaum; Derek F. Jackson Kimball; Mikhail G. Kozlov; Yevgeny V. Stadnik; Dmitry Budker</x:v>
      </x:c>
      <x:c r="H56" s="127" t="str">
        <x:v>Physical Review Letters</x:v>
      </x:c>
      <x:c r="I56" s="127" t="str">
        <x:v>Atomic &amp; molecular</x:v>
      </x:c>
      <x:c r="J56" s="139" t="str">
        <x:v>C1</x:v>
      </x:c>
      <x:c r="K56" s="139" t="str">
        <x:v>secondary</x:v>
      </x:c>
      <x:c r="L56" s="127" t="e">
        <x:f>HYPERLINK("https://doi.org/10.1103/physrevlett.120.183002","10.1103/physrevlett.120.183002")</x:f>
        <x:v>HYPERLINK is not implemented. linkLocation=https://doi.org/10.1103/physrevlett.120.183002, friendlyName=10.1103/physrevlett.120.183002</x:v>
      </x:c>
      <x:c r="M56" s="127" t="str"/>
      <x:c r="N56" s="127" t="e">
        <x:f>HYPERLINK("https://arxiv.org/pdf/1801.00491","Open PDF / Source")</x:f>
        <x:v>HYPERLINK is not implemented. linkLocation=https://arxiv.org/pdf/1801.00491, friendlyName=Open PDF / Source</x:v>
      </x:c>
      <x:c r="O56" s="127" t="str"/>
    </x:row>
    <x:row r="57" ht="84" customHeight="1">
      <x:c r="A57" s="124" t="str"/>
      <x:c r="B57" s="124" t="str">
        <x:v>PDF_FIRST_PAGE</x:v>
      </x:c>
      <x:c r="C57" s="124" t="str">
        <x:v>2018 Xing Rong</x:v>
      </x:c>
      <x:c r="D57" s="124" t="str">
        <x:v>L054</x:v>
      </x:c>
      <x:c r="E57" s="134" t="n">
        <x:v>2018</x:v>
      </x:c>
      <x:c r="F57" s="124" t="str">
        <x:v>Constraints on a Spin-Dependent Exotic Interaction between Electrons with Single Electron Spin Quantum Sensors</x:v>
      </x:c>
      <x:c r="G57" s="124" t="str">
        <x:v>Xing Rong; Man Jiao; Jianpei Geng; Bo Zhang; Tianyu Xie; Fazhan Shi; Chang-Kui Duan; Yi-Fu Cai; Jiangfeng Du</x:v>
      </x:c>
      <x:c r="H57" s="124" t="str">
        <x:v>Physical Review Letters</x:v>
      </x:c>
      <x:c r="I57" s="124" t="str">
        <x:v>Other precision probes</x:v>
      </x:c>
      <x:c r="J57" s="138" t="str">
        <x:v>C1</x:v>
      </x:c>
      <x:c r="K57" s="138" t="str">
        <x:v>secondary</x:v>
      </x:c>
      <x:c r="L57" s="124" t="e">
        <x:f>HYPERLINK("https://doi.org/10.1103/physrevlett.121.080402","10.1103/physrevlett.121.080402")</x:f>
        <x:v>HYPERLINK is not implemented. linkLocation=https://doi.org/10.1103/physrevlett.121.080402, friendlyName=10.1103/physrevlett.121.080402</x:v>
      </x:c>
      <x:c r="M57" s="124" t="str"/>
      <x:c r="N57" s="124" t="e">
        <x:f>HYPERLINK("https://arxiv.org/pdf/1804.07026","Open PDF / Source")</x:f>
        <x:v>HYPERLINK is not implemented. linkLocation=https://arxiv.org/pdf/1804.07026, friendlyName=Open PDF / Source</x:v>
      </x:c>
      <x:c r="O57" s="124" t="str"/>
    </x:row>
    <x:row r="58" ht="84" customHeight="1">
      <x:c r="A58" s="127" t="str"/>
      <x:c r="B58" s="127" t="str">
        <x:v>PDF_FIRST_PAGE</x:v>
      </x:c>
      <x:c r="C58" s="127" t="str">
        <x:v>2018 Young Jin Kim</x:v>
      </x:c>
      <x:c r="D58" s="127" t="str">
        <x:v>L055</x:v>
      </x:c>
      <x:c r="E58" s="135" t="n">
        <x:v>2018</x:v>
      </x:c>
      <x:c r="F58" s="127" t="str">
        <x:v>Experimental Constraint on an Exotic Spin- and Velocity-Dependent Interaction in the Sub-meV Range of Axion Mass with a Spin-Exchange Relaxation-Free Magnetometer</x:v>
      </x:c>
      <x:c r="G58" s="127" t="str">
        <x:v>Young Jin Kim; Ping-Han Chu; Igor Savukov</x:v>
      </x:c>
      <x:c r="H58" s="127" t="str">
        <x:v>Physical Review Letters</x:v>
      </x:c>
      <x:c r="I58" s="127" t="str">
        <x:v>Atomic &amp; molecular</x:v>
      </x:c>
      <x:c r="J58" s="139" t="str">
        <x:v>C1</x:v>
      </x:c>
      <x:c r="K58" s="139" t="str">
        <x:v>secondary</x:v>
      </x:c>
      <x:c r="L58" s="127" t="e">
        <x:f>HYPERLINK("https://doi.org/10.1103/physrevlett.121.091802","10.1103/physrevlett.121.091802")</x:f>
        <x:v>HYPERLINK is not implemented. linkLocation=https://doi.org/10.1103/physrevlett.121.091802, friendlyName=10.1103/physrevlett.121.091802</x:v>
      </x:c>
      <x:c r="M58" s="127" t="str"/>
      <x:c r="N58" s="127" t="e">
        <x:f>HYPERLINK("https://arxiv.org/pdf/1702.02974","Open PDF / Source")</x:f>
        <x:v>HYPERLINK is not implemented. linkLocation=https://arxiv.org/pdf/1702.02974, friendlyName=Open PDF / Source</x:v>
      </x:c>
      <x:c r="O58" s="127" t="str"/>
    </x:row>
    <x:row r="59" ht="84" customHeight="1">
      <x:c r="A59" s="124" t="str"/>
      <x:c r="B59" s="124" t="str">
        <x:v>PDF_FIRST_PAGE</x:v>
      </x:c>
      <x:c r="C59" s="124" t="str">
        <x:v>2018 Y. V. Stadnik</x:v>
      </x:c>
      <x:c r="D59" s="124" t="str">
        <x:v>L056</x:v>
      </x:c>
      <x:c r="E59" s="134" t="n">
        <x:v>2018</x:v>
      </x:c>
      <x:c r="F59" s="124" t="str">
        <x:v>Improved Limits on Axionlike-Particle-Mediated P , T -Violating Interactions between Electrons and Nucleons from Electric Dipole Moments of Atoms and Molecules</x:v>
      </x:c>
      <x:c r="G59" s="124" t="str">
        <x:v>Y. V. Stadnik; V. A. Dzuba; V. V. Flambaum</x:v>
      </x:c>
      <x:c r="H59" s="124" t="str">
        <x:v>Physical Review Letters</x:v>
      </x:c>
      <x:c r="I59" s="124" t="str">
        <x:v>Neutron &amp; nucleon</x:v>
      </x:c>
      <x:c r="J59" s="138" t="str">
        <x:v>C1</x:v>
      </x:c>
      <x:c r="K59" s="138" t="str">
        <x:v>secondary</x:v>
      </x:c>
      <x:c r="L59" s="124" t="e">
        <x:f>HYPERLINK("https://doi.org/10.1103/physrevlett.120.013202","10.1103/physrevlett.120.013202")</x:f>
        <x:v>HYPERLINK is not implemented. linkLocation=https://doi.org/10.1103/physrevlett.120.013202, friendlyName=10.1103/physrevlett.120.013202</x:v>
      </x:c>
      <x:c r="M59" s="124" t="str"/>
      <x:c r="N59" s="124" t="e">
        <x:f>HYPERLINK("https://arxiv.org/pdf/1708.00486","Open PDF / Source")</x:f>
        <x:v>HYPERLINK is not implemented. linkLocation=https://arxiv.org/pdf/1708.00486, friendlyName=Open PDF / Source</x:v>
      </x:c>
      <x:c r="O59" s="124" t="str"/>
    </x:row>
    <x:row r="60" ht="84" customHeight="1">
      <x:c r="A60" s="127" t="str"/>
      <x:c r="B60" s="127" t="str">
        <x:v>PDF_FIRST_PAGE</x:v>
      </x:c>
      <x:c r="C60" s="127" t="str">
        <x:v>2018 Junyi Lee</x:v>
      </x:c>
      <x:c r="D60" s="127" t="str">
        <x:v>L057</x:v>
      </x:c>
      <x:c r="E60" s="135" t="n">
        <x:v>2018</x:v>
      </x:c>
      <x:c r="F60" s="127" t="str">
        <x:v>Improved Limits on Spin-Mass Interactions</x:v>
      </x:c>
      <x:c r="G60" s="127" t="str">
        <x:v>Junyi Lee; Attaallah Almasi; Michael Romalis</x:v>
      </x:c>
      <x:c r="H60" s="127" t="str">
        <x:v>Physical Review Letters</x:v>
      </x:c>
      <x:c r="I60" s="127" t="str">
        <x:v>Atomic &amp; molecular</x:v>
      </x:c>
      <x:c r="J60" s="139" t="str">
        <x:v>C1</x:v>
      </x:c>
      <x:c r="K60" s="139" t="str">
        <x:v>secondary</x:v>
      </x:c>
      <x:c r="L60" s="127" t="e">
        <x:f>HYPERLINK("https://doi.org/10.1103/physrevlett.120.161801","10.1103/physrevlett.120.161801")</x:f>
        <x:v>HYPERLINK is not implemented. linkLocation=https://doi.org/10.1103/physrevlett.120.161801, friendlyName=10.1103/physrevlett.120.161801</x:v>
      </x:c>
      <x:c r="M60" s="127" t="str"/>
      <x:c r="N60" s="127" t="e">
        <x:f>HYPERLINK("https://arxiv.org/pdf/1801.02757","Open PDF / Source")</x:f>
        <x:v>HYPERLINK is not implemented. linkLocation=https://arxiv.org/pdf/1801.02757, friendlyName=Open PDF / Source</x:v>
      </x:c>
      <x:c r="O60" s="127" t="str"/>
    </x:row>
    <x:row r="61" ht="84" customHeight="1">
      <x:c r="A61" s="124" t="str"/>
      <x:c r="B61" s="124" t="str">
        <x:v>PDF_FIRST_PAGE</x:v>
      </x:c>
      <x:c r="C61" s="124" t="str">
        <x:v>2018 Wei Ji</x:v>
      </x:c>
      <x:c r="D61" s="124" t="str">
        <x:v>L058</x:v>
      </x:c>
      <x:c r="E61" s="134" t="n">
        <x:v>2018</x:v>
      </x:c>
      <x:c r="F61" s="124" t="str">
        <x:v>New Experimental Limits on Exotic Spin-Spin-Velocity-Dependent Interactions by Using SmCo 5 Spin Sources</x:v>
      </x:c>
      <x:c r="G61" s="124" t="str">
        <x:v>Wei Ji; Yao Chen; Changbo Fu; Ming Ding; Jiancheng Fang; Zhigang Xiao; Kai Wei; Haiyang Yan</x:v>
      </x:c>
      <x:c r="H61" s="124" t="str">
        <x:v>Physical Review Letters</x:v>
      </x:c>
      <x:c r="I61" s="124" t="str">
        <x:v>Torsion &amp; geophysical</x:v>
      </x:c>
      <x:c r="J61" s="138" t="str">
        <x:v>C1</x:v>
      </x:c>
      <x:c r="K61" s="138" t="str">
        <x:v>secondary</x:v>
      </x:c>
      <x:c r="L61" s="124" t="e">
        <x:f>HYPERLINK("https://doi.org/10.1103/physrevlett.121.261803","10.1103/physrevlett.121.261803")</x:f>
        <x:v>HYPERLINK is not implemented. linkLocation=https://doi.org/10.1103/physrevlett.121.261803, friendlyName=10.1103/physrevlett.121.261803</x:v>
      </x:c>
      <x:c r="M61" s="124" t="str"/>
      <x:c r="N61" s="124" t="e">
        <x:f>HYPERLINK("https://arxiv.org/pdf/1803.02813","Open PDF / Source")</x:f>
        <x:v>HYPERLINK is not implemented. linkLocation=https://arxiv.org/pdf/1803.02813, friendlyName=Open PDF / Source</x:v>
      </x:c>
      <x:c r="O61" s="124" t="str"/>
    </x:row>
    <x:row r="62" ht="84" customHeight="1">
      <x:c r="A62" s="127" t="str"/>
      <x:c r="B62" s="127" t="str">
        <x:v>PDF_FIRST_PAGE</x:v>
      </x:c>
      <x:c r="C62" s="127" t="str">
        <x:v>2018 V. A. Dzuba</x:v>
      </x:c>
      <x:c r="D62" s="127" t="str">
        <x:v>L059</x:v>
      </x:c>
      <x:c r="E62" s="135" t="n">
        <x:v>2018</x:v>
      </x:c>
      <x:c r="F62" s="127" t="str">
        <x:v>New constraints on axion-mediated P , T -violating interaction from electric dipole moments of diamagnetic atoms</x:v>
      </x:c>
      <x:c r="G62" s="127" t="str">
        <x:v>V. A. Dzuba; V. V. Flambaum; I. B. Samsonov; Y. V. Stadnik</x:v>
      </x:c>
      <x:c r="H62" s="127" t="str">
        <x:v>Physical Review D</x:v>
      </x:c>
      <x:c r="I62" s="127" t="str">
        <x:v>Neutron &amp; nucleon</x:v>
      </x:c>
      <x:c r="J62" s="139" t="str">
        <x:v>C1</x:v>
      </x:c>
      <x:c r="K62" s="139" t="str">
        <x:v>secondary</x:v>
      </x:c>
      <x:c r="L62" s="127" t="e">
        <x:f>HYPERLINK("https://doi.org/10.1103/physrevd.98.035048","10.1103/physrevd.98.035048")</x:f>
        <x:v>HYPERLINK is not implemented. linkLocation=https://doi.org/10.1103/physrevd.98.035048, friendlyName=10.1103/physrevd.98.035048</x:v>
      </x:c>
      <x:c r="M62" s="127" t="str"/>
      <x:c r="N62" s="127" t="e">
        <x:f>HYPERLINK("https://arxiv.org/pdf/1805.01234","Open PDF / Source")</x:f>
        <x:v>HYPERLINK is not implemented. linkLocation=https://arxiv.org/pdf/1805.01234, friendlyName=Open PDF / Source</x:v>
      </x:c>
      <x:c r="O62" s="127" t="str"/>
    </x:row>
    <x:row r="63" ht="84" customHeight="1">
      <x:c r="A63" s="124" t="str"/>
      <x:c r="B63" s="124" t="str">
        <x:v>PDF_FIRST_PAGE</x:v>
      </x:c>
      <x:c r="C63" s="124" t="str">
        <x:v>2018 M. S. Safronova</x:v>
      </x:c>
      <x:c r="D63" s="124" t="str">
        <x:v>L060</x:v>
      </x:c>
      <x:c r="E63" s="134" t="n">
        <x:v>2018</x:v>
      </x:c>
      <x:c r="F63" s="124" t="str">
        <x:v>Search for new physics with atoms and molecules</x:v>
      </x:c>
      <x:c r="G63" s="124" t="str">
        <x:v>M. S. Safronova; D. Budker; D. DeMille; Derek F. Jackson Kimball; A. Derevianko; Charles W. Clark</x:v>
      </x:c>
      <x:c r="H63" s="124" t="str">
        <x:v>Reviews of Modern Physics</x:v>
      </x:c>
      <x:c r="I63" s="124" t="str">
        <x:v>Parity &amp; EDM</x:v>
      </x:c>
      <x:c r="J63" s="138" t="str">
        <x:v>C1</x:v>
      </x:c>
      <x:c r="K63" s="138" t="str">
        <x:v>secondary</x:v>
      </x:c>
      <x:c r="L63" s="124" t="e">
        <x:f>HYPERLINK("https://doi.org/10.1103/revmodphys.90.025008","10.1103/revmodphys.90.025008")</x:f>
        <x:v>HYPERLINK is not implemented. linkLocation=https://doi.org/10.1103/revmodphys.90.025008, friendlyName=10.1103/revmodphys.90.025008</x:v>
      </x:c>
      <x:c r="M63" s="124" t="str"/>
      <x:c r="N63" s="124" t="e">
        <x:f>HYPERLINK("https://arxiv.org/pdf/1710.01833","Open PDF / Source")</x:f>
        <x:v>HYPERLINK is not implemented. linkLocation=https://arxiv.org/pdf/1710.01833, friendlyName=Open PDF / Source</x:v>
      </x:c>
      <x:c r="O63" s="124" t="str"/>
    </x:row>
    <x:row r="64" ht="84" customHeight="1">
      <x:c r="A64" s="127" t="str"/>
      <x:c r="B64" s="127" t="str">
        <x:v>PDF_FIRST_PAGE</x:v>
      </x:c>
      <x:c r="C64" s="127" t="str">
        <x:v>2018 Xing Rong</x:v>
      </x:c>
      <x:c r="D64" s="127" t="str">
        <x:v>L061</x:v>
      </x:c>
      <x:c r="E64" s="135" t="n">
        <x:v>2018</x:v>
      </x:c>
      <x:c r="F64" s="127" t="str">
        <x:v>Searching for an exotic spin-dependent interaction with a single electron-spin quantum sensor</x:v>
      </x:c>
      <x:c r="G64" s="127" t="str">
        <x:v>Xing Rong; Mengqi Wang; Jianpei Geng; Xi Qin; Maosen Guo; Man Jiao; Yijin Xie; Pengfei Wang; Pu Huang; Fazhan Shi; Yi-Fu Cai; Chongwen Zou; Jiangfeng Du</x:v>
      </x:c>
      <x:c r="H64" s="127" t="str">
        <x:v>Nature Communications</x:v>
      </x:c>
      <x:c r="I64" s="127" t="str">
        <x:v>Solid-state &amp; mechanics</x:v>
      </x:c>
      <x:c r="J64" s="139" t="str">
        <x:v>C1</x:v>
      </x:c>
      <x:c r="K64" s="139" t="str">
        <x:v>secondary</x:v>
      </x:c>
      <x:c r="L64" s="127" t="e">
        <x:f>HYPERLINK("https://doi.org/10.1038/s41467-018-03152-9","10.1038/s41467-018-03152-9")</x:f>
        <x:v>HYPERLINK is not implemented. linkLocation=https://doi.org/10.1038/s41467-018-03152-9, friendlyName=10.1038/s41467-018-03152-9</x:v>
      </x:c>
      <x:c r="M64" s="127" t="str"/>
      <x:c r="N64" s="127" t="e">
        <x:f>HYPERLINK("https://www.nature.com/articles/s41467-018-03152-9.pdf","Open PDF / Source")</x:f>
        <x:v>HYPERLINK is not implemented. linkLocation=https://www.nature.com/articles/s41467-018-03152-9.pdf, friendlyName=Open PDF / Source</x:v>
      </x:c>
      <x:c r="O64" s="127" t="str"/>
    </x:row>
    <x:row r="65" ht="84" customHeight="1">
      <x:c r="A65" s="124" t="str"/>
      <x:c r="B65" s="124" t="str">
        <x:v>METADATA_CARD</x:v>
      </x:c>
      <x:c r="C65" s="124" t="str">
        <x:v>2018 Fadeev</x:v>
      </x:c>
      <x:c r="D65" s="124" t="str">
        <x:v>L062</x:v>
      </x:c>
      <x:c r="E65" s="134" t="n">
        <x:v>2018</x:v>
      </x:c>
      <x:c r="F65" s="124" t="str">
        <x:v>fadeev neue 2018</x:v>
      </x:c>
      <x:c r="G65" s="124" t="str">
        <x:v>Fadeev</x:v>
      </x:c>
      <x:c r="H65" s="124" t="str"/>
      <x:c r="I65" s="124" t="str">
        <x:v>Other precision probes</x:v>
      </x:c>
      <x:c r="J65" s="138" t="str">
        <x:v>C0</x:v>
      </x:c>
      <x:c r="K65" s="138" t="str">
        <x:v>secondary</x:v>
      </x:c>
      <x:c r="L65" s="124" t="str"/>
      <x:c r="M65" s="124" t="str"/>
      <x:c r="N65" s="124" t="str">
        <x:v>No Public Link</x:v>
      </x:c>
      <x:c r="O65" s="124" t="str"/>
    </x:row>
    <x:row r="66" ht="84" customHeight="1">
      <x:c r="A66" s="127" t="str"/>
      <x:c r="B66" s="127" t="str">
        <x:v>PDF_FIRST_PAGE</x:v>
      </x:c>
      <x:c r="C66" s="127" t="str">
        <x:v>2019 H. Yan</x:v>
      </x:c>
      <x:c r="D66" s="127" t="str">
        <x:v>L063</x:v>
      </x:c>
      <x:c r="E66" s="135" t="n">
        <x:v>2019</x:v>
      </x:c>
      <x:c r="F66" s="127" t="str">
        <x:v>Constraining exotic spin dependent interactions of muons and electrons</x:v>
      </x:c>
      <x:c r="G66" s="127" t="str">
        <x:v>H. Yan; G. A. Sun; S. M. Peng; H. Guo; B. Q. Liu; M. Peng; H. Zheng</x:v>
      </x:c>
      <x:c r="H66" s="127" t="str">
        <x:v>The European Physical Journal C</x:v>
      </x:c>
      <x:c r="I66" s="127" t="str">
        <x:v>Other precision probes</x:v>
      </x:c>
      <x:c r="J66" s="139" t="str">
        <x:v>C1</x:v>
      </x:c>
      <x:c r="K66" s="139" t="str">
        <x:v>secondary</x:v>
      </x:c>
      <x:c r="L66" s="127" t="e">
        <x:f>HYPERLINK("https://doi.org/10.1140/epjc/s10052-019-7442-8","10.1140/epjc/s10052-019-7442-8")</x:f>
        <x:v>HYPERLINK is not implemented. linkLocation=https://doi.org/10.1140/epjc/s10052-019-7442-8, friendlyName=10.1140/epjc/s10052-019-7442-8</x:v>
      </x:c>
      <x:c r="M66" s="127" t="str"/>
      <x:c r="N66" s="127" t="e">
        <x:f>HYPERLINK("https://link.springer.com/content/pdf/10.1140/epjc/s10052-019-7442-8.pdf","Open PDF / Source")</x:f>
        <x:v>HYPERLINK is not implemented. linkLocation=https://link.springer.com/content/pdf/10.1140/epjc/s10052-019-7442-8.pdf, friendlyName=Open PDF / Source</x:v>
      </x:c>
      <x:c r="O66" s="127" t="str"/>
    </x:row>
    <x:row r="67" ht="84" customHeight="1">
      <x:c r="A67" s="124" t="str"/>
      <x:c r="B67" s="124" t="str">
        <x:v>PDF_FIRST_PAGE</x:v>
      </x:c>
      <x:c r="C67" s="124" t="str">
        <x:v>2019 Claudia Frugiuele</x:v>
      </x:c>
      <x:c r="D67" s="124" t="str">
        <x:v>L064</x:v>
      </x:c>
      <x:c r="E67" s="134" t="n">
        <x:v>2019</x:v>
      </x:c>
      <x:c r="F67" s="124" t="str">
        <x:v>Current and future perspectives of positronium and muonium spectroscopy as dark sectors probe</x:v>
      </x:c>
      <x:c r="G67" s="124" t="str">
        <x:v>Claudia Frugiuele; Jesús Pérez-Ríos; Clara Peset</x:v>
      </x:c>
      <x:c r="H67" s="124" t="str">
        <x:v>Physical Review D</x:v>
      </x:c>
      <x:c r="I67" s="124" t="str">
        <x:v>Neutron &amp; nucleon</x:v>
      </x:c>
      <x:c r="J67" s="138" t="str">
        <x:v>C1</x:v>
      </x:c>
      <x:c r="K67" s="138" t="str">
        <x:v>secondary</x:v>
      </x:c>
      <x:c r="L67" s="124" t="e">
        <x:f>HYPERLINK("https://doi.org/10.1103/physrevd.100.015010","10.1103/physrevd.100.015010")</x:f>
        <x:v>HYPERLINK is not implemented. linkLocation=https://doi.org/10.1103/physrevd.100.015010, friendlyName=10.1103/physrevd.100.015010</x:v>
      </x:c>
      <x:c r="M67" s="124" t="str"/>
      <x:c r="N67" s="124" t="e">
        <x:f>HYPERLINK("https://arxiv.org/pdf/1902.08585","Open PDF / Source")</x:f>
        <x:v>HYPERLINK is not implemented. linkLocation=https://arxiv.org/pdf/1902.08585, friendlyName=Open PDF / Source</x:v>
      </x:c>
      <x:c r="O67" s="124" t="str"/>
    </x:row>
    <x:row r="68" ht="84" customHeight="1">
      <x:c r="A68" s="127" t="str"/>
      <x:c r="B68" s="127" t="str">
        <x:v>PDF_FIRST_PAGE</x:v>
      </x:c>
      <x:c r="C68" s="127" t="str">
        <x:v>2019 Young Jin Kim</x:v>
      </x:c>
      <x:c r="D68" s="127" t="str">
        <x:v>L065</x:v>
      </x:c>
      <x:c r="E68" s="135" t="n">
        <x:v>2019</x:v>
      </x:c>
      <x:c r="F68" s="127" t="str">
        <x:v>Experimental limit on an exotic parity-odd spin- and velocity-dependent interaction using an optically polarized vapor</x:v>
      </x:c>
      <x:c r="G68" s="127" t="str">
        <x:v>Young Jin Kim; Ping-Han Chu; Igor Savukov; Shaun Newman</x:v>
      </x:c>
      <x:c r="H68" s="127" t="str">
        <x:v>Nature Communications</x:v>
      </x:c>
      <x:c r="I68" s="127" t="str">
        <x:v>Neutron &amp; nucleon</x:v>
      </x:c>
      <x:c r="J68" s="139" t="str">
        <x:v>C1</x:v>
      </x:c>
      <x:c r="K68" s="139" t="str">
        <x:v>secondary</x:v>
      </x:c>
      <x:c r="L68" s="127" t="e">
        <x:f>HYPERLINK("https://doi.org/10.1038/s41467-019-10169-1","10.1038/s41467-019-10169-1")</x:f>
        <x:v>HYPERLINK is not implemented. linkLocation=https://doi.org/10.1038/s41467-019-10169-1, friendlyName=10.1038/s41467-019-10169-1</x:v>
      </x:c>
      <x:c r="M68" s="127" t="str"/>
      <x:c r="N68" s="127" t="e">
        <x:f>HYPERLINK("https://www.nature.com/articles/s41467-019-10169-1.pdf","Open PDF / Source")</x:f>
        <x:v>HYPERLINK is not implemented. linkLocation=https://www.nature.com/articles/s41467-019-10169-1.pdf, friendlyName=Open PDF / Source</x:v>
      </x:c>
      <x:c r="O68" s="127" t="str"/>
    </x:row>
    <x:row r="69" ht="84" customHeight="1">
      <x:c r="A69" s="124" t="str"/>
      <x:c r="B69" s="124" t="str">
        <x:v>PDF_FIRST_PAGE</x:v>
      </x:c>
      <x:c r="C69" s="124" t="str">
        <x:v>2019 D. Antypas</x:v>
      </x:c>
      <x:c r="D69" s="124" t="str">
        <x:v>L066</x:v>
      </x:c>
      <x:c r="E69" s="134" t="n">
        <x:v>2019</x:v>
      </x:c>
      <x:c r="F69" s="124" t="str">
        <x:v>Isotopic variation of parity violation in atomic ytterbium</x:v>
      </x:c>
      <x:c r="G69" s="124" t="str">
        <x:v>D. Antypas; A. Fabricant; J. E. Stalnaker; K. Tsigutkin; V. V. Flambaum; D. Budker</x:v>
      </x:c>
      <x:c r="H69" s="124" t="str">
        <x:v>Nature Physics</x:v>
      </x:c>
      <x:c r="I69" s="124" t="str">
        <x:v>Neutron &amp; nucleon</x:v>
      </x:c>
      <x:c r="J69" s="138" t="str">
        <x:v>C1</x:v>
      </x:c>
      <x:c r="K69" s="138" t="str">
        <x:v>secondary</x:v>
      </x:c>
      <x:c r="L69" s="124" t="e">
        <x:f>HYPERLINK("https://doi.org/10.1038/s41567-018-0312-8","10.1038/s41567-018-0312-8")</x:f>
        <x:v>HYPERLINK is not implemented. linkLocation=https://doi.org/10.1038/s41567-018-0312-8, friendlyName=10.1038/s41567-018-0312-8</x:v>
      </x:c>
      <x:c r="M69" s="124" t="str"/>
      <x:c r="N69" s="124" t="e">
        <x:f>HYPERLINK("https://arxiv.org/pdf/1804.05747","Open PDF / Source")</x:f>
        <x:v>HYPERLINK is not implemented. linkLocation=https://arxiv.org/pdf/1804.05747, friendlyName=Open PDF / Source</x:v>
      </x:c>
      <x:c r="O69" s="124" t="str"/>
    </x:row>
    <x:row r="70" ht="84" customHeight="1">
      <x:c r="A70" s="127" t="str"/>
      <x:c r="B70" s="127" t="str">
        <x:v>PDF_FIRST_PAGE</x:v>
      </x:c>
      <x:c r="C70" s="127" t="str">
        <x:v>2019 Pavel Fadeev</x:v>
      </x:c>
      <x:c r="D70" s="127" t="str">
        <x:v>L067</x:v>
      </x:c>
      <x:c r="E70" s="135" t="n">
        <x:v>2019</x:v>
      </x:c>
      <x:c r="F70" s="127" t="str">
        <x:v>Revisiting spin-dependent forces mediated by new bosons: Potentials in the coordinate-space representation for macroscopic- and atomic-scale experiments</x:v>
      </x:c>
      <x:c r="G70" s="127" t="str">
        <x:v>Pavel Fadeev; Yevgeny V. Stadnik; Filip Ficek; Mikhail G. Kozlov; Victor V. Flambaum; Dmitry Budker</x:v>
      </x:c>
      <x:c r="H70" s="127" t="str"/>
      <x:c r="I70" s="127" t="str">
        <x:v>Theory &amp; operators</x:v>
      </x:c>
      <x:c r="J70" s="139" t="str">
        <x:v>C3</x:v>
      </x:c>
      <x:c r="K70" s="139" t="str">
        <x:v>green_check</x:v>
      </x:c>
      <x:c r="L70" s="127" t="e">
        <x:f>HYPERLINK("https://doi.org/10.1103/physreva.99.022113","10.1103/physreva.99.022113")</x:f>
        <x:v>HYPERLINK is not implemented. linkLocation=https://doi.org/10.1103/physreva.99.022113, friendlyName=10.1103/physreva.99.022113</x:v>
      </x:c>
      <x:c r="M70" s="127" t="e">
        <x:f>HYPERLINK("https://arxiv.org/abs/1810.10364","1810.10364")</x:f>
        <x:v>HYPERLINK is not implemented. linkLocation=https://arxiv.org/abs/1810.10364, friendlyName=1810.10364</x:v>
      </x:c>
      <x:c r="N70" s="127" t="e">
        <x:f>HYPERLINK("https://arxiv.org/abs/1810.10364","Open PDF / Source")</x:f>
        <x:v>HYPERLINK is not implemented. linkLocation=https://arxiv.org/abs/1810.10364, friendlyName=Open PDF / Source</x:v>
      </x:c>
      <x:c r="O70" s="127" t="str">
        <x:v>v2_high_recall/reading_records/R02_fadeev_2019_revisiting.md</x:v>
      </x:c>
    </x:row>
    <x:row r="71" ht="84" customHeight="1">
      <x:c r="A71" s="124" t="str"/>
      <x:c r="B71" s="124" t="str">
        <x:v>METADATA_CARD</x:v>
      </x:c>
      <x:c r="C71" s="124" t="str">
        <x:v>2020 V. V. Voronin</x:v>
      </x:c>
      <x:c r="D71" s="124" t="str">
        <x:v>L068</x:v>
      </x:c>
      <x:c r="E71" s="134" t="n">
        <x:v>2020</x:v>
      </x:c>
      <x:c r="F71" s="124" t="str">
        <x:v>Constraint on a New Short-Range Spin—Orbit Interaction from Neutron Diffraction Data for a Noncentrosymmetric Crystal</x:v>
      </x:c>
      <x:c r="G71" s="124" t="str">
        <x:v>V. V. Voronin; V. V. Fedorov; D. D. Shapiro</x:v>
      </x:c>
      <x:c r="H71" s="124" t="str">
        <x:v>JETP Letters</x:v>
      </x:c>
      <x:c r="I71" s="124" t="str">
        <x:v>Neutron &amp; nucleon</x:v>
      </x:c>
      <x:c r="J71" s="138" t="str">
        <x:v>C1</x:v>
      </x:c>
      <x:c r="K71" s="138" t="str">
        <x:v>secondary</x:v>
      </x:c>
      <x:c r="L71" s="124" t="e">
        <x:f>HYPERLINK("https://doi.org/10.1134/s0021364020220142","10.1134/s0021364020220142")</x:f>
        <x:v>HYPERLINK is not implemented. linkLocation=https://doi.org/10.1134/s0021364020220142, friendlyName=10.1134/s0021364020220142</x:v>
      </x:c>
      <x:c r="M71" s="124" t="str"/>
      <x:c r="N71" s="124" t="e">
        <x:f>HYPERLINK("https://doi.org/10.1134/s0021364020220142","Open PDF / Source")</x:f>
        <x:v>HYPERLINK is not implemented. linkLocation=https://doi.org/10.1134/s0021364020220142, friendlyName=Open PDF / Source</x:v>
      </x:c>
      <x:c r="O71" s="124" t="str"/>
    </x:row>
    <x:row r="72" ht="84" customHeight="1">
      <x:c r="A72" s="127" t="str"/>
      <x:c r="B72" s="127" t="str">
        <x:v>PDF_FIRST_PAGE</x:v>
      </x:c>
      <x:c r="C72" s="127" t="str">
        <x:v>2020 Jihua Ding</x:v>
      </x:c>
      <x:c r="D72" s="127" t="str">
        <x:v>L069</x:v>
      </x:c>
      <x:c r="E72" s="135" t="n">
        <x:v>2020</x:v>
      </x:c>
      <x:c r="F72" s="127" t="str">
        <x:v>Constraints on the Velocity and Spin Dependent Exotic Interaction at the Micrometer Range</x:v>
      </x:c>
      <x:c r="G72" s="127" t="str">
        <x:v>Jihua Ding; Jianbo Wang; Xue Zhou; Yu Liu; Ke Sun; Adekunle Olusola Adeyeye; Huixing Fu; Xiaofang Ren; Sumin Li; Pengshun Luo; Zhongwen Lan; Shanqing Yang; Jun Luo</x:v>
      </x:c>
      <x:c r="H72" s="127" t="str">
        <x:v>Physical Review Letters</x:v>
      </x:c>
      <x:c r="I72" s="127" t="str">
        <x:v>Solid-state &amp; mechanics</x:v>
      </x:c>
      <x:c r="J72" s="139" t="str">
        <x:v>C1</x:v>
      </x:c>
      <x:c r="K72" s="139" t="str">
        <x:v>secondary</x:v>
      </x:c>
      <x:c r="L72" s="127" t="e">
        <x:f>HYPERLINK("https://doi.org/10.1103/physrevlett.124.161801","10.1103/physrevlett.124.161801")</x:f>
        <x:v>HYPERLINK is not implemented. linkLocation=https://doi.org/10.1103/physrevlett.124.161801, friendlyName=10.1103/physrevlett.124.161801</x:v>
      </x:c>
      <x:c r="M72" s="127" t="str"/>
      <x:c r="N72" s="127" t="e">
        <x:f>HYPERLINK("https://harvest.aps.org/v2/journals/articles/10.1103/PhysRevLett.124.161801/fulltext","Open PDF / Source")</x:f>
        <x:v>HYPERLINK is not implemented. linkLocation=https://harvest.aps.org/v2/journals/articles/10.1103/PhysRevLett.124.161801/fulltext, friendlyName=Open PDF / Source</x:v>
      </x:c>
      <x:c r="O72" s="127" t="str"/>
    </x:row>
    <x:row r="73" ht="84" customHeight="1">
      <x:c r="A73" s="124" t="str"/>
      <x:c r="B73" s="124" t="str">
        <x:v>PDF_FIRST_PAGE</x:v>
      </x:c>
      <x:c r="C73" s="124" t="str">
        <x:v>2020 Ulrich D. Jentschura</x:v>
      </x:c>
      <x:c r="D73" s="124" t="str">
        <x:v>L070</x:v>
      </x:c>
      <x:c r="E73" s="134" t="n">
        <x:v>2020</x:v>
      </x:c>
      <x:c r="F73" s="124" t="str">
        <x:v>Fifth Force and Hyperfine Splitting in Bound Systems</x:v>
      </x:c>
      <x:c r="G73" s="124" t="str">
        <x:v>Ulrich D. Jentschura</x:v>
      </x:c>
      <x:c r="H73" s="124" t="str"/>
      <x:c r="I73" s="124" t="str">
        <x:v>Theory &amp; operators</x:v>
      </x:c>
      <x:c r="J73" s="138" t="str">
        <x:v>C3</x:v>
      </x:c>
      <x:c r="K73" s="138" t="str">
        <x:v>green_check</x:v>
      </x:c>
      <x:c r="L73" s="124" t="e">
        <x:f>HYPERLINK("https://doi.org/10.1103/physreva.101.062503","10.1103/physreva.101.062503")</x:f>
        <x:v>HYPERLINK is not implemented. linkLocation=https://doi.org/10.1103/physreva.101.062503, friendlyName=10.1103/physreva.101.062503</x:v>
      </x:c>
      <x:c r="M73" s="124" t="e">
        <x:f>HYPERLINK("https://arxiv.org/abs/2003.07207","2003.07207")</x:f>
        <x:v>HYPERLINK is not implemented. linkLocation=https://arxiv.org/abs/2003.07207, friendlyName=2003.07207</x:v>
      </x:c>
      <x:c r="N73" s="124" t="e">
        <x:f>HYPERLINK("https://arxiv.org/abs/2003.07207","Open PDF / Source")</x:f>
        <x:v>HYPERLINK is not implemented. linkLocation=https://arxiv.org/abs/2003.07207, friendlyName=Open PDF / Source</x:v>
      </x:c>
      <x:c r="O73" s="124" t="str">
        <x:v>v2_high_recall/reading_records/R13_jentschura_2020.md</x:v>
      </x:c>
    </x:row>
    <x:row r="74" ht="84" customHeight="1">
      <x:c r="A74" s="127" t="str"/>
      <x:c r="B74" s="127" t="str">
        <x:v>PDF_FIRST_PAGE</x:v>
      </x:c>
      <x:c r="C74" s="127" t="str">
        <x:v>2020 Attaallah Almasi</x:v>
      </x:c>
      <x:c r="D74" s="127" t="str">
        <x:v>L071</x:v>
      </x:c>
      <x:c r="E74" s="135" t="n">
        <x:v>2020</x:v>
      </x:c>
      <x:c r="F74" s="127" t="str">
        <x:v>New Limits on Anomalous Spin-Spin Interactions</x:v>
      </x:c>
      <x:c r="G74" s="127" t="str">
        <x:v>Attaallah Almasi; Junyi Lee; Himawan Winarto; Marc Smiciklas; Michael V. Romalis</x:v>
      </x:c>
      <x:c r="H74" s="127" t="str">
        <x:v>Physical Review Letters</x:v>
      </x:c>
      <x:c r="I74" s="127" t="str">
        <x:v>Neutron &amp; nucleon</x:v>
      </x:c>
      <x:c r="J74" s="139" t="str">
        <x:v>C1</x:v>
      </x:c>
      <x:c r="K74" s="139" t="str">
        <x:v>secondary</x:v>
      </x:c>
      <x:c r="L74" s="127" t="e">
        <x:f>HYPERLINK("https://doi.org/10.1103/physrevlett.125.201802","10.1103/physrevlett.125.201802")</x:f>
        <x:v>HYPERLINK is not implemented. linkLocation=https://doi.org/10.1103/physrevlett.125.201802, friendlyName=10.1103/physrevlett.125.201802</x:v>
      </x:c>
      <x:c r="M74" s="127" t="str"/>
      <x:c r="N74" s="127" t="e">
        <x:f>HYPERLINK("https://arxiv.org/pdf/1811.03614","Open PDF / Source")</x:f>
        <x:v>HYPERLINK is not implemented. linkLocation=https://arxiv.org/pdf/1811.03614, friendlyName=Open PDF / Source</x:v>
      </x:c>
      <x:c r="O74" s="127" t="str"/>
    </x:row>
    <x:row r="75" ht="84" customHeight="1">
      <x:c r="A75" s="124" t="str"/>
      <x:c r="B75" s="124" t="str">
        <x:v>METADATA_CARD</x:v>
      </x:c>
      <x:c r="C75" s="124" t="str">
        <x:v>2020 Lei Chen</x:v>
      </x:c>
      <x:c r="D75" s="124" t="str">
        <x:v>L072</x:v>
      </x:c>
      <x:c r="E75" s="134" t="n">
        <x:v>2020</x:v>
      </x:c>
      <x:c r="F75" s="124" t="str">
        <x:v>Optomechanical probe of an axial-vector mediated interaction in the quantum regime</x:v>
      </x:c>
      <x:c r="G75" s="124" t="str">
        <x:v>Lei Chen; Jian Liu; Ka Di Zhu</x:v>
      </x:c>
      <x:c r="H75" s="124" t="str">
        <x:v>Optics Express</x:v>
      </x:c>
      <x:c r="I75" s="124" t="str">
        <x:v>Solid-state &amp; mechanics</x:v>
      </x:c>
      <x:c r="J75" s="138" t="str">
        <x:v>C1</x:v>
      </x:c>
      <x:c r="K75" s="138" t="str">
        <x:v>secondary</x:v>
      </x:c>
      <x:c r="L75" s="124" t="e">
        <x:f>HYPERLINK("https://doi.org/10.1364/oe.386514","10.1364/oe.386514")</x:f>
        <x:v>HYPERLINK is not implemented. linkLocation=https://doi.org/10.1364/oe.386514, friendlyName=10.1364/oe.386514</x:v>
      </x:c>
      <x:c r="M75" s="124" t="str"/>
      <x:c r="N75" s="124" t="e">
        <x:f>HYPERLINK("https://doi.org/10.1364/oe.386514","Open PDF / Source")</x:f>
        <x:v>HYPERLINK is not implemented. linkLocation=https://doi.org/10.1364/oe.386514, friendlyName=Open PDF / Source</x:v>
      </x:c>
      <x:c r="O75" s="124" t="str"/>
    </x:row>
    <x:row r="76" ht="84" customHeight="1">
      <x:c r="A76" s="127" t="str"/>
      <x:c r="B76" s="127" t="str">
        <x:v>PDF_FIRST_PAGE</x:v>
      </x:c>
      <x:c r="C76" s="127" t="str">
        <x:v>2020 S. Alighanbari</x:v>
      </x:c>
      <x:c r="D76" s="127" t="str">
        <x:v>L073</x:v>
      </x:c>
      <x:c r="E76" s="135" t="n">
        <x:v>2020</x:v>
      </x:c>
      <x:c r="F76" s="127" t="str">
        <x:v>Precise test of quantum electrodynamics and determination of fundamental constants with HD+ ions</x:v>
      </x:c>
      <x:c r="G76" s="127" t="str">
        <x:v>S. Alighanbari; G. S. Giri; F. L. Constantin; V. I. Korobov; S. Schiller</x:v>
      </x:c>
      <x:c r="H76" s="127" t="str"/>
      <x:c r="I76" s="127" t="str">
        <x:v>HD+ molecular</x:v>
      </x:c>
      <x:c r="J76" s="139" t="str">
        <x:v>C3</x:v>
      </x:c>
      <x:c r="K76" s="139" t="str">
        <x:v>green_check</x:v>
      </x:c>
      <x:c r="L76" s="127" t="e">
        <x:f>HYPERLINK("https://doi.org/10.1038/s41586-020-2261-5","10.1038/s41586-020-2261-5")</x:f>
        <x:v>HYPERLINK is not implemented. linkLocation=https://doi.org/10.1038/s41586-020-2261-5, friendlyName=10.1038/s41586-020-2261-5</x:v>
      </x:c>
      <x:c r="M76" s="127" t="str"/>
      <x:c r="N76" s="127" t="e">
        <x:f>HYPERLINK("https://doi.org/10.1038/s41586-020-2261-5","Open PDF / Source")</x:f>
        <x:v>HYPERLINK is not implemented. linkLocation=https://doi.org/10.1038/s41586-020-2261-5, friendlyName=Open PDF / Source</x:v>
      </x:c>
      <x:c r="O76" s="127" t="str">
        <x:v>v2_high_recall/reading_records/R08_alighanbari_2020.md</x:v>
      </x:c>
    </x:row>
    <x:row r="77" ht="84" customHeight="1">
      <x:c r="A77" s="124" t="str"/>
      <x:c r="B77" s="124" t="str">
        <x:v>PDF_FIRST_PAGE</x:v>
      </x:c>
      <x:c r="C77" s="124" t="str">
        <x:v>2020 S. R. Parnell</x:v>
      </x:c>
      <x:c r="D77" s="124" t="str">
        <x:v>L074</x:v>
      </x:c>
      <x:c r="E77" s="134" t="n">
        <x:v>2020</x:v>
      </x:c>
      <x:c r="F77" s="124" t="str">
        <x:v>Search for exotic spin-dependent couplings of the neutron with matter using spin-echo based neutron interferometry</x:v>
      </x:c>
      <x:c r="G77" s="124" t="str">
        <x:v>S. R. Parnell; A. A. van Well; J. Plomp; R. M. Dalgliesh; N.-J. Steinke; J. F. K. Cooper; N. Geerits; K. E. Steffen; W. M. Snow; V. O. de Haan</x:v>
      </x:c>
      <x:c r="H77" s="124" t="str">
        <x:v>Physical Review D</x:v>
      </x:c>
      <x:c r="I77" s="124" t="str">
        <x:v>Neutron &amp; nucleon</x:v>
      </x:c>
      <x:c r="J77" s="138" t="str">
        <x:v>C1</x:v>
      </x:c>
      <x:c r="K77" s="138" t="str">
        <x:v>secondary</x:v>
      </x:c>
      <x:c r="L77" s="124" t="e">
        <x:f>HYPERLINK("https://doi.org/10.1103/physrevd.101.122002","10.1103/physrevd.101.122002")</x:f>
        <x:v>HYPERLINK is not implemented. linkLocation=https://doi.org/10.1103/physrevd.101.122002, friendlyName=10.1103/physrevd.101.122002</x:v>
      </x:c>
      <x:c r="M77" s="124" t="str"/>
      <x:c r="N77" s="124" t="e">
        <x:f>HYPERLINK("https://harvest.aps.org/v2/journals/articles/10.1103/PhysRevD.101.122002/fulltext","Open PDF / Source")</x:f>
        <x:v>HYPERLINK is not implemented. linkLocation=https://harvest.aps.org/v2/journals/articles/10.1103/PhysRevD.101.122002/fulltext, friendlyName=Open PDF / Source</x:v>
      </x:c>
      <x:c r="O77" s="124" t="str"/>
    </x:row>
    <x:row r="78" ht="84" customHeight="1">
      <x:c r="A78" s="127" t="str"/>
      <x:c r="B78" s="127" t="str">
        <x:v>PDF_FIRST_PAGE</x:v>
      </x:c>
      <x:c r="C78" s="127" t="str">
        <x:v>2020 Man Jiao</x:v>
      </x:c>
      <x:c r="D78" s="127" t="str">
        <x:v>L075</x:v>
      </x:c>
      <x:c r="E78" s="135" t="n">
        <x:v>2020</x:v>
      </x:c>
      <x:c r="F78" s="127" t="str">
        <x:v>Searching for an exotic spin-dependent interaction between electrons at the nanometer scale with molecular rulers</x:v>
      </x:c>
      <x:c r="G78" s="127" t="str">
        <x:v>Man Jiao; Xing Rong; Hang Liang; Yi-Fu Cai; Jiangfeng Du</x:v>
      </x:c>
      <x:c r="H78" s="127" t="str">
        <x:v>Physical Review D</x:v>
      </x:c>
      <x:c r="I78" s="127" t="str">
        <x:v>Atomic &amp; molecular</x:v>
      </x:c>
      <x:c r="J78" s="139" t="str">
        <x:v>C1</x:v>
      </x:c>
      <x:c r="K78" s="139" t="str">
        <x:v>secondary</x:v>
      </x:c>
      <x:c r="L78" s="127" t="e">
        <x:f>HYPERLINK("https://doi.org/10.1103/physrevd.101.115011","10.1103/physrevd.101.115011")</x:f>
        <x:v>HYPERLINK is not implemented. linkLocation=https://doi.org/10.1103/physrevd.101.115011, friendlyName=10.1103/physrevd.101.115011</x:v>
      </x:c>
      <x:c r="M78" s="127" t="str"/>
      <x:c r="N78" s="127" t="e">
        <x:f>HYPERLINK("https://arxiv.org/pdf/1904.09428","Open PDF / Source")</x:f>
        <x:v>HYPERLINK is not implemented. linkLocation=https://arxiv.org/pdf/1904.09428, friendlyName=Open PDF / Source</x:v>
      </x:c>
      <x:c r="O78" s="127" t="str"/>
    </x:row>
    <x:row r="79" ht="84" customHeight="1">
      <x:c r="A79" s="124" t="str"/>
      <x:c r="B79" s="124" t="str">
        <x:v>PDF_FIRST_PAGE</x:v>
      </x:c>
      <x:c r="C79" s="124" t="str">
        <x:v>2020 Rong</x:v>
      </x:c>
      <x:c r="D79" s="124" t="str">
        <x:v>L076</x:v>
      </x:c>
      <x:c r="E79" s="134" t="n">
        <x:v>2020</x:v>
      </x:c>
      <x:c r="F79" s="124" t="str">
        <x:v>rong observation 2020</x:v>
      </x:c>
      <x:c r="G79" s="124" t="str">
        <x:v>Rong; Jiao; Guo; Wu; Du</x:v>
      </x:c>
      <x:c r="H79" s="124" t="str"/>
      <x:c r="I79" s="124" t="str">
        <x:v>Solid-state &amp; mechanics</x:v>
      </x:c>
      <x:c r="J79" s="138" t="str">
        <x:v>C1_identifier</x:v>
      </x:c>
      <x:c r="K79" s="138" t="str">
        <x:v>secondary</x:v>
      </x:c>
      <x:c r="L79" s="124" t="e">
        <x:f>HYPERLINK("https://doi.org/10.48550/arxiv.2010.15667","10.48550/arxiv.2010.15667")</x:f>
        <x:v>HYPERLINK is not implemented. linkLocation=https://doi.org/10.48550/arxiv.2010.15667, friendlyName=10.48550/arxiv.2010.15667</x:v>
      </x:c>
      <x:c r="M79" s="124" t="e">
        <x:f>HYPERLINK("https://arxiv.org/abs/2010.15667","2010.15667")</x:f>
        <x:v>HYPERLINK is not implemented. linkLocation=https://arxiv.org/abs/2010.15667, friendlyName=2010.15667</x:v>
      </x:c>
      <x:c r="N79" s="124" t="e">
        <x:f>HYPERLINK("https://export.arxiv.org/pdf/2010.15667","Open PDF / Source")</x:f>
        <x:v>HYPERLINK is not implemented. linkLocation=https://export.arxiv.org/pdf/2010.15667, friendlyName=Open PDF / Source</x:v>
      </x:c>
      <x:c r="O79" s="124" t="str"/>
    </x:row>
    <x:row r="80" ht="84" customHeight="1">
      <x:c r="A80" s="127" t="str"/>
      <x:c r="B80" s="127" t="str">
        <x:v>PDF_FIRST_PAGE</x:v>
      </x:c>
      <x:c r="C80" s="127" t="str">
        <x:v>2021 Man Jiao</x:v>
      </x:c>
      <x:c r="D80" s="127" t="str">
        <x:v>L077</x:v>
      </x:c>
      <x:c r="E80" s="135" t="n">
        <x:v>2021</x:v>
      </x:c>
      <x:c r="F80" s="127" t="str">
        <x:v>Experimental Constraint on an Exotic Parity-Odd Spin- and Velocity-Dependent Interaction with a Single Electron Spin Quantum Sensor</x:v>
      </x:c>
      <x:c r="G80" s="127" t="str">
        <x:v>Man Jiao; Maosen Guo; Xing Rong; Yi-Fu Cai; Jiangfeng Du</x:v>
      </x:c>
      <x:c r="H80" s="127" t="str">
        <x:v>Physical Review Letters</x:v>
      </x:c>
      <x:c r="I80" s="127" t="str">
        <x:v>Vapor spins &amp; comagnetometry</x:v>
      </x:c>
      <x:c r="J80" s="139" t="str">
        <x:v>C1</x:v>
      </x:c>
      <x:c r="K80" s="139" t="str">
        <x:v>secondary</x:v>
      </x:c>
      <x:c r="L80" s="127" t="e">
        <x:f>HYPERLINK("https://doi.org/10.1103/physrevlett.127.010501","10.1103/physrevlett.127.010501")</x:f>
        <x:v>HYPERLINK is not implemented. linkLocation=https://doi.org/10.1103/physrevlett.127.010501, friendlyName=10.1103/physrevlett.127.010501</x:v>
      </x:c>
      <x:c r="M80" s="127" t="str"/>
      <x:c r="N80" s="127" t="e">
        <x:f>HYPERLINK("https://arxiv.org/pdf/2009.09257","Open PDF / Source")</x:f>
        <x:v>HYPERLINK is not implemented. linkLocation=https://arxiv.org/pdf/2009.09257, friendlyName=Open PDF / Source</x:v>
      </x:c>
      <x:c r="O80" s="127" t="str"/>
    </x:row>
    <x:row r="81" ht="84" customHeight="1">
      <x:c r="A81" s="124" t="str"/>
      <x:c r="B81" s="124" t="str">
        <x:v>PDF_FIRST_PAGE</x:v>
      </x:c>
      <x:c r="C81" s="124" t="str">
        <x:v>2021 Pavel Fadeev</x:v>
      </x:c>
      <x:c r="D81" s="124" t="str">
        <x:v>L078</x:v>
      </x:c>
      <x:c r="E81" s="134" t="n">
        <x:v>2021</x:v>
      </x:c>
      <x:c r="F81" s="124" t="str">
        <x:v>Ferromagnetic gyroscopes for tests of fundamental physics</x:v>
      </x:c>
      <x:c r="G81" s="124" t="str">
        <x:v>Pavel Fadeev; Chris Timberlake; Tao Wang; Andrea Vinante; Y B Band; Dmitry Budker; Alexander O Sushkov; Hendrik Ulbricht; Derek F Jackson Kimball</x:v>
      </x:c>
      <x:c r="H81" s="124" t="str">
        <x:v>Quantum Science and Technology</x:v>
      </x:c>
      <x:c r="I81" s="124" t="str">
        <x:v>Atomic &amp; molecular</x:v>
      </x:c>
      <x:c r="J81" s="138" t="str">
        <x:v>C1</x:v>
      </x:c>
      <x:c r="K81" s="138" t="str">
        <x:v>secondary</x:v>
      </x:c>
      <x:c r="L81" s="124" t="e">
        <x:f>HYPERLINK("https://doi.org/10.1088/2058-9565/abd892","10.1088/2058-9565/abd892")</x:f>
        <x:v>HYPERLINK is not implemented. linkLocation=https://doi.org/10.1088/2058-9565/abd892, friendlyName=10.1088/2058-9565/abd892</x:v>
      </x:c>
      <x:c r="M81" s="124" t="str"/>
      <x:c r="N81" s="124" t="e">
        <x:f>HYPERLINK("https://arxiv.org/pdf/2010.08731","Open PDF / Source")</x:f>
        <x:v>HYPERLINK is not implemented. linkLocation=https://arxiv.org/pdf/2010.08731, friendlyName=Open PDF / Source</x:v>
      </x:c>
      <x:c r="O81" s="124" t="str"/>
    </x:row>
    <x:row r="82" ht="84" customHeight="1">
      <x:c r="A82" s="127" t="str"/>
      <x:c r="B82" s="127" t="str">
        <x:v>PDF_FIRST_PAGE</x:v>
      </x:c>
      <x:c r="C82" s="127" t="str">
        <x:v>2021 Min Jiang</x:v>
      </x:c>
      <x:c r="D82" s="127" t="str">
        <x:v>L079</x:v>
      </x:c>
      <x:c r="E82" s="135" t="n">
        <x:v>2021</x:v>
      </x:c>
      <x:c r="F82" s="127" t="str">
        <x:v>Search for axion-like dark matter with spin-based amplifiers</x:v>
      </x:c>
      <x:c r="G82" s="127" t="str">
        <x:v>Min Jiang; Haowen Su; Antoine Garcon; Xinhua Peng; Dmitry Budker</x:v>
      </x:c>
      <x:c r="H82" s="127" t="str">
        <x:v>Nature Physics</x:v>
      </x:c>
      <x:c r="I82" s="127" t="str">
        <x:v>Atomic &amp; molecular</x:v>
      </x:c>
      <x:c r="J82" s="139" t="str">
        <x:v>C1</x:v>
      </x:c>
      <x:c r="K82" s="139" t="str">
        <x:v>secondary</x:v>
      </x:c>
      <x:c r="L82" s="127" t="e">
        <x:f>HYPERLINK("https://doi.org/10.1038/s41567-021-01392-z","10.1038/s41567-021-01392-z")</x:f>
        <x:v>HYPERLINK is not implemented. linkLocation=https://doi.org/10.1038/s41567-021-01392-z, friendlyName=10.1038/s41567-021-01392-z</x:v>
      </x:c>
      <x:c r="M82" s="127" t="str"/>
      <x:c r="N82" s="127" t="e">
        <x:f>HYPERLINK("https://arxiv.org/pdf/2102.01448","Open PDF / Source")</x:f>
        <x:v>HYPERLINK is not implemented. linkLocation=https://arxiv.org/pdf/2102.01448, friendlyName=Open PDF / Source</x:v>
      </x:c>
      <x:c r="O82" s="127" t="str"/>
    </x:row>
    <x:row r="83" ht="84" customHeight="1">
      <x:c r="A83" s="124" t="str"/>
      <x:c r="B83" s="124" t="str">
        <x:v>PDF_FIRST_PAGE</x:v>
      </x:c>
      <x:c r="C83" s="124" t="str">
        <x:v>2021 Haowen Su</x:v>
      </x:c>
      <x:c r="D83" s="124" t="str">
        <x:v>L080</x:v>
      </x:c>
      <x:c r="E83" s="134" t="n">
        <x:v>2021</x:v>
      </x:c>
      <x:c r="F83" s="124" t="str">
        <x:v>Search for exotic spin-dependent interactions with a spin-based amplifier</x:v>
      </x:c>
      <x:c r="G83" s="124" t="str">
        <x:v>Haowen Su; Yuanhong Wang; Min Jiang; Wei Ji; Pavel Fadeev; Dongdong Hu; Xinhua Peng; Dmitry Budker</x:v>
      </x:c>
      <x:c r="H83" s="124" t="str">
        <x:v>Science Advances</x:v>
      </x:c>
      <x:c r="I83" s="124" t="str">
        <x:v>Neutron &amp; nucleon</x:v>
      </x:c>
      <x:c r="J83" s="138" t="str">
        <x:v>C1</x:v>
      </x:c>
      <x:c r="K83" s="138" t="str">
        <x:v>secondary</x:v>
      </x:c>
      <x:c r="L83" s="124" t="e">
        <x:f>HYPERLINK("https://doi.org/10.1126/sciadv.abi9535","10.1126/sciadv.abi9535")</x:f>
        <x:v>HYPERLINK is not implemented. linkLocation=https://doi.org/10.1126/sciadv.abi9535, friendlyName=10.1126/sciadv.abi9535</x:v>
      </x:c>
      <x:c r="M83" s="124" t="str"/>
      <x:c r="N83" s="124" t="e">
        <x:f>HYPERLINK("https://export.arxiv.org/pdf/2103.15282","Open PDF / Source")</x:f>
        <x:v>HYPERLINK is not implemented. linkLocation=https://export.arxiv.org/pdf/2103.15282, friendlyName=Open PDF / Source</x:v>
      </x:c>
      <x:c r="O83" s="124" t="str"/>
    </x:row>
    <x:row r="84" ht="84" customHeight="1">
      <x:c r="A84" s="127" t="str"/>
      <x:c r="B84" s="127" t="str">
        <x:v>PDF_FIRST_PAGE</x:v>
      </x:c>
      <x:c r="C84" s="127" t="str">
        <x:v>2021 Andrea Vinante</x:v>
      </x:c>
      <x:c r="D84" s="127" t="str">
        <x:v>L081</x:v>
      </x:c>
      <x:c r="E84" s="135" t="n">
        <x:v>2021</x:v>
      </x:c>
      <x:c r="F84" s="127" t="str">
        <x:v>Surpassing the Energy Resolution Limit with Ferromagnetic Torque Sensors</x:v>
      </x:c>
      <x:c r="G84" s="127" t="str">
        <x:v>Andrea Vinante; Chris Timberlake; Dmitry Budker; Derek F. Jackson Kimball; Alexander O. Sushkov; Hendrik Ulbricht</x:v>
      </x:c>
      <x:c r="H84" s="127" t="str">
        <x:v>Physical Review Letters</x:v>
      </x:c>
      <x:c r="I84" s="127" t="str">
        <x:v>Other precision probes</x:v>
      </x:c>
      <x:c r="J84" s="139" t="str">
        <x:v>C1</x:v>
      </x:c>
      <x:c r="K84" s="139" t="str">
        <x:v>secondary</x:v>
      </x:c>
      <x:c r="L84" s="127" t="e">
        <x:f>HYPERLINK("https://doi.org/10.1103/physrevlett.127.070801","10.1103/physrevlett.127.070801")</x:f>
        <x:v>HYPERLINK is not implemented. linkLocation=https://doi.org/10.1103/physrevlett.127.070801, friendlyName=10.1103/physrevlett.127.070801</x:v>
      </x:c>
      <x:c r="M84" s="127" t="str"/>
      <x:c r="N84" s="127" t="e">
        <x:f>HYPERLINK("https://arxiv.org/pdf/2104.14425","Open PDF / Source")</x:f>
        <x:v>HYPERLINK is not implemented. linkLocation=https://arxiv.org/pdf/2104.14425, friendlyName=Open PDF / Source</x:v>
      </x:c>
      <x:c r="O84" s="127" t="str"/>
    </x:row>
    <x:row r="85" ht="84" customHeight="1">
      <x:c r="A85" s="124" t="str"/>
      <x:c r="B85" s="124" t="str">
        <x:v>PDF_FIRST_PAGE</x:v>
      </x:c>
      <x:c r="C85" s="124" t="str">
        <x:v>2021 Lei Chen</x:v>
      </x:c>
      <x:c r="D85" s="124" t="str">
        <x:v>L082</x:v>
      </x:c>
      <x:c r="E85" s="134" t="n">
        <x:v>2021</x:v>
      </x:c>
      <x:c r="F85" s="124" t="str">
        <x:v>Ultrasensitive optomechanical detection of an axion-mediated force based on a sharp peak emerging in probe absorption spectrum</x:v>
      </x:c>
      <x:c r="G85" s="124" t="str">
        <x:v>Lei Chen; Jian Liu; Kadi Zhu</x:v>
      </x:c>
      <x:c r="H85" s="124" t="str">
        <x:v>Optics Communications</x:v>
      </x:c>
      <x:c r="I85" s="124" t="str">
        <x:v>Solid-state &amp; mechanics</x:v>
      </x:c>
      <x:c r="J85" s="138" t="str">
        <x:v>C1</x:v>
      </x:c>
      <x:c r="K85" s="138" t="str">
        <x:v>secondary</x:v>
      </x:c>
      <x:c r="L85" s="124" t="e">
        <x:f>HYPERLINK("https://doi.org/10.1016/j.optcom.2020.126422","10.1016/j.optcom.2020.126422")</x:f>
        <x:v>HYPERLINK is not implemented. linkLocation=https://doi.org/10.1016/j.optcom.2020.126422, friendlyName=10.1016/j.optcom.2020.126422</x:v>
      </x:c>
      <x:c r="M85" s="124" t="str"/>
      <x:c r="N85" s="124" t="e">
        <x:f>HYPERLINK("https://export.arxiv.org/pdf/1911.12499","Open PDF / Source")</x:f>
        <x:v>HYPERLINK is not implemented. linkLocation=https://export.arxiv.org/pdf/1911.12499, friendlyName=Open PDF / Source</x:v>
      </x:c>
      <x:c r="O85" s="124" t="str"/>
    </x:row>
    <x:row r="86" ht="84" customHeight="1">
      <x:c r="A86" s="127" t="str"/>
      <x:c r="B86" s="127" t="str">
        <x:v>PDF_FIRST_PAGE</x:v>
      </x:c>
      <x:c r="C86" s="127" t="str">
        <x:v>2022 Kai Wei</x:v>
      </x:c>
      <x:c r="D86" s="127" t="str">
        <x:v>L083</x:v>
      </x:c>
      <x:c r="E86" s="135" t="n">
        <x:v>2022</x:v>
      </x:c>
      <x:c r="F86" s="127" t="str">
        <x:v>Constraints on exotic spin-velocity-dependent interactions</x:v>
      </x:c>
      <x:c r="G86" s="127" t="str">
        <x:v>Kai Wei; Wei Ji; Changbo Fu; Arne Wickenbrock; Victor V. Flambaum; Jiancheng Fang; Dmitry Budker</x:v>
      </x:c>
      <x:c r="H86" s="127" t="str">
        <x:v>Nature Communications</x:v>
      </x:c>
      <x:c r="I86" s="127" t="str">
        <x:v>Atomic &amp; molecular</x:v>
      </x:c>
      <x:c r="J86" s="139" t="str">
        <x:v>C1</x:v>
      </x:c>
      <x:c r="K86" s="139" t="str">
        <x:v>secondary</x:v>
      </x:c>
      <x:c r="L86" s="127" t="e">
        <x:f>HYPERLINK("https://doi.org/10.1038/s41467-022-34924-z","10.1038/s41467-022-34924-z")</x:f>
        <x:v>HYPERLINK is not implemented. linkLocation=https://doi.org/10.1038/s41467-022-34924-z, friendlyName=10.1038/s41467-022-34924-z</x:v>
      </x:c>
      <x:c r="M86" s="127" t="str"/>
      <x:c r="N86" s="127" t="e">
        <x:f>HYPERLINK("https://www.nature.com/articles/s41467-022-34924-z.pdf","Open PDF / Source")</x:f>
        <x:v>HYPERLINK is not implemented. linkLocation=https://www.nature.com/articles/s41467-022-34924-z.pdf, friendlyName=Open PDF / Source</x:v>
      </x:c>
      <x:c r="O86" s="127" t="str"/>
    </x:row>
    <x:row r="87" ht="84" customHeight="1">
      <x:c r="A87" s="124" t="str"/>
      <x:c r="B87" s="124" t="str">
        <x:v>PDF_FIRST_PAGE</x:v>
      </x:c>
      <x:c r="C87" s="124" t="str">
        <x:v>2022 K. Y. Wu</x:v>
      </x:c>
      <x:c r="D87" s="124" t="str">
        <x:v>L084</x:v>
      </x:c>
      <x:c r="E87" s="134" t="n">
        <x:v>2022</x:v>
      </x:c>
      <x:c r="F87" s="124" t="str">
        <x:v>Experimental Limits on Exotic Spin and Velocity Dependent Interactions Using Rotationally Modulated Source Masses and an Atomic-Magnetometer Array</x:v>
      </x:c>
      <x:c r="G87" s="124" t="str">
        <x:v>K. Y. Wu; S. Y. Chen; G. A. Sun; S. M. Peng; M. Peng; H. Yan</x:v>
      </x:c>
      <x:c r="H87" s="124" t="str">
        <x:v>Physical Review Letters</x:v>
      </x:c>
      <x:c r="I87" s="124" t="str">
        <x:v>Atomic &amp; molecular</x:v>
      </x:c>
      <x:c r="J87" s="138" t="str">
        <x:v>C1</x:v>
      </x:c>
      <x:c r="K87" s="138" t="str">
        <x:v>secondary</x:v>
      </x:c>
      <x:c r="L87" s="124" t="e">
        <x:f>HYPERLINK("https://doi.org/10.1103/physrevlett.129.051802","10.1103/physrevlett.129.051802")</x:f>
        <x:v>HYPERLINK is not implemented. linkLocation=https://doi.org/10.1103/physrevlett.129.051802, friendlyName=10.1103/physrevlett.129.051802</x:v>
      </x:c>
      <x:c r="M87" s="124" t="str"/>
      <x:c r="N87" s="124" t="e">
        <x:f>HYPERLINK("https://arxiv.org/pdf/2109.13847v1","Open PDF / Source")</x:f>
        <x:v>HYPERLINK is not implemented. linkLocation=https://arxiv.org/pdf/2109.13847v1, friendlyName=Open PDF / Source</x:v>
      </x:c>
      <x:c r="O87" s="124" t="str"/>
    </x:row>
    <x:row r="88" ht="84" customHeight="1">
      <x:c r="A88" s="127" t="str"/>
      <x:c r="B88" s="127" t="str">
        <x:v>PDF_FIRST_PAGE</x:v>
      </x:c>
      <x:c r="C88" s="127" t="str">
        <x:v>2022 Mohammad Haidar</x:v>
      </x:c>
      <x:c r="D88" s="127" t="str">
        <x:v>L085</x:v>
      </x:c>
      <x:c r="E88" s="135" t="n">
        <x:v>2022</x:v>
      </x:c>
      <x:c r="F88" s="127" t="str">
        <x:v>Higher-order corrections to the spin-orbit and spin-spin tensor interactions in HD+</x:v>
      </x:c>
      <x:c r="G88" s="127" t="str">
        <x:v>Mohammad Haidar; Vladimir I. Korobov; Laurent Hilico; Jean-Philippe Karr</x:v>
      </x:c>
      <x:c r="H88" s="127" t="str"/>
      <x:c r="I88" s="127" t="str">
        <x:v>HD+ molecular</x:v>
      </x:c>
      <x:c r="J88" s="139" t="str">
        <x:v>C3</x:v>
      </x:c>
      <x:c r="K88" s="139" t="str">
        <x:v>green_check</x:v>
      </x:c>
      <x:c r="L88" s="127" t="e">
        <x:f>HYPERLINK("https://doi.org/10.1103/physreva.106.042815","10.1103/physreva.106.042815")</x:f>
        <x:v>HYPERLINK is not implemented. linkLocation=https://doi.org/10.1103/physreva.106.042815, friendlyName=10.1103/physreva.106.042815</x:v>
      </x:c>
      <x:c r="M88" s="127" t="e">
        <x:f>HYPERLINK("https://arxiv.org/abs/2209.02382","2209.02382")</x:f>
        <x:v>HYPERLINK is not implemented. linkLocation=https://arxiv.org/abs/2209.02382, friendlyName=2209.02382</x:v>
      </x:c>
      <x:c r="N88" s="127" t="e">
        <x:f>HYPERLINK("https://arxiv.org/abs/2209.02382","Open PDF / Source")</x:f>
        <x:v>HYPERLINK is not implemented. linkLocation=https://arxiv.org/abs/2209.02382, friendlyName=Open PDF / Source</x:v>
      </x:c>
      <x:c r="O88" s="127" t="str">
        <x:v>v2_high_recall/reading_records/R09_haidar_2022.md</x:v>
      </x:c>
    </x:row>
    <x:row r="89" ht="84" customHeight="1">
      <x:c r="A89" s="124" t="str"/>
      <x:c r="B89" s="124" t="str">
        <x:v>PDF_FIRST_PAGE</x:v>
      </x:c>
      <x:c r="C89" s="124" t="str">
        <x:v>2022 Hang Liang</x:v>
      </x:c>
      <x:c r="D89" s="124" t="str">
        <x:v>L086</x:v>
      </x:c>
      <x:c r="E89" s="134" t="n">
        <x:v>2022</x:v>
      </x:c>
      <x:c r="F89" s="124" t="str">
        <x:v>New constraints on exotic spin-dependent interactions with an ensemble-NV-diamond magnetometer</x:v>
      </x:c>
      <x:c r="G89" s="124" t="str">
        <x:v>Hang Liang; Man Jiao; Yue Huang; Pei Yu; Xiangyu Ye; Ya Wang; Yijin Xie; Yi-Fu Cai; Xing Rong; Jiangfeng Du</x:v>
      </x:c>
      <x:c r="H89" s="124" t="str">
        <x:v>National Science Review</x:v>
      </x:c>
      <x:c r="I89" s="124" t="str">
        <x:v>Vapor spins &amp; comagnetometry</x:v>
      </x:c>
      <x:c r="J89" s="138" t="str">
        <x:v>C1</x:v>
      </x:c>
      <x:c r="K89" s="138" t="str">
        <x:v>secondary</x:v>
      </x:c>
      <x:c r="L89" s="124" t="e">
        <x:f>HYPERLINK("https://doi.org/10.1093/nsr/nwac262","10.1093/nsr/nwac262")</x:f>
        <x:v>HYPERLINK is not implemented. linkLocation=https://doi.org/10.1093/nsr/nwac262, friendlyName=10.1093/nsr/nwac262</x:v>
      </x:c>
      <x:c r="M89" s="124" t="str"/>
      <x:c r="N89" s="124" t="e">
        <x:f>HYPERLINK("https://inspirehep.net/files/98c3f2c5474ee43e1cb5fbab4c6eb38f","Open PDF / Source")</x:f>
        <x:v>HYPERLINK is not implemented. linkLocation=https://inspirehep.net/files/98c3f2c5474ee43e1cb5fbab4c6eb38f, friendlyName=Open PDF / Source</x:v>
      </x:c>
      <x:c r="O89" s="124" t="str"/>
    </x:row>
    <x:row r="90" ht="84" customHeight="1">
      <x:c r="A90" s="127" t="str"/>
      <x:c r="B90" s="127" t="str">
        <x:v>PDF_FIRST_PAGE</x:v>
      </x:c>
      <x:c r="C90" s="127" t="str">
        <x:v>2022 P.-H. Chu</x:v>
      </x:c>
      <x:c r="D90" s="127" t="str">
        <x:v>L087</x:v>
      </x:c>
      <x:c r="E90" s="135" t="n">
        <x:v>2022</x:v>
      </x:c>
      <x:c r="F90" s="127" t="str">
        <x:v>Proposal for the search for new spin interactions at the micrometer scale using diamond quantum sensors</x:v>
      </x:c>
      <x:c r="G90" s="127" t="str">
        <x:v>P.-H. Chu; N. Ristoff; J. Smits; N. Jackson; Y. J. Kim; I. Savukov; V. M. Acosta</x:v>
      </x:c>
      <x:c r="H90" s="127" t="str">
        <x:v>Physical Review Research</x:v>
      </x:c>
      <x:c r="I90" s="127" t="str">
        <x:v>Solid-state &amp; mechanics</x:v>
      </x:c>
      <x:c r="J90" s="139" t="str">
        <x:v>C1</x:v>
      </x:c>
      <x:c r="K90" s="139" t="str">
        <x:v>secondary</x:v>
      </x:c>
      <x:c r="L90" s="127" t="e">
        <x:f>HYPERLINK("https://doi.org/10.1103/physrevresearch.4.023162","10.1103/physrevresearch.4.023162")</x:f>
        <x:v>HYPERLINK is not implemented. linkLocation=https://doi.org/10.1103/physrevresearch.4.023162, friendlyName=10.1103/physrevresearch.4.023162</x:v>
      </x:c>
      <x:c r="M90" s="127" t="str"/>
      <x:c r="N90" s="127" t="e">
        <x:f>HYPERLINK("https://arxiv.org/pdf/2112.14882","Open PDF / Source")</x:f>
        <x:v>HYPERLINK is not implemented. linkLocation=https://arxiv.org/pdf/2112.14882, friendlyName=Open PDF / Source</x:v>
      </x:c>
      <x:c r="O90" s="127" t="str"/>
    </x:row>
    <x:row r="91" ht="84" customHeight="1">
      <x:c r="A91" s="124" t="str"/>
      <x:c r="B91" s="124" t="str">
        <x:v>PDF_FIRST_PAGE</x:v>
      </x:c>
      <x:c r="C91" s="124" t="str">
        <x:v>2022 Pavel Fadeev</x:v>
      </x:c>
      <x:c r="D91" s="124" t="str">
        <x:v>L088</x:v>
      </x:c>
      <x:c r="E91" s="134" t="n">
        <x:v>2022</x:v>
      </x:c>
      <x:c r="F91" s="124" t="str">
        <x:v>Pseudovector and pseudoscalar spin-dependent interactions in atoms</x:v>
      </x:c>
      <x:c r="G91" s="124" t="str">
        <x:v>Pavel Fadeev; Filip Ficek; Mikhail G. Kozlov; Dmitry Budker; Victor V. Flambaum</x:v>
      </x:c>
      <x:c r="H91" s="124" t="str"/>
      <x:c r="I91" s="124" t="str">
        <x:v>Atomic &amp; molecular</x:v>
      </x:c>
      <x:c r="J91" s="138" t="str">
        <x:v>C3</x:v>
      </x:c>
      <x:c r="K91" s="138" t="str">
        <x:v>green_check</x:v>
      </x:c>
      <x:c r="L91" s="124" t="e">
        <x:f>HYPERLINK("https://doi.org/10.1103/physreva.105.022812","10.1103/physreva.105.022812")</x:f>
        <x:v>HYPERLINK is not implemented. linkLocation=https://doi.org/10.1103/physreva.105.022812, friendlyName=10.1103/physreva.105.022812</x:v>
      </x:c>
      <x:c r="M91" s="124" t="e">
        <x:f>HYPERLINK("https://arxiv.org/abs/1911.05816","1911.05816")</x:f>
        <x:v>HYPERLINK is not implemented. linkLocation=https://arxiv.org/abs/1911.05816, friendlyName=1911.05816</x:v>
      </x:c>
      <x:c r="N91" s="124" t="e">
        <x:f>HYPERLINK("https://arxiv.org/abs/1911.05816","Open PDF / Source")</x:f>
        <x:v>HYPERLINK is not implemented. linkLocation=https://arxiv.org/abs/1911.05816, friendlyName=Open PDF / Source</x:v>
      </x:c>
      <x:c r="O91" s="124" t="str">
        <x:v>v2_high_recall/reading_records/R03_fadeev_2022_atoms.md</x:v>
      </x:c>
    </x:row>
    <x:row r="92" ht="84" customHeight="1">
      <x:c r="A92" s="127" t="str"/>
      <x:c r="B92" s="127" t="str">
        <x:v>PDF_FIRST_PAGE</x:v>
      </x:c>
      <x:c r="C92" s="127" t="str">
        <x:v>2022 Y.-K. Feng</x:v>
      </x:c>
      <x:c r="D92" s="127" t="str">
        <x:v>L089</x:v>
      </x:c>
      <x:c r="E92" s="135" t="n">
        <x:v>2022</x:v>
      </x:c>
      <x:c r="F92" s="127" t="str">
        <x:v>Search for Monopole-Dipole Interactions at the Submillimeter Range with a Xe 129 − Xe 131 − Rb Comagnetometer</x:v>
      </x:c>
      <x:c r="G92" s="127" t="str">
        <x:v>Y.-K. Feng; D.-H. Ning; S.-B. Zhang; Z.-T. Lu; D. Sheng</x:v>
      </x:c>
      <x:c r="H92" s="127" t="str">
        <x:v>Physical Review Letters</x:v>
      </x:c>
      <x:c r="I92" s="127" t="str">
        <x:v>Atomic &amp; molecular</x:v>
      </x:c>
      <x:c r="J92" s="139" t="str">
        <x:v>C1</x:v>
      </x:c>
      <x:c r="K92" s="139" t="str">
        <x:v>secondary</x:v>
      </x:c>
      <x:c r="L92" s="127" t="e">
        <x:f>HYPERLINK("https://doi.org/10.1103/physrevlett.128.231803","10.1103/physrevlett.128.231803")</x:f>
        <x:v>HYPERLINK is not implemented. linkLocation=https://doi.org/10.1103/physrevlett.128.231803, friendlyName=10.1103/physrevlett.128.231803</x:v>
      </x:c>
      <x:c r="M92" s="127" t="str"/>
      <x:c r="N92" s="127" t="e">
        <x:f>HYPERLINK("https://arxiv.org/pdf/2205.13237","Open PDF / Source")</x:f>
        <x:v>HYPERLINK is not implemented. linkLocation=https://arxiv.org/pdf/2205.13237, friendlyName=Open PDF / Source</x:v>
      </x:c>
      <x:c r="O92" s="127" t="str"/>
    </x:row>
    <x:row r="93" ht="84" customHeight="1">
      <x:c r="A93" s="124" t="str"/>
      <x:c r="B93" s="124" t="str">
        <x:v>PDF_FIRST_PAGE</x:v>
      </x:c>
      <x:c r="C93" s="124" t="str">
        <x:v>2023 Longhao Wu</x:v>
      </x:c>
      <x:c r="D93" s="124" t="str">
        <x:v>L090</x:v>
      </x:c>
      <x:c r="E93" s="134" t="n">
        <x:v>2023</x:v>
      </x:c>
      <x:c r="F93" s="124" t="str">
        <x:v>A spin-mechanical quantum chip for exploring exotic interactions</x:v>
      </x:c>
      <x:c r="G93" s="124" t="str">
        <x:v>Longhao Wu; Shaochun Lin; Xi Kong; Mengqi Wang; Jingwei Zhou; Chang-Kui Duan; Pu Huang; Liang Zhang; Jiangfeng Du</x:v>
      </x:c>
      <x:c r="H93" s="124" t="str">
        <x:v>Proceedings of the National Academy of Sciences</x:v>
      </x:c>
      <x:c r="I93" s="124" t="str">
        <x:v>Solid-state &amp; mechanics</x:v>
      </x:c>
      <x:c r="J93" s="138" t="str">
        <x:v>C1</x:v>
      </x:c>
      <x:c r="K93" s="138" t="str">
        <x:v>secondary</x:v>
      </x:c>
      <x:c r="L93" s="124" t="e">
        <x:f>HYPERLINK("https://doi.org/10.1073/pnas.2302145120","10.1073/pnas.2302145120")</x:f>
        <x:v>HYPERLINK is not implemented. linkLocation=https://doi.org/10.1073/pnas.2302145120, friendlyName=10.1073/pnas.2302145120</x:v>
      </x:c>
      <x:c r="M93" s="124" t="str"/>
      <x:c r="N93" s="124" t="e">
        <x:f>HYPERLINK("https://europepmc.org/api/getPdf?pmcid=PMC10483600","Open PDF / Source")</x:f>
        <x:v>HYPERLINK is not implemented. linkLocation=https://europepmc.org/api/getPdf?pmcid=PMC10483600, friendlyName=Open PDF / Source</x:v>
      </x:c>
      <x:c r="O93" s="124" t="str"/>
    </x:row>
    <x:row r="94" ht="84" customHeight="1">
      <x:c r="A94" s="127" t="str"/>
      <x:c r="B94" s="127" t="str">
        <x:v>PDF_FIRST_PAGE</x:v>
      </x:c>
      <x:c r="C94" s="127" t="str">
        <x:v>2023 Tanya S. Roussy</x:v>
      </x:c>
      <x:c r="D94" s="127" t="str">
        <x:v>L091</x:v>
      </x:c>
      <x:c r="E94" s="135" t="n">
        <x:v>2023</x:v>
      </x:c>
      <x:c r="F94" s="127" t="str">
        <x:v>An improved bound on the electron’s electric dipole moment</x:v>
      </x:c>
      <x:c r="G94" s="127" t="str">
        <x:v>Tanya S. Roussy; Luke Caldwell; Trevor Wright; William B. Cairncross; Yuval Shagam; Kia Boon Ng; Noah Schlossberger; Sun Yool Park; Anzhou Wang; Jun Ye; Eric A. Cornell</x:v>
      </x:c>
      <x:c r="H94" s="127" t="str">
        <x:v>Science</x:v>
      </x:c>
      <x:c r="I94" s="127" t="str">
        <x:v>Vapor spins &amp; comagnetometry</x:v>
      </x:c>
      <x:c r="J94" s="139" t="str">
        <x:v>C1</x:v>
      </x:c>
      <x:c r="K94" s="139" t="str">
        <x:v>secondary</x:v>
      </x:c>
      <x:c r="L94" s="127" t="e">
        <x:f>HYPERLINK("https://doi.org/10.1126/science.adg4084","10.1126/science.adg4084")</x:f>
        <x:v>HYPERLINK is not implemented. linkLocation=https://doi.org/10.1126/science.adg4084, friendlyName=10.1126/science.adg4084</x:v>
      </x:c>
      <x:c r="M94" s="127" t="str"/>
      <x:c r="N94" s="127" t="e">
        <x:f>HYPERLINK("https://export.arxiv.org/pdf/2212.11841","Open PDF / Source")</x:f>
        <x:v>HYPERLINK is not implemented. linkLocation=https://export.arxiv.org/pdf/2212.11841, friendlyName=Open PDF / Source</x:v>
      </x:c>
      <x:c r="O94" s="127" t="str"/>
    </x:row>
    <x:row r="95" ht="84" customHeight="1">
      <x:c r="A95" s="124" t="str"/>
      <x:c r="B95" s="124" t="str">
        <x:v>PDF_FIRST_PAGE</x:v>
      </x:c>
      <x:c r="C95" s="124" t="str">
        <x:v>2023 Jean-Philippe Karr</x:v>
      </x:c>
      <x:c r="D95" s="124" t="str">
        <x:v>L092</x:v>
      </x:c>
      <x:c r="E95" s="134" t="n">
        <x:v>2023</x:v>
      </x:c>
      <x:c r="F95" s="124" t="str">
        <x:v>Extraction of spin-averaged rovibrational transition frequencies in HD+ for the determination of fundamental constants</x:v>
      </x:c>
      <x:c r="G95" s="124" t="str">
        <x:v>Jean-Philippe Karr; Jeroen C. J. Koelemeij</x:v>
      </x:c>
      <x:c r="H95" s="124" t="str"/>
      <x:c r="I95" s="124" t="str">
        <x:v>HD+ molecular</x:v>
      </x:c>
      <x:c r="J95" s="138" t="str">
        <x:v>C3</x:v>
      </x:c>
      <x:c r="K95" s="138" t="str">
        <x:v>green_check</x:v>
      </x:c>
      <x:c r="L95" s="124" t="e">
        <x:f>HYPERLINK("https://doi.org/10.1080/00268976.2023.2216081","10.1080/00268976.2023.2216081")</x:f>
        <x:v>HYPERLINK is not implemented. linkLocation=https://doi.org/10.1080/00268976.2023.2216081, friendlyName=10.1080/00268976.2023.2216081</x:v>
      </x:c>
      <x:c r="M95" s="124" t="e">
        <x:f>HYPERLINK("https://arxiv.org/abs/2212.11683","2212.11683")</x:f>
        <x:v>HYPERLINK is not implemented. linkLocation=https://arxiv.org/abs/2212.11683, friendlyName=2212.11683</x:v>
      </x:c>
      <x:c r="N95" s="124" t="e">
        <x:f>HYPERLINK("https://arxiv.org/abs/2212.11683","Open PDF / Source")</x:f>
        <x:v>HYPERLINK is not implemented. linkLocation=https://arxiv.org/abs/2212.11683, friendlyName=Open PDF / Source</x:v>
      </x:c>
      <x:c r="O95" s="124" t="str">
        <x:v>v2_high_recall/reading_records/R10_karr_koelemeij_2023.md</x:v>
      </x:c>
    </x:row>
    <x:row r="96" ht="84" customHeight="1">
      <x:c r="A96" s="127" t="str"/>
      <x:c r="B96" s="127" t="str">
        <x:v>PDF_FIRST_PAGE</x:v>
      </x:c>
      <x:c r="C96" s="127" t="str">
        <x:v>2023 Wei Xiao</x:v>
      </x:c>
      <x:c r="D96" s="127" t="str">
        <x:v>L093</x:v>
      </x:c>
      <x:c r="E96" s="135" t="n">
        <x:v>2023</x:v>
      </x:c>
      <x:c r="F96" s="127" t="str">
        <x:v>Femtotesla Atomic Magnetometer Employing Diffusion Optical Pumping to Search for Exotic Spin-Dependent Interactions</x:v>
      </x:c>
      <x:c r="G96" s="127" t="str">
        <x:v>Wei Xiao; Meng Liu; Teng Wu; Xiang Peng; Hong Guo</x:v>
      </x:c>
      <x:c r="H96" s="127" t="str">
        <x:v>Physical Review Letters</x:v>
      </x:c>
      <x:c r="I96" s="127" t="str">
        <x:v>Atomic &amp; molecular</x:v>
      </x:c>
      <x:c r="J96" s="139" t="str">
        <x:v>C1</x:v>
      </x:c>
      <x:c r="K96" s="139" t="str">
        <x:v>secondary</x:v>
      </x:c>
      <x:c r="L96" s="127" t="e">
        <x:f>HYPERLINK("https://doi.org/10.1103/physrevlett.130.143201","10.1103/physrevlett.130.143201")</x:f>
        <x:v>HYPERLINK is not implemented. linkLocation=https://doi.org/10.1103/physrevlett.130.143201, friendlyName=10.1103/physrevlett.130.143201</x:v>
      </x:c>
      <x:c r="M96" s="127" t="str"/>
      <x:c r="N96" s="127" t="e">
        <x:f>HYPERLINK("https://harvest.aps.org/v2/journals/articles/10.1103/physrevlett.130.143201/fulltext","Open PDF / Source")</x:f>
        <x:v>HYPERLINK is not implemented. linkLocation=https://harvest.aps.org/v2/journals/articles/10.1103/physrevlett.130.143201/fulltext, friendlyName=Open PDF / Source</x:v>
      </x:c>
      <x:c r="O96" s="127" t="str"/>
    </x:row>
    <x:row r="97" ht="84" customHeight="1">
      <x:c r="A97" s="124" t="str"/>
      <x:c r="B97" s="124" t="str">
        <x:v>PDF_FIRST_PAGE</x:v>
      </x:c>
      <x:c r="C97" s="124" t="str">
        <x:v>2023 Diguang Wu</x:v>
      </x:c>
      <x:c r="D97" s="124" t="str">
        <x:v>L094</x:v>
      </x:c>
      <x:c r="E97" s="134" t="n">
        <x:v>2023</x:v>
      </x:c>
      <x:c r="F97" s="124" t="str">
        <x:v>Improved Limits on an Exotic Spin- and Velocity-Dependent Interaction at the Micrometer Scale with an Ensemble-NV-Diamond Magnetometer</x:v>
      </x:c>
      <x:c r="G97" s="124" t="str">
        <x:v>Diguang Wu; Hang Liang; Man Jiao; Yi-Fu Cai; Chang-Kui Duan; Ya Wang; Xing Rong; Jiangfeng Du</x:v>
      </x:c>
      <x:c r="H97" s="124" t="str">
        <x:v>Physical Review Letters</x:v>
      </x:c>
      <x:c r="I97" s="124" t="str">
        <x:v>Vapor spins &amp; comagnetometry</x:v>
      </x:c>
      <x:c r="J97" s="138" t="str">
        <x:v>C1</x:v>
      </x:c>
      <x:c r="K97" s="138" t="str">
        <x:v>secondary</x:v>
      </x:c>
      <x:c r="L97" s="124" t="e">
        <x:f>HYPERLINK("https://doi.org/10.1103/physrevlett.131.071801","10.1103/physrevlett.131.071801")</x:f>
        <x:v>HYPERLINK is not implemented. linkLocation=https://doi.org/10.1103/physrevlett.131.071801, friendlyName=10.1103/physrevlett.131.071801</x:v>
      </x:c>
      <x:c r="M97" s="124" t="str"/>
      <x:c r="N97" s="124" t="e">
        <x:f>HYPERLINK("https://export.arxiv.org/pdf/2308.02254","Open PDF / Source")</x:f>
        <x:v>HYPERLINK is not implemented. linkLocation=https://export.arxiv.org/pdf/2308.02254, friendlyName=Open PDF / Source</x:v>
      </x:c>
      <x:c r="O97" s="124" t="str"/>
    </x:row>
    <x:row r="98" ht="84" customHeight="1">
      <x:c r="A98" s="127" t="str"/>
      <x:c r="B98" s="127" t="str">
        <x:v>PDF_FIRST_PAGE</x:v>
      </x:c>
      <x:c r="C98" s="127" t="str">
        <x:v>2023 L. Y. Wu</x:v>
      </x:c>
      <x:c r="D98" s="127" t="str">
        <x:v>L095</x:v>
      </x:c>
      <x:c r="E98" s="135" t="n">
        <x:v>2023</x:v>
      </x:c>
      <x:c r="F98" s="127" t="str">
        <x:v>New Limits on Exotic Spin-Dependent Interactions at Astronomical Distances</x:v>
      </x:c>
      <x:c r="G98" s="127" t="str">
        <x:v>L. Y. Wu; K. Y. Zhang; M. Peng; J. Gong; H. Yan</x:v>
      </x:c>
      <x:c r="H98" s="127" t="str">
        <x:v>Physical Review Letters</x:v>
      </x:c>
      <x:c r="I98" s="127" t="str">
        <x:v>Atomic &amp; molecular</x:v>
      </x:c>
      <x:c r="J98" s="139" t="str">
        <x:v>C1</x:v>
      </x:c>
      <x:c r="K98" s="139" t="str">
        <x:v>secondary</x:v>
      </x:c>
      <x:c r="L98" s="127" t="e">
        <x:f>HYPERLINK("https://doi.org/10.1103/physrevlett.131.091002","10.1103/physrevlett.131.091002")</x:f>
        <x:v>HYPERLINK is not implemented. linkLocation=https://doi.org/10.1103/physrevlett.131.091002, friendlyName=10.1103/physrevlett.131.091002</x:v>
      </x:c>
      <x:c r="M98" s="127" t="str"/>
      <x:c r="N98" s="127" t="e">
        <x:f>HYPERLINK("https://harvest.aps.org/v2/journals/articles/10.1103/PhysRevLett.131.091002/fulltext","Open PDF / Source")</x:f>
        <x:v>HYPERLINK is not implemented. linkLocation=https://harvest.aps.org/v2/journals/articles/10.1103/PhysRevLett.131.091002/fulltext, friendlyName=Open PDF / Source</x:v>
      </x:c>
      <x:c r="O98" s="127" t="str"/>
    </x:row>
    <x:row r="99" ht="84" customHeight="1">
      <x:c r="A99" s="124" t="str"/>
      <x:c r="B99" s="124" t="str">
        <x:v>PDF_FIRST_PAGE</x:v>
      </x:c>
      <x:c r="C99" s="124" t="str">
        <x:v>2023 Derek F. Jackson Kimball</x:v>
      </x:c>
      <x:c r="D99" s="124" t="str">
        <x:v>L096</x:v>
      </x:c>
      <x:c r="E99" s="134" t="n">
        <x:v>2023</x:v>
      </x:c>
      <x:c r="F99" s="124" t="str">
        <x:v>Probing fundamental physics with spin-based quantum sensors</x:v>
      </x:c>
      <x:c r="G99" s="124" t="str">
        <x:v>Derek F. Jackson Kimball; Dmitry Budker; Timothy E. Chupp; Andrew A. Geraci; Shimon Kolkowitz; Jaideep T. Singh; Alexander O. Sushkov</x:v>
      </x:c>
      <x:c r="H99" s="124" t="str">
        <x:v>Physical Review A</x:v>
      </x:c>
      <x:c r="I99" s="124" t="str">
        <x:v>Reviews &amp; taxonomy</x:v>
      </x:c>
      <x:c r="J99" s="138" t="str">
        <x:v>C1</x:v>
      </x:c>
      <x:c r="K99" s="138" t="str">
        <x:v>secondary</x:v>
      </x:c>
      <x:c r="L99" s="124" t="e">
        <x:f>HYPERLINK("https://doi.org/10.1103/physreva.108.010101","10.1103/physreva.108.010101")</x:f>
        <x:v>HYPERLINK is not implemented. linkLocation=https://doi.org/10.1103/physreva.108.010101, friendlyName=10.1103/physreva.108.010101</x:v>
      </x:c>
      <x:c r="M99" s="124" t="str"/>
      <x:c r="N99" s="124" t="e">
        <x:f>HYPERLINK("https://harvest.aps.org/v2/journals/articles/10.1103/physreva.108.010101/fulltext","Open PDF / Source")</x:f>
        <x:v>HYPERLINK is not implemented. linkLocation=https://harvest.aps.org/v2/journals/articles/10.1103/physreva.108.010101/fulltext, friendlyName=Open PDF / Source</x:v>
      </x:c>
      <x:c r="O99" s="124" t="str"/>
    </x:row>
    <x:row r="100" ht="84" customHeight="1">
      <x:c r="A100" s="127" t="str"/>
      <x:c r="B100" s="127" t="str">
        <x:v>PDF_FIRST_PAGE</x:v>
      </x:c>
      <x:c r="C100" s="127" t="str">
        <x:v>2023 S.-B. Zhang</x:v>
      </x:c>
      <x:c r="D100" s="127" t="str">
        <x:v>L097</x:v>
      </x:c>
      <x:c r="E100" s="135" t="n">
        <x:v>2023</x:v>
      </x:c>
      <x:c r="F100" s="127" t="str">
        <x:v>Search for Spin-Dependent Gravitational Interactions at Earth Range</x:v>
      </x:c>
      <x:c r="G100" s="127" t="str">
        <x:v>S.-B. Zhang; Z.-L. Ba; D.-H. Ning; N.-F. Zhai; Z.-T. Lu; D. Sheng</x:v>
      </x:c>
      <x:c r="H100" s="127" t="str">
        <x:v>Physical Review Letters</x:v>
      </x:c>
      <x:c r="I100" s="127" t="str">
        <x:v>Atomic &amp; molecular</x:v>
      </x:c>
      <x:c r="J100" s="139" t="str">
        <x:v>C1</x:v>
      </x:c>
      <x:c r="K100" s="139" t="str">
        <x:v>secondary</x:v>
      </x:c>
      <x:c r="L100" s="127" t="e">
        <x:f>HYPERLINK("https://doi.org/10.1103/physrevlett.130.201401","10.1103/physrevlett.130.201401")</x:f>
        <x:v>HYPERLINK is not implemented. linkLocation=https://doi.org/10.1103/physrevlett.130.201401, friendlyName=10.1103/physrevlett.130.201401</x:v>
      </x:c>
      <x:c r="M100" s="127" t="str"/>
      <x:c r="N100" s="127" t="e">
        <x:f>HYPERLINK("https://export.arxiv.org/pdf/2303.10352","Open PDF / Source")</x:f>
        <x:v>HYPERLINK is not implemented. linkLocation=https://export.arxiv.org/pdf/2303.10352, friendlyName=Open PDF / Source</x:v>
      </x:c>
      <x:c r="O100" s="127" t="str"/>
    </x:row>
    <x:row r="101" ht="84" customHeight="1">
      <x:c r="A101" s="124" t="str"/>
      <x:c r="B101" s="124" t="str">
        <x:v>PDF_FIRST_PAGE</x:v>
      </x:c>
      <x:c r="C101" s="124" t="str">
        <x:v>2023 Yuanhong Wang</x:v>
      </x:c>
      <x:c r="D101" s="124" t="str">
        <x:v>L098</x:v>
      </x:c>
      <x:c r="E101" s="134" t="n">
        <x:v>2023</x:v>
      </x:c>
      <x:c r="F101" s="124" t="str">
        <x:v>Search for exotic parity-violation interactions with quantum spin amplifiers</x:v>
      </x:c>
      <x:c r="G101" s="124" t="str">
        <x:v>Yuanhong Wang; Ying Huang; Chang Guo; Min Jiang; Xiang Kang; Haowen Su; Yushu Qin; Wei Ji; Dongdong Hu; Xinhua Peng; Dmitry Budker</x:v>
      </x:c>
      <x:c r="H101" s="124" t="str">
        <x:v>Science Advances</x:v>
      </x:c>
      <x:c r="I101" s="124" t="str">
        <x:v>Atomic &amp; molecular</x:v>
      </x:c>
      <x:c r="J101" s="138" t="str">
        <x:v>C1</x:v>
      </x:c>
      <x:c r="K101" s="138" t="str">
        <x:v>secondary</x:v>
      </x:c>
      <x:c r="L101" s="124" t="e">
        <x:f>HYPERLINK("https://doi.org/10.1126/sciadv.ade0353","10.1126/sciadv.ade0353")</x:f>
        <x:v>HYPERLINK is not implemented. linkLocation=https://doi.org/10.1126/sciadv.ade0353, friendlyName=10.1126/sciadv.ade0353</x:v>
      </x:c>
      <x:c r="M101" s="124" t="str"/>
      <x:c r="N101" s="124" t="e">
        <x:f>HYPERLINK("https://export.arxiv.org/pdf/2205.07222","Open PDF / Source")</x:f>
        <x:v>HYPERLINK is not implemented. linkLocation=https://export.arxiv.org/pdf/2205.07222, friendlyName=Open PDF / Source</x:v>
      </x:c>
      <x:c r="O101" s="124" t="str"/>
    </x:row>
    <x:row r="102" ht="84" customHeight="1">
      <x:c r="A102" s="127" t="str"/>
      <x:c r="B102" s="127" t="str">
        <x:v>PDF_FIRST_PAGE</x:v>
      </x:c>
      <x:c r="C102" s="127" t="str">
        <x:v>2023 N. B. Clayburn</x:v>
      </x:c>
      <x:c r="D102" s="127" t="str">
        <x:v>L099</x:v>
      </x:c>
      <x:c r="E102" s="135" t="n">
        <x:v>2023</x:v>
      </x:c>
      <x:c r="F102" s="127" t="str">
        <x:v>Using Earth to search for long-range spin-velocity interactions</x:v>
      </x:c>
      <x:c r="G102" s="127" t="str">
        <x:v>N. B. Clayburn; L. R. Hunter</x:v>
      </x:c>
      <x:c r="H102" s="127" t="str">
        <x:v>Physical Review D</x:v>
      </x:c>
      <x:c r="I102" s="127" t="str">
        <x:v>Torsion &amp; geophysical</x:v>
      </x:c>
      <x:c r="J102" s="139" t="str">
        <x:v>C1</x:v>
      </x:c>
      <x:c r="K102" s="139" t="str">
        <x:v>secondary</x:v>
      </x:c>
      <x:c r="L102" s="127" t="e">
        <x:f>HYPERLINK("https://doi.org/10.1103/physrevd.108.l051701","10.1103/physrevd.108.l051701")</x:f>
        <x:v>HYPERLINK is not implemented. linkLocation=https://doi.org/10.1103/physrevd.108.l051701, friendlyName=10.1103/physrevd.108.l051701</x:v>
      </x:c>
      <x:c r="M102" s="127" t="str"/>
      <x:c r="N102" s="127" t="e">
        <x:f>HYPERLINK("https://arxiv.org/pdf/2306.05327v3","Open PDF / Source")</x:f>
        <x:v>HYPERLINK is not implemented. linkLocation=https://arxiv.org/pdf/2306.05327v3, friendlyName=Open PDF / Source</x:v>
      </x:c>
      <x:c r="O102" s="127" t="str"/>
    </x:row>
    <x:row r="103" ht="84" customHeight="1">
      <x:c r="A103" s="124" t="str"/>
      <x:c r="B103" s="124" t="str">
        <x:v>PDF_FIRST_PAGE</x:v>
      </x:c>
      <x:c r="C103" s="124" t="str">
        <x:v>2024 Luca Di Luzio</x:v>
      </x:c>
      <x:c r="D103" s="124" t="str">
        <x:v>L100</x:v>
      </x:c>
      <x:c r="E103" s="134" t="n">
        <x:v>2024</x:v>
      </x:c>
      <x:c r="F103" s="124" t="str">
        <x:v>Axion Window on New Macroscopic Forces</x:v>
      </x:c>
      <x:c r="G103" s="124" t="str">
        <x:v>Luca Di Luzio; Hector Gisbert; Fabrizio Nesti; Philip Sørensen</x:v>
      </x:c>
      <x:c r="H103" s="124" t="str">
        <x:v>Phys.Rev.D 110 (2024) 11, 115034</x:v>
      </x:c>
      <x:c r="I103" s="124" t="str">
        <x:v>Other precision probes</x:v>
      </x:c>
      <x:c r="J103" s="138" t="str">
        <x:v>C3</x:v>
      </x:c>
      <x:c r="K103" s="138" t="str">
        <x:v>green_check</x:v>
      </x:c>
      <x:c r="L103" s="124" t="e">
        <x:f>HYPERLINK("https://doi.org/10.1103/physrevd.110.115034","10.1103/physrevd.110.115034")</x:f>
        <x:v>HYPERLINK is not implemented. linkLocation=https://doi.org/10.1103/physrevd.110.115034, friendlyName=10.1103/physrevd.110.115034</x:v>
      </x:c>
      <x:c r="M103" s="124" t="e">
        <x:f>HYPERLINK("https://arxiv.org/abs/2407.15928","2407.15928")</x:f>
        <x:v>HYPERLINK is not implemented. linkLocation=https://arxiv.org/abs/2407.15928, friendlyName=2407.15928</x:v>
      </x:c>
      <x:c r="N103" s="124" t="e">
        <x:f>HYPERLINK("http://arxiv.org/abs/2407.15928v2","Open PDF / Source")</x:f>
        <x:v>HYPERLINK is not implemented. linkLocation=http://arxiv.org/abs/2407.15928v2, friendlyName=Open PDF / Source</x:v>
      </x:c>
      <x:c r="O103" s="124" t="str">
        <x:v>v2_high_recall/v2_high_recall/reading_records/R18_arxiv_2407_15928.md</x:v>
      </x:c>
    </x:row>
    <x:row r="104" ht="84" customHeight="1">
      <x:c r="A104" s="127" t="str"/>
      <x:c r="B104" s="127" t="str">
        <x:v>PDF_FIRST_PAGE</x:v>
      </x:c>
      <x:c r="C104" s="127" t="str">
        <x:v>2024 Wei Xiao</x:v>
      </x:c>
      <x:c r="D104" s="127" t="str">
        <x:v>L101</x:v>
      </x:c>
      <x:c r="E104" s="135" t="n">
        <x:v>2024</x:v>
      </x:c>
      <x:c r="F104" s="127" t="str">
        <x:v>Exotic Spin-dependent Energy-level Shift Noise Induced by Thermal Motion</x:v>
      </x:c>
      <x:c r="G104" s="127" t="str">
        <x:v>Wei Xiao; Xiyu Liu; Teng Wu; Xiang Peng; Hong Guo</x:v>
      </x:c>
      <x:c r="H104" s="127" t="str"/>
      <x:c r="I104" s="127" t="str">
        <x:v>Solid-state &amp; mechanics</x:v>
      </x:c>
      <x:c r="J104" s="139" t="str">
        <x:v>C1_arxiv</x:v>
      </x:c>
      <x:c r="K104" s="139" t="str">
        <x:v>secondary</x:v>
      </x:c>
      <x:c r="L104" s="127" t="str"/>
      <x:c r="M104" s="127" t="e">
        <x:f>HYPERLINK("https://arxiv.org/abs/2401.05862","2401.05862")</x:f>
        <x:v>HYPERLINK is not implemented. linkLocation=https://arxiv.org/abs/2401.05862, friendlyName=2401.05862</x:v>
      </x:c>
      <x:c r="N104" s="127" t="e">
        <x:f>HYPERLINK("https://export.arxiv.org/pdf/2401.05862","Open PDF / Source")</x:f>
        <x:v>HYPERLINK is not implemented. linkLocation=https://export.arxiv.org/pdf/2401.05862, friendlyName=Open PDF / Source</x:v>
      </x:c>
      <x:c r="O104" s="127" t="str"/>
    </x:row>
    <x:row r="105" ht="84" customHeight="1">
      <x:c r="A105" s="124" t="str"/>
      <x:c r="B105" s="124" t="str">
        <x:v>PDF_FIRST_PAGE</x:v>
      </x:c>
      <x:c r="C105" s="124" t="str">
        <x:v>2024 L. Y. Wu</x:v>
      </x:c>
      <x:c r="D105" s="124" t="str">
        <x:v>L102</x:v>
      </x:c>
      <x:c r="E105" s="134" t="n">
        <x:v>2024</x:v>
      </x:c>
      <x:c r="F105" s="124" t="str">
        <x:v>Exotic spin-dependent interactions through unparticle exchange</x:v>
      </x:c>
      <x:c r="G105" s="124" t="str">
        <x:v>L. Y. Wu; K. Y. Zhang; H. Yan</x:v>
      </x:c>
      <x:c r="H105" s="124" t="str">
        <x:v>Journal of High Energy Physics</x:v>
      </x:c>
      <x:c r="I105" s="124" t="str">
        <x:v>Theory &amp; operators</x:v>
      </x:c>
      <x:c r="J105" s="138" t="str">
        <x:v>C1</x:v>
      </x:c>
      <x:c r="K105" s="138" t="str">
        <x:v>secondary</x:v>
      </x:c>
      <x:c r="L105" s="124" t="e">
        <x:f>HYPERLINK("https://doi.org/10.1007/jhep01(2024)083","10.1007/jhep01(2024)083")</x:f>
        <x:v>HYPERLINK is not implemented. linkLocation=https://doi.org/10.1007/jhep01(2024)083, friendlyName=10.1007/jhep01(2024)083</x:v>
      </x:c>
      <x:c r="M105" s="124" t="str"/>
      <x:c r="N105" s="124" t="e">
        <x:f>HYPERLINK("https://link.springer.com/content/pdf/10.1007/JHEP01(2024)083.pdf","Open PDF / Source")</x:f>
        <x:v>HYPERLINK is not implemented. linkLocation=https://link.springer.com/content/pdf/10.1007/JHEP01(2024)083.pdf, friendlyName=Open PDF / Source</x:v>
      </x:c>
      <x:c r="O105" s="124" t="str"/>
    </x:row>
    <x:row r="106" ht="84" customHeight="1">
      <x:c r="A106" s="127" t="str"/>
      <x:c r="B106" s="127" t="str">
        <x:v>PDF_FIRST_PAGE</x:v>
      </x:c>
      <x:c r="C106" s="127" t="str">
        <x:v>2024 Masaki Kato</x:v>
      </x:c>
      <x:c r="D106" s="127" t="str">
        <x:v>L103</x:v>
      </x:c>
      <x:c r="E106" s="135" t="n">
        <x:v>2024</x:v>
      </x:c>
      <x:c r="F106" s="127" t="str">
        <x:v>Interatomic spin-orbit coupling in atomic orbital-based tight-binding models</x:v>
      </x:c>
      <x:c r="G106" s="127" t="str">
        <x:v>Masaki Kato; Masao Ogata</x:v>
      </x:c>
      <x:c r="H106" s="127" t="str"/>
      <x:c r="I106" s="127" t="str">
        <x:v>Atomic &amp; molecular</x:v>
      </x:c>
      <x:c r="J106" s="139" t="str">
        <x:v>C1_arxiv</x:v>
      </x:c>
      <x:c r="K106" s="139" t="str">
        <x:v>secondary</x:v>
      </x:c>
      <x:c r="L106" s="127" t="str"/>
      <x:c r="M106" s="127" t="e">
        <x:f>HYPERLINK("https://arxiv.org/abs/2407.09951","2407.09951")</x:f>
        <x:v>HYPERLINK is not implemented. linkLocation=https://arxiv.org/abs/2407.09951, friendlyName=2407.09951</x:v>
      </x:c>
      <x:c r="N106" s="127" t="e">
        <x:f>HYPERLINK("https://export.arxiv.org/pdf/2407.09951","Open PDF / Source")</x:f>
        <x:v>HYPERLINK is not implemented. linkLocation=https://export.arxiv.org/pdf/2407.09951, friendlyName=Open PDF / Source</x:v>
      </x:c>
      <x:c r="O106" s="127" t="str"/>
    </x:row>
    <x:row r="107" ht="84" customHeight="1">
      <x:c r="A107" s="124" t="str"/>
      <x:c r="B107" s="124" t="str">
        <x:v>PDF_FIRST_PAGE</x:v>
      </x:c>
      <x:c r="C107" s="124" t="str">
        <x:v>2024 Sara Rufrano Aliberti</x:v>
      </x:c>
      <x:c r="D107" s="124" t="str">
        <x:v>L104</x:v>
      </x:c>
      <x:c r="E107" s="134" t="n">
        <x:v>2024</x:v>
      </x:c>
      <x:c r="F107" s="124" t="str">
        <x:v>Limits on dark matter, ultralight scalars, and cosmic neutrinos with gyroscope spin and precision clocks</x:v>
      </x:c>
      <x:c r="G107" s="124" t="str">
        <x:v>Sara Rufrano Aliberti; Gaetano Lambiase; Tanmay Kumar Poddar</x:v>
      </x:c>
      <x:c r="H107" s="124" t="str"/>
      <x:c r="I107" s="124" t="str">
        <x:v>Astro, DM &amp; space</x:v>
      </x:c>
      <x:c r="J107" s="138" t="str">
        <x:v>C3</x:v>
      </x:c>
      <x:c r="K107" s="138" t="str">
        <x:v>green_check</x:v>
      </x:c>
      <x:c r="L107" s="124" t="str"/>
      <x:c r="M107" s="124" t="e">
        <x:f>HYPERLINK("https://arxiv.org/abs/2412.09575","2412.09575")</x:f>
        <x:v>HYPERLINK is not implemented. linkLocation=https://arxiv.org/abs/2412.09575, friendlyName=2412.09575</x:v>
      </x:c>
      <x:c r="N107" s="124" t="e">
        <x:f>HYPERLINK("http://arxiv.org/abs/2412.09575v1","Open PDF / Source")</x:f>
        <x:v>HYPERLINK is not implemented. linkLocation=http://arxiv.org/abs/2412.09575v1, friendlyName=Open PDF / Source</x:v>
      </x:c>
      <x:c r="O107" s="124" t="str">
        <x:v>v2_high_recall/v2_high_recall/reading_records/R22_arxiv_2412_09575.md</x:v>
      </x:c>
    </x:row>
    <x:row r="108" ht="84" customHeight="1">
      <x:c r="A108" s="127" t="str"/>
      <x:c r="B108" s="127" t="str">
        <x:v>PDF_FIRST_PAGE</x:v>
      </x:c>
      <x:c r="C108" s="127" t="str">
        <x:v>2024 Yue Huang</x:v>
      </x:c>
      <x:c r="D108" s="127" t="str">
        <x:v>L105</x:v>
      </x:c>
      <x:c r="E108" s="135" t="n">
        <x:v>2024</x:v>
      </x:c>
      <x:c r="F108" s="127" t="str">
        <x:v>New Constraints on Exotic Spin-Spin-Velocity-Dependent Interactions with Solid-State Quantum Sensors</x:v>
      </x:c>
      <x:c r="G108" s="127" t="str">
        <x:v>Yue Huang; Hang Liang; Man Jiao; Pei Yu; Xiangyu Ye; Yijin Xie; Yi-Fu Cai; Chang-Kui Duan; Ya Wang; Xing Rong; Jiangfeng Du</x:v>
      </x:c>
      <x:c r="H108" s="127" t="str">
        <x:v>Physical Review Letters</x:v>
      </x:c>
      <x:c r="I108" s="127" t="str">
        <x:v>Solid-state &amp; mechanics</x:v>
      </x:c>
      <x:c r="J108" s="139" t="str">
        <x:v>C1</x:v>
      </x:c>
      <x:c r="K108" s="139" t="str">
        <x:v>secondary</x:v>
      </x:c>
      <x:c r="L108" s="127" t="e">
        <x:f>HYPERLINK("https://doi.org/10.1103/physrevlett.132.180801","10.1103/physrevlett.132.180801")</x:f>
        <x:v>HYPERLINK is not implemented. linkLocation=https://doi.org/10.1103/physrevlett.132.180801, friendlyName=10.1103/physrevlett.132.180801</x:v>
      </x:c>
      <x:c r="M108" s="127" t="str"/>
      <x:c r="N108" s="127" t="e">
        <x:f>HYPERLINK("https://export.arxiv.org/pdf/2403.18263","Open PDF / Source")</x:f>
        <x:v>HYPERLINK is not implemented. linkLocation=https://export.arxiv.org/pdf/2403.18263, friendlyName=Open PDF / Source</x:v>
      </x:c>
      <x:c r="O108" s="127" t="str"/>
    </x:row>
    <x:row r="109" ht="84" customHeight="1">
      <x:c r="A109" s="124" t="str"/>
      <x:c r="B109" s="124" t="str">
        <x:v>PDF_FIRST_PAGE</x:v>
      </x:c>
      <x:c r="C109" s="124" t="str">
        <x:v>2024 Yue Huang</x:v>
      </x:c>
      <x:c r="D109" s="124" t="str">
        <x:v>L106</x:v>
      </x:c>
      <x:c r="E109" s="134" t="n">
        <x:v>2024</x:v>
      </x:c>
      <x:c r="F109" s="124" t="str">
        <x:v>New Constraints on Exotic Spin-Spin-Velocity-Dependent Interactions with Solid-State Quantum Sensors</x:v>
      </x:c>
      <x:c r="G109" s="124" t="str">
        <x:v>Yue Huang; Hang Liang; Man Jiao; Pei Yu; Xiangyu Ye; Yijin Xie; Yi-Fu Cai; Chang-Kui Duan; Ya Wang; Xing Rong; Jiangfeng Du</x:v>
      </x:c>
      <x:c r="H109" s="124" t="str"/>
      <x:c r="I109" s="124" t="str">
        <x:v>Torsion &amp; geophysical</x:v>
      </x:c>
      <x:c r="J109" s="138" t="str">
        <x:v>C3</x:v>
      </x:c>
      <x:c r="K109" s="138" t="str">
        <x:v>green_check</x:v>
      </x:c>
      <x:c r="L109" s="124" t="str"/>
      <x:c r="M109" s="124" t="e">
        <x:f>HYPERLINK("https://arxiv.org/abs/2403.18263","2403.18263")</x:f>
        <x:v>HYPERLINK is not implemented. linkLocation=https://arxiv.org/abs/2403.18263, friendlyName=2403.18263</x:v>
      </x:c>
      <x:c r="N109" s="124" t="e">
        <x:f>HYPERLINK("http://arxiv.org/abs/2403.18263v1","Open PDF / Source")</x:f>
        <x:v>HYPERLINK is not implemented. linkLocation=http://arxiv.org/abs/2403.18263v1, friendlyName=Open PDF / Source</x:v>
      </x:c>
      <x:c r="O109" s="124" t="str">
        <x:v>v2_high_recall/v2_high_recall/reading_records/R17_arxiv_2403_18263.md</x:v>
      </x:c>
    </x:row>
    <x:row r="110" ht="84" customHeight="1">
      <x:c r="A110" s="127" t="str"/>
      <x:c r="B110" s="127" t="str">
        <x:v>PDF_FIRST_PAGE</x:v>
      </x:c>
      <x:c r="C110" s="127" t="str">
        <x:v>2024 Mingjun Feng</x:v>
      </x:c>
      <x:c r="D110" s="127" t="str">
        <x:v>L107</x:v>
      </x:c>
      <x:c r="E110" s="135" t="n">
        <x:v>2024</x:v>
      </x:c>
      <x:c r="F110" s="127" t="str">
        <x:v>Nonlinear dynamics in an artificial feedback spin maser</x:v>
      </x:c>
      <x:c r="G110" s="127" t="str">
        <x:v>Mingjun Feng; Lan Wu; Guobin Liu</x:v>
      </x:c>
      <x:c r="H110" s="127" t="str">
        <x:v>Physical Review A, 111, 023118(2025)</x:v>
      </x:c>
      <x:c r="I110" s="127" t="str">
        <x:v>Vapor spins &amp; comagnetometry</x:v>
      </x:c>
      <x:c r="J110" s="139" t="str">
        <x:v>C1</x:v>
      </x:c>
      <x:c r="K110" s="139" t="str">
        <x:v>secondary</x:v>
      </x:c>
      <x:c r="L110" s="127" t="e">
        <x:f>HYPERLINK("https://doi.org/10.1103/physreva.111.023118","10.1103/physreva.111.023118")</x:f>
        <x:v>HYPERLINK is not implemented. linkLocation=https://doi.org/10.1103/physreva.111.023118, friendlyName=10.1103/physreva.111.023118</x:v>
      </x:c>
      <x:c r="M110" s="127" t="e">
        <x:f>HYPERLINK("https://arxiv.org/abs/2411.13930","2411.13930")</x:f>
        <x:v>HYPERLINK is not implemented. linkLocation=https://arxiv.org/abs/2411.13930, friendlyName=2411.1393</x:v>
      </x:c>
      <x:c r="N110" s="127" t="e">
        <x:f>HYPERLINK("https://export.arxiv.org/pdf/2411.13930","Open PDF / Source")</x:f>
        <x:v>HYPERLINK is not implemented. linkLocation=https://export.arxiv.org/pdf/2411.13930, friendlyName=Open PDF / Source</x:v>
      </x:c>
      <x:c r="O110" s="127" t="str"/>
    </x:row>
    <x:row r="111" ht="84" customHeight="1">
      <x:c r="A111" s="124" t="str"/>
      <x:c r="B111" s="124" t="str">
        <x:v>PDF_FIRST_PAGE</x:v>
      </x:c>
      <x:c r="C111" s="124" t="str">
        <x:v>2024 Zheng-Ting Lai</x:v>
      </x:c>
      <x:c r="D111" s="124" t="str">
        <x:v>L108</x:v>
      </x:c>
      <x:c r="E111" s="134" t="n">
        <x:v>2024</x:v>
      </x:c>
      <x:c r="F111" s="124" t="str">
        <x:v>Potential of constraining the Fifth Force Using the Earth as a Spin and Mass Source from space</x:v>
      </x:c>
      <x:c r="G111" s="124" t="str">
        <x:v>Zheng-Ting Lai; Jun-Xu Lu; Li-Sheng Geng; Kai Wei; Wei Ji</x:v>
      </x:c>
      <x:c r="H111" s="124" t="str">
        <x:v>Chin. Phys. Lett. 43, 030202 (2026)</x:v>
      </x:c>
      <x:c r="I111" s="124" t="str">
        <x:v>Theory &amp; operators</x:v>
      </x:c>
      <x:c r="J111" s="138" t="str">
        <x:v>C3</x:v>
      </x:c>
      <x:c r="K111" s="138" t="str">
        <x:v>green_check</x:v>
      </x:c>
      <x:c r="L111" s="124" t="e">
        <x:f>HYPERLINK("https://doi.org/10.1088/0256-307x/43/3/030202","10.1088/0256-307x/43/3/030202")</x:f>
        <x:v>HYPERLINK is not implemented. linkLocation=https://doi.org/10.1088/0256-307x/43/3/030202, friendlyName=10.1088/0256-307x/43/3/030202</x:v>
      </x:c>
      <x:c r="M111" s="124" t="e">
        <x:f>HYPERLINK("https://arxiv.org/abs/2410.12469","2410.12469")</x:f>
        <x:v>HYPERLINK is not implemented. linkLocation=https://arxiv.org/abs/2410.12469, friendlyName=2410.12469</x:v>
      </x:c>
      <x:c r="N111" s="124" t="e">
        <x:f>HYPERLINK("http://arxiv.org/abs/2410.12469v3","Open PDF / Source")</x:f>
        <x:v>HYPERLINK is not implemented. linkLocation=http://arxiv.org/abs/2410.12469v3, friendlyName=Open PDF / Source</x:v>
      </x:c>
      <x:c r="O111" s="124" t="str">
        <x:v>v2_high_recall/v2_high_recall/reading_records/R19_arxiv_2410_12469.md</x:v>
      </x:c>
    </x:row>
    <x:row r="112" ht="84" customHeight="1">
      <x:c r="A112" s="127" t="str"/>
      <x:c r="B112" s="127" t="str">
        <x:v>PDF_FIRST_PAGE</x:v>
      </x:c>
      <x:c r="C112" s="127" t="str">
        <x:v>2024 Min Jiang</x:v>
      </x:c>
      <x:c r="D112" s="127" t="str">
        <x:v>L109</x:v>
      </x:c>
      <x:c r="E112" s="135" t="n">
        <x:v>2024</x:v>
      </x:c>
      <x:c r="F112" s="127" t="str">
        <x:v>Searches for exotic spin-dependent interactions with spin sensors</x:v>
      </x:c>
      <x:c r="G112" s="127" t="str">
        <x:v>Min Jiang; Haowen Su; Yifan Chen; Man Jiao; Ying Huang; Yuanhong Wang; Xing Rong; Xinhua Peng; Jiangfeng Du</x:v>
      </x:c>
      <x:c r="H112" s="127" t="str">
        <x:v>Rep. Prog. Phys. 88 (2025) 016401</x:v>
      </x:c>
      <x:c r="I112" s="127" t="str">
        <x:v>Vapor spins &amp; comagnetometry</x:v>
      </x:c>
      <x:c r="J112" s="139" t="str">
        <x:v>C3</x:v>
      </x:c>
      <x:c r="K112" s="139" t="str">
        <x:v>secondary</x:v>
      </x:c>
      <x:c r="L112" s="127" t="e">
        <x:f>HYPERLINK("https://doi.org/10.1088/1361-6633/ad99e6","10.1088/1361-6633/ad99e6")</x:f>
        <x:v>HYPERLINK is not implemented. linkLocation=https://doi.org/10.1088/1361-6633/ad99e6, friendlyName=10.1088/1361-6633/ad99e6</x:v>
      </x:c>
      <x:c r="M112" s="127" t="e">
        <x:f>HYPERLINK("https://arxiv.org/abs/2412.03288","2412.03288")</x:f>
        <x:v>HYPERLINK is not implemented. linkLocation=https://arxiv.org/abs/2412.03288, friendlyName=2412.03288</x:v>
      </x:c>
      <x:c r="N112" s="127" t="e">
        <x:f>HYPERLINK("http://arxiv.org/abs/2412.03288v2","Open PDF / Source")</x:f>
        <x:v>HYPERLINK is not implemented. linkLocation=http://arxiv.org/abs/2412.03288v2, friendlyName=Open PDF / Source</x:v>
      </x:c>
      <x:c r="O112" s="127" t="str">
        <x:v>v2_high_recall/v2_high_recall/reading_records/R21_arxiv_2412_03288.md</x:v>
      </x:c>
    </x:row>
    <x:row r="113" ht="84" customHeight="1">
      <x:c r="A113" s="124" t="str"/>
      <x:c r="B113" s="124" t="str">
        <x:v>PDF_FIRST_PAGE</x:v>
      </x:c>
      <x:c r="C113" s="124" t="str">
        <x:v>2024 Aolong Guo</x:v>
      </x:c>
      <x:c r="D113" s="124" t="str">
        <x:v>L110</x:v>
      </x:c>
      <x:c r="E113" s="134" t="n">
        <x:v>2024</x:v>
      </x:c>
      <x:c r="F113" s="124" t="str">
        <x:v>Searching for Exotic Spin-Dependent Interactions with Diamond-Based Vector Magnetometer</x:v>
      </x:c>
      <x:c r="G113" s="124" t="str">
        <x:v>Aolong Guo; Runqi Kang; Man Jiao; Xing Rong</x:v>
      </x:c>
      <x:c r="H113" s="124" t="str"/>
      <x:c r="I113" s="124" t="str">
        <x:v>Vapor spins &amp; comagnetometry</x:v>
      </x:c>
      <x:c r="J113" s="138" t="str">
        <x:v>C1_arxiv</x:v>
      </x:c>
      <x:c r="K113" s="138" t="str">
        <x:v>secondary</x:v>
      </x:c>
      <x:c r="L113" s="124" t="str"/>
      <x:c r="M113" s="124" t="e">
        <x:f>HYPERLINK("https://arxiv.org/abs/2402.15042","2402.15042")</x:f>
        <x:v>HYPERLINK is not implemented. linkLocation=https://arxiv.org/abs/2402.15042, friendlyName=2402.15042</x:v>
      </x:c>
      <x:c r="N113" s="124" t="e">
        <x:f>HYPERLINK("https://export.arxiv.org/pdf/2402.15042","Open PDF / Source")</x:f>
        <x:v>HYPERLINK is not implemented. linkLocation=https://export.arxiv.org/pdf/2402.15042, friendlyName=Open PDF / Source</x:v>
      </x:c>
      <x:c r="O113" s="124" t="str"/>
    </x:row>
    <x:row r="114" ht="84" customHeight="1">
      <x:c r="A114" s="127" t="str"/>
      <x:c r="B114" s="127" t="str">
        <x:v>PDF_FIRST_PAGE</x:v>
      </x:c>
      <x:c r="C114" s="127" t="str">
        <x:v>2024 Aolong Guo</x:v>
      </x:c>
      <x:c r="D114" s="127" t="str">
        <x:v>L111</x:v>
      </x:c>
      <x:c r="E114" s="135" t="n">
        <x:v>2024</x:v>
      </x:c>
      <x:c r="F114" s="127" t="str">
        <x:v>Searching for exotic spin-dependent interactions with diamond-based vector magnetometer</x:v>
      </x:c>
      <x:c r="G114" s="127" t="str">
        <x:v>Aolong Guo; Runqi Kang; Man Jiao; Xing Rong</x:v>
      </x:c>
      <x:c r="H114" s="127" t="str">
        <x:v>Physical Review D</x:v>
      </x:c>
      <x:c r="I114" s="127" t="str">
        <x:v>Vapor spins &amp; comagnetometry</x:v>
      </x:c>
      <x:c r="J114" s="139" t="str">
        <x:v>C1</x:v>
      </x:c>
      <x:c r="K114" s="139" t="str">
        <x:v>secondary</x:v>
      </x:c>
      <x:c r="L114" s="127" t="e">
        <x:f>HYPERLINK("https://doi.org/10.1103/physrevd.109.055034","10.1103/physrevd.109.055034")</x:f>
        <x:v>HYPERLINK is not implemented. linkLocation=https://doi.org/10.1103/physrevd.109.055034, friendlyName=10.1103/physrevd.109.055034</x:v>
      </x:c>
      <x:c r="M114" s="127" t="str"/>
      <x:c r="N114" s="127" t="e">
        <x:f>HYPERLINK("https://export.arxiv.org/pdf/2402.15042","Open PDF / Source")</x:f>
        <x:v>HYPERLINK is not implemented. linkLocation=https://export.arxiv.org/pdf/2402.15042, friendlyName=Open PDF / Source</x:v>
      </x:c>
      <x:c r="O114" s="127" t="str"/>
    </x:row>
    <x:row r="115" ht="84" customHeight="1">
      <x:c r="A115" s="124" t="str"/>
      <x:c r="B115" s="124" t="str">
        <x:v>PDF_FIRST_PAGE</x:v>
      </x:c>
      <x:c r="C115" s="124" t="str">
        <x:v>2024 Nathan B. Clayburn</x:v>
      </x:c>
      <x:c r="D115" s="124" t="str">
        <x:v>L112</x:v>
      </x:c>
      <x:c r="E115" s="134" t="n">
        <x:v>2024</x:v>
      </x:c>
      <x:c r="F115" s="124" t="str">
        <x:v>Spherically symmetric Earth models yield no net electron spin</x:v>
      </x:c>
      <x:c r="G115" s="124" t="str">
        <x:v>Nathan B. Clayburn; Andrew Glassford; Andrew Leiker; Thomas Uelmen; Jung-Fu Lin; Larry R. Hunter</x:v>
      </x:c>
      <x:c r="H115" s="124" t="str"/>
      <x:c r="I115" s="124" t="str">
        <x:v>Torsion &amp; geophysical</x:v>
      </x:c>
      <x:c r="J115" s="138" t="str">
        <x:v>C3</x:v>
      </x:c>
      <x:c r="K115" s="138" t="str">
        <x:v>green_check</x:v>
      </x:c>
      <x:c r="L115" s="124" t="str"/>
      <x:c r="M115" s="124" t="e">
        <x:f>HYPERLINK("https://arxiv.org/abs/2411.08050","2411.08050")</x:f>
        <x:v>HYPERLINK is not implemented. linkLocation=https://arxiv.org/abs/2411.08050, friendlyName=2411.0805</x:v>
      </x:c>
      <x:c r="N115" s="124" t="e">
        <x:f>HYPERLINK("http://arxiv.org/abs/2411.08050v1","Open PDF / Source")</x:f>
        <x:v>HYPERLINK is not implemented. linkLocation=http://arxiv.org/abs/2411.08050v1, friendlyName=Open PDF / Source</x:v>
      </x:c>
      <x:c r="O115" s="124" t="str">
        <x:v>v2_high_recall/v2_high_recall/reading_records/R20_arxiv_2411_08050.md</x:v>
      </x:c>
    </x:row>
    <x:row r="116" ht="84" customHeight="1">
      <x:c r="A116" s="127" t="str"/>
      <x:c r="B116" s="127" t="str">
        <x:v>PDF_FIRST_PAGE</x:v>
      </x:c>
      <x:c r="C116" s="127" t="str">
        <x:v>2024 Rundong Fang</x:v>
      </x:c>
      <x:c r="D116" s="127" t="str">
        <x:v>L113</x:v>
      </x:c>
      <x:c r="E116" s="135" t="n">
        <x:v>2024</x:v>
      </x:c>
      <x:c r="F116" s="127" t="str">
        <x:v>Testing the Fifth Force on Lepton Spins through Neutrino Oscillations</x:v>
      </x:c>
      <x:c r="G116" s="127" t="str">
        <x:v>Rundong Fang; Ji-Heng Guo; Jia Liu; Xiao-Ping Wang</x:v>
      </x:c>
      <x:c r="H116" s="127" t="str">
        <x:v>Phys.Rev.D 112 (2025) 5, L051701</x:v>
      </x:c>
      <x:c r="I116" s="127" t="str">
        <x:v>Astro, DM &amp; space</x:v>
      </x:c>
      <x:c r="J116" s="139" t="str">
        <x:v>C3</x:v>
      </x:c>
      <x:c r="K116" s="139" t="str">
        <x:v>green_check</x:v>
      </x:c>
      <x:c r="L116" s="127" t="e">
        <x:f>HYPERLINK("https://doi.org/10.1103/r9p5-fxzb","10.1103/r9p5-fxzb")</x:f>
        <x:v>HYPERLINK is not implemented. linkLocation=https://doi.org/10.1103/r9p5-fxzb, friendlyName=10.1103/r9p5-fxzb</x:v>
      </x:c>
      <x:c r="M116" s="127" t="e">
        <x:f>HYPERLINK("https://arxiv.org/abs/2412.10724","2412.10724")</x:f>
        <x:v>HYPERLINK is not implemented. linkLocation=https://arxiv.org/abs/2412.10724, friendlyName=2412.10724</x:v>
      </x:c>
      <x:c r="N116" s="127" t="e">
        <x:f>HYPERLINK("http://arxiv.org/abs/2412.10724v2","Open PDF / Source")</x:f>
        <x:v>HYPERLINK is not implemented. linkLocation=http://arxiv.org/abs/2412.10724v2, friendlyName=Open PDF / Source</x:v>
      </x:c>
      <x:c r="O116" s="127" t="str">
        <x:v>v2_high_recall/v2_high_recall/reading_records/R23_arxiv_2412_10724.md</x:v>
      </x:c>
    </x:row>
    <x:row r="117" ht="84" customHeight="1">
      <x:c r="A117" s="124" t="str"/>
      <x:c r="B117" s="124" t="str">
        <x:v>PDF_FIRST_PAGE</x:v>
      </x:c>
      <x:c r="C117" s="124" t="str">
        <x:v>2024 Chang Pan</x:v>
      </x:c>
      <x:c r="D117" s="124" t="str">
        <x:v>L114</x:v>
      </x:c>
      <x:c r="E117" s="134" t="n">
        <x:v>2024</x:v>
      </x:c>
      <x:c r="F117" s="124" t="str">
        <x:v>Unveiling the nonrelativistic spin current polarization in an altermagnet</x:v>
      </x:c>
      <x:c r="G117" s="124" t="str">
        <x:v>Chang Pan; Shuai Hu; Fanli Yang; Dongchao Yang; Weijia Fan; Zhong Shi; Liqing Pan; Shiming Zhou; Xuepeng Qiu</x:v>
      </x:c>
      <x:c r="H117" s="124" t="str"/>
      <x:c r="I117" s="124" t="str">
        <x:v>Solid-state &amp; mechanics</x:v>
      </x:c>
      <x:c r="J117" s="138" t="str">
        <x:v>C1_arxiv</x:v>
      </x:c>
      <x:c r="K117" s="138" t="str">
        <x:v>secondary</x:v>
      </x:c>
      <x:c r="L117" s="124" t="str"/>
      <x:c r="M117" s="124" t="e">
        <x:f>HYPERLINK("https://arxiv.org/abs/2412.18937","2412.18937")</x:f>
        <x:v>HYPERLINK is not implemented. linkLocation=https://arxiv.org/abs/2412.18937, friendlyName=2412.18937</x:v>
      </x:c>
      <x:c r="N117" s="124" t="e">
        <x:f>HYPERLINK("https://export.arxiv.org/pdf/2412.18937","Open PDF / Source")</x:f>
        <x:v>HYPERLINK is not implemented. linkLocation=https://export.arxiv.org/pdf/2412.18937, friendlyName=Open PDF / Source</x:v>
      </x:c>
      <x:c r="O117" s="124" t="str"/>
    </x:row>
    <x:row r="118" ht="84" customHeight="1">
      <x:c r="A118" s="127" t="str"/>
      <x:c r="B118" s="127" t="str">
        <x:v>PDF_FIRST_PAGE</x:v>
      </x:c>
      <x:c r="C118" s="127" t="str">
        <x:v>2024 Baruch</x:v>
      </x:c>
      <x:c r="D118" s="127" t="str">
        <x:v>L115</x:v>
      </x:c>
      <x:c r="E118" s="135" t="n">
        <x:v>2024</x:v>
      </x:c>
      <x:c r="F118" s="127" t="str">
        <x:v>baruch constraining 2024</x:v>
      </x:c>
      <x:c r="G118" s="127" t="str">
        <x:v>Baruch; Changala; Shagam; Soreq</x:v>
      </x:c>
      <x:c r="H118" s="127" t="str"/>
      <x:c r="I118" s="127" t="str">
        <x:v>Neutron &amp; nucleon</x:v>
      </x:c>
      <x:c r="J118" s="139" t="str">
        <x:v>C1_identifier</x:v>
      </x:c>
      <x:c r="K118" s="139" t="str">
        <x:v>secondary</x:v>
      </x:c>
      <x:c r="L118" s="127" t="e">
        <x:f>HYPERLINK("https://doi.org/10.48550/arxiv.2402.07504","10.48550/arxiv.2402.07504")</x:f>
        <x:v>HYPERLINK is not implemented. linkLocation=https://doi.org/10.48550/arxiv.2402.07504, friendlyName=10.48550/arxiv.2402.07504</x:v>
      </x:c>
      <x:c r="M118" s="127" t="e">
        <x:f>HYPERLINK("https://arxiv.org/abs/2402.07504","2402.07504")</x:f>
        <x:v>HYPERLINK is not implemented. linkLocation=https://arxiv.org/abs/2402.07504, friendlyName=2402.07504</x:v>
      </x:c>
      <x:c r="N118" s="127" t="e">
        <x:f>HYPERLINK("https://export.arxiv.org/pdf/2402.07504","Open PDF / Source")</x:f>
        <x:v>HYPERLINK is not implemented. linkLocation=https://export.arxiv.org/pdf/2402.07504, friendlyName=Open PDF / Source</x:v>
      </x:c>
      <x:c r="O118" s="127" t="str"/>
    </x:row>
    <x:row r="119" ht="84" customHeight="1">
      <x:c r="A119" s="124" t="str"/>
      <x:c r="B119" s="124" t="str">
        <x:v>PDF_FIRST_PAGE</x:v>
      </x:c>
      <x:c r="C119" s="124" t="str">
        <x:v>2024 Guo</x:v>
      </x:c>
      <x:c r="D119" s="124" t="str">
        <x:v>L116</x:v>
      </x:c>
      <x:c r="E119" s="134" t="n">
        <x:v>2024</x:v>
      </x:c>
      <x:c r="F119" s="124" t="str">
        <x:v>guo searching 2024</x:v>
      </x:c>
      <x:c r="G119" s="124" t="str">
        <x:v>Guo; Kang; Jiao; Rong</x:v>
      </x:c>
      <x:c r="H119" s="124" t="str"/>
      <x:c r="I119" s="124" t="str">
        <x:v>Solid-state &amp; mechanics</x:v>
      </x:c>
      <x:c r="J119" s="138" t="str">
        <x:v>C1_identifier</x:v>
      </x:c>
      <x:c r="K119" s="138" t="str">
        <x:v>secondary</x:v>
      </x:c>
      <x:c r="L119" s="124" t="e">
        <x:f>HYPERLINK("https://doi.org/10.48550/arxiv.2402.15042","10.48550/arxiv.2402.15042")</x:f>
        <x:v>HYPERLINK is not implemented. linkLocation=https://doi.org/10.48550/arxiv.2402.15042, friendlyName=10.48550/arxiv.2402.15042</x:v>
      </x:c>
      <x:c r="M119" s="124" t="e">
        <x:f>HYPERLINK("https://arxiv.org/abs/2402.15042","2402.15042")</x:f>
        <x:v>HYPERLINK is not implemented. linkLocation=https://arxiv.org/abs/2402.15042, friendlyName=2402.15042</x:v>
      </x:c>
      <x:c r="N119" s="124" t="e">
        <x:f>HYPERLINK("https://export.arxiv.org/pdf/2402.15042","Open PDF / Source")</x:f>
        <x:v>HYPERLINK is not implemented. linkLocation=https://export.arxiv.org/pdf/2402.15042, friendlyName=Open PDF / Source</x:v>
      </x:c>
      <x:c r="O119" s="124" t="str"/>
    </x:row>
    <x:row r="120" ht="84" customHeight="1">
      <x:c r="A120" s="127" t="str"/>
      <x:c r="B120" s="127" t="str">
        <x:v>PDF_FIRST_PAGE</x:v>
      </x:c>
      <x:c r="C120" s="127" t="str">
        <x:v>2025 Rundong Fang</x:v>
      </x:c>
      <x:c r="D120" s="127" t="str">
        <x:v>L117</x:v>
      </x:c>
      <x:c r="E120" s="135" t="n">
        <x:v>2025</x:v>
      </x:c>
      <x:c r="F120" s="127" t="str">
        <x:v>An Axial-Vector Leptophilic Fifth Force Sourced by Solar Neutrinos</x:v>
      </x:c>
      <x:c r="G120" s="127" t="str">
        <x:v>Rundong Fang; Ji-Heng Guo; Jia Liu; Xiao-Ping Wang; YanLi Zhao</x:v>
      </x:c>
      <x:c r="H120" s="127" t="str"/>
      <x:c r="I120" s="127" t="str">
        <x:v>Torsion &amp; geophysical</x:v>
      </x:c>
      <x:c r="J120" s="139" t="str">
        <x:v>C3</x:v>
      </x:c>
      <x:c r="K120" s="139" t="str">
        <x:v>secondary</x:v>
      </x:c>
      <x:c r="L120" s="127" t="str"/>
      <x:c r="M120" s="127" t="e">
        <x:f>HYPERLINK("https://arxiv.org/abs/2510.20672","2510.20672")</x:f>
        <x:v>HYPERLINK is not implemented. linkLocation=https://arxiv.org/abs/2510.20672, friendlyName=2510.20672</x:v>
      </x:c>
      <x:c r="N120" s="127" t="e">
        <x:f>HYPERLINK("http://arxiv.org/abs/2510.20672v1","Open PDF / Source")</x:f>
        <x:v>HYPERLINK is not implemented. linkLocation=http://arxiv.org/abs/2510.20672v1, friendlyName=Open PDF / Source</x:v>
      </x:c>
      <x:c r="O120" s="127" t="str">
        <x:v>v2_high_recall/v2_high_recall/reading_records/R31_arxiv_2510_20672.md</x:v>
      </x:c>
    </x:row>
    <x:row r="121" ht="84" customHeight="1">
      <x:c r="A121" s="124" t="str"/>
      <x:c r="B121" s="124" t="str">
        <x:v>PDF_FIRST_PAGE</x:v>
      </x:c>
      <x:c r="C121" s="124" t="str">
        <x:v>2025 Yuval Grossman</x:v>
      </x:c>
      <x:c r="D121" s="124" t="str">
        <x:v>L118</x:v>
      </x:c>
      <x:c r="E121" s="134" t="n">
        <x:v>2025</x:v>
      </x:c>
      <x:c r="F121" s="124" t="str">
        <x:v>Axion forces in axion backgrounds</x:v>
      </x:c>
      <x:c r="G121" s="124" t="str">
        <x:v>Yuval Grossman; Bingrong Yu; Siyu Zhou</x:v>
      </x:c>
      <x:c r="H121" s="124" t="str"/>
      <x:c r="I121" s="124" t="str">
        <x:v>Atomic &amp; molecular</x:v>
      </x:c>
      <x:c r="J121" s="138" t="str">
        <x:v>C3</x:v>
      </x:c>
      <x:c r="K121" s="138" t="str">
        <x:v>green_check</x:v>
      </x:c>
      <x:c r="L121" s="124" t="str"/>
      <x:c r="M121" s="124" t="e">
        <x:f>HYPERLINK("https://arxiv.org/abs/2504.00104","2504.00104")</x:f>
        <x:v>HYPERLINK is not implemented. linkLocation=https://arxiv.org/abs/2504.00104, friendlyName=2504.00104</x:v>
      </x:c>
      <x:c r="N121" s="124" t="e">
        <x:f>HYPERLINK("http://arxiv.org/abs/2504.00104v2","Open PDF / Source")</x:f>
        <x:v>HYPERLINK is not implemented. linkLocation=http://arxiv.org/abs/2504.00104v2, friendlyName=Open PDF / Source</x:v>
      </x:c>
      <x:c r="O121" s="124" t="str">
        <x:v>v2_high_recall/v2_high_recall/reading_records/R27_arxiv_2504_00104.md</x:v>
      </x:c>
    </x:row>
    <x:row r="122" ht="84" customHeight="1">
      <x:c r="A122" s="127" t="str"/>
      <x:c r="B122" s="127" t="str">
        <x:v>PDF_FIRST_PAGE</x:v>
      </x:c>
      <x:c r="C122" s="127" t="str">
        <x:v>2025 Yu Cheng</x:v>
      </x:c>
      <x:c r="D122" s="127" t="str">
        <x:v>L119</x:v>
      </x:c>
      <x:c r="E122" s="135" t="n">
        <x:v>2025</x:v>
      </x:c>
      <x:c r="F122" s="127" t="str">
        <x:v>Background-Enhanced Axion Force by Axion Dark Matter</x:v>
      </x:c>
      <x:c r="G122" s="127" t="str">
        <x:v>Yu Cheng; Shuailiang Ge</x:v>
      </x:c>
      <x:c r="H122" s="127" t="str"/>
      <x:c r="I122" s="127" t="str">
        <x:v>Torsion &amp; geophysical</x:v>
      </x:c>
      <x:c r="J122" s="139" t="str">
        <x:v>C3</x:v>
      </x:c>
      <x:c r="K122" s="139" t="str">
        <x:v>green_check</x:v>
      </x:c>
      <x:c r="L122" s="127" t="str"/>
      <x:c r="M122" s="127" t="e">
        <x:f>HYPERLINK("https://arxiv.org/abs/2504.02702","2504.02702")</x:f>
        <x:v>HYPERLINK is not implemented. linkLocation=https://arxiv.org/abs/2504.02702, friendlyName=2504.02702</x:v>
      </x:c>
      <x:c r="N122" s="127" t="e">
        <x:f>HYPERLINK("http://arxiv.org/abs/2504.02702v2","Open PDF / Source")</x:f>
        <x:v>HYPERLINK is not implemented. linkLocation=http://arxiv.org/abs/2504.02702v2, friendlyName=Open PDF / Source</x:v>
      </x:c>
      <x:c r="O122" s="127" t="str">
        <x:v>v2_high_recall/v2_high_recall/reading_records/R28_arxiv_2504_02702.md</x:v>
      </x:c>
    </x:row>
    <x:row r="123" ht="84" customHeight="1">
      <x:c r="A123" s="124" t="str"/>
      <x:c r="B123" s="124" t="str">
        <x:v>PDF_FIRST_PAGE</x:v>
      </x:c>
      <x:c r="C123" s="124" t="str">
        <x:v>2025 Zitong Xu</x:v>
      </x:c>
      <x:c r="D123" s="124" t="str">
        <x:v>L120</x:v>
      </x:c>
      <x:c r="E123" s="134" t="n">
        <x:v>2025</x:v>
      </x:c>
      <x:c r="F123" s="124" t="str">
        <x:v>Constraints on Axion Mediated Dipole-Dipole Interactions</x:v>
      </x:c>
      <x:c r="G123" s="124" t="str">
        <x:v>Zitong Xu; Xing Heng; Guoqing Tian; Di Gong; Lei Cong; Wei Ji; Dmitry Budker; Kai Wei</x:v>
      </x:c>
      <x:c r="H123" s="124" t="str">
        <x:v>Physical Review Letters</x:v>
      </x:c>
      <x:c r="I123" s="124" t="str">
        <x:v>Neutron &amp; nucleon</x:v>
      </x:c>
      <x:c r="J123" s="138" t="str">
        <x:v>C1</x:v>
      </x:c>
      <x:c r="K123" s="138" t="str">
        <x:v>secondary</x:v>
      </x:c>
      <x:c r="L123" s="124" t="e">
        <x:f>HYPERLINK("https://doi.org/10.1103/physrevlett.134.181801","10.1103/physrevlett.134.181801")</x:f>
        <x:v>HYPERLINK is not implemented. linkLocation=https://doi.org/10.1103/physrevlett.134.181801, friendlyName=10.1103/physrevlett.134.181801</x:v>
      </x:c>
      <x:c r="M123" s="124" t="str"/>
      <x:c r="N123" s="124" t="e">
        <x:f>HYPERLINK("https://export.arxiv.org/pdf/2501.07865","Open PDF / Source")</x:f>
        <x:v>HYPERLINK is not implemented. linkLocation=https://export.arxiv.org/pdf/2501.07865, friendlyName=Open PDF / Source</x:v>
      </x:c>
      <x:c r="O123" s="124" t="str"/>
    </x:row>
    <x:row r="124" ht="84" customHeight="1">
      <x:c r="A124" s="127" t="str"/>
      <x:c r="B124" s="127" t="str">
        <x:v>PDF_FIRST_PAGE</x:v>
      </x:c>
      <x:c r="C124" s="127" t="str">
        <x:v>2025 Kenan Tian</x:v>
      </x:c>
      <x:c r="D124" s="127" t="str">
        <x:v>L121</x:v>
      </x:c>
      <x:c r="E124" s="135" t="n">
        <x:v>2025</x:v>
      </x:c>
      <x:c r="F124" s="127" t="str">
        <x:v>Constraints on Velocity and Spin Dependent Exotic Interaction at the Millimeter Scale with a Diamagnetic-levitated Force Sensor</x:v>
      </x:c>
      <x:c r="G124" s="127" t="str">
        <x:v>Kenan Tian; Yuanji Sheng; Rui Li; Lei Wang; Peiran Yin; Shaochun Lin; Dingjiang Long; Chang-Kui Duan; Xi Kong; Pu Huang; Jiangfeng Du</x:v>
      </x:c>
      <x:c r="H124" s="127" t="str">
        <x:v>Phys. Rev. Lett. 134, 111001 (2025)</x:v>
      </x:c>
      <x:c r="I124" s="127" t="str">
        <x:v>Torsion &amp; geophysical</x:v>
      </x:c>
      <x:c r="J124" s="139" t="str">
        <x:v>C3</x:v>
      </x:c>
      <x:c r="K124" s="139" t="str">
        <x:v>green_check</x:v>
      </x:c>
      <x:c r="L124" s="127" t="e">
        <x:f>HYPERLINK("https://doi.org/10.1103/physrevlett.134.111001","10.1103/physrevlett.134.111001")</x:f>
        <x:v>HYPERLINK is not implemented. linkLocation=https://doi.org/10.1103/physrevlett.134.111001, friendlyName=10.1103/physrevlett.134.111001</x:v>
      </x:c>
      <x:c r="M124" s="127" t="e">
        <x:f>HYPERLINK("https://arxiv.org/abs/2503.20270","2503.20270")</x:f>
        <x:v>HYPERLINK is not implemented. linkLocation=https://arxiv.org/abs/2503.20270, friendlyName=2503.2027</x:v>
      </x:c>
      <x:c r="N124" s="127" t="e">
        <x:f>HYPERLINK("http://arxiv.org/abs/2503.20270v2","Open PDF / Source")</x:f>
        <x:v>HYPERLINK is not implemented. linkLocation=http://arxiv.org/abs/2503.20270v2, friendlyName=Open PDF / Source</x:v>
      </x:c>
      <x:c r="O124" s="127" t="str">
        <x:v>v2_high_recall/v2_high_recall/reading_records/R26_arxiv_2503_20270.md</x:v>
      </x:c>
    </x:row>
    <x:row r="125" ht="84" customHeight="1">
      <x:c r="A125" s="124" t="str"/>
      <x:c r="B125" s="124" t="str">
        <x:v>PDF_FIRST_PAGE</x:v>
      </x:c>
      <x:c r="C125" s="124" t="str">
        <x:v>2025 Dongyi Yang</x:v>
      </x:c>
      <x:c r="D125" s="124" t="str">
        <x:v>L122</x:v>
      </x:c>
      <x:c r="E125" s="134" t="n">
        <x:v>2025</x:v>
      </x:c>
      <x:c r="F125" s="124" t="str">
        <x:v>Constraints on axion dark matter by spin-dependent macroscopic force</x:v>
      </x:c>
      <x:c r="G125" s="124" t="str">
        <x:v>Dongyi Yang; Chenxi Sun; Jianwei Zhang</x:v>
      </x:c>
      <x:c r="H125" s="124" t="str">
        <x:v>Physical Review D</x:v>
      </x:c>
      <x:c r="I125" s="124" t="str">
        <x:v>Astro, DM &amp; space</x:v>
      </x:c>
      <x:c r="J125" s="138" t="str">
        <x:v>C1</x:v>
      </x:c>
      <x:c r="K125" s="138" t="str">
        <x:v>secondary</x:v>
      </x:c>
      <x:c r="L125" s="124" t="e">
        <x:f>HYPERLINK("https://doi.org/10.1103/dxvs-stdk","10.1103/dxvs-stdk")</x:f>
        <x:v>HYPERLINK is not implemented. linkLocation=https://doi.org/10.1103/dxvs-stdk, friendlyName=10.1103/dxvs-stdk</x:v>
      </x:c>
      <x:c r="M125" s="124" t="str"/>
      <x:c r="N125" s="124" t="e">
        <x:f>HYPERLINK("https://arxiv.org/pdf/2507.17148","Open PDF / Source")</x:f>
        <x:v>HYPERLINK is not implemented. linkLocation=https://arxiv.org/pdf/2507.17148, friendlyName=Open PDF / Source</x:v>
      </x:c>
      <x:c r="O125" s="124" t="str"/>
    </x:row>
    <x:row r="126" ht="84" customHeight="1">
      <x:c r="A126" s="127" t="str"/>
      <x:c r="B126" s="127" t="str">
        <x:v>PDF_FIRST_PAGE</x:v>
      </x:c>
      <x:c r="C126" s="127" t="str">
        <x:v>2025 Konstantin Gaul</x:v>
      </x:c>
      <x:c r="D126" s="127" t="str">
        <x:v>L123</x:v>
      </x:c>
      <x:c r="E126" s="135" t="n">
        <x:v>2025</x:v>
      </x:c>
      <x:c r="F126" s="127" t="str">
        <x:v>Constraints on new vector boson mediated electron-nucleus interactions from spectroscopy of polar diatomic molecules</x:v>
      </x:c>
      <x:c r="G126" s="127" t="str">
        <x:v>Konstantin Gaul; Lei Cong; Dmitry Budker</x:v>
      </x:c>
      <x:c r="H126" s="127" t="str"/>
      <x:c r="I126" s="127" t="str">
        <x:v>Atomic &amp; molecular</x:v>
      </x:c>
      <x:c r="J126" s="139" t="str">
        <x:v>C3</x:v>
      </x:c>
      <x:c r="K126" s="139" t="str">
        <x:v>green_check</x:v>
      </x:c>
      <x:c r="L126" s="127" t="str"/>
      <x:c r="M126" s="127" t="e">
        <x:f>HYPERLINK("https://arxiv.org/abs/2503.08210","2503.08210")</x:f>
        <x:v>HYPERLINK is not implemented. linkLocation=https://arxiv.org/abs/2503.08210, friendlyName=2503.0821</x:v>
      </x:c>
      <x:c r="N126" s="127" t="e">
        <x:f>HYPERLINK("http://arxiv.org/abs/2503.08210v2","Open PDF / Source")</x:f>
        <x:v>HYPERLINK is not implemented. linkLocation=http://arxiv.org/abs/2503.08210v2, friendlyName=Open PDF / Source</x:v>
      </x:c>
      <x:c r="O126" s="127" t="str">
        <x:v>v2_high_recall/v2_high_recall/reading_records/R25_arxiv_2503_08210.md</x:v>
      </x:c>
    </x:row>
    <x:row r="127" ht="84" customHeight="1">
      <x:c r="A127" s="124" t="str"/>
      <x:c r="B127" s="124" t="str">
        <x:v>PDF_FIRST_PAGE</x:v>
      </x:c>
      <x:c r="C127" s="124" t="str">
        <x:v>2025 Sumin Li</x:v>
      </x:c>
      <x:c r="D127" s="124" t="str">
        <x:v>L124</x:v>
      </x:c>
      <x:c r="E127" s="134" t="n">
        <x:v>2025</x:v>
      </x:c>
      <x:c r="F127" s="124" t="str">
        <x:v>Improved Limits on the Spin- and Velocity-Dependent Exotic Interaction in the Micrometer Range</x:v>
      </x:c>
      <x:c r="G127" s="124" t="str">
        <x:v>Sumin Li; Wenbo Zhang; Rui Luo; Jinquan Liu; Pengshun Luo</x:v>
      </x:c>
      <x:c r="H127" s="124" t="str">
        <x:v>Physical Review Letters</x:v>
      </x:c>
      <x:c r="I127" s="124" t="str">
        <x:v>Other precision probes</x:v>
      </x:c>
      <x:c r="J127" s="138" t="str">
        <x:v>C1</x:v>
      </x:c>
      <x:c r="K127" s="138" t="str">
        <x:v>secondary</x:v>
      </x:c>
      <x:c r="L127" s="124" t="e">
        <x:f>HYPERLINK("https://doi.org/10.1103/4bkl-cn8k","10.1103/4bkl-cn8k")</x:f>
        <x:v>HYPERLINK is not implemented. linkLocation=https://doi.org/10.1103/4bkl-cn8k, friendlyName=10.1103/4bkl-cn8k</x:v>
      </x:c>
      <x:c r="M127" s="124" t="str"/>
      <x:c r="N127" s="124" t="e">
        <x:f>HYPERLINK("https://export.arxiv.org/pdf/2501.10973","Open PDF / Source")</x:f>
        <x:v>HYPERLINK is not implemented. linkLocation=https://export.arxiv.org/pdf/2501.10973, friendlyName=Open PDF / Source</x:v>
      </x:c>
      <x:c r="O127" s="124" t="str"/>
    </x:row>
    <x:row r="128" ht="84" customHeight="1">
      <x:c r="A128" s="127" t="str"/>
      <x:c r="B128" s="127" t="str">
        <x:v>PDF_FIRST_PAGE</x:v>
      </x:c>
      <x:c r="C128" s="127" t="str">
        <x:v>2025 Lei Cong</x:v>
      </x:c>
      <x:c r="D128" s="127" t="str">
        <x:v>L125</x:v>
      </x:c>
      <x:c r="E128" s="135" t="n">
        <x:v>2025</x:v>
      </x:c>
      <x:c r="F128" s="127" t="str">
        <x:v>Improved constraints on exotic interactions between electron and proton in hydrogen</x:v>
      </x:c>
      <x:c r="G128" s="127" t="str">
        <x:v>Lei Cong; Filip Ficek; Pavel Fadeev; Dmitry Budker</x:v>
      </x:c>
      <x:c r="H128" s="127" t="str"/>
      <x:c r="I128" s="127" t="str">
        <x:v>Other precision probes</x:v>
      </x:c>
      <x:c r="J128" s="139" t="str">
        <x:v>C3</x:v>
      </x:c>
      <x:c r="K128" s="139" t="str">
        <x:v>green_check</x:v>
      </x:c>
      <x:c r="L128" s="127" t="e">
        <x:f>HYPERLINK("https://doi.org/10.1103/8nyk-sysy","10.1103/8nyk-sysy")</x:f>
        <x:v>HYPERLINK is not implemented. linkLocation=https://doi.org/10.1103/8nyk-sysy, friendlyName=10.1103/8nyk-sysy</x:v>
      </x:c>
      <x:c r="M128" s="127" t="e">
        <x:f>HYPERLINK("https://arxiv.org/abs/2408.11009","2408.11009")</x:f>
        <x:v>HYPERLINK is not implemented. linkLocation=https://arxiv.org/abs/2408.11009, friendlyName=2408.11009</x:v>
      </x:c>
      <x:c r="N128" s="127" t="e">
        <x:f>HYPERLINK("https://arxiv.org/abs/2408.11009","Open PDF / Source")</x:f>
        <x:v>HYPERLINK is not implemented. linkLocation=https://arxiv.org/abs/2408.11009, friendlyName=Open PDF / Source</x:v>
      </x:c>
      <x:c r="O128" s="127" t="str">
        <x:v>v2_high_recall/reading_records/R05_cong_2025_hydrogen.md</x:v>
      </x:c>
    </x:row>
    <x:row r="129" ht="84" customHeight="1">
      <x:c r="A129" s="124" t="str"/>
      <x:c r="B129" s="124" t="str">
        <x:v>PDF_FIRST_PAGE</x:v>
      </x:c>
      <x:c r="C129" s="124" t="str">
        <x:v>2025 Jaume Cunill-Subiranas</x:v>
      </x:c>
      <x:c r="D129" s="124" t="str">
        <x:v>L126</x:v>
      </x:c>
      <x:c r="E129" s="134" t="n">
        <x:v>2025</x:v>
      </x:c>
      <x:c r="F129" s="124" t="str">
        <x:v>Magnetic flux threading a planar holed superconductor</x:v>
      </x:c>
      <x:c r="G129" s="124" t="str">
        <x:v>Jaume Cunill-Subiranas; Natanael Bort-Soldevila; Nuria Del-Valle; Carles Navau</x:v>
      </x:c>
      <x:c r="H129" s="124" t="str">
        <x:v>Phys. Rev. B 111, 174530 (2025)</x:v>
      </x:c>
      <x:c r="I129" s="124" t="str">
        <x:v>Other precision probes</x:v>
      </x:c>
      <x:c r="J129" s="138" t="str">
        <x:v>C1_arxiv</x:v>
      </x:c>
      <x:c r="K129" s="138" t="str">
        <x:v>secondary</x:v>
      </x:c>
      <x:c r="L129" s="124" t="e">
        <x:f>HYPERLINK("https://doi.org/10.1103/physrevb.111.174530","10.1103/physrevb.111.174530")</x:f>
        <x:v>HYPERLINK is not implemented. linkLocation=https://doi.org/10.1103/physrevb.111.174530, friendlyName=10.1103/physrevb.111.174530</x:v>
      </x:c>
      <x:c r="M129" s="124" t="e">
        <x:f>HYPERLINK("https://arxiv.org/abs/2507.05041","2507.05041")</x:f>
        <x:v>HYPERLINK is not implemented. linkLocation=https://arxiv.org/abs/2507.05041, friendlyName=2507.05041</x:v>
      </x:c>
      <x:c r="N129" s="124" t="e">
        <x:f>HYPERLINK("https://export.arxiv.org/pdf/2507.05041","Open PDF / Source")</x:f>
        <x:v>HYPERLINK is not implemented. linkLocation=https://export.arxiv.org/pdf/2507.05041, friendlyName=Open PDF / Source</x:v>
      </x:c>
      <x:c r="O129" s="124" t="str"/>
    </x:row>
    <x:row r="130" ht="84" customHeight="1">
      <x:c r="A130" s="127" t="str"/>
      <x:c r="B130" s="127" t="str">
        <x:v>PDF_FIRST_PAGE</x:v>
      </x:c>
      <x:c r="C130" s="127" t="str">
        <x:v>2025 Zitong Xu</x:v>
      </x:c>
      <x:c r="D130" s="127" t="str">
        <x:v>L127</x:v>
      </x:c>
      <x:c r="E130" s="135" t="n">
        <x:v>2025</x:v>
      </x:c>
      <x:c r="F130" s="127" t="str">
        <x:v>New Constraints on Axion Mediated Dipole-Dipole Interactions</x:v>
      </x:c>
      <x:c r="G130" s="127" t="str">
        <x:v>Zitong Xu; Xing Heng; Guoqing Tian; Di Gong; Lei Cong; Wei Ji; Dmitry Budker; Kai Wei</x:v>
      </x:c>
      <x:c r="H130" s="127" t="str"/>
      <x:c r="I130" s="127" t="str">
        <x:v>Torsion &amp; geophysical</x:v>
      </x:c>
      <x:c r="J130" s="139" t="str">
        <x:v>C3</x:v>
      </x:c>
      <x:c r="K130" s="139" t="str">
        <x:v>green_check</x:v>
      </x:c>
      <x:c r="L130" s="127" t="str"/>
      <x:c r="M130" s="127" t="e">
        <x:f>HYPERLINK("https://arxiv.org/abs/2501.07865","2501.07865")</x:f>
        <x:v>HYPERLINK is not implemented. linkLocation=https://arxiv.org/abs/2501.07865, friendlyName=2501.07865</x:v>
      </x:c>
      <x:c r="N130" s="127" t="e">
        <x:f>HYPERLINK("http://arxiv.org/abs/2501.07865v1","Open PDF / Source")</x:f>
        <x:v>HYPERLINK is not implemented. linkLocation=http://arxiv.org/abs/2501.07865v1, friendlyName=Open PDF / Source</x:v>
      </x:c>
      <x:c r="O130" s="127" t="str">
        <x:v>v2_high_recall/v2_high_recall/reading_records/R24_arxiv_2501_07865.md</x:v>
      </x:c>
    </x:row>
    <x:row r="131" ht="84" customHeight="1">
      <x:c r="A131" s="124" t="str"/>
      <x:c r="B131" s="124" t="str">
        <x:v>PDF_FIRST_PAGE</x:v>
      </x:c>
      <x:c r="C131" s="124" t="str">
        <x:v>2025 T. Mulkey</x:v>
      </x:c>
      <x:c r="D131" s="124" t="str">
        <x:v>L128</x:v>
      </x:c>
      <x:c r="E131" s="134" t="n">
        <x:v>2025</x:v>
      </x:c>
      <x:c r="F131" s="124" t="str">
        <x:v>New Upper Bounds on Exotic Neutron Spin-Electron Spin Interactions via Neutron Spin Rotation Measurements in a Compensated Ferrimagnet</x:v>
      </x:c>
      <x:c r="G131" s="124" t="str">
        <x:v>T. Mulkey; K. N. Lopez; C. D. Hughes; B. Hill; M. Van Meter; H. Wijeratne; J. C. Long; M. Sarsour; W. M. Snow; K. Li; R. Parajuli; S. Samiei; D. V. Baxter; M. Luxnat; Y. Zhang; C. Jiang; E. Stringfellow; J. Torres; R. Hobbs</x:v>
      </x:c>
      <x:c r="H131" s="124" t="str"/>
      <x:c r="I131" s="124" t="str">
        <x:v>Neutron &amp; nucleon</x:v>
      </x:c>
      <x:c r="J131" s="138" t="str">
        <x:v>C3</x:v>
      </x:c>
      <x:c r="K131" s="138" t="str">
        <x:v>green_check</x:v>
      </x:c>
      <x:c r="L131" s="124" t="str"/>
      <x:c r="M131" s="124" t="e">
        <x:f>HYPERLINK("https://arxiv.org/abs/2508.14243","2508.14243")</x:f>
        <x:v>HYPERLINK is not implemented. linkLocation=https://arxiv.org/abs/2508.14243, friendlyName=2508.14243</x:v>
      </x:c>
      <x:c r="N131" s="124" t="e">
        <x:f>HYPERLINK("http://arxiv.org/abs/2508.14243v1","Open PDF / Source")</x:f>
        <x:v>HYPERLINK is not implemented. linkLocation=http://arxiv.org/abs/2508.14243v1, friendlyName=Open PDF / Source</x:v>
      </x:c>
      <x:c r="O131" s="124" t="str">
        <x:v>v2_high_recall/v2_high_recall/reading_records/R30_arxiv_2508_14243.md</x:v>
      </x:c>
    </x:row>
    <x:row r="132" ht="84" customHeight="1">
      <x:c r="A132" s="127" t="str"/>
      <x:c r="B132" s="127" t="str">
        <x:v>PDF_FIRST_PAGE</x:v>
      </x:c>
      <x:c r="C132" s="127" t="str">
        <x:v>2025 Yixin Zhao</x:v>
      </x:c>
      <x:c r="D132" s="127" t="str">
        <x:v>L129</x:v>
      </x:c>
      <x:c r="E132" s="135" t="n">
        <x:v>2025</x:v>
      </x:c>
      <x:c r="F132" s="127" t="str">
        <x:v>Response of Comagnetometer to Exotic Spin-Dependent Couplings</x:v>
      </x:c>
      <x:c r="G132" s="127" t="str">
        <x:v>Yixin Zhao; Xiang Peng; Teng Wu; Hong Guo</x:v>
      </x:c>
      <x:c r="H132" s="127" t="str"/>
      <x:c r="I132" s="127" t="str">
        <x:v>Atomic &amp; molecular</x:v>
      </x:c>
      <x:c r="J132" s="139" t="str">
        <x:v>C3</x:v>
      </x:c>
      <x:c r="K132" s="139" t="str">
        <x:v>secondary</x:v>
      </x:c>
      <x:c r="L132" s="127" t="str"/>
      <x:c r="M132" s="127" t="e">
        <x:f>HYPERLINK("https://arxiv.org/abs/2506.15046","2506.15046")</x:f>
        <x:v>HYPERLINK is not implemented. linkLocation=https://arxiv.org/abs/2506.15046, friendlyName=2506.15046</x:v>
      </x:c>
      <x:c r="N132" s="127" t="e">
        <x:f>HYPERLINK("http://arxiv.org/abs/2506.15046v1","Open PDF / Source")</x:f>
        <x:v>HYPERLINK is not implemented. linkLocation=http://arxiv.org/abs/2506.15046v1, friendlyName=Open PDF / Source</x:v>
      </x:c>
      <x:c r="O132" s="127" t="str">
        <x:v>v2_high_recall/v2_high_recall/reading_records/R29_arxiv_2506_15046.md</x:v>
      </x:c>
    </x:row>
    <x:row r="133" ht="84" customHeight="1">
      <x:c r="A133" s="124" t="str"/>
      <x:c r="B133" s="124" t="str">
        <x:v>PDF_FIRST_PAGE</x:v>
      </x:c>
      <x:c r="C133" s="124" t="str">
        <x:v>2025 Yixin Zhao</x:v>
      </x:c>
      <x:c r="D133" s="124" t="str">
        <x:v>L130</x:v>
      </x:c>
      <x:c r="E133" s="134" t="n">
        <x:v>2025</x:v>
      </x:c>
      <x:c r="F133" s="124" t="str">
        <x:v>Response of comagnetometers to exotic spin-dependent couplings</x:v>
      </x:c>
      <x:c r="G133" s="124" t="str">
        <x:v>Yixin Zhao; Xiang Peng; Teng Wu; Hong Guo</x:v>
      </x:c>
      <x:c r="H133" s="124" t="str">
        <x:v>Physical Review D</x:v>
      </x:c>
      <x:c r="I133" s="124" t="str">
        <x:v>Vapor spins &amp; comagnetometry</x:v>
      </x:c>
      <x:c r="J133" s="138" t="str">
        <x:v>C1</x:v>
      </x:c>
      <x:c r="K133" s="138" t="str">
        <x:v>secondary</x:v>
      </x:c>
      <x:c r="L133" s="124" t="e">
        <x:f>HYPERLINK("https://doi.org/10.1103/824f-v3w5","10.1103/824f-v3w5")</x:f>
        <x:v>HYPERLINK is not implemented. linkLocation=https://doi.org/10.1103/824f-v3w5, friendlyName=10.1103/824f-v3w5</x:v>
      </x:c>
      <x:c r="M133" s="124" t="str"/>
      <x:c r="N133" s="124" t="e">
        <x:f>HYPERLINK("https://arxiv.org/pdf/2506.15046v1","Open PDF / Source")</x:f>
        <x:v>HYPERLINK is not implemented. linkLocation=https://arxiv.org/pdf/2506.15046v1, friendlyName=Open PDF / Source</x:v>
      </x:c>
      <x:c r="O133" s="124" t="str"/>
    </x:row>
    <x:row r="134" ht="84" customHeight="1">
      <x:c r="A134" s="127" t="str"/>
      <x:c r="B134" s="127" t="str">
        <x:v>METADATA_CARD</x:v>
      </x:c>
      <x:c r="C134" s="127" t="str">
        <x:v>2025 Xiyu Liu</x:v>
      </x:c>
      <x:c r="D134" s="127" t="str">
        <x:v>L131</x:v>
      </x:c>
      <x:c r="E134" s="135" t="n">
        <x:v>2025</x:v>
      </x:c>
      <x:c r="F134" s="127" t="str">
        <x:v>Search for Exotic Spin-Dependent Interactions with Dressed Atoms</x:v>
      </x:c>
      <x:c r="G134" s="127" t="str">
        <x:v>Xiyu Liu; Wei Xiao; Meng Liu; Xiang Peng; Teng Wu; Hong Guo</x:v>
      </x:c>
      <x:c r="H134" s="127" t="str">
        <x:v>Physical Review Letters</x:v>
      </x:c>
      <x:c r="I134" s="127" t="str">
        <x:v>Atomic &amp; molecular</x:v>
      </x:c>
      <x:c r="J134" s="139" t="str">
        <x:v>C1</x:v>
      </x:c>
      <x:c r="K134" s="139" t="str">
        <x:v>secondary</x:v>
      </x:c>
      <x:c r="L134" s="127" t="e">
        <x:f>HYPERLINK("https://doi.org/10.1103/gg1j-4bst","10.1103/gg1j-4bst")</x:f>
        <x:v>HYPERLINK is not implemented. linkLocation=https://doi.org/10.1103/gg1j-4bst, friendlyName=10.1103/gg1j-4bst</x:v>
      </x:c>
      <x:c r="M134" s="127" t="str"/>
      <x:c r="N134" s="127" t="e">
        <x:f>HYPERLINK("https://doi.org/10.1103/gg1j-4bst","Open PDF / Source")</x:f>
        <x:v>HYPERLINK is not implemented. linkLocation=https://doi.org/10.1103/gg1j-4bst, friendlyName=Open PDF / Source</x:v>
      </x:c>
      <x:c r="O134" s="127" t="str"/>
    </x:row>
    <x:row r="135" ht="84" customHeight="1">
      <x:c r="A135" s="124" t="str"/>
      <x:c r="B135" s="124" t="str">
        <x:v>PDF_FIRST_PAGE</x:v>
      </x:c>
      <x:c r="C135" s="124" t="str">
        <x:v>2025 Lei Cong</x:v>
      </x:c>
      <x:c r="D135" s="124" t="str">
        <x:v>L132</x:v>
      </x:c>
      <x:c r="E135" s="134" t="n">
        <x:v>2025</x:v>
      </x:c>
      <x:c r="F135" s="124" t="str">
        <x:v>Searching for Exotic Interactions between Antimatter</x:v>
      </x:c>
      <x:c r="G135" s="124" t="str">
        <x:v>Lei Cong; Filip Ficek; Pavel Fadeev; Yevgeny V. Stadnik; Dmitry Budker</x:v>
      </x:c>
      <x:c r="H135" s="124" t="str"/>
      <x:c r="I135" s="124" t="str">
        <x:v>Atomic &amp; molecular</x:v>
      </x:c>
      <x:c r="J135" s="138" t="str">
        <x:v>C1_arxiv</x:v>
      </x:c>
      <x:c r="K135" s="138" t="str">
        <x:v>secondary</x:v>
      </x:c>
      <x:c r="L135" s="124" t="str"/>
      <x:c r="M135" s="124" t="e">
        <x:f>HYPERLINK("https://arxiv.org/abs/2503.07161","2503.07161")</x:f>
        <x:v>HYPERLINK is not implemented. linkLocation=https://arxiv.org/abs/2503.07161, friendlyName=2503.07161</x:v>
      </x:c>
      <x:c r="N135" s="124" t="e">
        <x:f>HYPERLINK("https://export.arxiv.org/pdf/2503.07161","Open PDF / Source")</x:f>
        <x:v>HYPERLINK is not implemented. linkLocation=https://export.arxiv.org/pdf/2503.07161, friendlyName=Open PDF / Source</x:v>
      </x:c>
      <x:c r="O135" s="124" t="str"/>
    </x:row>
    <x:row r="136" ht="84" customHeight="1">
      <x:c r="A136" s="127" t="str"/>
      <x:c r="B136" s="127" t="str">
        <x:v>PDF_FIRST_PAGE</x:v>
      </x:c>
      <x:c r="C136" s="127" t="str">
        <x:v>2025 Lei Cong</x:v>
      </x:c>
      <x:c r="D136" s="127" t="str">
        <x:v>L133</x:v>
      </x:c>
      <x:c r="E136" s="135" t="n">
        <x:v>2025</x:v>
      </x:c>
      <x:c r="F136" s="127" t="str">
        <x:v>Spin-dependent exotic interactions</x:v>
      </x:c>
      <x:c r="G136" s="127" t="str">
        <x:v>Lei Cong; Wei Ji; Pavel Fadeev; Filip Ficek; Min Jiang; Victor V. Flambaum; Haosen Guan; Derek F. Jackson Kimball; Mikhail G. Kozlov; Yevgeny V. Stadnik; Dmitry Budker</x:v>
      </x:c>
      <x:c r="H136" s="127" t="str">
        <x:v>Reviews of Modern Physics</x:v>
      </x:c>
      <x:c r="I136" s="127" t="str">
        <x:v>Reviews &amp; taxonomy</x:v>
      </x:c>
      <x:c r="J136" s="139" t="str">
        <x:v>C3</x:v>
      </x:c>
      <x:c r="K136" s="139" t="str">
        <x:v>green_check</x:v>
      </x:c>
      <x:c r="L136" s="127" t="e">
        <x:f>HYPERLINK("https://doi.org/10.1103/revmodphys.97.025005","10.1103/revmodphys.97.025005")</x:f>
        <x:v>HYPERLINK is not implemented. linkLocation=https://doi.org/10.1103/revmodphys.97.025005, friendlyName=10.1103/revmodphys.97.025005</x:v>
      </x:c>
      <x:c r="M136" s="127" t="e">
        <x:f>HYPERLINK("https://arxiv.org/abs/2408.15691","2408.15691")</x:f>
        <x:v>HYPERLINK is not implemented. linkLocation=https://arxiv.org/abs/2408.15691, friendlyName=2408.15691</x:v>
      </x:c>
      <x:c r="N136" s="127" t="e">
        <x:f>HYPERLINK("https://doi.org/10.1103/revmodphys.97.025005","Open PDF / Source")</x:f>
        <x:v>HYPERLINK is not implemented. linkLocation=https://doi.org/10.1103/revmodphys.97.025005, friendlyName=Open PDF / Source</x:v>
      </x:c>
      <x:c r="O136" s="127" t="str">
        <x:v>v2_high_recall/reading_records/R04_spin_dependent_review_2025.md</x:v>
      </x:c>
    </x:row>
    <x:row r="137" ht="84" customHeight="1">
      <x:c r="A137" s="124" t="str"/>
      <x:c r="B137" s="124" t="str">
        <x:v>PDF_FIRST_PAGE</x:v>
      </x:c>
      <x:c r="C137" s="124" t="str">
        <x:v>2026 Dmitry Budker</x:v>
      </x:c>
      <x:c r="D137" s="124" t="str">
        <x:v>L134</x:v>
      </x:c>
      <x:c r="E137" s="134" t="n">
        <x:v>2026</x:v>
      </x:c>
      <x:c r="F137" s="124" t="str">
        <x:v>100 years of spin: fundamental physics, dark matter, exotic interactions, and all that</x:v>
      </x:c>
      <x:c r="G137" s="124" t="str">
        <x:v>Dmitry Budker; Tim Chupp; Klaus Kirch; W. Mike Snow</x:v>
      </x:c>
      <x:c r="H137" s="124" t="str"/>
      <x:c r="I137" s="124" t="str">
        <x:v>Astro, DM &amp; space</x:v>
      </x:c>
      <x:c r="J137" s="138" t="str">
        <x:v>C1_arxiv</x:v>
      </x:c>
      <x:c r="K137" s="138" t="str">
        <x:v>secondary</x:v>
      </x:c>
      <x:c r="L137" s="124" t="str"/>
      <x:c r="M137" s="124" t="e">
        <x:f>HYPERLINK("https://arxiv.org/abs/2604.00231","2604.00231")</x:f>
        <x:v>HYPERLINK is not implemented. linkLocation=https://arxiv.org/abs/2604.00231, friendlyName=2604.00231</x:v>
      </x:c>
      <x:c r="N137" s="124" t="e">
        <x:f>HYPERLINK("https://export.arxiv.org/pdf/2604.00231","Open PDF / Source")</x:f>
        <x:v>HYPERLINK is not implemented. linkLocation=https://export.arxiv.org/pdf/2604.00231, friendlyName=Open PDF / Source</x:v>
      </x:c>
      <x:c r="O137" s="124" t="str"/>
    </x:row>
    <x:row r="138" ht="84" customHeight="1">
      <x:c r="A138" s="127" t="str"/>
      <x:c r="B138" s="127" t="str">
        <x:v>PDF_FIRST_PAGE</x:v>
      </x:c>
      <x:c r="C138" s="127" t="str">
        <x:v>2026 Dorian W. P. Amaral</x:v>
      </x:c>
      <x:c r="D138" s="127" t="str">
        <x:v>L135</x:v>
      </x:c>
      <x:c r="E138" s="135" t="n">
        <x:v>2026</x:v>
      </x:c>
      <x:c r="F138" s="127" t="str">
        <x:v>A Levitated-Magnet Vector Force Sensor for Spin-Dependent Exotic Interactions</x:v>
      </x:c>
      <x:c r="G138" s="127" t="str">
        <x:v>Dorian W. P. Amaral; Lei Cong; Tim M. Fuchs; Hendrik Ulbricht; Dmitry Budker</x:v>
      </x:c>
      <x:c r="H138" s="127" t="str"/>
      <x:c r="I138" s="127" t="str">
        <x:v>Reviews &amp; taxonomy</x:v>
      </x:c>
      <x:c r="J138" s="139" t="str">
        <x:v>C3</x:v>
      </x:c>
      <x:c r="K138" s="139" t="str">
        <x:v>secondary</x:v>
      </x:c>
      <x:c r="L138" s="127" t="str"/>
      <x:c r="M138" s="127" t="e">
        <x:f>HYPERLINK("https://arxiv.org/abs/2606.30781","2606.30781")</x:f>
        <x:v>HYPERLINK is not implemented. linkLocation=https://arxiv.org/abs/2606.30781, friendlyName=2606.30781</x:v>
      </x:c>
      <x:c r="N138" s="127" t="e">
        <x:f>HYPERLINK("http://arxiv.org/abs/2606.30781v1","Open PDF / Source")</x:f>
        <x:v>HYPERLINK is not implemented. linkLocation=http://arxiv.org/abs/2606.30781v1, friendlyName=Open PDF / Source</x:v>
      </x:c>
      <x:c r="O138" s="127" t="str">
        <x:v>v2_high_recall/v2_high_recall/reading_records/R34_arxiv_2606_30781.md</x:v>
      </x:c>
    </x:row>
    <x:row r="139" ht="84" customHeight="1">
      <x:c r="A139" s="124" t="str"/>
      <x:c r="B139" s="124" t="str">
        <x:v>PDF_FIRST_PAGE</x:v>
      </x:c>
      <x:c r="C139" s="124" t="str">
        <x:v>2026 L. Y. Wu</x:v>
      </x:c>
      <x:c r="D139" s="124" t="str">
        <x:v>L136</x:v>
      </x:c>
      <x:c r="E139" s="134" t="n">
        <x:v>2026</x:v>
      </x:c>
      <x:c r="F139" s="124" t="str">
        <x:v>Exploring Exotic Spin-Dependent Interactions Beyond the Standard Model: Theoretical Foundations and Experimental Investigations</x:v>
      </x:c>
      <x:c r="G139" s="124" t="str">
        <x:v>L. Y. Wu; H. Yan</x:v>
      </x:c>
      <x:c r="H139" s="124" t="str"/>
      <x:c r="I139" s="124" t="str">
        <x:v>Torsion &amp; geophysical</x:v>
      </x:c>
      <x:c r="J139" s="138" t="str">
        <x:v>C3</x:v>
      </x:c>
      <x:c r="K139" s="138" t="str">
        <x:v>green_check</x:v>
      </x:c>
      <x:c r="L139" s="124" t="str"/>
      <x:c r="M139" s="124" t="e">
        <x:f>HYPERLINK("https://arxiv.org/abs/2606.13318","2606.13318")</x:f>
        <x:v>HYPERLINK is not implemented. linkLocation=https://arxiv.org/abs/2606.13318, friendlyName=2606.13318</x:v>
      </x:c>
      <x:c r="N139" s="124" t="e">
        <x:f>HYPERLINK("http://arxiv.org/abs/2606.13318v1","Open PDF / Source")</x:f>
        <x:v>HYPERLINK is not implemented. linkLocation=http://arxiv.org/abs/2606.13318v1, friendlyName=Open PDF / Source</x:v>
      </x:c>
      <x:c r="O139" s="124" t="str">
        <x:v>v2_high_recall/v2_high_recall/reading_records/R33_arxiv_2606_13318.md</x:v>
      </x:c>
    </x:row>
    <x:row r="140" ht="84" customHeight="1">
      <x:c r="A140" s="127" t="str"/>
      <x:c r="B140" s="127" t="str">
        <x:v>PDF_FIRST_PAGE</x:v>
      </x:c>
      <x:c r="C140" s="127" t="str">
        <x:v>2026 L Y Wu</x:v>
      </x:c>
      <x:c r="D140" s="127" t="str">
        <x:v>L137</x:v>
      </x:c>
      <x:c r="E140" s="135" t="n">
        <x:v>2026</x:v>
      </x:c>
      <x:c r="F140" s="127" t="str">
        <x:v>Exploring exotic spin-dependent interactions beyond the standard model: theoretical foundations and experimental investigations</x:v>
      </x:c>
      <x:c r="G140" s="127" t="str">
        <x:v>L Y Wu; H Yan</x:v>
      </x:c>
      <x:c r="H140" s="127" t="str">
        <x:v>Reports on Progress in Physics</x:v>
      </x:c>
      <x:c r="I140" s="127" t="str">
        <x:v>Solid-state &amp; mechanics</x:v>
      </x:c>
      <x:c r="J140" s="139" t="str">
        <x:v>C1</x:v>
      </x:c>
      <x:c r="K140" s="139" t="str">
        <x:v>secondary</x:v>
      </x:c>
      <x:c r="L140" s="127" t="e">
        <x:f>HYPERLINK("https://doi.org/10.1088/1361-6633/ae8919","10.1088/1361-6633/ae8919")</x:f>
        <x:v>HYPERLINK is not implemented. linkLocation=https://doi.org/10.1088/1361-6633/ae8919, friendlyName=10.1088/1361-6633/ae8919</x:v>
      </x:c>
      <x:c r="M140" s="127" t="str"/>
      <x:c r="N140" s="127" t="e">
        <x:f>HYPERLINK("https://export.arxiv.org/pdf/2606.13318","Open PDF / Source")</x:f>
        <x:v>HYPERLINK is not implemented. linkLocation=https://export.arxiv.org/pdf/2606.13318, friendlyName=Open PDF / Source</x:v>
      </x:c>
      <x:c r="O140" s="127" t="str"/>
    </x:row>
    <x:row r="141" ht="84" customHeight="1">
      <x:c r="A141" s="124" t="str"/>
      <x:c r="B141" s="124" t="str">
        <x:v>PDF_FIRST_PAGE</x:v>
      </x:c>
      <x:c r="C141" s="124" t="str">
        <x:v>2026 Charlotte M. König</x:v>
      </x:c>
      <x:c r="D141" s="124" t="str">
        <x:v>L138</x:v>
      </x:c>
      <x:c r="E141" s="134" t="n">
        <x:v>2026</x:v>
      </x:c>
      <x:c r="F141" s="124" t="str">
        <x:v>High-precision Penning-trap spectroscopy of the ground-state spin structure of HD+</x:v>
      </x:c>
      <x:c r="G141" s="124" t="str">
        <x:v>Charlotte M. König; Matthew Bohman; Fabian Heiße; Jonathan Morgner; Tim Sailer; Bingsheng Tu; Klaus Blaum; Sven Sturm; Dimitar Bakalov; Hugo D. Nogueira; Jean-Philippe Karr; Ossama Kullie; Stephan Schiller</x:v>
      </x:c>
      <x:c r="H141" s="124" t="str"/>
      <x:c r="I141" s="124" t="str">
        <x:v>HD+ molecular</x:v>
      </x:c>
      <x:c r="J141" s="138" t="str">
        <x:v>C3</x:v>
      </x:c>
      <x:c r="K141" s="138" t="str">
        <x:v>green_check</x:v>
      </x:c>
      <x:c r="L141" s="124" t="e">
        <x:f>HYPERLINK("https://doi.org/10.1103/vrl8-bpmz","10.1103/vrl8-bpmz")</x:f>
        <x:v>HYPERLINK is not implemented. linkLocation=https://doi.org/10.1103/vrl8-bpmz, friendlyName=10.1103/vrl8-bpmz</x:v>
      </x:c>
      <x:c r="M141" s="124" t="e">
        <x:f>HYPERLINK("https://arxiv.org/abs/2602.17522","2602.17522")</x:f>
        <x:v>HYPERLINK is not implemented. linkLocation=https://arxiv.org/abs/2602.17522, friendlyName=2602.17522</x:v>
      </x:c>
      <x:c r="N141" s="124" t="e">
        <x:f>HYPERLINK("https://arxiv.org/abs/2602.17522","Open PDF / Source")</x:f>
        <x:v>HYPERLINK is not implemented. linkLocation=https://arxiv.org/abs/2602.17522, friendlyName=Open PDF / Source</x:v>
      </x:c>
      <x:c r="O141" s="124" t="str">
        <x:v>v2_high_recall/reading_records/R11_koenig_2026.md</x:v>
      </x:c>
    </x:row>
    <x:row r="142" ht="84" customHeight="1">
      <x:c r="A142" s="127" t="str"/>
      <x:c r="B142" s="127" t="str">
        <x:v>PDF_FIRST_PAGE</x:v>
      </x:c>
      <x:c r="C142" s="127" t="str">
        <x:v>2026 T. Mulkey</x:v>
      </x:c>
      <x:c r="D142" s="127" t="str">
        <x:v>L139</x:v>
      </x:c>
      <x:c r="E142" s="135" t="n">
        <x:v>2026</x:v>
      </x:c>
      <x:c r="F142" s="127" t="str">
        <x:v>New Upper Bounds on Exotic Neutron-Spin–Electron-Spin Interactions via Neutron-Spin-Rotation Measurements in a Compensated Ferrimagnet</x:v>
      </x:c>
      <x:c r="G142" s="127" t="str">
        <x:v>T. Mulkey; K. N. Lopez; C. D. Hughes; B. Hill; M. Van Meter; H. Wijeratne; J. C. Long; M. Sarsour; W. M. Snow; K. Li; R. Parajuli; S. Samiei; D. V. Baxter; M. Luxnat; Y. Zhang; C. Jiang; E. Stringfellow; J. Torres; R. Hobbs</x:v>
      </x:c>
      <x:c r="H142" s="127" t="str">
        <x:v>Physical Review Letters</x:v>
      </x:c>
      <x:c r="I142" s="127" t="str">
        <x:v>Neutron &amp; nucleon</x:v>
      </x:c>
      <x:c r="J142" s="139" t="str">
        <x:v>C1</x:v>
      </x:c>
      <x:c r="K142" s="139" t="str">
        <x:v>secondary</x:v>
      </x:c>
      <x:c r="L142" s="127" t="e">
        <x:f>HYPERLINK("https://doi.org/10.1103/bjw2-fbfc","10.1103/bjw2-fbfc")</x:f>
        <x:v>HYPERLINK is not implemented. linkLocation=https://doi.org/10.1103/bjw2-fbfc, friendlyName=10.1103/bjw2-fbfc</x:v>
      </x:c>
      <x:c r="M142" s="127" t="str"/>
      <x:c r="N142" s="127" t="e">
        <x:f>HYPERLINK("https://export.arxiv.org/pdf/2508.14243","Open PDF / Source")</x:f>
        <x:v>HYPERLINK is not implemented. linkLocation=https://export.arxiv.org/pdf/2508.14243, friendlyName=Open PDF / Source</x:v>
      </x:c>
      <x:c r="O142" s="127" t="str"/>
    </x:row>
    <x:row r="143" ht="84" customHeight="1">
      <x:c r="A143" s="124" t="str"/>
      <x:c r="B143" s="124" t="str">
        <x:v>PDF_FIRST_PAGE</x:v>
      </x:c>
      <x:c r="C143" s="124" t="str">
        <x:v>2026 Chen Jin</x:v>
      </x:c>
      <x:c r="D143" s="124" t="str">
        <x:v>L140</x:v>
      </x:c>
      <x:c r="E143" s="134" t="n">
        <x:v>2026</x:v>
      </x:c>
      <x:c r="F143" s="124" t="str">
        <x:v>Novel torsion-balance approach to probe exotic spin-dependent interactions</x:v>
      </x:c>
      <x:c r="G143" s="124" t="str">
        <x:v>Chen Jin; Ren-Peng Li; Lin Zhu; Qi Liu; Pengshun Luo; Shan-Qing Yang; Cheng-Gang Shao</x:v>
      </x:c>
      <x:c r="H143" s="124" t="str">
        <x:v>Physical Review D</x:v>
      </x:c>
      <x:c r="I143" s="124" t="str">
        <x:v>Torsion &amp; geophysical</x:v>
      </x:c>
      <x:c r="J143" s="138" t="str">
        <x:v>C1</x:v>
      </x:c>
      <x:c r="K143" s="138" t="str">
        <x:v>secondary</x:v>
      </x:c>
      <x:c r="L143" s="124" t="e">
        <x:f>HYPERLINK("https://doi.org/10.1103/zqy9-tbqs","10.1103/zqy9-tbqs")</x:f>
        <x:v>HYPERLINK is not implemented. linkLocation=https://doi.org/10.1103/zqy9-tbqs, friendlyName=10.1103/zqy9-tbqs</x:v>
      </x:c>
      <x:c r="M143" s="124" t="str"/>
      <x:c r="N143" s="124" t="e">
        <x:f>HYPERLINK("https://harvest.aps.org/v2/journals/articles/10.1103/zqy9-tbqs/fulltext","Open PDF / Source")</x:f>
        <x:v>HYPERLINK is not implemented. linkLocation=https://harvest.aps.org/v2/journals/articles/10.1103/zqy9-tbqs/fulltext, friendlyName=Open PDF / Source</x:v>
      </x:c>
      <x:c r="O143" s="124" t="str"/>
    </x:row>
    <x:row r="144" ht="84" customHeight="1">
      <x:c r="A144" s="127" t="str"/>
      <x:c r="B144" s="127" t="str">
        <x:v>PDF_FIRST_PAGE</x:v>
      </x:c>
      <x:c r="C144" s="127" t="str">
        <x:v>2026 Xiaoxuan Lin</x:v>
      </x:c>
      <x:c r="D144" s="127" t="str">
        <x:v>L141</x:v>
      </x:c>
      <x:c r="E144" s="135" t="n">
        <x:v>2026</x:v>
      </x:c>
      <x:c r="F144" s="127" t="str">
        <x:v>Probing a Fifth Force in Muonic Atoms through Lamb Shifts and Hyperfine Structure</x:v>
      </x:c>
      <x:c r="G144" s="127" t="str">
        <x:v>Xiaoxuan Lin; Qian Wu; Wei Kou; Xurong Chen</x:v>
      </x:c>
      <x:c r="H144" s="127" t="str"/>
      <x:c r="I144" s="127" t="str">
        <x:v>Atomic &amp; molecular</x:v>
      </x:c>
      <x:c r="J144" s="139" t="str">
        <x:v>C3</x:v>
      </x:c>
      <x:c r="K144" s="139" t="str">
        <x:v>green_check</x:v>
      </x:c>
      <x:c r="L144" s="127" t="str"/>
      <x:c r="M144" s="127" t="e">
        <x:f>HYPERLINK("https://arxiv.org/abs/2603.01429","2603.01429")</x:f>
        <x:v>HYPERLINK is not implemented. linkLocation=https://arxiv.org/abs/2603.01429, friendlyName=2603.01429</x:v>
      </x:c>
      <x:c r="N144" s="127" t="e">
        <x:f>HYPERLINK("https://arxiv.org/abs/2603.01429","Open PDF / Source")</x:f>
        <x:v>HYPERLINK is not implemented. linkLocation=https://arxiv.org/abs/2603.01429, friendlyName=Open PDF / Source</x:v>
      </x:c>
      <x:c r="O144" s="127" t="str">
        <x:v>v2_high_recall/reading_records/R15_muonic_atoms_2026.md</x:v>
      </x:c>
    </x:row>
    <x:row r="145" ht="84" customHeight="1">
      <x:c r="A145" s="124" t="str"/>
      <x:c r="B145" s="124" t="str">
        <x:v>METADATA_CARD</x:v>
      </x:c>
      <x:c r="C145" s="124" t="str">
        <x:v>2026 Qian Wang</x:v>
      </x:c>
      <x:c r="D145" s="124" t="str">
        <x:v>L142</x:v>
      </x:c>
      <x:c r="E145" s="134" t="n">
        <x:v>2026</x:v>
      </x:c>
      <x:c r="F145" s="124" t="str">
        <x:v>Proposal for the search for exotic spin-mass interaction in the micrometer range</x:v>
      </x:c>
      <x:c r="G145" s="124" t="str">
        <x:v>Qian Wang; Rui Luo; Pengshun Luo</x:v>
      </x:c>
      <x:c r="H145" s="124" t="str">
        <x:v>Physical Review D</x:v>
      </x:c>
      <x:c r="I145" s="124" t="str">
        <x:v>Torsion &amp; geophysical</x:v>
      </x:c>
      <x:c r="J145" s="138" t="str">
        <x:v>C1</x:v>
      </x:c>
      <x:c r="K145" s="138" t="str">
        <x:v>secondary</x:v>
      </x:c>
      <x:c r="L145" s="124" t="e">
        <x:f>HYPERLINK("https://doi.org/10.1103/wp4k-xn53","10.1103/wp4k-xn53")</x:f>
        <x:v>HYPERLINK is not implemented. linkLocation=https://doi.org/10.1103/wp4k-xn53, friendlyName=10.1103/wp4k-xn53</x:v>
      </x:c>
      <x:c r="M145" s="124" t="str"/>
      <x:c r="N145" s="124" t="e">
        <x:f>HYPERLINK("https://doi.org/10.1103/wp4k-xn53","Open PDF / Source")</x:f>
        <x:v>HYPERLINK is not implemented. linkLocation=https://doi.org/10.1103/wp4k-xn53, friendlyName=Open PDF / Source</x:v>
      </x:c>
      <x:c r="O145" s="124" t="str"/>
    </x:row>
    <x:row r="146" ht="84" customHeight="1">
      <x:c r="A146" s="127" t="str"/>
      <x:c r="B146" s="127" t="str">
        <x:v>PDF_FIRST_PAGE</x:v>
      </x:c>
      <x:c r="C146" s="127" t="str">
        <x:v>2026 D. Kliukin</x:v>
      </x:c>
      <x:c r="D146" s="127" t="str">
        <x:v>L143</x:v>
      </x:c>
      <x:c r="E146" s="135" t="n">
        <x:v>2026</x:v>
      </x:c>
      <x:c r="F146" s="127" t="str">
        <x:v>Spectroscopy of the Hyperfine Structure of HD+ in Rotationally Excited States with 10-ppb Uncertainty</x:v>
      </x:c>
      <x:c r="G146" s="127" t="str">
        <x:v>D. Kliukin; V. Barbe; T. Klijn Velderman; J. B. E. Schokking; J. John; K. S. E. Eikema; J. C. J. Koelemeij; Jean-Philippe Karr</x:v>
      </x:c>
      <x:c r="H146" s="127" t="str"/>
      <x:c r="I146" s="127" t="str">
        <x:v>HD+ molecular</x:v>
      </x:c>
      <x:c r="J146" s="139" t="str">
        <x:v>C3</x:v>
      </x:c>
      <x:c r="K146" s="139" t="str">
        <x:v>green_check</x:v>
      </x:c>
      <x:c r="L146" s="127" t="str"/>
      <x:c r="M146" s="127" t="e">
        <x:f>HYPERLINK("https://arxiv.org/abs/2608.00607","2608.00607")</x:f>
        <x:v>HYPERLINK is not implemented. linkLocation=https://arxiv.org/abs/2608.00607, friendlyName=2608.00607</x:v>
      </x:c>
      <x:c r="N146" s="127" t="e">
        <x:f>HYPERLINK("https://arxiv.org/abs/2608.00607","Open PDF / Source")</x:f>
        <x:v>HYPERLINK is not implemented. linkLocation=https://arxiv.org/abs/2608.00607, friendlyName=Open PDF / Source</x:v>
      </x:c>
      <x:c r="O146" s="127" t="str">
        <x:v>v2_high_recall/reading_records/R12_kliukin_2026.md</x:v>
      </x:c>
    </x:row>
    <x:row r="147" ht="84" customHeight="1">
      <x:c r="A147" s="124" t="str"/>
      <x:c r="B147" s="124" t="str">
        <x:v>PDF_FIRST_PAGE</x:v>
      </x:c>
      <x:c r="C147" s="124" t="str">
        <x:v>2026 Cedric Quint</x:v>
      </x:c>
      <x:c r="D147" s="124" t="str">
        <x:v>L144</x:v>
      </x:c>
      <x:c r="E147" s="134" t="n">
        <x:v>2026</x:v>
      </x:c>
      <x:c r="F147" s="124" t="str">
        <x:v>Stringent Constraints on New Pseudoscalar and Vector Bosons from Precision Hyperfine Splitting Measurements</x:v>
      </x:c>
      <x:c r="G147" s="124" t="str">
        <x:v>Cedric Quint; Fabian Heiße; Joerg Jaeckel; Lutz Leimenstoll; Christoph H. Keitel; Zoltan Harman</x:v>
      </x:c>
      <x:c r="H147" s="124" t="str"/>
      <x:c r="I147" s="124" t="str">
        <x:v>Atomic &amp; molecular</x:v>
      </x:c>
      <x:c r="J147" s="138" t="str">
        <x:v>C3</x:v>
      </x:c>
      <x:c r="K147" s="138" t="str">
        <x:v>green_check</x:v>
      </x:c>
      <x:c r="L147" s="124" t="e">
        <x:f>HYPERLINK("https://doi.org/10.1103/rvt1-93v2","10.1103/rvt1-93v2")</x:f>
        <x:v>HYPERLINK is not implemented. linkLocation=https://doi.org/10.1103/rvt1-93v2, friendlyName=10.1103/rvt1-93v2</x:v>
      </x:c>
      <x:c r="M147" s="124" t="str"/>
      <x:c r="N147" s="124" t="e">
        <x:f>HYPERLINK("https://doi.org/10.1103/rvt1-93v2","Open PDF / Source")</x:f>
        <x:v>HYPERLINK is not implemented. linkLocation=https://doi.org/10.1103/rvt1-93v2, friendlyName=Open PDF / Source</x:v>
      </x:c>
      <x:c r="O147" s="124" t="str">
        <x:v>v2_high_recall/reading_records/R14_quint_2026.md</x:v>
      </x:c>
    </x:row>
    <x:row r="148" ht="84" customHeight="1">
      <x:c r="A148" s="127" t="str"/>
      <x:c r="B148" s="127" t="str">
        <x:v>PDF_FIRST_PAGE</x:v>
      </x:c>
      <x:c r="C148" s="127" t="str">
        <x:v>2026 Stringent constraints on spin-</x:v>
      </x:c>
      <x:c r="D148" s="127" t="str">
        <x:v>L145</x:v>
      </x:c>
      <x:c r="E148" s="135" t="n">
        <x:v>2026</x:v>
      </x:c>
      <x:c r="F148" s="127" t="str">
        <x:v>Stringent constraints on spin-spin-velocity-dependent exotic interactions with a levitated magnet force sensor</x:v>
      </x:c>
      <x:c r="G148" s="127" t="str">
        <x:v>Anonymous</x:v>
      </x:c>
      <x:c r="H148" s="127" t="str">
        <x:v>Physical Review Letters</x:v>
      </x:c>
      <x:c r="I148" s="127" t="str">
        <x:v>Solid-state &amp; mechanics</x:v>
      </x:c>
      <x:c r="J148" s="139" t="str">
        <x:v>C1</x:v>
      </x:c>
      <x:c r="K148" s="139" t="str">
        <x:v>secondary</x:v>
      </x:c>
      <x:c r="L148" s="127" t="e">
        <x:f>HYPERLINK("https://doi.org/10.1103/35c1-ylnx","10.1103/35c1-ylnx")</x:f>
        <x:v>HYPERLINK is not implemented. linkLocation=https://doi.org/10.1103/35c1-ylnx, friendlyName=10.1103/35c1-ylnx</x:v>
      </x:c>
      <x:c r="M148" s="127" t="str"/>
      <x:c r="N148" s="127" t="e">
        <x:f>HYPERLINK("https://export.arxiv.org/pdf/2608.25686","Open PDF / Source")</x:f>
        <x:v>HYPERLINK is not implemented. linkLocation=https://export.arxiv.org/pdf/2608.25686, friendlyName=Open PDF / Source</x:v>
      </x:c>
      <x:c r="O148" s="127" t="str"/>
    </x:row>
    <x:row r="149" ht="84" customHeight="1">
      <x:c r="A149" s="124" t="str"/>
      <x:c r="B149" s="124" t="str">
        <x:v>PDF_FIRST_PAGE</x:v>
      </x:c>
      <x:c r="C149" s="124" t="str">
        <x:v>2026 Lei Cong</x:v>
      </x:c>
      <x:c r="D149" s="124" t="str">
        <x:v>L146</x:v>
      </x:c>
      <x:c r="E149" s="134" t="n">
        <x:v>2026</x:v>
      </x:c>
      <x:c r="F149" s="124" t="str">
        <x:v>Testing Exotic Electron-Electron Interactions with the Helium Ionization-Energy Anomaly</x:v>
      </x:c>
      <x:c r="G149" s="124" t="str">
        <x:v>Lei Cong; Filip Ficek; Rinat Abdullin; Mikhail G. Kozlov; Dmitry Budker</x:v>
      </x:c>
      <x:c r="H149" s="124" t="str"/>
      <x:c r="I149" s="124" t="str">
        <x:v>Atomic &amp; molecular</x:v>
      </x:c>
      <x:c r="J149" s="138" t="str">
        <x:v>C3</x:v>
      </x:c>
      <x:c r="K149" s="138" t="str">
        <x:v>green_check</x:v>
      </x:c>
      <x:c r="L149" s="124" t="str"/>
      <x:c r="M149" s="124" t="e">
        <x:f>HYPERLINK("https://arxiv.org/abs/2602.09743","2602.09743")</x:f>
        <x:v>HYPERLINK is not implemented. linkLocation=https://arxiv.org/abs/2602.09743, friendlyName=2602.09743</x:v>
      </x:c>
      <x:c r="N149" s="124" t="e">
        <x:f>HYPERLINK("http://arxiv.org/abs/2602.09743v1","Open PDF / Source")</x:f>
        <x:v>HYPERLINK is not implemented. linkLocation=http://arxiv.org/abs/2602.09743v1, friendlyName=Open PDF / Source</x:v>
      </x:c>
      <x:c r="O149" s="124" t="str">
        <x:v>v2_high_recall/v2_high_recall/reading_records/R32_arxiv_2602_09743.md</x:v>
      </x:c>
    </x:row>
    <x:row r="150" ht="84" customHeight="1">
      <x:c r="A150" s="128" t="str"/>
      <x:c r="B150" s="128" t="str">
        <x:v>METADATA_CARD</x:v>
      </x:c>
      <x:c r="C150" s="128" t="str">
        <x:v>2026 M. Van Meter</x:v>
      </x:c>
      <x:c r="D150" s="128" t="str">
        <x:v>L147</x:v>
      </x:c>
      <x:c r="E150" s="136" t="n">
        <x:v>2026</x:v>
      </x:c>
      <x:c r="F150" s="128" t="str">
        <x:v>Using Slow-Neutron Polarimetry to Search for Exotic Spin-Dependent Fifth Forces</x:v>
      </x:c>
      <x:c r="G150" s="128" t="str">
        <x:v>M. Van Meter; K.N. Lopez; K. Li; T. Mulkey; W.M. Snow</x:v>
      </x:c>
      <x:c r="H150" s="128" t="str">
        <x:v>CPT and Lorentz Symmetry</x:v>
      </x:c>
      <x:c r="I150" s="128" t="str">
        <x:v>Neutron &amp; nucleon</x:v>
      </x:c>
      <x:c r="J150" s="140" t="str">
        <x:v>C1</x:v>
      </x:c>
      <x:c r="K150" s="140" t="str">
        <x:v>secondary</x:v>
      </x:c>
      <x:c r="L150" s="128" t="e">
        <x:f>HYPERLINK("https://doi.org/10.1142/9789819833474_0032","10.1142/9789819833474_0032")</x:f>
        <x:v>HYPERLINK is not implemented. linkLocation=https://doi.org/10.1142/9789819833474_0032, friendlyName=10.1142/9789819833474_0032</x:v>
      </x:c>
      <x:c r="M150" s="128" t="str"/>
      <x:c r="N150" s="128" t="e">
        <x:f>HYPERLINK("https://doi.org/10.1142/9789819833474_0032","Open PDF / Source")</x:f>
        <x:v>HYPERLINK is not implemented. linkLocation=https://doi.org/10.1142/9789819833474_0032, friendlyName=Open PDF / Source</x:v>
      </x:c>
      <x:c r="O150" s="128" t="str"/>
    </x:row>
  </x:sheetData>
  <x:mergeCells>
    <x:mergeCell ref="A1:O1"/>
    <x:mergeCell ref="A2:O2"/>
  </x:mergeCells>
  <x:conditionalFormatting sqref="J4:J150">
    <x:cfRule type="containsText" dxfId="0" priority="1" operator="containsText" text="C3"/>
  </x:conditionalFormatting>
  <x:conditionalFormatting sqref="K4:K150">
    <x:cfRule type="containsText" dxfId="1" priority="2" operator="containsText" text="green_check"/>
  </x:conditionalFormatting>
  <x:pageMargins left="0.7" right="0.7" top="0.75" bottom="0.75" header="0.3" footer="0.3"/>
  <x:drawing xmlns:r="http://schemas.openxmlformats.org/officeDocument/2006/relationships" r:id="R52d8ffa476884523"/>
  <x:tableParts count="1">
    <x:tablePart xmlns:r="http://schemas.openxmlformats.org/officeDocument/2006/relationships" r:id="Rc42f9ed73a604f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2" hidden="0" customWidth="1"/>
    <x:col min="3" max="3" width="25" hidden="0" customWidth="1"/>
    <x:col min="4" max="4" width="11" hidden="0" customWidth="1"/>
    <x:col min="5" max="5" width="9" hidden="0" customWidth="1"/>
    <x:col min="6" max="6" width="54" hidden="0" customWidth="1"/>
    <x:col min="7" max="7" width="43" hidden="0" customWidth="1"/>
    <x:col min="8" max="8" width="25" hidden="0" customWidth="1"/>
    <x:col min="9" max="9" width="25" hidden="0" customWidth="1"/>
    <x:col min="10" max="10" width="12" hidden="0" customWidth="1"/>
    <x:col min="11" max="11" width="15" hidden="0" customWidth="1"/>
    <x:col min="12" max="12" width="27" hidden="0" customWidth="1"/>
    <x:col min="13" max="13" width="17" hidden="0" customWidth="1"/>
    <x:col min="14" max="14" width="42" hidden="0" customWidth="1"/>
    <x:col min="15" max="15" width="33" hidden="0" customWidth="1"/>
  </x:cols>
  <x:sheetData>
    <x:row r="1" ht="34" customHeight="1">
      <x:c r="A1" s="103" t="str">
        <x:v>02 Core Lineage Map | Complete Literature Title Index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</x:row>
    <x:row r="2" ht="26" customHeight="1">
      <x:c r="A2" s="106" t="str">
        <x:v>Covers C3 full-text reading nodes and landmark backbone nodes; every record includes a row-level image.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</x:row>
    <x:row r="3" ht="32" customHeight="1">
      <x:c r="A3" s="113" t="str">
        <x:v>Literature Image</x:v>
      </x:c>
      <x:c r="B3" s="114" t="str">
        <x:v>Image Type</x:v>
      </x:c>
      <x:c r="C3" s="114" t="str">
        <x:v>Map Label</x:v>
      </x:c>
      <x:c r="D3" s="114" t="str">
        <x:v>Node ID</x:v>
      </x:c>
      <x:c r="E3" s="114" t="str">
        <x:v>Year</x:v>
      </x:c>
      <x:c r="F3" s="114" t="str">
        <x:v>Full Literature Title</x:v>
      </x:c>
      <x:c r="G3" s="114" t="str">
        <x:v>Authors</x:v>
      </x:c>
      <x:c r="H3" s="114" t="str">
        <x:v>Journal / Source</x:v>
      </x:c>
      <x:c r="I3" s="114" t="str">
        <x:v>Research Branch</x:v>
      </x:c>
      <x:c r="J3" s="114" t="str">
        <x:v>Evidence Level</x:v>
      </x:c>
      <x:c r="K3" s="114" t="str">
        <x:v>Verification Status</x:v>
      </x:c>
      <x:c r="L3" s="114" t="str">
        <x:v>DOI</x:v>
      </x:c>
      <x:c r="M3" s="114" t="str">
        <x:v>arXiv</x:v>
      </x:c>
      <x:c r="N3" s="114" t="str">
        <x:v>Source Link</x:v>
      </x:c>
      <x:c r="O3" s="115" t="str">
        <x:v>Deep-Reading Record</x:v>
      </x:c>
    </x:row>
    <x:row r="4" ht="84" customHeight="1">
      <x:c r="A4" s="126" t="str"/>
      <x:c r="B4" s="126" t="str">
        <x:v>PDF_FIRST_PAGE</x:v>
      </x:c>
      <x:c r="C4" s="126" t="str">
        <x:v>1984 J. Moody</x:v>
      </x:c>
      <x:c r="D4" s="126" t="str">
        <x:v>L003</x:v>
      </x:c>
      <x:c r="E4" s="133" t="n">
        <x:v>1984</x:v>
      </x:c>
      <x:c r="F4" s="126" t="str">
        <x:v>New macroscopic forces?</x:v>
      </x:c>
      <x:c r="G4" s="126" t="str">
        <x:v>J. Moody; Frank Wilczek</x:v>
      </x:c>
      <x:c r="H4" s="126" t="str">
        <x:v>Physical Review D</x:v>
      </x:c>
      <x:c r="I4" s="126" t="str">
        <x:v>Other precision probes</x:v>
      </x:c>
      <x:c r="J4" s="137" t="str">
        <x:v>C1</x:v>
      </x:c>
      <x:c r="K4" s="137" t="str">
        <x:v>secondary</x:v>
      </x:c>
      <x:c r="L4" s="126" t="e">
        <x:f>HYPERLINK("https://doi.org/10.1103/physrevd.30.130","10.1103/physrevd.30.130")</x:f>
        <x:v>HYPERLINK is not implemented. linkLocation=https://doi.org/10.1103/physrevd.30.130, friendlyName=10.1103/physrevd.30.130</x:v>
      </x:c>
      <x:c r="M4" s="126" t="str"/>
      <x:c r="N4" s="126" t="e">
        <x:f>HYPERLINK("https://harvest.aps.org/v2/journals/articles/10.1103/physrevd.30.130/fulltext","Open PDF / Source")</x:f>
        <x:v>HYPERLINK is not implemented. linkLocation=https://harvest.aps.org/v2/journals/articles/10.1103/physrevd.30.130/fulltext, friendlyName=Open PDF / Source</x:v>
      </x:c>
      <x:c r="O4" s="126" t="str"/>
    </x:row>
    <x:row r="5" ht="84" customHeight="1">
      <x:c r="A5" s="124" t="str"/>
      <x:c r="B5" s="124" t="str">
        <x:v>METADATA_CARD</x:v>
      </x:c>
      <x:c r="C5" s="124" t="str">
        <x:v>1992 B. J. Venema</x:v>
      </x:c>
      <x:c r="D5" s="124" t="str">
        <x:v>L005</x:v>
      </x:c>
      <x:c r="E5" s="134" t="n">
        <x:v>1992</x:v>
      </x:c>
      <x:c r="F5" s="124" t="str">
        <x:v>Search for a coupling of the Earth’s gravitational field to nuclear spins in atomic mercury</x:v>
      </x:c>
      <x:c r="G5" s="124" t="str">
        <x:v>B. J. Venema; P. K. Majumder; S. K. Lamoreaux; B. R. Heckel; E. N. Fortson</x:v>
      </x:c>
      <x:c r="H5" s="124" t="str">
        <x:v>Physical Review Letters</x:v>
      </x:c>
      <x:c r="I5" s="124" t="str">
        <x:v>Neutron &amp; nucleon</x:v>
      </x:c>
      <x:c r="J5" s="138" t="str">
        <x:v>C1</x:v>
      </x:c>
      <x:c r="K5" s="138" t="str">
        <x:v>secondary</x:v>
      </x:c>
      <x:c r="L5" s="124" t="e">
        <x:f>HYPERLINK("https://doi.org/10.1103/physrevlett.68.135","10.1103/physrevlett.68.135")</x:f>
        <x:v>HYPERLINK is not implemented. linkLocation=https://doi.org/10.1103/physrevlett.68.135, friendlyName=10.1103/physrevlett.68.135</x:v>
      </x:c>
      <x:c r="M5" s="124" t="str"/>
      <x:c r="N5" s="124" t="e">
        <x:f>HYPERLINK("https://doi.org/10.1103/physrevlett.68.135","Open PDF / Source")</x:f>
        <x:v>HYPERLINK is not implemented. linkLocation=https://doi.org/10.1103/physrevlett.68.135, friendlyName=Open PDF / Source</x:v>
      </x:c>
      <x:c r="O5" s="124" t="str"/>
    </x:row>
    <x:row r="6" ht="84" customHeight="1">
      <x:c r="A6" s="127" t="str"/>
      <x:c r="B6" s="127" t="str">
        <x:v>PDF_FIRST_PAGE</x:v>
      </x:c>
      <x:c r="C6" s="127" t="str">
        <x:v>2006 Bogdan A. Dobrescu</x:v>
      </x:c>
      <x:c r="D6" s="127" t="str">
        <x:v>L013</x:v>
      </x:c>
      <x:c r="E6" s="135" t="n">
        <x:v>2006</x:v>
      </x:c>
      <x:c r="F6" s="127" t="str">
        <x:v>Spin-Dependent Macroscopic Forces from New Particle Exchange</x:v>
      </x:c>
      <x:c r="G6" s="127" t="str">
        <x:v>Bogdan A. Dobrescu; Irina Mocioiu</x:v>
      </x:c>
      <x:c r="H6" s="127" t="str"/>
      <x:c r="I6" s="127" t="str">
        <x:v>Theory &amp; operators</x:v>
      </x:c>
      <x:c r="J6" s="139" t="str">
        <x:v>C3</x:v>
      </x:c>
      <x:c r="K6" s="139" t="str">
        <x:v>green_check</x:v>
      </x:c>
      <x:c r="L6" s="127" t="e">
        <x:f>HYPERLINK("https://doi.org/10.1088/1126-6708/2006/11/005","10.1088/1126-6708/2006/11/005")</x:f>
        <x:v>HYPERLINK is not implemented. linkLocation=https://doi.org/10.1088/1126-6708/2006/11/005, friendlyName=10.1088/1126-6708/2006/11/005</x:v>
      </x:c>
      <x:c r="M6" s="127" t="e">
        <x:f>HYPERLINK("https://arxiv.org/abs/hep-ph/0605342","hep-ph/0605342")</x:f>
        <x:v>HYPERLINK is not implemented. linkLocation=https://arxiv.org/abs/hep-ph/0605342, friendlyName=hep-ph/0605342</x:v>
      </x:c>
      <x:c r="N6" s="127" t="e">
        <x:f>HYPERLINK("https://arxiv.org/abs/hep-ph/0605342","Open PDF / Source")</x:f>
        <x:v>HYPERLINK is not implemented. linkLocation=https://arxiv.org/abs/hep-ph/0605342, friendlyName=Open PDF / Source</x:v>
      </x:c>
      <x:c r="O6" s="127" t="str">
        <x:v>v2_high_recall/reading_records/R01_dobrescu_mocioiu_2006.md</x:v>
      </x:c>
    </x:row>
    <x:row r="7" ht="84" customHeight="1">
      <x:c r="A7" s="124" t="str"/>
      <x:c r="B7" s="124" t="str">
        <x:v>PDF_FIRST_PAGE</x:v>
      </x:c>
      <x:c r="C7" s="124" t="str">
        <x:v>2008 B. R. Heckel</x:v>
      </x:c>
      <x:c r="D7" s="124" t="str">
        <x:v>L015</x:v>
      </x:c>
      <x:c r="E7" s="134" t="n">
        <x:v>2008</x:v>
      </x:c>
      <x:c r="F7" s="124" t="str">
        <x:v>Preferred-frame and C P -violation tests with polarized electrons</x:v>
      </x:c>
      <x:c r="G7" s="124" t="str">
        <x:v>B. R. Heckel; E. G. Adelberger; C. E. Cramer; T. S. Cook; S. Schlamminger; U. Schmidt</x:v>
      </x:c>
      <x:c r="H7" s="124" t="str">
        <x:v>Physical Review D</x:v>
      </x:c>
      <x:c r="I7" s="124" t="str">
        <x:v>Atomic &amp; molecular</x:v>
      </x:c>
      <x:c r="J7" s="138" t="str">
        <x:v>C1</x:v>
      </x:c>
      <x:c r="K7" s="138" t="str">
        <x:v>secondary</x:v>
      </x:c>
      <x:c r="L7" s="124" t="e">
        <x:f>HYPERLINK("https://doi.org/10.1103/physrevd.78.092006","10.1103/physrevd.78.092006")</x:f>
        <x:v>HYPERLINK is not implemented. linkLocation=https://doi.org/10.1103/physrevd.78.092006, friendlyName=10.1103/physrevd.78.092006</x:v>
      </x:c>
      <x:c r="M7" s="124" t="str"/>
      <x:c r="N7" s="124" t="e">
        <x:f>HYPERLINK("https://arxiv.org/pdf/0808.2673","Open PDF / Source")</x:f>
        <x:v>HYPERLINK is not implemented. linkLocation=https://arxiv.org/pdf/0808.2673, friendlyName=Open PDF / Source</x:v>
      </x:c>
      <x:c r="O7" s="124" t="str"/>
    </x:row>
    <x:row r="8" ht="84" customHeight="1">
      <x:c r="A8" s="127" t="str"/>
      <x:c r="B8" s="127" t="str">
        <x:v>PDF_FIRST_PAGE</x:v>
      </x:c>
      <x:c r="C8" s="127" t="str">
        <x:v>2009 G. Vasilakis</x:v>
      </x:c>
      <x:c r="D8" s="127" t="str">
        <x:v>L016</x:v>
      </x:c>
      <x:c r="E8" s="135" t="n">
        <x:v>2009</x:v>
      </x:c>
      <x:c r="F8" s="127" t="str">
        <x:v>Limits on New Long Range Nuclear Spin-Dependent Forces Set with a K − He 3 Comagnetometer</x:v>
      </x:c>
      <x:c r="G8" s="127" t="str">
        <x:v>G. Vasilakis; J. M. Brown; T. W. Kornack; M. V. Romalis</x:v>
      </x:c>
      <x:c r="H8" s="127" t="str">
        <x:v>Physical Review Letters</x:v>
      </x:c>
      <x:c r="I8" s="127" t="str">
        <x:v>Neutron &amp; nucleon</x:v>
      </x:c>
      <x:c r="J8" s="139" t="str">
        <x:v>C1</x:v>
      </x:c>
      <x:c r="K8" s="139" t="str">
        <x:v>secondary</x:v>
      </x:c>
      <x:c r="L8" s="127" t="e">
        <x:f>HYPERLINK("https://doi.org/10.1103/physrevlett.103.261801","10.1103/physrevlett.103.261801")</x:f>
        <x:v>HYPERLINK is not implemented. linkLocation=https://doi.org/10.1103/physrevlett.103.261801, friendlyName=10.1103/physrevlett.103.261801</x:v>
      </x:c>
      <x:c r="M8" s="127" t="str"/>
      <x:c r="N8" s="127" t="e">
        <x:f>HYPERLINK("https://arxiv.org/pdf/0809.4700","Open PDF / Source")</x:f>
        <x:v>HYPERLINK is not implemented. linkLocation=https://arxiv.org/pdf/0809.4700, friendlyName=Open PDF / Source</x:v>
      </x:c>
      <x:c r="O8" s="127" t="str"/>
    </x:row>
    <x:row r="9" ht="84" customHeight="1">
      <x:c r="A9" s="124" t="str"/>
      <x:c r="B9" s="124" t="str">
        <x:v>PDF_FIRST_PAGE</x:v>
      </x:c>
      <x:c r="C9" s="124" t="str">
        <x:v>2010 S. G. Karshenboim</x:v>
      </x:c>
      <x:c r="D9" s="124" t="str">
        <x:v>L017</x:v>
      </x:c>
      <x:c r="E9" s="134" t="n">
        <x:v>2010</x:v>
      </x:c>
      <x:c r="F9" s="124" t="str">
        <x:v>Constraints on a long-range spin-dependent interaction from precision atomic physics</x:v>
      </x:c>
      <x:c r="G9" s="124" t="str">
        <x:v>S. G. Karshenboim</x:v>
      </x:c>
      <x:c r="H9" s="124" t="str">
        <x:v>Physical Review D</x:v>
      </x:c>
      <x:c r="I9" s="124" t="str">
        <x:v>Atomic &amp; molecular</x:v>
      </x:c>
      <x:c r="J9" s="138" t="str">
        <x:v>C1</x:v>
      </x:c>
      <x:c r="K9" s="138" t="str">
        <x:v>secondary</x:v>
      </x:c>
      <x:c r="L9" s="124" t="e">
        <x:f>HYPERLINK("https://doi.org/10.1103/physrevd.82.113013","10.1103/physrevd.82.113013")</x:f>
        <x:v>HYPERLINK is not implemented. linkLocation=https://doi.org/10.1103/physrevd.82.113013, friendlyName=10.1103/physrevd.82.113013</x:v>
      </x:c>
      <x:c r="M9" s="124" t="str"/>
      <x:c r="N9" s="124" t="e">
        <x:f>HYPERLINK("https://arxiv.org/pdf/1005.4868","Open PDF / Source")</x:f>
        <x:v>HYPERLINK is not implemented. linkLocation=https://arxiv.org/pdf/1005.4868, friendlyName=Open PDF / Source</x:v>
      </x:c>
      <x:c r="O9" s="124" t="str"/>
    </x:row>
    <x:row r="10" ht="84" customHeight="1">
      <x:c r="A10" s="127" t="str"/>
      <x:c r="B10" s="127" t="str">
        <x:v>PDF_FIRST_PAGE</x:v>
      </x:c>
      <x:c r="C10" s="127" t="str">
        <x:v>2011 Savely G. Karshenboim</x:v>
      </x:c>
      <x:c r="D10" s="127" t="str">
        <x:v>L022</x:v>
      </x:c>
      <x:c r="E10" s="135" t="n">
        <x:v>2011</x:v>
      </x:c>
      <x:c r="F10" s="127" t="str">
        <x:v>HFS interval of the 2s state of hydrogen-like atoms and a constraint on a pseudovector boson with mass below 1 keV/c^2</x:v>
      </x:c>
      <x:c r="G10" s="127" t="str">
        <x:v>Savely G. Karshenboim</x:v>
      </x:c>
      <x:c r="H10" s="127" t="str"/>
      <x:c r="I10" s="127" t="str">
        <x:v>Other precision probes</x:v>
      </x:c>
      <x:c r="J10" s="139" t="str">
        <x:v>C3</x:v>
      </x:c>
      <x:c r="K10" s="139" t="str">
        <x:v>green_check</x:v>
      </x:c>
      <x:c r="L10" s="127" t="e">
        <x:f>HYPERLINK("https://doi.org/10.1103/physreva.83.062119","10.1103/physreva.83.062119")</x:f>
        <x:v>HYPERLINK is not implemented. linkLocation=https://doi.org/10.1103/physreva.83.062119, friendlyName=10.1103/physreva.83.062119</x:v>
      </x:c>
      <x:c r="M10" s="127" t="e">
        <x:f>HYPERLINK("https://arxiv.org/abs/1005.4875","1005.4875")</x:f>
        <x:v>HYPERLINK is not implemented. linkLocation=https://arxiv.org/abs/1005.4875, friendlyName=1005.4875</x:v>
      </x:c>
      <x:c r="N10" s="127" t="e">
        <x:f>HYPERLINK("https://arxiv.org/abs/1005.4875","Open PDF / Source")</x:f>
        <x:v>HYPERLINK is not implemented. linkLocation=https://arxiv.org/abs/1005.4875, friendlyName=Open PDF / Source</x:v>
      </x:c>
      <x:c r="O10" s="127" t="str">
        <x:v>v2_high_recall/reading_records/R06_karshenboim_2011.md</x:v>
      </x:c>
    </x:row>
    <x:row r="11" ht="84" customHeight="1">
      <x:c r="A11" s="124" t="str"/>
      <x:c r="B11" s="124" t="str">
        <x:v>PDF_FIRST_PAGE</x:v>
      </x:c>
      <x:c r="C11" s="124" t="str">
        <x:v>2013 K. Tullney</x:v>
      </x:c>
      <x:c r="D11" s="124" t="str">
        <x:v>L027</x:v>
      </x:c>
      <x:c r="E11" s="134" t="n">
        <x:v>2013</x:v>
      </x:c>
      <x:c r="F11" s="124" t="str">
        <x:v>Constraints on Spin-Dependent Short-Range Interaction between Nucleons</x:v>
      </x:c>
      <x:c r="G11" s="124" t="str">
        <x:v>K. Tullney; F. Allmendinger; M. Burghoff; W. Heil; S. Karpuk; W. Kilian; S. Knappe-Grüneberg; W. Müller; U. Schmidt; A. Schnabel; F. Seifert; Yu. Sobolev; L. Trahms</x:v>
      </x:c>
      <x:c r="H11" s="124" t="str">
        <x:v>Physical Review Letters</x:v>
      </x:c>
      <x:c r="I11" s="124" t="str">
        <x:v>Neutron &amp; nucleon</x:v>
      </x:c>
      <x:c r="J11" s="138" t="str">
        <x:v>C1</x:v>
      </x:c>
      <x:c r="K11" s="138" t="str">
        <x:v>secondary</x:v>
      </x:c>
      <x:c r="L11" s="124" t="e">
        <x:f>HYPERLINK("https://doi.org/10.1103/physrevlett.111.100801","10.1103/physrevlett.111.100801")</x:f>
        <x:v>HYPERLINK is not implemented. linkLocation=https://doi.org/10.1103/physrevlett.111.100801, friendlyName=10.1103/physrevlett.111.100801</x:v>
      </x:c>
      <x:c r="M11" s="124" t="str"/>
      <x:c r="N11" s="124" t="e">
        <x:f>HYPERLINK("https://arxiv.org/pdf/1303.6612","Open PDF / Source")</x:f>
        <x:v>HYPERLINK is not implemented. linkLocation=https://arxiv.org/pdf/1303.6612, friendlyName=Open PDF / Source</x:v>
      </x:c>
      <x:c r="O11" s="124" t="str"/>
    </x:row>
    <x:row r="12" ht="84" customHeight="1">
      <x:c r="A12" s="127" t="str"/>
      <x:c r="B12" s="127" t="str">
        <x:v>PDF_FIRST_PAGE</x:v>
      </x:c>
      <x:c r="C12" s="127" t="str">
        <x:v>2013 M. P. Ledbetter</x:v>
      </x:c>
      <x:c r="D12" s="127" t="str">
        <x:v>L028</x:v>
      </x:c>
      <x:c r="E12" s="135" t="n">
        <x:v>2013</x:v>
      </x:c>
      <x:c r="F12" s="127" t="str">
        <x:v>Constraints on short-range spin-dependent interactions from scalar spin-spin coupling in deuterated molecular hydrogen</x:v>
      </x:c>
      <x:c r="G12" s="127" t="str">
        <x:v>M. P. Ledbetter; M. V. Romalis; D. F. Jackson Kimball</x:v>
      </x:c>
      <x:c r="H12" s="127" t="str"/>
      <x:c r="I12" s="127" t="str">
        <x:v>Neutron &amp; nucleon</x:v>
      </x:c>
      <x:c r="J12" s="139" t="str">
        <x:v>C3</x:v>
      </x:c>
      <x:c r="K12" s="139" t="str">
        <x:v>green_check</x:v>
      </x:c>
      <x:c r="L12" s="127" t="e">
        <x:f>HYPERLINK("https://doi.org/10.1103/physrevlett.110.040402","10.1103/physrevlett.110.040402")</x:f>
        <x:v>HYPERLINK is not implemented. linkLocation=https://doi.org/10.1103/physrevlett.110.040402, friendlyName=10.1103/physrevlett.110.040402</x:v>
      </x:c>
      <x:c r="M12" s="127" t="e">
        <x:f>HYPERLINK("https://arxiv.org/abs/1203.6894","1203.6894")</x:f>
        <x:v>HYPERLINK is not implemented. linkLocation=https://arxiv.org/abs/1203.6894, friendlyName=1203.6894</x:v>
      </x:c>
      <x:c r="N12" s="127" t="e">
        <x:f>HYPERLINK("https://arxiv.org/abs/1203.6894","Open PDF / Source")</x:f>
        <x:v>HYPERLINK is not implemented. linkLocation=https://arxiv.org/abs/1203.6894, friendlyName=Open PDF / Source</x:v>
      </x:c>
      <x:c r="O12" s="127" t="str">
        <x:v>v2_high_recall/reading_records/R07_ledbetter_2013_hd.md</x:v>
      </x:c>
    </x:row>
    <x:row r="13" ht="84" customHeight="1">
      <x:c r="A13" s="124" t="str"/>
      <x:c r="B13" s="124" t="str">
        <x:v>PDF_FIRST_PAGE</x:v>
      </x:c>
      <x:c r="C13" s="124" t="str">
        <x:v>2013 Larry Hunter</x:v>
      </x:c>
      <x:c r="D13" s="124" t="str">
        <x:v>L033</x:v>
      </x:c>
      <x:c r="E13" s="134" t="n">
        <x:v>2013</x:v>
      </x:c>
      <x:c r="F13" s="124" t="str">
        <x:v>Using the Earth as a Polarized Electron Source to Search for Long-Range Spin-Spin Interactions</x:v>
      </x:c>
      <x:c r="G13" s="124" t="str">
        <x:v>Larry Hunter; Joel Gordon; Stephen Peck; Daniel Ang; Jung-Fu Lin</x:v>
      </x:c>
      <x:c r="H13" s="124" t="str">
        <x:v>Science</x:v>
      </x:c>
      <x:c r="I13" s="124" t="str">
        <x:v>Atomic &amp; molecular</x:v>
      </x:c>
      <x:c r="J13" s="138" t="str">
        <x:v>C1</x:v>
      </x:c>
      <x:c r="K13" s="138" t="str">
        <x:v>secondary</x:v>
      </x:c>
      <x:c r="L13" s="124" t="e">
        <x:f>HYPERLINK("https://doi.org/10.1126/science.1227460","10.1126/science.1227460")</x:f>
        <x:v>HYPERLINK is not implemented. linkLocation=https://doi.org/10.1126/science.1227460, friendlyName=10.1126/science.1227460</x:v>
      </x:c>
      <x:c r="M13" s="124" t="str"/>
      <x:c r="N13" s="124" t="e">
        <x:f>HYPERLINK("https://www.jsg.utexas.edu/lin/files/HunterGeoelectronsScience2013.pdf","Open PDF / Source")</x:f>
        <x:v>HYPERLINK is not implemented. linkLocation=https://www.jsg.utexas.edu/lin/files/HunterGeoelectronsScience2013.pdf, friendlyName=Open PDF / Source</x:v>
      </x:c>
      <x:c r="O13" s="124" t="str"/>
    </x:row>
    <x:row r="14" ht="84" customHeight="1">
      <x:c r="A14" s="127" t="str"/>
      <x:c r="B14" s="127" t="str">
        <x:v>PDF_FIRST_PAGE</x:v>
      </x:c>
      <x:c r="C14" s="127" t="str">
        <x:v>2014 T. M. Leslie</x:v>
      </x:c>
      <x:c r="D14" s="127" t="str">
        <x:v>L035</x:v>
      </x:c>
      <x:c r="E14" s="135" t="n">
        <x:v>2014</x:v>
      </x:c>
      <x:c r="F14" s="127" t="str">
        <x:v>Prospects for electron spin-dependent short-range force experiments with rare earth iron garnet test masses</x:v>
      </x:c>
      <x:c r="G14" s="127" t="str">
        <x:v>T. M. Leslie; E. Weisman; R. Khatiwada; J. C. Long</x:v>
      </x:c>
      <x:c r="H14" s="127" t="str">
        <x:v>Physical Review D</x:v>
      </x:c>
      <x:c r="I14" s="127" t="str">
        <x:v>Other precision probes</x:v>
      </x:c>
      <x:c r="J14" s="139" t="str">
        <x:v>C1</x:v>
      </x:c>
      <x:c r="K14" s="139" t="str">
        <x:v>secondary</x:v>
      </x:c>
      <x:c r="L14" s="127" t="e">
        <x:f>HYPERLINK("https://doi.org/10.1103/physrevd.89.114022","10.1103/physrevd.89.114022")</x:f>
        <x:v>HYPERLINK is not implemented. linkLocation=https://doi.org/10.1103/physrevd.89.114022, friendlyName=10.1103/physrevd.89.114022</x:v>
      </x:c>
      <x:c r="M14" s="127" t="str"/>
      <x:c r="N14" s="127" t="e">
        <x:f>HYPERLINK("https://arxiv.org/pdf/1401.6730","Open PDF / Source")</x:f>
        <x:v>HYPERLINK is not implemented. linkLocation=https://arxiv.org/pdf/1401.6730, friendlyName=Open PDF / Source</x:v>
      </x:c>
      <x:c r="O14" s="127" t="str"/>
    </x:row>
    <x:row r="15" ht="84" customHeight="1">
      <x:c r="A15" s="124" t="str"/>
      <x:c r="B15" s="124" t="str">
        <x:v>PDF_FIRST_PAGE</x:v>
      </x:c>
      <x:c r="C15" s="124" t="str">
        <x:v>2014 L. R. Hunter</x:v>
      </x:c>
      <x:c r="D15" s="124" t="str">
        <x:v>L037</x:v>
      </x:c>
      <x:c r="E15" s="134" t="n">
        <x:v>2014</x:v>
      </x:c>
      <x:c r="F15" s="124" t="str">
        <x:v>Using Geoelectrons to Search for Velocity-Dependent Spin-Spin Interactions</x:v>
      </x:c>
      <x:c r="G15" s="124" t="str">
        <x:v>L. R. Hunter; D. G. Ang</x:v>
      </x:c>
      <x:c r="H15" s="124" t="str">
        <x:v>Physical Review Letters</x:v>
      </x:c>
      <x:c r="I15" s="124" t="str">
        <x:v>Neutron &amp; nucleon</x:v>
      </x:c>
      <x:c r="J15" s="138" t="str">
        <x:v>C1</x:v>
      </x:c>
      <x:c r="K15" s="138" t="str">
        <x:v>secondary</x:v>
      </x:c>
      <x:c r="L15" s="124" t="e">
        <x:f>HYPERLINK("https://doi.org/10.1103/physrevlett.112.091803","10.1103/physrevlett.112.091803")</x:f>
        <x:v>HYPERLINK is not implemented. linkLocation=https://doi.org/10.1103/physrevlett.112.091803, friendlyName=10.1103/physrevlett.112.091803</x:v>
      </x:c>
      <x:c r="M15" s="124" t="str"/>
      <x:c r="N15" s="124" t="e">
        <x:f>HYPERLINK("https://arxiv.org/pdf/1306.1118","Open PDF / Source")</x:f>
        <x:v>HYPERLINK is not implemented. linkLocation=https://arxiv.org/pdf/1306.1118, friendlyName=Open PDF / Source</x:v>
      </x:c>
      <x:c r="O15" s="124" t="str"/>
    </x:row>
    <x:row r="16" ht="84" customHeight="1">
      <x:c r="A16" s="127" t="str"/>
      <x:c r="B16" s="127" t="str">
        <x:v>PDF_FIRST_PAGE</x:v>
      </x:c>
      <x:c r="C16" s="127" t="str">
        <x:v>2015 W. A. Terrano</x:v>
      </x:c>
      <x:c r="D16" s="127" t="str">
        <x:v>L043</x:v>
      </x:c>
      <x:c r="E16" s="135" t="n">
        <x:v>2015</x:v>
      </x:c>
      <x:c r="F16" s="127" t="str">
        <x:v>Short-Range, Spin-Dependent Interactions of Electrons: A Probe for Exotic Pseudo-Goldstone Bosons</x:v>
      </x:c>
      <x:c r="G16" s="127" t="str">
        <x:v>W. A. Terrano; E. G. Adelberger; J. G. Lee; B. R. Heckel</x:v>
      </x:c>
      <x:c r="H16" s="127" t="str">
        <x:v>Physical Review Letters</x:v>
      </x:c>
      <x:c r="I16" s="127" t="str">
        <x:v>Neutron &amp; nucleon</x:v>
      </x:c>
      <x:c r="J16" s="139" t="str">
        <x:v>C1</x:v>
      </x:c>
      <x:c r="K16" s="139" t="str">
        <x:v>secondary</x:v>
      </x:c>
      <x:c r="L16" s="127" t="e">
        <x:f>HYPERLINK("https://doi.org/10.1103/physrevlett.115.201801","10.1103/physrevlett.115.201801")</x:f>
        <x:v>HYPERLINK is not implemented. linkLocation=https://doi.org/10.1103/physrevlett.115.201801, friendlyName=10.1103/physrevlett.115.201801</x:v>
      </x:c>
      <x:c r="M16" s="127" t="str"/>
      <x:c r="N16" s="127" t="e">
        <x:f>HYPERLINK("https://export.arxiv.org/pdf/1508.02463","Open PDF / Source")</x:f>
        <x:v>HYPERLINK is not implemented. linkLocation=https://export.arxiv.org/pdf/1508.02463, friendlyName=Open PDF / Source</x:v>
      </x:c>
      <x:c r="O16" s="127" t="str"/>
    </x:row>
    <x:row r="17" ht="84" customHeight="1">
      <x:c r="A17" s="124" t="str"/>
      <x:c r="B17" s="124" t="str">
        <x:v>PDF_FIRST_PAGE</x:v>
      </x:c>
      <x:c r="C17" s="124" t="str">
        <x:v>2017 Filip Ficek</x:v>
      </x:c>
      <x:c r="D17" s="124" t="str">
        <x:v>L046</x:v>
      </x:c>
      <x:c r="E17" s="134" t="n">
        <x:v>2017</x:v>
      </x:c>
      <x:c r="F17" s="124" t="str">
        <x:v>Constraints on exotic spin-dependent interactions between electrons from helium fine-structure spectroscopy</x:v>
      </x:c>
      <x:c r="G17" s="124" t="str">
        <x:v>Filip Ficek; Derek F. Jackson Kimball; Mikhail G. Kozlov; Nathan Leefer; Szymon Pustelny; Dmitry Budker</x:v>
      </x:c>
      <x:c r="H17" s="124" t="str">
        <x:v>Physical Review A</x:v>
      </x:c>
      <x:c r="I17" s="124" t="str">
        <x:v>Atomic &amp; molecular</x:v>
      </x:c>
      <x:c r="J17" s="138" t="str">
        <x:v>C1</x:v>
      </x:c>
      <x:c r="K17" s="138" t="str">
        <x:v>secondary</x:v>
      </x:c>
      <x:c r="L17" s="124" t="e">
        <x:f>HYPERLINK("https://doi.org/10.1103/physreva.95.032505","10.1103/physreva.95.032505")</x:f>
        <x:v>HYPERLINK is not implemented. linkLocation=https://doi.org/10.1103/physreva.95.032505, friendlyName=10.1103/physreva.95.032505</x:v>
      </x:c>
      <x:c r="M17" s="124" t="str"/>
      <x:c r="N17" s="124" t="e">
        <x:f>HYPERLINK("https://arxiv.org/pdf/1608.05779","Open PDF / Source")</x:f>
        <x:v>HYPERLINK is not implemented. linkLocation=https://arxiv.org/pdf/1608.05779, friendlyName=Open PDF / Source</x:v>
      </x:c>
      <x:c r="O17" s="124" t="str"/>
    </x:row>
    <x:row r="18" ht="84" customHeight="1">
      <x:c r="A18" s="127" t="str"/>
      <x:c r="B18" s="127" t="str">
        <x:v>PDF_FIRST_PAGE</x:v>
      </x:c>
      <x:c r="C18" s="127" t="str">
        <x:v>2017 Derek F. Jackson Kimball</x:v>
      </x:c>
      <x:c r="D18" s="127" t="str">
        <x:v>L047</x:v>
      </x:c>
      <x:c r="E18" s="135" t="n">
        <x:v>2017</x:v>
      </x:c>
      <x:c r="F18" s="127" t="str">
        <x:v>Constraints on long-range spin-gravity and monopole-dipole couplings of the proton</x:v>
      </x:c>
      <x:c r="G18" s="127" t="str">
        <x:v>Derek F. Jackson Kimball; Jordan Dudley; Yan Li; Dilan Patel; Julian Valdez</x:v>
      </x:c>
      <x:c r="H18" s="127" t="str">
        <x:v>Physical Review D</x:v>
      </x:c>
      <x:c r="I18" s="127" t="str">
        <x:v>Atomic &amp; molecular</x:v>
      </x:c>
      <x:c r="J18" s="139" t="str">
        <x:v>C1</x:v>
      </x:c>
      <x:c r="K18" s="139" t="str">
        <x:v>secondary</x:v>
      </x:c>
      <x:c r="L18" s="127" t="e">
        <x:f>HYPERLINK("https://doi.org/10.1103/physrevd.96.075004","10.1103/physrevd.96.075004")</x:f>
        <x:v>HYPERLINK is not implemented. linkLocation=https://doi.org/10.1103/physrevd.96.075004, friendlyName=10.1103/physrevd.96.075004</x:v>
      </x:c>
      <x:c r="M18" s="127" t="str"/>
      <x:c r="N18" s="127" t="e">
        <x:f>HYPERLINK("https://arxiv.org/pdf/1707.00745","Open PDF / Source")</x:f>
        <x:v>HYPERLINK is not implemented. linkLocation=https://arxiv.org/pdf/1707.00745, friendlyName=Open PDF / Source</x:v>
      </x:c>
      <x:c r="O18" s="127" t="str"/>
    </x:row>
    <x:row r="19" ht="84" customHeight="1">
      <x:c r="A19" s="124" t="str"/>
      <x:c r="B19" s="124" t="str">
        <x:v>PDF_FIRST_PAGE</x:v>
      </x:c>
      <x:c r="C19" s="124" t="str">
        <x:v>2017 V. A. Dzuba</x:v>
      </x:c>
      <x:c r="D19" s="124" t="str">
        <x:v>L050</x:v>
      </x:c>
      <x:c r="E19" s="134" t="n">
        <x:v>2017</x:v>
      </x:c>
      <x:c r="F19" s="124" t="str">
        <x:v>Probing Low-Mass Vector Bosons with Parity Nonconservation and Nuclear Anapole Moment Measurements in Atoms and Molecules</x:v>
      </x:c>
      <x:c r="G19" s="124" t="str">
        <x:v>V. A. Dzuba; V. V. Flambaum; Y. V. Stadnik</x:v>
      </x:c>
      <x:c r="H19" s="124" t="str">
        <x:v>Physical Review Letters</x:v>
      </x:c>
      <x:c r="I19" s="124" t="str">
        <x:v>Neutron &amp; nucleon</x:v>
      </x:c>
      <x:c r="J19" s="138" t="str">
        <x:v>C1</x:v>
      </x:c>
      <x:c r="K19" s="138" t="str">
        <x:v>secondary</x:v>
      </x:c>
      <x:c r="L19" s="124" t="e">
        <x:f>HYPERLINK("https://doi.org/10.1103/physrevlett.119.223201","10.1103/physrevlett.119.223201")</x:f>
        <x:v>HYPERLINK is not implemented. linkLocation=https://doi.org/10.1103/physrevlett.119.223201, friendlyName=10.1103/physrevlett.119.223201</x:v>
      </x:c>
      <x:c r="M19" s="124" t="str"/>
      <x:c r="N19" s="124" t="e">
        <x:f>HYPERLINK("https://arxiv.org/pdf/1709.10009","Open PDF / Source")</x:f>
        <x:v>HYPERLINK is not implemented. linkLocation=https://arxiv.org/pdf/1709.10009, friendlyName=Open PDF / Source</x:v>
      </x:c>
      <x:c r="O19" s="124" t="str"/>
    </x:row>
    <x:row r="20" ht="84" customHeight="1">
      <x:c r="A20" s="127" t="str"/>
      <x:c r="B20" s="127" t="str">
        <x:v>PDF_FIRST_PAGE</x:v>
      </x:c>
      <x:c r="C20" s="127" t="str">
        <x:v>2018 Filip Ficek</x:v>
      </x:c>
      <x:c r="D20" s="127" t="str">
        <x:v>L053</x:v>
      </x:c>
      <x:c r="E20" s="135" t="n">
        <x:v>2018</x:v>
      </x:c>
      <x:c r="F20" s="127" t="str">
        <x:v>Constraints on Exotic Spin-Dependent Interactions Between Matter and Antimatter from Antiprotonic Helium Spectroscopy</x:v>
      </x:c>
      <x:c r="G20" s="127" t="str">
        <x:v>Filip Ficek; Pavel Fadeev; Victor V. Flambaum; Derek F. Jackson Kimball; Mikhail G. Kozlov; Yevgeny V. Stadnik; Dmitry Budker</x:v>
      </x:c>
      <x:c r="H20" s="127" t="str">
        <x:v>Physical Review Letters</x:v>
      </x:c>
      <x:c r="I20" s="127" t="str">
        <x:v>Atomic &amp; molecular</x:v>
      </x:c>
      <x:c r="J20" s="139" t="str">
        <x:v>C1</x:v>
      </x:c>
      <x:c r="K20" s="139" t="str">
        <x:v>secondary</x:v>
      </x:c>
      <x:c r="L20" s="127" t="e">
        <x:f>HYPERLINK("https://doi.org/10.1103/physrevlett.120.183002","10.1103/physrevlett.120.183002")</x:f>
        <x:v>HYPERLINK is not implemented. linkLocation=https://doi.org/10.1103/physrevlett.120.183002, friendlyName=10.1103/physrevlett.120.183002</x:v>
      </x:c>
      <x:c r="M20" s="127" t="str"/>
      <x:c r="N20" s="127" t="e">
        <x:f>HYPERLINK("https://arxiv.org/pdf/1801.00491","Open PDF / Source")</x:f>
        <x:v>HYPERLINK is not implemented. linkLocation=https://arxiv.org/pdf/1801.00491, friendlyName=Open PDF / Source</x:v>
      </x:c>
      <x:c r="O20" s="127" t="str"/>
    </x:row>
    <x:row r="21" ht="84" customHeight="1">
      <x:c r="A21" s="124" t="str"/>
      <x:c r="B21" s="124" t="str">
        <x:v>PDF_FIRST_PAGE</x:v>
      </x:c>
      <x:c r="C21" s="124" t="str">
        <x:v>2018 Young Jin Kim</x:v>
      </x:c>
      <x:c r="D21" s="124" t="str">
        <x:v>L055</x:v>
      </x:c>
      <x:c r="E21" s="134" t="n">
        <x:v>2018</x:v>
      </x:c>
      <x:c r="F21" s="124" t="str">
        <x:v>Experimental Constraint on an Exotic Spin- and Velocity-Dependent Interaction in the Sub-meV Range of Axion Mass with a Spin-Exchange Relaxation-Free Magnetometer</x:v>
      </x:c>
      <x:c r="G21" s="124" t="str">
        <x:v>Young Jin Kim; Ping-Han Chu; Igor Savukov</x:v>
      </x:c>
      <x:c r="H21" s="124" t="str">
        <x:v>Physical Review Letters</x:v>
      </x:c>
      <x:c r="I21" s="124" t="str">
        <x:v>Atomic &amp; molecular</x:v>
      </x:c>
      <x:c r="J21" s="138" t="str">
        <x:v>C1</x:v>
      </x:c>
      <x:c r="K21" s="138" t="str">
        <x:v>secondary</x:v>
      </x:c>
      <x:c r="L21" s="124" t="e">
        <x:f>HYPERLINK("https://doi.org/10.1103/physrevlett.121.091802","10.1103/physrevlett.121.091802")</x:f>
        <x:v>HYPERLINK is not implemented. linkLocation=https://doi.org/10.1103/physrevlett.121.091802, friendlyName=10.1103/physrevlett.121.091802</x:v>
      </x:c>
      <x:c r="M21" s="124" t="str"/>
      <x:c r="N21" s="124" t="e">
        <x:f>HYPERLINK("https://arxiv.org/pdf/1702.02974","Open PDF / Source")</x:f>
        <x:v>HYPERLINK is not implemented. linkLocation=https://arxiv.org/pdf/1702.02974, friendlyName=Open PDF / Source</x:v>
      </x:c>
      <x:c r="O21" s="124" t="str"/>
    </x:row>
    <x:row r="22" ht="84" customHeight="1">
      <x:c r="A22" s="127" t="str"/>
      <x:c r="B22" s="127" t="str">
        <x:v>PDF_FIRST_PAGE</x:v>
      </x:c>
      <x:c r="C22" s="127" t="str">
        <x:v>2018 Y. V. Stadnik</x:v>
      </x:c>
      <x:c r="D22" s="127" t="str">
        <x:v>L056</x:v>
      </x:c>
      <x:c r="E22" s="135" t="n">
        <x:v>2018</x:v>
      </x:c>
      <x:c r="F22" s="127" t="str">
        <x:v>Improved Limits on Axionlike-Particle-Mediated P , T -Violating Interactions between Electrons and Nucleons from Electric Dipole Moments of Atoms and Molecules</x:v>
      </x:c>
      <x:c r="G22" s="127" t="str">
        <x:v>Y. V. Stadnik; V. A. Dzuba; V. V. Flambaum</x:v>
      </x:c>
      <x:c r="H22" s="127" t="str">
        <x:v>Physical Review Letters</x:v>
      </x:c>
      <x:c r="I22" s="127" t="str">
        <x:v>Neutron &amp; nucleon</x:v>
      </x:c>
      <x:c r="J22" s="139" t="str">
        <x:v>C1</x:v>
      </x:c>
      <x:c r="K22" s="139" t="str">
        <x:v>secondary</x:v>
      </x:c>
      <x:c r="L22" s="127" t="e">
        <x:f>HYPERLINK("https://doi.org/10.1103/physrevlett.120.013202","10.1103/physrevlett.120.013202")</x:f>
        <x:v>HYPERLINK is not implemented. linkLocation=https://doi.org/10.1103/physrevlett.120.013202, friendlyName=10.1103/physrevlett.120.013202</x:v>
      </x:c>
      <x:c r="M22" s="127" t="str"/>
      <x:c r="N22" s="127" t="e">
        <x:f>HYPERLINK("https://arxiv.org/pdf/1708.00486","Open PDF / Source")</x:f>
        <x:v>HYPERLINK is not implemented. linkLocation=https://arxiv.org/pdf/1708.00486, friendlyName=Open PDF / Source</x:v>
      </x:c>
      <x:c r="O22" s="127" t="str"/>
    </x:row>
    <x:row r="23" ht="84" customHeight="1">
      <x:c r="A23" s="124" t="str"/>
      <x:c r="B23" s="124" t="str">
        <x:v>PDF_FIRST_PAGE</x:v>
      </x:c>
      <x:c r="C23" s="124" t="str">
        <x:v>2018 Junyi Lee</x:v>
      </x:c>
      <x:c r="D23" s="124" t="str">
        <x:v>L057</x:v>
      </x:c>
      <x:c r="E23" s="134" t="n">
        <x:v>2018</x:v>
      </x:c>
      <x:c r="F23" s="124" t="str">
        <x:v>Improved Limits on Spin-Mass Interactions</x:v>
      </x:c>
      <x:c r="G23" s="124" t="str">
        <x:v>Junyi Lee; Attaallah Almasi; Michael Romalis</x:v>
      </x:c>
      <x:c r="H23" s="124" t="str">
        <x:v>Physical Review Letters</x:v>
      </x:c>
      <x:c r="I23" s="124" t="str">
        <x:v>Atomic &amp; molecular</x:v>
      </x:c>
      <x:c r="J23" s="138" t="str">
        <x:v>C1</x:v>
      </x:c>
      <x:c r="K23" s="138" t="str">
        <x:v>secondary</x:v>
      </x:c>
      <x:c r="L23" s="124" t="e">
        <x:f>HYPERLINK("https://doi.org/10.1103/physrevlett.120.161801","10.1103/physrevlett.120.161801")</x:f>
        <x:v>HYPERLINK is not implemented. linkLocation=https://doi.org/10.1103/physrevlett.120.161801, friendlyName=10.1103/physrevlett.120.161801</x:v>
      </x:c>
      <x:c r="M23" s="124" t="str"/>
      <x:c r="N23" s="124" t="e">
        <x:f>HYPERLINK("https://arxiv.org/pdf/1801.02757","Open PDF / Source")</x:f>
        <x:v>HYPERLINK is not implemented. linkLocation=https://arxiv.org/pdf/1801.02757, friendlyName=Open PDF / Source</x:v>
      </x:c>
      <x:c r="O23" s="124" t="str"/>
    </x:row>
    <x:row r="24" ht="84" customHeight="1">
      <x:c r="A24" s="127" t="str"/>
      <x:c r="B24" s="127" t="str">
        <x:v>PDF_FIRST_PAGE</x:v>
      </x:c>
      <x:c r="C24" s="127" t="str">
        <x:v>2018 Wei Ji</x:v>
      </x:c>
      <x:c r="D24" s="127" t="str">
        <x:v>L058</x:v>
      </x:c>
      <x:c r="E24" s="135" t="n">
        <x:v>2018</x:v>
      </x:c>
      <x:c r="F24" s="127" t="str">
        <x:v>New Experimental Limits on Exotic Spin-Spin-Velocity-Dependent Interactions by Using SmCo 5 Spin Sources</x:v>
      </x:c>
      <x:c r="G24" s="127" t="str">
        <x:v>Wei Ji; Yao Chen; Changbo Fu; Ming Ding; Jiancheng Fang; Zhigang Xiao; Kai Wei; Haiyang Yan</x:v>
      </x:c>
      <x:c r="H24" s="127" t="str">
        <x:v>Physical Review Letters</x:v>
      </x:c>
      <x:c r="I24" s="127" t="str">
        <x:v>Torsion &amp; geophysical</x:v>
      </x:c>
      <x:c r="J24" s="139" t="str">
        <x:v>C1</x:v>
      </x:c>
      <x:c r="K24" s="139" t="str">
        <x:v>secondary</x:v>
      </x:c>
      <x:c r="L24" s="127" t="e">
        <x:f>HYPERLINK("https://doi.org/10.1103/physrevlett.121.261803","10.1103/physrevlett.121.261803")</x:f>
        <x:v>HYPERLINK is not implemented. linkLocation=https://doi.org/10.1103/physrevlett.121.261803, friendlyName=10.1103/physrevlett.121.261803</x:v>
      </x:c>
      <x:c r="M24" s="127" t="str"/>
      <x:c r="N24" s="127" t="e">
        <x:f>HYPERLINK("https://arxiv.org/pdf/1803.02813","Open PDF / Source")</x:f>
        <x:v>HYPERLINK is not implemented. linkLocation=https://arxiv.org/pdf/1803.02813, friendlyName=Open PDF / Source</x:v>
      </x:c>
      <x:c r="O24" s="127" t="str"/>
    </x:row>
    <x:row r="25" ht="84" customHeight="1">
      <x:c r="A25" s="124" t="str"/>
      <x:c r="B25" s="124" t="str">
        <x:v>PDF_FIRST_PAGE</x:v>
      </x:c>
      <x:c r="C25" s="124" t="str">
        <x:v>2018 M. S. Safronova</x:v>
      </x:c>
      <x:c r="D25" s="124" t="str">
        <x:v>L060</x:v>
      </x:c>
      <x:c r="E25" s="134" t="n">
        <x:v>2018</x:v>
      </x:c>
      <x:c r="F25" s="124" t="str">
        <x:v>Search for new physics with atoms and molecules</x:v>
      </x:c>
      <x:c r="G25" s="124" t="str">
        <x:v>M. S. Safronova; D. Budker; D. DeMille; Derek F. Jackson Kimball; A. Derevianko; Charles W. Clark</x:v>
      </x:c>
      <x:c r="H25" s="124" t="str">
        <x:v>Reviews of Modern Physics</x:v>
      </x:c>
      <x:c r="I25" s="124" t="str">
        <x:v>Parity &amp; EDM</x:v>
      </x:c>
      <x:c r="J25" s="138" t="str">
        <x:v>C1</x:v>
      </x:c>
      <x:c r="K25" s="138" t="str">
        <x:v>secondary</x:v>
      </x:c>
      <x:c r="L25" s="124" t="e">
        <x:f>HYPERLINK("https://doi.org/10.1103/revmodphys.90.025008","10.1103/revmodphys.90.025008")</x:f>
        <x:v>HYPERLINK is not implemented. linkLocation=https://doi.org/10.1103/revmodphys.90.025008, friendlyName=10.1103/revmodphys.90.025008</x:v>
      </x:c>
      <x:c r="M25" s="124" t="str"/>
      <x:c r="N25" s="124" t="e">
        <x:f>HYPERLINK("https://arxiv.org/pdf/1710.01833","Open PDF / Source")</x:f>
        <x:v>HYPERLINK is not implemented. linkLocation=https://arxiv.org/pdf/1710.01833, friendlyName=Open PDF / Source</x:v>
      </x:c>
      <x:c r="O25" s="124" t="str"/>
    </x:row>
    <x:row r="26" ht="84" customHeight="1">
      <x:c r="A26" s="127" t="str"/>
      <x:c r="B26" s="127" t="str">
        <x:v>PDF_FIRST_PAGE</x:v>
      </x:c>
      <x:c r="C26" s="127" t="str">
        <x:v>2019 Pavel Fadeev</x:v>
      </x:c>
      <x:c r="D26" s="127" t="str">
        <x:v>L067</x:v>
      </x:c>
      <x:c r="E26" s="135" t="n">
        <x:v>2019</x:v>
      </x:c>
      <x:c r="F26" s="127" t="str">
        <x:v>Revisiting spin-dependent forces mediated by new bosons: Potentials in the coordinate-space representation for macroscopic- and atomic-scale experiments</x:v>
      </x:c>
      <x:c r="G26" s="127" t="str">
        <x:v>Pavel Fadeev; Yevgeny V. Stadnik; Filip Ficek; Mikhail G. Kozlov; Victor V. Flambaum; Dmitry Budker</x:v>
      </x:c>
      <x:c r="H26" s="127" t="str"/>
      <x:c r="I26" s="127" t="str">
        <x:v>Theory &amp; operators</x:v>
      </x:c>
      <x:c r="J26" s="139" t="str">
        <x:v>C3</x:v>
      </x:c>
      <x:c r="K26" s="139" t="str">
        <x:v>green_check</x:v>
      </x:c>
      <x:c r="L26" s="127" t="e">
        <x:f>HYPERLINK("https://doi.org/10.1103/physreva.99.022113","10.1103/physreva.99.022113")</x:f>
        <x:v>HYPERLINK is not implemented. linkLocation=https://doi.org/10.1103/physreva.99.022113, friendlyName=10.1103/physreva.99.022113</x:v>
      </x:c>
      <x:c r="M26" s="127" t="e">
        <x:f>HYPERLINK("https://arxiv.org/abs/1810.10364","1810.10364")</x:f>
        <x:v>HYPERLINK is not implemented. linkLocation=https://arxiv.org/abs/1810.10364, friendlyName=1810.10364</x:v>
      </x:c>
      <x:c r="N26" s="127" t="e">
        <x:f>HYPERLINK("https://arxiv.org/abs/1810.10364","Open PDF / Source")</x:f>
        <x:v>HYPERLINK is not implemented. linkLocation=https://arxiv.org/abs/1810.10364, friendlyName=Open PDF / Source</x:v>
      </x:c>
      <x:c r="O26" s="127" t="str">
        <x:v>v2_high_recall/reading_records/R02_fadeev_2019_revisiting.md</x:v>
      </x:c>
    </x:row>
    <x:row r="27" ht="84" customHeight="1">
      <x:c r="A27" s="124" t="str"/>
      <x:c r="B27" s="124" t="str">
        <x:v>PDF_FIRST_PAGE</x:v>
      </x:c>
      <x:c r="C27" s="124" t="str">
        <x:v>2020 Ulrich D. Jentschura</x:v>
      </x:c>
      <x:c r="D27" s="124" t="str">
        <x:v>L070</x:v>
      </x:c>
      <x:c r="E27" s="134" t="n">
        <x:v>2020</x:v>
      </x:c>
      <x:c r="F27" s="124" t="str">
        <x:v>Fifth Force and Hyperfine Splitting in Bound Systems</x:v>
      </x:c>
      <x:c r="G27" s="124" t="str">
        <x:v>Ulrich D. Jentschura</x:v>
      </x:c>
      <x:c r="H27" s="124" t="str"/>
      <x:c r="I27" s="124" t="str">
        <x:v>Theory &amp; operators</x:v>
      </x:c>
      <x:c r="J27" s="138" t="str">
        <x:v>C3</x:v>
      </x:c>
      <x:c r="K27" s="138" t="str">
        <x:v>green_check</x:v>
      </x:c>
      <x:c r="L27" s="124" t="e">
        <x:f>HYPERLINK("https://doi.org/10.1103/physreva.101.062503","10.1103/physreva.101.062503")</x:f>
        <x:v>HYPERLINK is not implemented. linkLocation=https://doi.org/10.1103/physreva.101.062503, friendlyName=10.1103/physreva.101.062503</x:v>
      </x:c>
      <x:c r="M27" s="124" t="e">
        <x:f>HYPERLINK("https://arxiv.org/abs/2003.07207","2003.07207")</x:f>
        <x:v>HYPERLINK is not implemented. linkLocation=https://arxiv.org/abs/2003.07207, friendlyName=2003.07207</x:v>
      </x:c>
      <x:c r="N27" s="124" t="e">
        <x:f>HYPERLINK("https://arxiv.org/abs/2003.07207","Open PDF / Source")</x:f>
        <x:v>HYPERLINK is not implemented. linkLocation=https://arxiv.org/abs/2003.07207, friendlyName=Open PDF / Source</x:v>
      </x:c>
      <x:c r="O27" s="124" t="str">
        <x:v>v2_high_recall/reading_records/R13_jentschura_2020.md</x:v>
      </x:c>
    </x:row>
    <x:row r="28" ht="84" customHeight="1">
      <x:c r="A28" s="127" t="str"/>
      <x:c r="B28" s="127" t="str">
        <x:v>PDF_FIRST_PAGE</x:v>
      </x:c>
      <x:c r="C28" s="127" t="str">
        <x:v>2020 Attaallah Almasi</x:v>
      </x:c>
      <x:c r="D28" s="127" t="str">
        <x:v>L071</x:v>
      </x:c>
      <x:c r="E28" s="135" t="n">
        <x:v>2020</x:v>
      </x:c>
      <x:c r="F28" s="127" t="str">
        <x:v>New Limits on Anomalous Spin-Spin Interactions</x:v>
      </x:c>
      <x:c r="G28" s="127" t="str">
        <x:v>Attaallah Almasi; Junyi Lee; Himawan Winarto; Marc Smiciklas; Michael V. Romalis</x:v>
      </x:c>
      <x:c r="H28" s="127" t="str">
        <x:v>Physical Review Letters</x:v>
      </x:c>
      <x:c r="I28" s="127" t="str">
        <x:v>Neutron &amp; nucleon</x:v>
      </x:c>
      <x:c r="J28" s="139" t="str">
        <x:v>C1</x:v>
      </x:c>
      <x:c r="K28" s="139" t="str">
        <x:v>secondary</x:v>
      </x:c>
      <x:c r="L28" s="127" t="e">
        <x:f>HYPERLINK("https://doi.org/10.1103/physrevlett.125.201802","10.1103/physrevlett.125.201802")</x:f>
        <x:v>HYPERLINK is not implemented. linkLocation=https://doi.org/10.1103/physrevlett.125.201802, friendlyName=10.1103/physrevlett.125.201802</x:v>
      </x:c>
      <x:c r="M28" s="127" t="str"/>
      <x:c r="N28" s="127" t="e">
        <x:f>HYPERLINK("https://arxiv.org/pdf/1811.03614","Open PDF / Source")</x:f>
        <x:v>HYPERLINK is not implemented. linkLocation=https://arxiv.org/pdf/1811.03614, friendlyName=Open PDF / Source</x:v>
      </x:c>
      <x:c r="O28" s="127" t="str"/>
    </x:row>
    <x:row r="29" ht="84" customHeight="1">
      <x:c r="A29" s="124" t="str"/>
      <x:c r="B29" s="124" t="str">
        <x:v>PDF_FIRST_PAGE</x:v>
      </x:c>
      <x:c r="C29" s="124" t="str">
        <x:v>2020 S. Alighanbari</x:v>
      </x:c>
      <x:c r="D29" s="124" t="str">
        <x:v>L073</x:v>
      </x:c>
      <x:c r="E29" s="134" t="n">
        <x:v>2020</x:v>
      </x:c>
      <x:c r="F29" s="124" t="str">
        <x:v>Precise test of quantum electrodynamics and determination of fundamental constants with HD+ ions</x:v>
      </x:c>
      <x:c r="G29" s="124" t="str">
        <x:v>S. Alighanbari; G. S. Giri; F. L. Constantin; V. I. Korobov; S. Schiller</x:v>
      </x:c>
      <x:c r="H29" s="124" t="str"/>
      <x:c r="I29" s="124" t="str">
        <x:v>HD+ molecular</x:v>
      </x:c>
      <x:c r="J29" s="138" t="str">
        <x:v>C3</x:v>
      </x:c>
      <x:c r="K29" s="138" t="str">
        <x:v>green_check</x:v>
      </x:c>
      <x:c r="L29" s="124" t="e">
        <x:f>HYPERLINK("https://doi.org/10.1038/s41586-020-2261-5","10.1038/s41586-020-2261-5")</x:f>
        <x:v>HYPERLINK is not implemented. linkLocation=https://doi.org/10.1038/s41586-020-2261-5, friendlyName=10.1038/s41586-020-2261-5</x:v>
      </x:c>
      <x:c r="M29" s="124" t="str"/>
      <x:c r="N29" s="124" t="e">
        <x:f>HYPERLINK("https://doi.org/10.1038/s41586-020-2261-5","Open PDF / Source")</x:f>
        <x:v>HYPERLINK is not implemented. linkLocation=https://doi.org/10.1038/s41586-020-2261-5, friendlyName=Open PDF / Source</x:v>
      </x:c>
      <x:c r="O29" s="124" t="str">
        <x:v>v2_high_recall/reading_records/R08_alighanbari_2020.md</x:v>
      </x:c>
    </x:row>
    <x:row r="30" ht="84" customHeight="1">
      <x:c r="A30" s="127" t="str"/>
      <x:c r="B30" s="127" t="str">
        <x:v>PDF_FIRST_PAGE</x:v>
      </x:c>
      <x:c r="C30" s="127" t="str">
        <x:v>2021 Haowen Su</x:v>
      </x:c>
      <x:c r="D30" s="127" t="str">
        <x:v>L080</x:v>
      </x:c>
      <x:c r="E30" s="135" t="n">
        <x:v>2021</x:v>
      </x:c>
      <x:c r="F30" s="127" t="str">
        <x:v>Search for exotic spin-dependent interactions with a spin-based amplifier</x:v>
      </x:c>
      <x:c r="G30" s="127" t="str">
        <x:v>Haowen Su; Yuanhong Wang; Min Jiang; Wei Ji; Pavel Fadeev; Dongdong Hu; Xinhua Peng; Dmitry Budker</x:v>
      </x:c>
      <x:c r="H30" s="127" t="str">
        <x:v>Science Advances</x:v>
      </x:c>
      <x:c r="I30" s="127" t="str">
        <x:v>Neutron &amp; nucleon</x:v>
      </x:c>
      <x:c r="J30" s="139" t="str">
        <x:v>C1</x:v>
      </x:c>
      <x:c r="K30" s="139" t="str">
        <x:v>secondary</x:v>
      </x:c>
      <x:c r="L30" s="127" t="e">
        <x:f>HYPERLINK("https://doi.org/10.1126/sciadv.abi9535","10.1126/sciadv.abi9535")</x:f>
        <x:v>HYPERLINK is not implemented. linkLocation=https://doi.org/10.1126/sciadv.abi9535, friendlyName=10.1126/sciadv.abi9535</x:v>
      </x:c>
      <x:c r="M30" s="127" t="str"/>
      <x:c r="N30" s="127" t="e">
        <x:f>HYPERLINK("https://export.arxiv.org/pdf/2103.15282","Open PDF / Source")</x:f>
        <x:v>HYPERLINK is not implemented. linkLocation=https://export.arxiv.org/pdf/2103.15282, friendlyName=Open PDF / Source</x:v>
      </x:c>
      <x:c r="O30" s="127" t="str"/>
    </x:row>
    <x:row r="31" ht="84" customHeight="1">
      <x:c r="A31" s="124" t="str"/>
      <x:c r="B31" s="124" t="str">
        <x:v>PDF_FIRST_PAGE</x:v>
      </x:c>
      <x:c r="C31" s="124" t="str">
        <x:v>2022 Kai Wei</x:v>
      </x:c>
      <x:c r="D31" s="124" t="str">
        <x:v>L083</x:v>
      </x:c>
      <x:c r="E31" s="134" t="n">
        <x:v>2022</x:v>
      </x:c>
      <x:c r="F31" s="124" t="str">
        <x:v>Constraints on exotic spin-velocity-dependent interactions</x:v>
      </x:c>
      <x:c r="G31" s="124" t="str">
        <x:v>Kai Wei; Wei Ji; Changbo Fu; Arne Wickenbrock; Victor V. Flambaum; Jiancheng Fang; Dmitry Budker</x:v>
      </x:c>
      <x:c r="H31" s="124" t="str">
        <x:v>Nature Communications</x:v>
      </x:c>
      <x:c r="I31" s="124" t="str">
        <x:v>Atomic &amp; molecular</x:v>
      </x:c>
      <x:c r="J31" s="138" t="str">
        <x:v>C1</x:v>
      </x:c>
      <x:c r="K31" s="138" t="str">
        <x:v>secondary</x:v>
      </x:c>
      <x:c r="L31" s="124" t="e">
        <x:f>HYPERLINK("https://doi.org/10.1038/s41467-022-34924-z","10.1038/s41467-022-34924-z")</x:f>
        <x:v>HYPERLINK is not implemented. linkLocation=https://doi.org/10.1038/s41467-022-34924-z, friendlyName=10.1038/s41467-022-34924-z</x:v>
      </x:c>
      <x:c r="M31" s="124" t="str"/>
      <x:c r="N31" s="124" t="e">
        <x:f>HYPERLINK("https://www.nature.com/articles/s41467-022-34924-z.pdf","Open PDF / Source")</x:f>
        <x:v>HYPERLINK is not implemented. linkLocation=https://www.nature.com/articles/s41467-022-34924-z.pdf, friendlyName=Open PDF / Source</x:v>
      </x:c>
      <x:c r="O31" s="124" t="str"/>
    </x:row>
    <x:row r="32" ht="84" customHeight="1">
      <x:c r="A32" s="127" t="str"/>
      <x:c r="B32" s="127" t="str">
        <x:v>PDF_FIRST_PAGE</x:v>
      </x:c>
      <x:c r="C32" s="127" t="str">
        <x:v>2022 K. Y. Wu</x:v>
      </x:c>
      <x:c r="D32" s="127" t="str">
        <x:v>L084</x:v>
      </x:c>
      <x:c r="E32" s="135" t="n">
        <x:v>2022</x:v>
      </x:c>
      <x:c r="F32" s="127" t="str">
        <x:v>Experimental Limits on Exotic Spin and Velocity Dependent Interactions Using Rotationally Modulated Source Masses and an Atomic-Magnetometer Array</x:v>
      </x:c>
      <x:c r="G32" s="127" t="str">
        <x:v>K. Y. Wu; S. Y. Chen; G. A. Sun; S. M. Peng; M. Peng; H. Yan</x:v>
      </x:c>
      <x:c r="H32" s="127" t="str">
        <x:v>Physical Review Letters</x:v>
      </x:c>
      <x:c r="I32" s="127" t="str">
        <x:v>Atomic &amp; molecular</x:v>
      </x:c>
      <x:c r="J32" s="139" t="str">
        <x:v>C1</x:v>
      </x:c>
      <x:c r="K32" s="139" t="str">
        <x:v>secondary</x:v>
      </x:c>
      <x:c r="L32" s="127" t="e">
        <x:f>HYPERLINK("https://doi.org/10.1103/physrevlett.129.051802","10.1103/physrevlett.129.051802")</x:f>
        <x:v>HYPERLINK is not implemented. linkLocation=https://doi.org/10.1103/physrevlett.129.051802, friendlyName=10.1103/physrevlett.129.051802</x:v>
      </x:c>
      <x:c r="M32" s="127" t="str"/>
      <x:c r="N32" s="127" t="e">
        <x:f>HYPERLINK("https://arxiv.org/pdf/2109.13847v1","Open PDF / Source")</x:f>
        <x:v>HYPERLINK is not implemented. linkLocation=https://arxiv.org/pdf/2109.13847v1, friendlyName=Open PDF / Source</x:v>
      </x:c>
      <x:c r="O32" s="127" t="str"/>
    </x:row>
    <x:row r="33" ht="84" customHeight="1">
      <x:c r="A33" s="124" t="str"/>
      <x:c r="B33" s="124" t="str">
        <x:v>PDF_FIRST_PAGE</x:v>
      </x:c>
      <x:c r="C33" s="124" t="str">
        <x:v>2022 Mohammad Haidar</x:v>
      </x:c>
      <x:c r="D33" s="124" t="str">
        <x:v>L085</x:v>
      </x:c>
      <x:c r="E33" s="134" t="n">
        <x:v>2022</x:v>
      </x:c>
      <x:c r="F33" s="124" t="str">
        <x:v>Higher-order corrections to the spin-orbit and spin-spin tensor interactions in HD+</x:v>
      </x:c>
      <x:c r="G33" s="124" t="str">
        <x:v>Mohammad Haidar; Vladimir I. Korobov; Laurent Hilico; Jean-Philippe Karr</x:v>
      </x:c>
      <x:c r="H33" s="124" t="str"/>
      <x:c r="I33" s="124" t="str">
        <x:v>HD+ molecular</x:v>
      </x:c>
      <x:c r="J33" s="138" t="str">
        <x:v>C3</x:v>
      </x:c>
      <x:c r="K33" s="138" t="str">
        <x:v>green_check</x:v>
      </x:c>
      <x:c r="L33" s="124" t="e">
        <x:f>HYPERLINK("https://doi.org/10.1103/physreva.106.042815","10.1103/physreva.106.042815")</x:f>
        <x:v>HYPERLINK is not implemented. linkLocation=https://doi.org/10.1103/physreva.106.042815, friendlyName=10.1103/physreva.106.042815</x:v>
      </x:c>
      <x:c r="M33" s="124" t="e">
        <x:f>HYPERLINK("https://arxiv.org/abs/2209.02382","2209.02382")</x:f>
        <x:v>HYPERLINK is not implemented. linkLocation=https://arxiv.org/abs/2209.02382, friendlyName=2209.02382</x:v>
      </x:c>
      <x:c r="N33" s="124" t="e">
        <x:f>HYPERLINK("https://arxiv.org/abs/2209.02382","Open PDF / Source")</x:f>
        <x:v>HYPERLINK is not implemented. linkLocation=https://arxiv.org/abs/2209.02382, friendlyName=Open PDF / Source</x:v>
      </x:c>
      <x:c r="O33" s="124" t="str">
        <x:v>v2_high_recall/reading_records/R09_haidar_2022.md</x:v>
      </x:c>
    </x:row>
    <x:row r="34" ht="84" customHeight="1">
      <x:c r="A34" s="127" t="str"/>
      <x:c r="B34" s="127" t="str">
        <x:v>PDF_FIRST_PAGE</x:v>
      </x:c>
      <x:c r="C34" s="127" t="str">
        <x:v>2022 Hang Liang</x:v>
      </x:c>
      <x:c r="D34" s="127" t="str">
        <x:v>L086</x:v>
      </x:c>
      <x:c r="E34" s="135" t="n">
        <x:v>2022</x:v>
      </x:c>
      <x:c r="F34" s="127" t="str">
        <x:v>New constraints on exotic spin-dependent interactions with an ensemble-NV-diamond magnetometer</x:v>
      </x:c>
      <x:c r="G34" s="127" t="str">
        <x:v>Hang Liang; Man Jiao; Yue Huang; Pei Yu; Xiangyu Ye; Ya Wang; Yijin Xie; Yi-Fu Cai; Xing Rong; Jiangfeng Du</x:v>
      </x:c>
      <x:c r="H34" s="127" t="str">
        <x:v>National Science Review</x:v>
      </x:c>
      <x:c r="I34" s="127" t="str">
        <x:v>Vapor spins &amp; comagnetometry</x:v>
      </x:c>
      <x:c r="J34" s="139" t="str">
        <x:v>C1</x:v>
      </x:c>
      <x:c r="K34" s="139" t="str">
        <x:v>secondary</x:v>
      </x:c>
      <x:c r="L34" s="127" t="e">
        <x:f>HYPERLINK("https://doi.org/10.1093/nsr/nwac262","10.1093/nsr/nwac262")</x:f>
        <x:v>HYPERLINK is not implemented. linkLocation=https://doi.org/10.1093/nsr/nwac262, friendlyName=10.1093/nsr/nwac262</x:v>
      </x:c>
      <x:c r="M34" s="127" t="str"/>
      <x:c r="N34" s="127" t="e">
        <x:f>HYPERLINK("https://inspirehep.net/files/98c3f2c5474ee43e1cb5fbab4c6eb38f","Open PDF / Source")</x:f>
        <x:v>HYPERLINK is not implemented. linkLocation=https://inspirehep.net/files/98c3f2c5474ee43e1cb5fbab4c6eb38f, friendlyName=Open PDF / Source</x:v>
      </x:c>
      <x:c r="O34" s="127" t="str"/>
    </x:row>
    <x:row r="35" ht="84" customHeight="1">
      <x:c r="A35" s="124" t="str"/>
      <x:c r="B35" s="124" t="str">
        <x:v>PDF_FIRST_PAGE</x:v>
      </x:c>
      <x:c r="C35" s="124" t="str">
        <x:v>2022 P.-H. Chu</x:v>
      </x:c>
      <x:c r="D35" s="124" t="str">
        <x:v>L087</x:v>
      </x:c>
      <x:c r="E35" s="134" t="n">
        <x:v>2022</x:v>
      </x:c>
      <x:c r="F35" s="124" t="str">
        <x:v>Proposal for the search for new spin interactions at the micrometer scale using diamond quantum sensors</x:v>
      </x:c>
      <x:c r="G35" s="124" t="str">
        <x:v>P.-H. Chu; N. Ristoff; J. Smits; N. Jackson; Y. J. Kim; I. Savukov; V. M. Acosta</x:v>
      </x:c>
      <x:c r="H35" s="124" t="str">
        <x:v>Physical Review Research</x:v>
      </x:c>
      <x:c r="I35" s="124" t="str">
        <x:v>Solid-state &amp; mechanics</x:v>
      </x:c>
      <x:c r="J35" s="138" t="str">
        <x:v>C1</x:v>
      </x:c>
      <x:c r="K35" s="138" t="str">
        <x:v>secondary</x:v>
      </x:c>
      <x:c r="L35" s="124" t="e">
        <x:f>HYPERLINK("https://doi.org/10.1103/physrevresearch.4.023162","10.1103/physrevresearch.4.023162")</x:f>
        <x:v>HYPERLINK is not implemented. linkLocation=https://doi.org/10.1103/physrevresearch.4.023162, friendlyName=10.1103/physrevresearch.4.023162</x:v>
      </x:c>
      <x:c r="M35" s="124" t="str"/>
      <x:c r="N35" s="124" t="e">
        <x:f>HYPERLINK("https://arxiv.org/pdf/2112.14882","Open PDF / Source")</x:f>
        <x:v>HYPERLINK is not implemented. linkLocation=https://arxiv.org/pdf/2112.14882, friendlyName=Open PDF / Source</x:v>
      </x:c>
      <x:c r="O35" s="124" t="str"/>
    </x:row>
    <x:row r="36" ht="84" customHeight="1">
      <x:c r="A36" s="127" t="str"/>
      <x:c r="B36" s="127" t="str">
        <x:v>PDF_FIRST_PAGE</x:v>
      </x:c>
      <x:c r="C36" s="127" t="str">
        <x:v>2022 Pavel Fadeev</x:v>
      </x:c>
      <x:c r="D36" s="127" t="str">
        <x:v>L088</x:v>
      </x:c>
      <x:c r="E36" s="135" t="n">
        <x:v>2022</x:v>
      </x:c>
      <x:c r="F36" s="127" t="str">
        <x:v>Pseudovector and pseudoscalar spin-dependent interactions in atoms</x:v>
      </x:c>
      <x:c r="G36" s="127" t="str">
        <x:v>Pavel Fadeev; Filip Ficek; Mikhail G. Kozlov; Dmitry Budker; Victor V. Flambaum</x:v>
      </x:c>
      <x:c r="H36" s="127" t="str"/>
      <x:c r="I36" s="127" t="str">
        <x:v>Atomic &amp; molecular</x:v>
      </x:c>
      <x:c r="J36" s="139" t="str">
        <x:v>C3</x:v>
      </x:c>
      <x:c r="K36" s="139" t="str">
        <x:v>green_check</x:v>
      </x:c>
      <x:c r="L36" s="127" t="e">
        <x:f>HYPERLINK("https://doi.org/10.1103/physreva.105.022812","10.1103/physreva.105.022812")</x:f>
        <x:v>HYPERLINK is not implemented. linkLocation=https://doi.org/10.1103/physreva.105.022812, friendlyName=10.1103/physreva.105.022812</x:v>
      </x:c>
      <x:c r="M36" s="127" t="e">
        <x:f>HYPERLINK("https://arxiv.org/abs/1911.05816","1911.05816")</x:f>
        <x:v>HYPERLINK is not implemented. linkLocation=https://arxiv.org/abs/1911.05816, friendlyName=1911.05816</x:v>
      </x:c>
      <x:c r="N36" s="127" t="e">
        <x:f>HYPERLINK("https://arxiv.org/abs/1911.05816","Open PDF / Source")</x:f>
        <x:v>HYPERLINK is not implemented. linkLocation=https://arxiv.org/abs/1911.05816, friendlyName=Open PDF / Source</x:v>
      </x:c>
      <x:c r="O36" s="127" t="str">
        <x:v>v2_high_recall/reading_records/R03_fadeev_2022_atoms.md</x:v>
      </x:c>
    </x:row>
    <x:row r="37" ht="84" customHeight="1">
      <x:c r="A37" s="124" t="str"/>
      <x:c r="B37" s="124" t="str">
        <x:v>PDF_FIRST_PAGE</x:v>
      </x:c>
      <x:c r="C37" s="124" t="str">
        <x:v>2023 Jean-Philippe Karr</x:v>
      </x:c>
      <x:c r="D37" s="124" t="str">
        <x:v>L092</x:v>
      </x:c>
      <x:c r="E37" s="134" t="n">
        <x:v>2023</x:v>
      </x:c>
      <x:c r="F37" s="124" t="str">
        <x:v>Extraction of spin-averaged rovibrational transition frequencies in HD+ for the determination of fundamental constants</x:v>
      </x:c>
      <x:c r="G37" s="124" t="str">
        <x:v>Jean-Philippe Karr; Jeroen C. J. Koelemeij</x:v>
      </x:c>
      <x:c r="H37" s="124" t="str"/>
      <x:c r="I37" s="124" t="str">
        <x:v>HD+ molecular</x:v>
      </x:c>
      <x:c r="J37" s="138" t="str">
        <x:v>C3</x:v>
      </x:c>
      <x:c r="K37" s="138" t="str">
        <x:v>green_check</x:v>
      </x:c>
      <x:c r="L37" s="124" t="e">
        <x:f>HYPERLINK("https://doi.org/10.1080/00268976.2023.2216081","10.1080/00268976.2023.2216081")</x:f>
        <x:v>HYPERLINK is not implemented. linkLocation=https://doi.org/10.1080/00268976.2023.2216081, friendlyName=10.1080/00268976.2023.2216081</x:v>
      </x:c>
      <x:c r="M37" s="124" t="e">
        <x:f>HYPERLINK("https://arxiv.org/abs/2212.11683","2212.11683")</x:f>
        <x:v>HYPERLINK is not implemented. linkLocation=https://arxiv.org/abs/2212.11683, friendlyName=2212.11683</x:v>
      </x:c>
      <x:c r="N37" s="124" t="e">
        <x:f>HYPERLINK("https://arxiv.org/abs/2212.11683","Open PDF / Source")</x:f>
        <x:v>HYPERLINK is not implemented. linkLocation=https://arxiv.org/abs/2212.11683, friendlyName=Open PDF / Source</x:v>
      </x:c>
      <x:c r="O37" s="124" t="str">
        <x:v>v2_high_recall/reading_records/R10_karr_koelemeij_2023.md</x:v>
      </x:c>
    </x:row>
    <x:row r="38" ht="84" customHeight="1">
      <x:c r="A38" s="127" t="str"/>
      <x:c r="B38" s="127" t="str">
        <x:v>PDF_FIRST_PAGE</x:v>
      </x:c>
      <x:c r="C38" s="127" t="str">
        <x:v>2023 L. Y. Wu</x:v>
      </x:c>
      <x:c r="D38" s="127" t="str">
        <x:v>L095</x:v>
      </x:c>
      <x:c r="E38" s="135" t="n">
        <x:v>2023</x:v>
      </x:c>
      <x:c r="F38" s="127" t="str">
        <x:v>New Limits on Exotic Spin-Dependent Interactions at Astronomical Distances</x:v>
      </x:c>
      <x:c r="G38" s="127" t="str">
        <x:v>L. Y. Wu; K. Y. Zhang; M. Peng; J. Gong; H. Yan</x:v>
      </x:c>
      <x:c r="H38" s="127" t="str">
        <x:v>Physical Review Letters</x:v>
      </x:c>
      <x:c r="I38" s="127" t="str">
        <x:v>Atomic &amp; molecular</x:v>
      </x:c>
      <x:c r="J38" s="139" t="str">
        <x:v>C1</x:v>
      </x:c>
      <x:c r="K38" s="139" t="str">
        <x:v>secondary</x:v>
      </x:c>
      <x:c r="L38" s="127" t="e">
        <x:f>HYPERLINK("https://doi.org/10.1103/physrevlett.131.091002","10.1103/physrevlett.131.091002")</x:f>
        <x:v>HYPERLINK is not implemented. linkLocation=https://doi.org/10.1103/physrevlett.131.091002, friendlyName=10.1103/physrevlett.131.091002</x:v>
      </x:c>
      <x:c r="M38" s="127" t="str"/>
      <x:c r="N38" s="127" t="e">
        <x:f>HYPERLINK("https://harvest.aps.org/v2/journals/articles/10.1103/PhysRevLett.131.091002/fulltext","Open PDF / Source")</x:f>
        <x:v>HYPERLINK is not implemented. linkLocation=https://harvest.aps.org/v2/journals/articles/10.1103/PhysRevLett.131.091002/fulltext, friendlyName=Open PDF / Source</x:v>
      </x:c>
      <x:c r="O38" s="127" t="str"/>
    </x:row>
    <x:row r="39" ht="84" customHeight="1">
      <x:c r="A39" s="124" t="str"/>
      <x:c r="B39" s="124" t="str">
        <x:v>PDF_FIRST_PAGE</x:v>
      </x:c>
      <x:c r="C39" s="124" t="str">
        <x:v>2023 S.-B. Zhang</x:v>
      </x:c>
      <x:c r="D39" s="124" t="str">
        <x:v>L097</x:v>
      </x:c>
      <x:c r="E39" s="134" t="n">
        <x:v>2023</x:v>
      </x:c>
      <x:c r="F39" s="124" t="str">
        <x:v>Search for Spin-Dependent Gravitational Interactions at Earth Range</x:v>
      </x:c>
      <x:c r="G39" s="124" t="str">
        <x:v>S.-B. Zhang; Z.-L. Ba; D.-H. Ning; N.-F. Zhai; Z.-T. Lu; D. Sheng</x:v>
      </x:c>
      <x:c r="H39" s="124" t="str">
        <x:v>Physical Review Letters</x:v>
      </x:c>
      <x:c r="I39" s="124" t="str">
        <x:v>Atomic &amp; molecular</x:v>
      </x:c>
      <x:c r="J39" s="138" t="str">
        <x:v>C1</x:v>
      </x:c>
      <x:c r="K39" s="138" t="str">
        <x:v>secondary</x:v>
      </x:c>
      <x:c r="L39" s="124" t="e">
        <x:f>HYPERLINK("https://doi.org/10.1103/physrevlett.130.201401","10.1103/physrevlett.130.201401")</x:f>
        <x:v>HYPERLINK is not implemented. linkLocation=https://doi.org/10.1103/physrevlett.130.201401, friendlyName=10.1103/physrevlett.130.201401</x:v>
      </x:c>
      <x:c r="M39" s="124" t="str"/>
      <x:c r="N39" s="124" t="e">
        <x:f>HYPERLINK("https://export.arxiv.org/pdf/2303.10352","Open PDF / Source")</x:f>
        <x:v>HYPERLINK is not implemented. linkLocation=https://export.arxiv.org/pdf/2303.10352, friendlyName=Open PDF / Source</x:v>
      </x:c>
      <x:c r="O39" s="124" t="str"/>
    </x:row>
    <x:row r="40" ht="84" customHeight="1">
      <x:c r="A40" s="127" t="str"/>
      <x:c r="B40" s="127" t="str">
        <x:v>PDF_FIRST_PAGE</x:v>
      </x:c>
      <x:c r="C40" s="127" t="str">
        <x:v>2023 N. B. Clayburn</x:v>
      </x:c>
      <x:c r="D40" s="127" t="str">
        <x:v>L099</x:v>
      </x:c>
      <x:c r="E40" s="135" t="n">
        <x:v>2023</x:v>
      </x:c>
      <x:c r="F40" s="127" t="str">
        <x:v>Using Earth to search for long-range spin-velocity interactions</x:v>
      </x:c>
      <x:c r="G40" s="127" t="str">
        <x:v>N. B. Clayburn; L. R. Hunter</x:v>
      </x:c>
      <x:c r="H40" s="127" t="str">
        <x:v>Physical Review D</x:v>
      </x:c>
      <x:c r="I40" s="127" t="str">
        <x:v>Torsion &amp; geophysical</x:v>
      </x:c>
      <x:c r="J40" s="139" t="str">
        <x:v>C1</x:v>
      </x:c>
      <x:c r="K40" s="139" t="str">
        <x:v>secondary</x:v>
      </x:c>
      <x:c r="L40" s="127" t="e">
        <x:f>HYPERLINK("https://doi.org/10.1103/physrevd.108.l051701","10.1103/physrevd.108.l051701")</x:f>
        <x:v>HYPERLINK is not implemented. linkLocation=https://doi.org/10.1103/physrevd.108.l051701, friendlyName=10.1103/physrevd.108.l051701</x:v>
      </x:c>
      <x:c r="M40" s="127" t="str"/>
      <x:c r="N40" s="127" t="e">
        <x:f>HYPERLINK("https://arxiv.org/pdf/2306.05327v3","Open PDF / Source")</x:f>
        <x:v>HYPERLINK is not implemented. linkLocation=https://arxiv.org/pdf/2306.05327v3, friendlyName=Open PDF / Source</x:v>
      </x:c>
      <x:c r="O40" s="127" t="str"/>
    </x:row>
    <x:row r="41" ht="84" customHeight="1">
      <x:c r="A41" s="124" t="str"/>
      <x:c r="B41" s="124" t="str">
        <x:v>PDF_FIRST_PAGE</x:v>
      </x:c>
      <x:c r="C41" s="124" t="str">
        <x:v>2024 Luca Di Luzio</x:v>
      </x:c>
      <x:c r="D41" s="124" t="str">
        <x:v>L100</x:v>
      </x:c>
      <x:c r="E41" s="134" t="n">
        <x:v>2024</x:v>
      </x:c>
      <x:c r="F41" s="124" t="str">
        <x:v>Axion Window on New Macroscopic Forces</x:v>
      </x:c>
      <x:c r="G41" s="124" t="str">
        <x:v>Luca Di Luzio; Hector Gisbert; Fabrizio Nesti; Philip Sørensen</x:v>
      </x:c>
      <x:c r="H41" s="124" t="str">
        <x:v>Phys.Rev.D 110 (2024) 11, 115034</x:v>
      </x:c>
      <x:c r="I41" s="124" t="str">
        <x:v>Other precision probes</x:v>
      </x:c>
      <x:c r="J41" s="138" t="str">
        <x:v>C3</x:v>
      </x:c>
      <x:c r="K41" s="138" t="str">
        <x:v>green_check</x:v>
      </x:c>
      <x:c r="L41" s="124" t="e">
        <x:f>HYPERLINK("https://doi.org/10.1103/physrevd.110.115034","10.1103/physrevd.110.115034")</x:f>
        <x:v>HYPERLINK is not implemented. linkLocation=https://doi.org/10.1103/physrevd.110.115034, friendlyName=10.1103/physrevd.110.115034</x:v>
      </x:c>
      <x:c r="M41" s="124" t="e">
        <x:f>HYPERLINK("https://arxiv.org/abs/2407.15928","2407.15928")</x:f>
        <x:v>HYPERLINK is not implemented. linkLocation=https://arxiv.org/abs/2407.15928, friendlyName=2407.15928</x:v>
      </x:c>
      <x:c r="N41" s="124" t="e">
        <x:f>HYPERLINK("http://arxiv.org/abs/2407.15928v2","Open PDF / Source")</x:f>
        <x:v>HYPERLINK is not implemented. linkLocation=http://arxiv.org/abs/2407.15928v2, friendlyName=Open PDF / Source</x:v>
      </x:c>
      <x:c r="O41" s="124" t="str">
        <x:v>v2_high_recall/v2_high_recall/reading_records/R18_arxiv_2407_15928.md</x:v>
      </x:c>
    </x:row>
    <x:row r="42" ht="84" customHeight="1">
      <x:c r="A42" s="127" t="str"/>
      <x:c r="B42" s="127" t="str">
        <x:v>PDF_FIRST_PAGE</x:v>
      </x:c>
      <x:c r="C42" s="127" t="str">
        <x:v>2024 Sara Rufrano Aliberti</x:v>
      </x:c>
      <x:c r="D42" s="127" t="str">
        <x:v>L104</x:v>
      </x:c>
      <x:c r="E42" s="135" t="n">
        <x:v>2024</x:v>
      </x:c>
      <x:c r="F42" s="127" t="str">
        <x:v>Limits on dark matter, ultralight scalars, and cosmic neutrinos with gyroscope spin and precision clocks</x:v>
      </x:c>
      <x:c r="G42" s="127" t="str">
        <x:v>Sara Rufrano Aliberti; Gaetano Lambiase; Tanmay Kumar Poddar</x:v>
      </x:c>
      <x:c r="H42" s="127" t="str"/>
      <x:c r="I42" s="127" t="str">
        <x:v>Astro, DM &amp; space</x:v>
      </x:c>
      <x:c r="J42" s="139" t="str">
        <x:v>C3</x:v>
      </x:c>
      <x:c r="K42" s="139" t="str">
        <x:v>green_check</x:v>
      </x:c>
      <x:c r="L42" s="127" t="str"/>
      <x:c r="M42" s="127" t="e">
        <x:f>HYPERLINK("https://arxiv.org/abs/2412.09575","2412.09575")</x:f>
        <x:v>HYPERLINK is not implemented. linkLocation=https://arxiv.org/abs/2412.09575, friendlyName=2412.09575</x:v>
      </x:c>
      <x:c r="N42" s="127" t="e">
        <x:f>HYPERLINK("http://arxiv.org/abs/2412.09575v1","Open PDF / Source")</x:f>
        <x:v>HYPERLINK is not implemented. linkLocation=http://arxiv.org/abs/2412.09575v1, friendlyName=Open PDF / Source</x:v>
      </x:c>
      <x:c r="O42" s="127" t="str">
        <x:v>v2_high_recall/v2_high_recall/reading_records/R22_arxiv_2412_09575.md</x:v>
      </x:c>
    </x:row>
    <x:row r="43" ht="84" customHeight="1">
      <x:c r="A43" s="124" t="str"/>
      <x:c r="B43" s="124" t="str">
        <x:v>PDF_FIRST_PAGE</x:v>
      </x:c>
      <x:c r="C43" s="124" t="str">
        <x:v>2024 Yue Huang</x:v>
      </x:c>
      <x:c r="D43" s="124" t="str">
        <x:v>L106</x:v>
      </x:c>
      <x:c r="E43" s="134" t="n">
        <x:v>2024</x:v>
      </x:c>
      <x:c r="F43" s="124" t="str">
        <x:v>New Constraints on Exotic Spin-Spin-Velocity-Dependent Interactions with Solid-State Quantum Sensors</x:v>
      </x:c>
      <x:c r="G43" s="124" t="str">
        <x:v>Yue Huang; Hang Liang; Man Jiao; Pei Yu; Xiangyu Ye; Yijin Xie; Yi-Fu Cai; Chang-Kui Duan; Ya Wang; Xing Rong; Jiangfeng Du</x:v>
      </x:c>
      <x:c r="H43" s="124" t="str"/>
      <x:c r="I43" s="124" t="str">
        <x:v>Torsion &amp; geophysical</x:v>
      </x:c>
      <x:c r="J43" s="138" t="str">
        <x:v>C3</x:v>
      </x:c>
      <x:c r="K43" s="138" t="str">
        <x:v>green_check</x:v>
      </x:c>
      <x:c r="L43" s="124" t="str"/>
      <x:c r="M43" s="124" t="e">
        <x:f>HYPERLINK("https://arxiv.org/abs/2403.18263","2403.18263")</x:f>
        <x:v>HYPERLINK is not implemented. linkLocation=https://arxiv.org/abs/2403.18263, friendlyName=2403.18263</x:v>
      </x:c>
      <x:c r="N43" s="124" t="e">
        <x:f>HYPERLINK("http://arxiv.org/abs/2403.18263v1","Open PDF / Source")</x:f>
        <x:v>HYPERLINK is not implemented. linkLocation=http://arxiv.org/abs/2403.18263v1, friendlyName=Open PDF / Source</x:v>
      </x:c>
      <x:c r="O43" s="124" t="str">
        <x:v>v2_high_recall/v2_high_recall/reading_records/R17_arxiv_2403_18263.md</x:v>
      </x:c>
    </x:row>
    <x:row r="44" ht="84" customHeight="1">
      <x:c r="A44" s="127" t="str"/>
      <x:c r="B44" s="127" t="str">
        <x:v>PDF_FIRST_PAGE</x:v>
      </x:c>
      <x:c r="C44" s="127" t="str">
        <x:v>2024 Zheng-Ting Lai</x:v>
      </x:c>
      <x:c r="D44" s="127" t="str">
        <x:v>L108</x:v>
      </x:c>
      <x:c r="E44" s="135" t="n">
        <x:v>2024</x:v>
      </x:c>
      <x:c r="F44" s="127" t="str">
        <x:v>Potential of constraining the Fifth Force Using the Earth as a Spin and Mass Source from space</x:v>
      </x:c>
      <x:c r="G44" s="127" t="str">
        <x:v>Zheng-Ting Lai; Jun-Xu Lu; Li-Sheng Geng; Kai Wei; Wei Ji</x:v>
      </x:c>
      <x:c r="H44" s="127" t="str">
        <x:v>Chin. Phys. Lett. 43, 030202 (2026)</x:v>
      </x:c>
      <x:c r="I44" s="127" t="str">
        <x:v>Theory &amp; operators</x:v>
      </x:c>
      <x:c r="J44" s="139" t="str">
        <x:v>C3</x:v>
      </x:c>
      <x:c r="K44" s="139" t="str">
        <x:v>green_check</x:v>
      </x:c>
      <x:c r="L44" s="127" t="e">
        <x:f>HYPERLINK("https://doi.org/10.1088/0256-307x/43/3/030202","10.1088/0256-307x/43/3/030202")</x:f>
        <x:v>HYPERLINK is not implemented. linkLocation=https://doi.org/10.1088/0256-307x/43/3/030202, friendlyName=10.1088/0256-307x/43/3/030202</x:v>
      </x:c>
      <x:c r="M44" s="127" t="e">
        <x:f>HYPERLINK("https://arxiv.org/abs/2410.12469","2410.12469")</x:f>
        <x:v>HYPERLINK is not implemented. linkLocation=https://arxiv.org/abs/2410.12469, friendlyName=2410.12469</x:v>
      </x:c>
      <x:c r="N44" s="127" t="e">
        <x:f>HYPERLINK("http://arxiv.org/abs/2410.12469v3","Open PDF / Source")</x:f>
        <x:v>HYPERLINK is not implemented. linkLocation=http://arxiv.org/abs/2410.12469v3, friendlyName=Open PDF / Source</x:v>
      </x:c>
      <x:c r="O44" s="127" t="str">
        <x:v>v2_high_recall/v2_high_recall/reading_records/R19_arxiv_2410_12469.md</x:v>
      </x:c>
    </x:row>
    <x:row r="45" ht="84" customHeight="1">
      <x:c r="A45" s="124" t="str"/>
      <x:c r="B45" s="124" t="str">
        <x:v>PDF_FIRST_PAGE</x:v>
      </x:c>
      <x:c r="C45" s="124" t="str">
        <x:v>2024 Min Jiang</x:v>
      </x:c>
      <x:c r="D45" s="124" t="str">
        <x:v>L109</x:v>
      </x:c>
      <x:c r="E45" s="134" t="n">
        <x:v>2024</x:v>
      </x:c>
      <x:c r="F45" s="124" t="str">
        <x:v>Searches for exotic spin-dependent interactions with spin sensors</x:v>
      </x:c>
      <x:c r="G45" s="124" t="str">
        <x:v>Min Jiang; Haowen Su; Yifan Chen; Man Jiao; Ying Huang; Yuanhong Wang; Xing Rong; Xinhua Peng; Jiangfeng Du</x:v>
      </x:c>
      <x:c r="H45" s="124" t="str">
        <x:v>Rep. Prog. Phys. 88 (2025) 016401</x:v>
      </x:c>
      <x:c r="I45" s="124" t="str">
        <x:v>Vapor spins &amp; comagnetometry</x:v>
      </x:c>
      <x:c r="J45" s="138" t="str">
        <x:v>C3</x:v>
      </x:c>
      <x:c r="K45" s="138" t="str">
        <x:v>secondary</x:v>
      </x:c>
      <x:c r="L45" s="124" t="e">
        <x:f>HYPERLINK("https://doi.org/10.1088/1361-6633/ad99e6","10.1088/1361-6633/ad99e6")</x:f>
        <x:v>HYPERLINK is not implemented. linkLocation=https://doi.org/10.1088/1361-6633/ad99e6, friendlyName=10.1088/1361-6633/ad99e6</x:v>
      </x:c>
      <x:c r="M45" s="124" t="e">
        <x:f>HYPERLINK("https://arxiv.org/abs/2412.03288","2412.03288")</x:f>
        <x:v>HYPERLINK is not implemented. linkLocation=https://arxiv.org/abs/2412.03288, friendlyName=2412.03288</x:v>
      </x:c>
      <x:c r="N45" s="124" t="e">
        <x:f>HYPERLINK("http://arxiv.org/abs/2412.03288v2","Open PDF / Source")</x:f>
        <x:v>HYPERLINK is not implemented. linkLocation=http://arxiv.org/abs/2412.03288v2, friendlyName=Open PDF / Source</x:v>
      </x:c>
      <x:c r="O45" s="124" t="str">
        <x:v>v2_high_recall/v2_high_recall/reading_records/R21_arxiv_2412_03288.md</x:v>
      </x:c>
    </x:row>
    <x:row r="46" ht="84" customHeight="1">
      <x:c r="A46" s="127" t="str"/>
      <x:c r="B46" s="127" t="str">
        <x:v>PDF_FIRST_PAGE</x:v>
      </x:c>
      <x:c r="C46" s="127" t="str">
        <x:v>2024 Nathan B. Clayburn</x:v>
      </x:c>
      <x:c r="D46" s="127" t="str">
        <x:v>L112</x:v>
      </x:c>
      <x:c r="E46" s="135" t="n">
        <x:v>2024</x:v>
      </x:c>
      <x:c r="F46" s="127" t="str">
        <x:v>Spherically symmetric Earth models yield no net electron spin</x:v>
      </x:c>
      <x:c r="G46" s="127" t="str">
        <x:v>Nathan B. Clayburn; Andrew Glassford; Andrew Leiker; Thomas Uelmen; Jung-Fu Lin; Larry R. Hunter</x:v>
      </x:c>
      <x:c r="H46" s="127" t="str"/>
      <x:c r="I46" s="127" t="str">
        <x:v>Torsion &amp; geophysical</x:v>
      </x:c>
      <x:c r="J46" s="139" t="str">
        <x:v>C3</x:v>
      </x:c>
      <x:c r="K46" s="139" t="str">
        <x:v>green_check</x:v>
      </x:c>
      <x:c r="L46" s="127" t="str"/>
      <x:c r="M46" s="127" t="e">
        <x:f>HYPERLINK("https://arxiv.org/abs/2411.08050","2411.08050")</x:f>
        <x:v>HYPERLINK is not implemented. linkLocation=https://arxiv.org/abs/2411.08050, friendlyName=2411.0805</x:v>
      </x:c>
      <x:c r="N46" s="127" t="e">
        <x:f>HYPERLINK("http://arxiv.org/abs/2411.08050v1","Open PDF / Source")</x:f>
        <x:v>HYPERLINK is not implemented. linkLocation=http://arxiv.org/abs/2411.08050v1, friendlyName=Open PDF / Source</x:v>
      </x:c>
      <x:c r="O46" s="127" t="str">
        <x:v>v2_high_recall/v2_high_recall/reading_records/R20_arxiv_2411_08050.md</x:v>
      </x:c>
    </x:row>
    <x:row r="47" ht="84" customHeight="1">
      <x:c r="A47" s="124" t="str"/>
      <x:c r="B47" s="124" t="str">
        <x:v>PDF_FIRST_PAGE</x:v>
      </x:c>
      <x:c r="C47" s="124" t="str">
        <x:v>2024 Rundong Fang</x:v>
      </x:c>
      <x:c r="D47" s="124" t="str">
        <x:v>L113</x:v>
      </x:c>
      <x:c r="E47" s="134" t="n">
        <x:v>2024</x:v>
      </x:c>
      <x:c r="F47" s="124" t="str">
        <x:v>Testing the Fifth Force on Lepton Spins through Neutrino Oscillations</x:v>
      </x:c>
      <x:c r="G47" s="124" t="str">
        <x:v>Rundong Fang; Ji-Heng Guo; Jia Liu; Xiao-Ping Wang</x:v>
      </x:c>
      <x:c r="H47" s="124" t="str">
        <x:v>Phys.Rev.D 112 (2025) 5, L051701</x:v>
      </x:c>
      <x:c r="I47" s="124" t="str">
        <x:v>Astro, DM &amp; space</x:v>
      </x:c>
      <x:c r="J47" s="138" t="str">
        <x:v>C3</x:v>
      </x:c>
      <x:c r="K47" s="138" t="str">
        <x:v>green_check</x:v>
      </x:c>
      <x:c r="L47" s="124" t="e">
        <x:f>HYPERLINK("https://doi.org/10.1103/r9p5-fxzb","10.1103/r9p5-fxzb")</x:f>
        <x:v>HYPERLINK is not implemented. linkLocation=https://doi.org/10.1103/r9p5-fxzb, friendlyName=10.1103/r9p5-fxzb</x:v>
      </x:c>
      <x:c r="M47" s="124" t="e">
        <x:f>HYPERLINK("https://arxiv.org/abs/2412.10724","2412.10724")</x:f>
        <x:v>HYPERLINK is not implemented. linkLocation=https://arxiv.org/abs/2412.10724, friendlyName=2412.10724</x:v>
      </x:c>
      <x:c r="N47" s="124" t="e">
        <x:f>HYPERLINK("http://arxiv.org/abs/2412.10724v2","Open PDF / Source")</x:f>
        <x:v>HYPERLINK is not implemented. linkLocation=http://arxiv.org/abs/2412.10724v2, friendlyName=Open PDF / Source</x:v>
      </x:c>
      <x:c r="O47" s="124" t="str">
        <x:v>v2_high_recall/v2_high_recall/reading_records/R23_arxiv_2412_10724.md</x:v>
      </x:c>
    </x:row>
    <x:row r="48" ht="84" customHeight="1">
      <x:c r="A48" s="127" t="str"/>
      <x:c r="B48" s="127" t="str">
        <x:v>PDF_FIRST_PAGE</x:v>
      </x:c>
      <x:c r="C48" s="127" t="str">
        <x:v>2025 Rundong Fang</x:v>
      </x:c>
      <x:c r="D48" s="127" t="str">
        <x:v>L117</x:v>
      </x:c>
      <x:c r="E48" s="135" t="n">
        <x:v>2025</x:v>
      </x:c>
      <x:c r="F48" s="127" t="str">
        <x:v>An Axial-Vector Leptophilic Fifth Force Sourced by Solar Neutrinos</x:v>
      </x:c>
      <x:c r="G48" s="127" t="str">
        <x:v>Rundong Fang; Ji-Heng Guo; Jia Liu; Xiao-Ping Wang; YanLi Zhao</x:v>
      </x:c>
      <x:c r="H48" s="127" t="str"/>
      <x:c r="I48" s="127" t="str">
        <x:v>Torsion &amp; geophysical</x:v>
      </x:c>
      <x:c r="J48" s="139" t="str">
        <x:v>C3</x:v>
      </x:c>
      <x:c r="K48" s="139" t="str">
        <x:v>secondary</x:v>
      </x:c>
      <x:c r="L48" s="127" t="str"/>
      <x:c r="M48" s="127" t="e">
        <x:f>HYPERLINK("https://arxiv.org/abs/2510.20672","2510.20672")</x:f>
        <x:v>HYPERLINK is not implemented. linkLocation=https://arxiv.org/abs/2510.20672, friendlyName=2510.20672</x:v>
      </x:c>
      <x:c r="N48" s="127" t="e">
        <x:f>HYPERLINK("http://arxiv.org/abs/2510.20672v1","Open PDF / Source")</x:f>
        <x:v>HYPERLINK is not implemented. linkLocation=http://arxiv.org/abs/2510.20672v1, friendlyName=Open PDF / Source</x:v>
      </x:c>
      <x:c r="O48" s="127" t="str">
        <x:v>v2_high_recall/v2_high_recall/reading_records/R31_arxiv_2510_20672.md</x:v>
      </x:c>
    </x:row>
    <x:row r="49" ht="84" customHeight="1">
      <x:c r="A49" s="124" t="str"/>
      <x:c r="B49" s="124" t="str">
        <x:v>PDF_FIRST_PAGE</x:v>
      </x:c>
      <x:c r="C49" s="124" t="str">
        <x:v>2025 Yuval Grossman</x:v>
      </x:c>
      <x:c r="D49" s="124" t="str">
        <x:v>L118</x:v>
      </x:c>
      <x:c r="E49" s="134" t="n">
        <x:v>2025</x:v>
      </x:c>
      <x:c r="F49" s="124" t="str">
        <x:v>Axion forces in axion backgrounds</x:v>
      </x:c>
      <x:c r="G49" s="124" t="str">
        <x:v>Yuval Grossman; Bingrong Yu; Siyu Zhou</x:v>
      </x:c>
      <x:c r="H49" s="124" t="str"/>
      <x:c r="I49" s="124" t="str">
        <x:v>Atomic &amp; molecular</x:v>
      </x:c>
      <x:c r="J49" s="138" t="str">
        <x:v>C3</x:v>
      </x:c>
      <x:c r="K49" s="138" t="str">
        <x:v>green_check</x:v>
      </x:c>
      <x:c r="L49" s="124" t="str"/>
      <x:c r="M49" s="124" t="e">
        <x:f>HYPERLINK("https://arxiv.org/abs/2504.00104","2504.00104")</x:f>
        <x:v>HYPERLINK is not implemented. linkLocation=https://arxiv.org/abs/2504.00104, friendlyName=2504.00104</x:v>
      </x:c>
      <x:c r="N49" s="124" t="e">
        <x:f>HYPERLINK("http://arxiv.org/abs/2504.00104v2","Open PDF / Source")</x:f>
        <x:v>HYPERLINK is not implemented. linkLocation=http://arxiv.org/abs/2504.00104v2, friendlyName=Open PDF / Source</x:v>
      </x:c>
      <x:c r="O49" s="124" t="str">
        <x:v>v2_high_recall/v2_high_recall/reading_records/R27_arxiv_2504_00104.md</x:v>
      </x:c>
    </x:row>
    <x:row r="50" ht="84" customHeight="1">
      <x:c r="A50" s="127" t="str"/>
      <x:c r="B50" s="127" t="str">
        <x:v>PDF_FIRST_PAGE</x:v>
      </x:c>
      <x:c r="C50" s="127" t="str">
        <x:v>2025 Yu Cheng</x:v>
      </x:c>
      <x:c r="D50" s="127" t="str">
        <x:v>L119</x:v>
      </x:c>
      <x:c r="E50" s="135" t="n">
        <x:v>2025</x:v>
      </x:c>
      <x:c r="F50" s="127" t="str">
        <x:v>Background-Enhanced Axion Force by Axion Dark Matter</x:v>
      </x:c>
      <x:c r="G50" s="127" t="str">
        <x:v>Yu Cheng; Shuailiang Ge</x:v>
      </x:c>
      <x:c r="H50" s="127" t="str"/>
      <x:c r="I50" s="127" t="str">
        <x:v>Torsion &amp; geophysical</x:v>
      </x:c>
      <x:c r="J50" s="139" t="str">
        <x:v>C3</x:v>
      </x:c>
      <x:c r="K50" s="139" t="str">
        <x:v>green_check</x:v>
      </x:c>
      <x:c r="L50" s="127" t="str"/>
      <x:c r="M50" s="127" t="e">
        <x:f>HYPERLINK("https://arxiv.org/abs/2504.02702","2504.02702")</x:f>
        <x:v>HYPERLINK is not implemented. linkLocation=https://arxiv.org/abs/2504.02702, friendlyName=2504.02702</x:v>
      </x:c>
      <x:c r="N50" s="127" t="e">
        <x:f>HYPERLINK("http://arxiv.org/abs/2504.02702v2","Open PDF / Source")</x:f>
        <x:v>HYPERLINK is not implemented. linkLocation=http://arxiv.org/abs/2504.02702v2, friendlyName=Open PDF / Source</x:v>
      </x:c>
      <x:c r="O50" s="127" t="str">
        <x:v>v2_high_recall/v2_high_recall/reading_records/R28_arxiv_2504_02702.md</x:v>
      </x:c>
    </x:row>
    <x:row r="51" ht="84" customHeight="1">
      <x:c r="A51" s="124" t="str"/>
      <x:c r="B51" s="124" t="str">
        <x:v>PDF_FIRST_PAGE</x:v>
      </x:c>
      <x:c r="C51" s="124" t="str">
        <x:v>2025 Kenan Tian</x:v>
      </x:c>
      <x:c r="D51" s="124" t="str">
        <x:v>L121</x:v>
      </x:c>
      <x:c r="E51" s="134" t="n">
        <x:v>2025</x:v>
      </x:c>
      <x:c r="F51" s="124" t="str">
        <x:v>Constraints on Velocity and Spin Dependent Exotic Interaction at the Millimeter Scale with a Diamagnetic-levitated Force Sensor</x:v>
      </x:c>
      <x:c r="G51" s="124" t="str">
        <x:v>Kenan Tian; Yuanji Sheng; Rui Li; Lei Wang; Peiran Yin; Shaochun Lin; Dingjiang Long; Chang-Kui Duan; Xi Kong; Pu Huang; Jiangfeng Du</x:v>
      </x:c>
      <x:c r="H51" s="124" t="str">
        <x:v>Phys. Rev. Lett. 134, 111001 (2025)</x:v>
      </x:c>
      <x:c r="I51" s="124" t="str">
        <x:v>Torsion &amp; geophysical</x:v>
      </x:c>
      <x:c r="J51" s="138" t="str">
        <x:v>C3</x:v>
      </x:c>
      <x:c r="K51" s="138" t="str">
        <x:v>green_check</x:v>
      </x:c>
      <x:c r="L51" s="124" t="e">
        <x:f>HYPERLINK("https://doi.org/10.1103/physrevlett.134.111001","10.1103/physrevlett.134.111001")</x:f>
        <x:v>HYPERLINK is not implemented. linkLocation=https://doi.org/10.1103/physrevlett.134.111001, friendlyName=10.1103/physrevlett.134.111001</x:v>
      </x:c>
      <x:c r="M51" s="124" t="e">
        <x:f>HYPERLINK("https://arxiv.org/abs/2503.20270","2503.20270")</x:f>
        <x:v>HYPERLINK is not implemented. linkLocation=https://arxiv.org/abs/2503.20270, friendlyName=2503.2027</x:v>
      </x:c>
      <x:c r="N51" s="124" t="e">
        <x:f>HYPERLINK("http://arxiv.org/abs/2503.20270v2","Open PDF / Source")</x:f>
        <x:v>HYPERLINK is not implemented. linkLocation=http://arxiv.org/abs/2503.20270v2, friendlyName=Open PDF / Source</x:v>
      </x:c>
      <x:c r="O51" s="124" t="str">
        <x:v>v2_high_recall/v2_high_recall/reading_records/R26_arxiv_2503_20270.md</x:v>
      </x:c>
    </x:row>
    <x:row r="52" ht="84" customHeight="1">
      <x:c r="A52" s="127" t="str"/>
      <x:c r="B52" s="127" t="str">
        <x:v>PDF_FIRST_PAGE</x:v>
      </x:c>
      <x:c r="C52" s="127" t="str">
        <x:v>2025 Konstantin Gaul</x:v>
      </x:c>
      <x:c r="D52" s="127" t="str">
        <x:v>L123</x:v>
      </x:c>
      <x:c r="E52" s="135" t="n">
        <x:v>2025</x:v>
      </x:c>
      <x:c r="F52" s="127" t="str">
        <x:v>Constraints on new vector boson mediated electron-nucleus interactions from spectroscopy of polar diatomic molecules</x:v>
      </x:c>
      <x:c r="G52" s="127" t="str">
        <x:v>Konstantin Gaul; Lei Cong; Dmitry Budker</x:v>
      </x:c>
      <x:c r="H52" s="127" t="str"/>
      <x:c r="I52" s="127" t="str">
        <x:v>Atomic &amp; molecular</x:v>
      </x:c>
      <x:c r="J52" s="139" t="str">
        <x:v>C3</x:v>
      </x:c>
      <x:c r="K52" s="139" t="str">
        <x:v>green_check</x:v>
      </x:c>
      <x:c r="L52" s="127" t="str"/>
      <x:c r="M52" s="127" t="e">
        <x:f>HYPERLINK("https://arxiv.org/abs/2503.08210","2503.08210")</x:f>
        <x:v>HYPERLINK is not implemented. linkLocation=https://arxiv.org/abs/2503.08210, friendlyName=2503.0821</x:v>
      </x:c>
      <x:c r="N52" s="127" t="e">
        <x:f>HYPERLINK("http://arxiv.org/abs/2503.08210v2","Open PDF / Source")</x:f>
        <x:v>HYPERLINK is not implemented. linkLocation=http://arxiv.org/abs/2503.08210v2, friendlyName=Open PDF / Source</x:v>
      </x:c>
      <x:c r="O52" s="127" t="str">
        <x:v>v2_high_recall/v2_high_recall/reading_records/R25_arxiv_2503_08210.md</x:v>
      </x:c>
    </x:row>
    <x:row r="53" ht="84" customHeight="1">
      <x:c r="A53" s="124" t="str"/>
      <x:c r="B53" s="124" t="str">
        <x:v>PDF_FIRST_PAGE</x:v>
      </x:c>
      <x:c r="C53" s="124" t="str">
        <x:v>2025 Lei Cong</x:v>
      </x:c>
      <x:c r="D53" s="124" t="str">
        <x:v>L125</x:v>
      </x:c>
      <x:c r="E53" s="134" t="n">
        <x:v>2025</x:v>
      </x:c>
      <x:c r="F53" s="124" t="str">
        <x:v>Improved constraints on exotic interactions between electron and proton in hydrogen</x:v>
      </x:c>
      <x:c r="G53" s="124" t="str">
        <x:v>Lei Cong; Filip Ficek; Pavel Fadeev; Dmitry Budker</x:v>
      </x:c>
      <x:c r="H53" s="124" t="str"/>
      <x:c r="I53" s="124" t="str">
        <x:v>Other precision probes</x:v>
      </x:c>
      <x:c r="J53" s="138" t="str">
        <x:v>C3</x:v>
      </x:c>
      <x:c r="K53" s="138" t="str">
        <x:v>green_check</x:v>
      </x:c>
      <x:c r="L53" s="124" t="e">
        <x:f>HYPERLINK("https://doi.org/10.1103/8nyk-sysy","10.1103/8nyk-sysy")</x:f>
        <x:v>HYPERLINK is not implemented. linkLocation=https://doi.org/10.1103/8nyk-sysy, friendlyName=10.1103/8nyk-sysy</x:v>
      </x:c>
      <x:c r="M53" s="124" t="e">
        <x:f>HYPERLINK("https://arxiv.org/abs/2408.11009","2408.11009")</x:f>
        <x:v>HYPERLINK is not implemented. linkLocation=https://arxiv.org/abs/2408.11009, friendlyName=2408.11009</x:v>
      </x:c>
      <x:c r="N53" s="124" t="e">
        <x:f>HYPERLINK("https://arxiv.org/abs/2408.11009","Open PDF / Source")</x:f>
        <x:v>HYPERLINK is not implemented. linkLocation=https://arxiv.org/abs/2408.11009, friendlyName=Open PDF / Source</x:v>
      </x:c>
      <x:c r="O53" s="124" t="str">
        <x:v>v2_high_recall/reading_records/R05_cong_2025_hydrogen.md</x:v>
      </x:c>
    </x:row>
    <x:row r="54" ht="84" customHeight="1">
      <x:c r="A54" s="127" t="str"/>
      <x:c r="B54" s="127" t="str">
        <x:v>PDF_FIRST_PAGE</x:v>
      </x:c>
      <x:c r="C54" s="127" t="str">
        <x:v>2025 Zitong Xu</x:v>
      </x:c>
      <x:c r="D54" s="127" t="str">
        <x:v>L127</x:v>
      </x:c>
      <x:c r="E54" s="135" t="n">
        <x:v>2025</x:v>
      </x:c>
      <x:c r="F54" s="127" t="str">
        <x:v>New Constraints on Axion Mediated Dipole-Dipole Interactions</x:v>
      </x:c>
      <x:c r="G54" s="127" t="str">
        <x:v>Zitong Xu; Xing Heng; Guoqing Tian; Di Gong; Lei Cong; Wei Ji; Dmitry Budker; Kai Wei</x:v>
      </x:c>
      <x:c r="H54" s="127" t="str"/>
      <x:c r="I54" s="127" t="str">
        <x:v>Torsion &amp; geophysical</x:v>
      </x:c>
      <x:c r="J54" s="139" t="str">
        <x:v>C3</x:v>
      </x:c>
      <x:c r="K54" s="139" t="str">
        <x:v>green_check</x:v>
      </x:c>
      <x:c r="L54" s="127" t="str"/>
      <x:c r="M54" s="127" t="e">
        <x:f>HYPERLINK("https://arxiv.org/abs/2501.07865","2501.07865")</x:f>
        <x:v>HYPERLINK is not implemented. linkLocation=https://arxiv.org/abs/2501.07865, friendlyName=2501.07865</x:v>
      </x:c>
      <x:c r="N54" s="127" t="e">
        <x:f>HYPERLINK("http://arxiv.org/abs/2501.07865v1","Open PDF / Source")</x:f>
        <x:v>HYPERLINK is not implemented. linkLocation=http://arxiv.org/abs/2501.07865v1, friendlyName=Open PDF / Source</x:v>
      </x:c>
      <x:c r="O54" s="127" t="str">
        <x:v>v2_high_recall/v2_high_recall/reading_records/R24_arxiv_2501_07865.md</x:v>
      </x:c>
    </x:row>
    <x:row r="55" ht="84" customHeight="1">
      <x:c r="A55" s="124" t="str"/>
      <x:c r="B55" s="124" t="str">
        <x:v>PDF_FIRST_PAGE</x:v>
      </x:c>
      <x:c r="C55" s="124" t="str">
        <x:v>2025 T. Mulkey</x:v>
      </x:c>
      <x:c r="D55" s="124" t="str">
        <x:v>L128</x:v>
      </x:c>
      <x:c r="E55" s="134" t="n">
        <x:v>2025</x:v>
      </x:c>
      <x:c r="F55" s="124" t="str">
        <x:v>New Upper Bounds on Exotic Neutron Spin-Electron Spin Interactions via Neutron Spin Rotation Measurements in a Compensated Ferrimagnet</x:v>
      </x:c>
      <x:c r="G55" s="124" t="str">
        <x:v>T. Mulkey; K. N. Lopez; C. D. Hughes; B. Hill; M. Van Meter; H. Wijeratne; J. C. Long; M. Sarsour; W. M. Snow; K. Li; R. Parajuli; S. Samiei; D. V. Baxter; M. Luxnat; Y. Zhang; C. Jiang; E. Stringfellow; J. Torres; R. Hobbs</x:v>
      </x:c>
      <x:c r="H55" s="124" t="str"/>
      <x:c r="I55" s="124" t="str">
        <x:v>Neutron &amp; nucleon</x:v>
      </x:c>
      <x:c r="J55" s="138" t="str">
        <x:v>C3</x:v>
      </x:c>
      <x:c r="K55" s="138" t="str">
        <x:v>green_check</x:v>
      </x:c>
      <x:c r="L55" s="124" t="str"/>
      <x:c r="M55" s="124" t="e">
        <x:f>HYPERLINK("https://arxiv.org/abs/2508.14243","2508.14243")</x:f>
        <x:v>HYPERLINK is not implemented. linkLocation=https://arxiv.org/abs/2508.14243, friendlyName=2508.14243</x:v>
      </x:c>
      <x:c r="N55" s="124" t="e">
        <x:f>HYPERLINK("http://arxiv.org/abs/2508.14243v1","Open PDF / Source")</x:f>
        <x:v>HYPERLINK is not implemented. linkLocation=http://arxiv.org/abs/2508.14243v1, friendlyName=Open PDF / Source</x:v>
      </x:c>
      <x:c r="O55" s="124" t="str">
        <x:v>v2_high_recall/v2_high_recall/reading_records/R30_arxiv_2508_14243.md</x:v>
      </x:c>
    </x:row>
    <x:row r="56" ht="84" customHeight="1">
      <x:c r="A56" s="127" t="str"/>
      <x:c r="B56" s="127" t="str">
        <x:v>PDF_FIRST_PAGE</x:v>
      </x:c>
      <x:c r="C56" s="127" t="str">
        <x:v>2025 Yixin Zhao</x:v>
      </x:c>
      <x:c r="D56" s="127" t="str">
        <x:v>L129</x:v>
      </x:c>
      <x:c r="E56" s="135" t="n">
        <x:v>2025</x:v>
      </x:c>
      <x:c r="F56" s="127" t="str">
        <x:v>Response of Comagnetometer to Exotic Spin-Dependent Couplings</x:v>
      </x:c>
      <x:c r="G56" s="127" t="str">
        <x:v>Yixin Zhao; Xiang Peng; Teng Wu; Hong Guo</x:v>
      </x:c>
      <x:c r="H56" s="127" t="str"/>
      <x:c r="I56" s="127" t="str">
        <x:v>Atomic &amp; molecular</x:v>
      </x:c>
      <x:c r="J56" s="139" t="str">
        <x:v>C3</x:v>
      </x:c>
      <x:c r="K56" s="139" t="str">
        <x:v>secondary</x:v>
      </x:c>
      <x:c r="L56" s="127" t="str"/>
      <x:c r="M56" s="127" t="e">
        <x:f>HYPERLINK("https://arxiv.org/abs/2506.15046","2506.15046")</x:f>
        <x:v>HYPERLINK is not implemented. linkLocation=https://arxiv.org/abs/2506.15046, friendlyName=2506.15046</x:v>
      </x:c>
      <x:c r="N56" s="127" t="e">
        <x:f>HYPERLINK("http://arxiv.org/abs/2506.15046v1","Open PDF / Source")</x:f>
        <x:v>HYPERLINK is not implemented. linkLocation=http://arxiv.org/abs/2506.15046v1, friendlyName=Open PDF / Source</x:v>
      </x:c>
      <x:c r="O56" s="127" t="str">
        <x:v>v2_high_recall/v2_high_recall/reading_records/R29_arxiv_2506_15046.md</x:v>
      </x:c>
    </x:row>
    <x:row r="57" ht="84" customHeight="1">
      <x:c r="A57" s="124" t="str"/>
      <x:c r="B57" s="124" t="str">
        <x:v>PDF_FIRST_PAGE</x:v>
      </x:c>
      <x:c r="C57" s="124" t="str">
        <x:v>2025 Lei Cong</x:v>
      </x:c>
      <x:c r="D57" s="124" t="str">
        <x:v>L133</x:v>
      </x:c>
      <x:c r="E57" s="134" t="n">
        <x:v>2025</x:v>
      </x:c>
      <x:c r="F57" s="124" t="str">
        <x:v>Spin-dependent exotic interactions</x:v>
      </x:c>
      <x:c r="G57" s="124" t="str">
        <x:v>Lei Cong; Wei Ji; Pavel Fadeev; Filip Ficek; Min Jiang; Victor V. Flambaum; Haosen Guan; Derek F. Jackson Kimball; Mikhail G. Kozlov; Yevgeny V. Stadnik; Dmitry Budker</x:v>
      </x:c>
      <x:c r="H57" s="124" t="str">
        <x:v>Reviews of Modern Physics</x:v>
      </x:c>
      <x:c r="I57" s="124" t="str">
        <x:v>Reviews &amp; taxonomy</x:v>
      </x:c>
      <x:c r="J57" s="138" t="str">
        <x:v>C3</x:v>
      </x:c>
      <x:c r="K57" s="138" t="str">
        <x:v>green_check</x:v>
      </x:c>
      <x:c r="L57" s="124" t="e">
        <x:f>HYPERLINK("https://doi.org/10.1103/revmodphys.97.025005","10.1103/revmodphys.97.025005")</x:f>
        <x:v>HYPERLINK is not implemented. linkLocation=https://doi.org/10.1103/revmodphys.97.025005, friendlyName=10.1103/revmodphys.97.025005</x:v>
      </x:c>
      <x:c r="M57" s="124" t="e">
        <x:f>HYPERLINK("https://arxiv.org/abs/2408.15691","2408.15691")</x:f>
        <x:v>HYPERLINK is not implemented. linkLocation=https://arxiv.org/abs/2408.15691, friendlyName=2408.15691</x:v>
      </x:c>
      <x:c r="N57" s="124" t="e">
        <x:f>HYPERLINK("https://doi.org/10.1103/revmodphys.97.025005","Open PDF / Source")</x:f>
        <x:v>HYPERLINK is not implemented. linkLocation=https://doi.org/10.1103/revmodphys.97.025005, friendlyName=Open PDF / Source</x:v>
      </x:c>
      <x:c r="O57" s="124" t="str">
        <x:v>v2_high_recall/reading_records/R04_spin_dependent_review_2025.md</x:v>
      </x:c>
    </x:row>
    <x:row r="58" ht="84" customHeight="1">
      <x:c r="A58" s="127" t="str"/>
      <x:c r="B58" s="127" t="str">
        <x:v>PDF_FIRST_PAGE</x:v>
      </x:c>
      <x:c r="C58" s="127" t="str">
        <x:v>2026 Dorian W. P. Amaral</x:v>
      </x:c>
      <x:c r="D58" s="127" t="str">
        <x:v>L135</x:v>
      </x:c>
      <x:c r="E58" s="135" t="n">
        <x:v>2026</x:v>
      </x:c>
      <x:c r="F58" s="127" t="str">
        <x:v>A Levitated-Magnet Vector Force Sensor for Spin-Dependent Exotic Interactions</x:v>
      </x:c>
      <x:c r="G58" s="127" t="str">
        <x:v>Dorian W. P. Amaral; Lei Cong; Tim M. Fuchs; Hendrik Ulbricht; Dmitry Budker</x:v>
      </x:c>
      <x:c r="H58" s="127" t="str"/>
      <x:c r="I58" s="127" t="str">
        <x:v>Reviews &amp; taxonomy</x:v>
      </x:c>
      <x:c r="J58" s="139" t="str">
        <x:v>C3</x:v>
      </x:c>
      <x:c r="K58" s="139" t="str">
        <x:v>secondary</x:v>
      </x:c>
      <x:c r="L58" s="127" t="str"/>
      <x:c r="M58" s="127" t="e">
        <x:f>HYPERLINK("https://arxiv.org/abs/2606.30781","2606.30781")</x:f>
        <x:v>HYPERLINK is not implemented. linkLocation=https://arxiv.org/abs/2606.30781, friendlyName=2606.30781</x:v>
      </x:c>
      <x:c r="N58" s="127" t="e">
        <x:f>HYPERLINK("http://arxiv.org/abs/2606.30781v1","Open PDF / Source")</x:f>
        <x:v>HYPERLINK is not implemented. linkLocation=http://arxiv.org/abs/2606.30781v1, friendlyName=Open PDF / Source</x:v>
      </x:c>
      <x:c r="O58" s="127" t="str">
        <x:v>v2_high_recall/v2_high_recall/reading_records/R34_arxiv_2606_30781.md</x:v>
      </x:c>
    </x:row>
    <x:row r="59" ht="84" customHeight="1">
      <x:c r="A59" s="124" t="str"/>
      <x:c r="B59" s="124" t="str">
        <x:v>PDF_FIRST_PAGE</x:v>
      </x:c>
      <x:c r="C59" s="124" t="str">
        <x:v>2026 L. Y. Wu</x:v>
      </x:c>
      <x:c r="D59" s="124" t="str">
        <x:v>L136</x:v>
      </x:c>
      <x:c r="E59" s="134" t="n">
        <x:v>2026</x:v>
      </x:c>
      <x:c r="F59" s="124" t="str">
        <x:v>Exploring Exotic Spin-Dependent Interactions Beyond the Standard Model: Theoretical Foundations and Experimental Investigations</x:v>
      </x:c>
      <x:c r="G59" s="124" t="str">
        <x:v>L. Y. Wu; H. Yan</x:v>
      </x:c>
      <x:c r="H59" s="124" t="str"/>
      <x:c r="I59" s="124" t="str">
        <x:v>Torsion &amp; geophysical</x:v>
      </x:c>
      <x:c r="J59" s="138" t="str">
        <x:v>C3</x:v>
      </x:c>
      <x:c r="K59" s="138" t="str">
        <x:v>green_check</x:v>
      </x:c>
      <x:c r="L59" s="124" t="str"/>
      <x:c r="M59" s="124" t="e">
        <x:f>HYPERLINK("https://arxiv.org/abs/2606.13318","2606.13318")</x:f>
        <x:v>HYPERLINK is not implemented. linkLocation=https://arxiv.org/abs/2606.13318, friendlyName=2606.13318</x:v>
      </x:c>
      <x:c r="N59" s="124" t="e">
        <x:f>HYPERLINK("http://arxiv.org/abs/2606.13318v1","Open PDF / Source")</x:f>
        <x:v>HYPERLINK is not implemented. linkLocation=http://arxiv.org/abs/2606.13318v1, friendlyName=Open PDF / Source</x:v>
      </x:c>
      <x:c r="O59" s="124" t="str">
        <x:v>v2_high_recall/v2_high_recall/reading_records/R33_arxiv_2606_13318.md</x:v>
      </x:c>
    </x:row>
    <x:row r="60" ht="84" customHeight="1">
      <x:c r="A60" s="127" t="str"/>
      <x:c r="B60" s="127" t="str">
        <x:v>PDF_FIRST_PAGE</x:v>
      </x:c>
      <x:c r="C60" s="127" t="str">
        <x:v>2026 Charlotte M. König</x:v>
      </x:c>
      <x:c r="D60" s="127" t="str">
        <x:v>L138</x:v>
      </x:c>
      <x:c r="E60" s="135" t="n">
        <x:v>2026</x:v>
      </x:c>
      <x:c r="F60" s="127" t="str">
        <x:v>High-precision Penning-trap spectroscopy of the ground-state spin structure of HD+</x:v>
      </x:c>
      <x:c r="G60" s="127" t="str">
        <x:v>Charlotte M. König; Matthew Bohman; Fabian Heiße; Jonathan Morgner; Tim Sailer; Bingsheng Tu; Klaus Blaum; Sven Sturm; Dimitar Bakalov; Hugo D. Nogueira; Jean-Philippe Karr; Ossama Kullie; Stephan Schiller</x:v>
      </x:c>
      <x:c r="H60" s="127" t="str"/>
      <x:c r="I60" s="127" t="str">
        <x:v>HD+ molecular</x:v>
      </x:c>
      <x:c r="J60" s="139" t="str">
        <x:v>C3</x:v>
      </x:c>
      <x:c r="K60" s="139" t="str">
        <x:v>green_check</x:v>
      </x:c>
      <x:c r="L60" s="127" t="e">
        <x:f>HYPERLINK("https://doi.org/10.1103/vrl8-bpmz","10.1103/vrl8-bpmz")</x:f>
        <x:v>HYPERLINK is not implemented. linkLocation=https://doi.org/10.1103/vrl8-bpmz, friendlyName=10.1103/vrl8-bpmz</x:v>
      </x:c>
      <x:c r="M60" s="127" t="e">
        <x:f>HYPERLINK("https://arxiv.org/abs/2602.17522","2602.17522")</x:f>
        <x:v>HYPERLINK is not implemented. linkLocation=https://arxiv.org/abs/2602.17522, friendlyName=2602.17522</x:v>
      </x:c>
      <x:c r="N60" s="127" t="e">
        <x:f>HYPERLINK("https://arxiv.org/abs/2602.17522","Open PDF / Source")</x:f>
        <x:v>HYPERLINK is not implemented. linkLocation=https://arxiv.org/abs/2602.17522, friendlyName=Open PDF / Source</x:v>
      </x:c>
      <x:c r="O60" s="127" t="str">
        <x:v>v2_high_recall/reading_records/R11_koenig_2026.md</x:v>
      </x:c>
    </x:row>
    <x:row r="61" ht="84" customHeight="1">
      <x:c r="A61" s="124" t="str"/>
      <x:c r="B61" s="124" t="str">
        <x:v>PDF_FIRST_PAGE</x:v>
      </x:c>
      <x:c r="C61" s="124" t="str">
        <x:v>2026 Xiaoxuan Lin</x:v>
      </x:c>
      <x:c r="D61" s="124" t="str">
        <x:v>L141</x:v>
      </x:c>
      <x:c r="E61" s="134" t="n">
        <x:v>2026</x:v>
      </x:c>
      <x:c r="F61" s="124" t="str">
        <x:v>Probing a Fifth Force in Muonic Atoms through Lamb Shifts and Hyperfine Structure</x:v>
      </x:c>
      <x:c r="G61" s="124" t="str">
        <x:v>Xiaoxuan Lin; Qian Wu; Wei Kou; Xurong Chen</x:v>
      </x:c>
      <x:c r="H61" s="124" t="str"/>
      <x:c r="I61" s="124" t="str">
        <x:v>Atomic &amp; molecular</x:v>
      </x:c>
      <x:c r="J61" s="138" t="str">
        <x:v>C3</x:v>
      </x:c>
      <x:c r="K61" s="138" t="str">
        <x:v>green_check</x:v>
      </x:c>
      <x:c r="L61" s="124" t="str"/>
      <x:c r="M61" s="124" t="e">
        <x:f>HYPERLINK("https://arxiv.org/abs/2603.01429","2603.01429")</x:f>
        <x:v>HYPERLINK is not implemented. linkLocation=https://arxiv.org/abs/2603.01429, friendlyName=2603.01429</x:v>
      </x:c>
      <x:c r="N61" s="124" t="e">
        <x:f>HYPERLINK("https://arxiv.org/abs/2603.01429","Open PDF / Source")</x:f>
        <x:v>HYPERLINK is not implemented. linkLocation=https://arxiv.org/abs/2603.01429, friendlyName=Open PDF / Source</x:v>
      </x:c>
      <x:c r="O61" s="124" t="str">
        <x:v>v2_high_recall/reading_records/R15_muonic_atoms_2026.md</x:v>
      </x:c>
    </x:row>
    <x:row r="62" ht="84" customHeight="1">
      <x:c r="A62" s="127" t="str"/>
      <x:c r="B62" s="127" t="str">
        <x:v>PDF_FIRST_PAGE</x:v>
      </x:c>
      <x:c r="C62" s="127" t="str">
        <x:v>2026 D. Kliukin</x:v>
      </x:c>
      <x:c r="D62" s="127" t="str">
        <x:v>L143</x:v>
      </x:c>
      <x:c r="E62" s="135" t="n">
        <x:v>2026</x:v>
      </x:c>
      <x:c r="F62" s="127" t="str">
        <x:v>Spectroscopy of the Hyperfine Structure of HD+ in Rotationally Excited States with 10-ppb Uncertainty</x:v>
      </x:c>
      <x:c r="G62" s="127" t="str">
        <x:v>D. Kliukin; V. Barbe; T. Klijn Velderman; J. B. E. Schokking; J. John; K. S. E. Eikema; J. C. J. Koelemeij; Jean-Philippe Karr</x:v>
      </x:c>
      <x:c r="H62" s="127" t="str"/>
      <x:c r="I62" s="127" t="str">
        <x:v>HD+ molecular</x:v>
      </x:c>
      <x:c r="J62" s="139" t="str">
        <x:v>C3</x:v>
      </x:c>
      <x:c r="K62" s="139" t="str">
        <x:v>green_check</x:v>
      </x:c>
      <x:c r="L62" s="127" t="str"/>
      <x:c r="M62" s="127" t="e">
        <x:f>HYPERLINK("https://arxiv.org/abs/2608.00607","2608.00607")</x:f>
        <x:v>HYPERLINK is not implemented. linkLocation=https://arxiv.org/abs/2608.00607, friendlyName=2608.00607</x:v>
      </x:c>
      <x:c r="N62" s="127" t="e">
        <x:f>HYPERLINK("https://arxiv.org/abs/2608.00607","Open PDF / Source")</x:f>
        <x:v>HYPERLINK is not implemented. linkLocation=https://arxiv.org/abs/2608.00607, friendlyName=Open PDF / Source</x:v>
      </x:c>
      <x:c r="O62" s="127" t="str">
        <x:v>v2_high_recall/reading_records/R12_kliukin_2026.md</x:v>
      </x:c>
    </x:row>
    <x:row r="63" ht="84" customHeight="1">
      <x:c r="A63" s="124" t="str"/>
      <x:c r="B63" s="124" t="str">
        <x:v>PDF_FIRST_PAGE</x:v>
      </x:c>
      <x:c r="C63" s="124" t="str">
        <x:v>2026 Cedric Quint</x:v>
      </x:c>
      <x:c r="D63" s="124" t="str">
        <x:v>L144</x:v>
      </x:c>
      <x:c r="E63" s="134" t="n">
        <x:v>2026</x:v>
      </x:c>
      <x:c r="F63" s="124" t="str">
        <x:v>Stringent Constraints on New Pseudoscalar and Vector Bosons from Precision Hyperfine Splitting Measurements</x:v>
      </x:c>
      <x:c r="G63" s="124" t="str">
        <x:v>Cedric Quint; Fabian Heiße; Joerg Jaeckel; Lutz Leimenstoll; Christoph H. Keitel; Zoltan Harman</x:v>
      </x:c>
      <x:c r="H63" s="124" t="str"/>
      <x:c r="I63" s="124" t="str">
        <x:v>Atomic &amp; molecular</x:v>
      </x:c>
      <x:c r="J63" s="138" t="str">
        <x:v>C3</x:v>
      </x:c>
      <x:c r="K63" s="138" t="str">
        <x:v>green_check</x:v>
      </x:c>
      <x:c r="L63" s="124" t="e">
        <x:f>HYPERLINK("https://doi.org/10.1103/rvt1-93v2","10.1103/rvt1-93v2")</x:f>
        <x:v>HYPERLINK is not implemented. linkLocation=https://doi.org/10.1103/rvt1-93v2, friendlyName=10.1103/rvt1-93v2</x:v>
      </x:c>
      <x:c r="M63" s="124" t="str"/>
      <x:c r="N63" s="124" t="e">
        <x:f>HYPERLINK("https://doi.org/10.1103/rvt1-93v2","Open PDF / Source")</x:f>
        <x:v>HYPERLINK is not implemented. linkLocation=https://doi.org/10.1103/rvt1-93v2, friendlyName=Open PDF / Source</x:v>
      </x:c>
      <x:c r="O63" s="124" t="str">
        <x:v>v2_high_recall/reading_records/R14_quint_2026.md</x:v>
      </x:c>
    </x:row>
    <x:row r="64" ht="84" customHeight="1">
      <x:c r="A64" s="128" t="str"/>
      <x:c r="B64" s="128" t="str">
        <x:v>PDF_FIRST_PAGE</x:v>
      </x:c>
      <x:c r="C64" s="128" t="str">
        <x:v>2026 Lei Cong</x:v>
      </x:c>
      <x:c r="D64" s="128" t="str">
        <x:v>L146</x:v>
      </x:c>
      <x:c r="E64" s="136" t="n">
        <x:v>2026</x:v>
      </x:c>
      <x:c r="F64" s="128" t="str">
        <x:v>Testing Exotic Electron-Electron Interactions with the Helium Ionization-Energy Anomaly</x:v>
      </x:c>
      <x:c r="G64" s="128" t="str">
        <x:v>Lei Cong; Filip Ficek; Rinat Abdullin; Mikhail G. Kozlov; Dmitry Budker</x:v>
      </x:c>
      <x:c r="H64" s="128" t="str"/>
      <x:c r="I64" s="128" t="str">
        <x:v>Atomic &amp; molecular</x:v>
      </x:c>
      <x:c r="J64" s="140" t="str">
        <x:v>C3</x:v>
      </x:c>
      <x:c r="K64" s="140" t="str">
        <x:v>green_check</x:v>
      </x:c>
      <x:c r="L64" s="128" t="str"/>
      <x:c r="M64" s="128" t="e">
        <x:f>HYPERLINK("https://arxiv.org/abs/2602.09743","2602.09743")</x:f>
        <x:v>HYPERLINK is not implemented. linkLocation=https://arxiv.org/abs/2602.09743, friendlyName=2602.09743</x:v>
      </x:c>
      <x:c r="N64" s="128" t="e">
        <x:f>HYPERLINK("http://arxiv.org/abs/2602.09743v1","Open PDF / Source")</x:f>
        <x:v>HYPERLINK is not implemented. linkLocation=http://arxiv.org/abs/2602.09743v1, friendlyName=Open PDF / Source</x:v>
      </x:c>
      <x:c r="O64" s="128" t="str">
        <x:v>v2_high_recall/v2_high_recall/reading_records/R32_arxiv_2602_09743.md</x:v>
      </x:c>
    </x:row>
  </x:sheetData>
  <x:mergeCells>
    <x:mergeCell ref="A1:O1"/>
    <x:mergeCell ref="A2:O2"/>
  </x:mergeCells>
  <x:conditionalFormatting sqref="J4:J64">
    <x:cfRule type="containsText" dxfId="2" priority="1" operator="containsText" text="C3"/>
  </x:conditionalFormatting>
  <x:conditionalFormatting sqref="K4:K64">
    <x:cfRule type="containsText" dxfId="3" priority="2" operator="containsText" text="green_check"/>
  </x:conditionalFormatting>
  <x:pageMargins left="0.7" right="0.7" top="0.75" bottom="0.75" header="0.3" footer="0.3"/>
  <x:drawing xmlns:r="http://schemas.openxmlformats.org/officeDocument/2006/relationships" r:id="R752a55e6273c45f4"/>
  <x:tableParts count="1">
    <x:tablePart xmlns:r="http://schemas.openxmlformats.org/officeDocument/2006/relationships" r:id="Rf1f6a6000c2545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2" hidden="0" customWidth="1"/>
    <x:col min="3" max="3" width="25" hidden="0" customWidth="1"/>
    <x:col min="4" max="4" width="11" hidden="0" customWidth="1"/>
    <x:col min="5" max="5" width="9" hidden="0" customWidth="1"/>
    <x:col min="6" max="6" width="54" hidden="0" customWidth="1"/>
    <x:col min="7" max="7" width="43" hidden="0" customWidth="1"/>
    <x:col min="8" max="8" width="25" hidden="0" customWidth="1"/>
    <x:col min="9" max="9" width="25" hidden="0" customWidth="1"/>
    <x:col min="10" max="10" width="12" hidden="0" customWidth="1"/>
    <x:col min="11" max="11" width="15" hidden="0" customWidth="1"/>
    <x:col min="12" max="12" width="27" hidden="0" customWidth="1"/>
    <x:col min="13" max="13" width="17" hidden="0" customWidth="1"/>
    <x:col min="14" max="14" width="42" hidden="0" customWidth="1"/>
    <x:col min="15" max="15" width="33" hidden="0" customWidth="1"/>
  </x:cols>
  <x:sheetData>
    <x:row r="1" ht="34" customHeight="1">
      <x:c r="A1" s="103" t="str">
        <x:v>03 2020–2026 Frontier Lineage Map | Complete Literature Title Index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</x:row>
    <x:row r="2" ht="26" customHeight="1">
      <x:c r="A2" s="106" t="str">
        <x:v>Covers C3 or green-check literature from 2020 onward; every record includes a row-level image.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</x:row>
    <x:row r="3" ht="32" customHeight="1">
      <x:c r="A3" s="113" t="str">
        <x:v>Literature Image</x:v>
      </x:c>
      <x:c r="B3" s="114" t="str">
        <x:v>Image Type</x:v>
      </x:c>
      <x:c r="C3" s="114" t="str">
        <x:v>Map Label</x:v>
      </x:c>
      <x:c r="D3" s="114" t="str">
        <x:v>Node ID</x:v>
      </x:c>
      <x:c r="E3" s="114" t="str">
        <x:v>Year</x:v>
      </x:c>
      <x:c r="F3" s="114" t="str">
        <x:v>Full Literature Title</x:v>
      </x:c>
      <x:c r="G3" s="114" t="str">
        <x:v>Authors</x:v>
      </x:c>
      <x:c r="H3" s="114" t="str">
        <x:v>Journal / Source</x:v>
      </x:c>
      <x:c r="I3" s="114" t="str">
        <x:v>Research Branch</x:v>
      </x:c>
      <x:c r="J3" s="114" t="str">
        <x:v>Evidence Level</x:v>
      </x:c>
      <x:c r="K3" s="114" t="str">
        <x:v>Verification Status</x:v>
      </x:c>
      <x:c r="L3" s="114" t="str">
        <x:v>DOI</x:v>
      </x:c>
      <x:c r="M3" s="114" t="str">
        <x:v>arXiv</x:v>
      </x:c>
      <x:c r="N3" s="114" t="str">
        <x:v>Source Link</x:v>
      </x:c>
      <x:c r="O3" s="115" t="str">
        <x:v>Deep-Reading Record</x:v>
      </x:c>
    </x:row>
    <x:row r="4" ht="84" customHeight="1">
      <x:c r="A4" s="126" t="str"/>
      <x:c r="B4" s="126" t="str">
        <x:v>PDF_FIRST_PAGE</x:v>
      </x:c>
      <x:c r="C4" s="126" t="str">
        <x:v>2020 Ulrich D. Jentschura</x:v>
      </x:c>
      <x:c r="D4" s="126" t="str">
        <x:v>L070</x:v>
      </x:c>
      <x:c r="E4" s="133" t="n">
        <x:v>2020</x:v>
      </x:c>
      <x:c r="F4" s="126" t="str">
        <x:v>Fifth Force and Hyperfine Splitting in Bound Systems</x:v>
      </x:c>
      <x:c r="G4" s="126" t="str">
        <x:v>Ulrich D. Jentschura</x:v>
      </x:c>
      <x:c r="H4" s="126" t="str"/>
      <x:c r="I4" s="126" t="str">
        <x:v>Theory &amp; operators</x:v>
      </x:c>
      <x:c r="J4" s="137" t="str">
        <x:v>C3</x:v>
      </x:c>
      <x:c r="K4" s="137" t="str">
        <x:v>green_check</x:v>
      </x:c>
      <x:c r="L4" s="126" t="e">
        <x:f>HYPERLINK("https://doi.org/10.1103/physreva.101.062503","10.1103/physreva.101.062503")</x:f>
        <x:v>HYPERLINK is not implemented. linkLocation=https://doi.org/10.1103/physreva.101.062503, friendlyName=10.1103/physreva.101.062503</x:v>
      </x:c>
      <x:c r="M4" s="126" t="e">
        <x:f>HYPERLINK("https://arxiv.org/abs/2003.07207","2003.07207")</x:f>
        <x:v>HYPERLINK is not implemented. linkLocation=https://arxiv.org/abs/2003.07207, friendlyName=2003.07207</x:v>
      </x:c>
      <x:c r="N4" s="126" t="e">
        <x:f>HYPERLINK("https://arxiv.org/abs/2003.07207","Open PDF / Source")</x:f>
        <x:v>HYPERLINK is not implemented. linkLocation=https://arxiv.org/abs/2003.07207, friendlyName=Open PDF / Source</x:v>
      </x:c>
      <x:c r="O4" s="126" t="str">
        <x:v>v2_high_recall/reading_records/R13_jentschura_2020.md</x:v>
      </x:c>
    </x:row>
    <x:row r="5" ht="84" customHeight="1">
      <x:c r="A5" s="124" t="str"/>
      <x:c r="B5" s="124" t="str">
        <x:v>PDF_FIRST_PAGE</x:v>
      </x:c>
      <x:c r="C5" s="124" t="str">
        <x:v>2020 S. Alighanbari</x:v>
      </x:c>
      <x:c r="D5" s="124" t="str">
        <x:v>L073</x:v>
      </x:c>
      <x:c r="E5" s="134" t="n">
        <x:v>2020</x:v>
      </x:c>
      <x:c r="F5" s="124" t="str">
        <x:v>Precise test of quantum electrodynamics and determination of fundamental constants with HD+ ions</x:v>
      </x:c>
      <x:c r="G5" s="124" t="str">
        <x:v>S. Alighanbari; G. S. Giri; F. L. Constantin; V. I. Korobov; S. Schiller</x:v>
      </x:c>
      <x:c r="H5" s="124" t="str"/>
      <x:c r="I5" s="124" t="str">
        <x:v>HD+ molecular</x:v>
      </x:c>
      <x:c r="J5" s="138" t="str">
        <x:v>C3</x:v>
      </x:c>
      <x:c r="K5" s="138" t="str">
        <x:v>green_check</x:v>
      </x:c>
      <x:c r="L5" s="124" t="e">
        <x:f>HYPERLINK("https://doi.org/10.1038/s41586-020-2261-5","10.1038/s41586-020-2261-5")</x:f>
        <x:v>HYPERLINK is not implemented. linkLocation=https://doi.org/10.1038/s41586-020-2261-5, friendlyName=10.1038/s41586-020-2261-5</x:v>
      </x:c>
      <x:c r="M5" s="124" t="str"/>
      <x:c r="N5" s="124" t="e">
        <x:f>HYPERLINK("https://doi.org/10.1038/s41586-020-2261-5","Open PDF / Source")</x:f>
        <x:v>HYPERLINK is not implemented. linkLocation=https://doi.org/10.1038/s41586-020-2261-5, friendlyName=Open PDF / Source</x:v>
      </x:c>
      <x:c r="O5" s="124" t="str">
        <x:v>v2_high_recall/reading_records/R08_alighanbari_2020.md</x:v>
      </x:c>
    </x:row>
    <x:row r="6" ht="84" customHeight="1">
      <x:c r="A6" s="127" t="str"/>
      <x:c r="B6" s="127" t="str">
        <x:v>PDF_FIRST_PAGE</x:v>
      </x:c>
      <x:c r="C6" s="127" t="str">
        <x:v>2022 Mohammad Haidar</x:v>
      </x:c>
      <x:c r="D6" s="127" t="str">
        <x:v>L085</x:v>
      </x:c>
      <x:c r="E6" s="135" t="n">
        <x:v>2022</x:v>
      </x:c>
      <x:c r="F6" s="127" t="str">
        <x:v>Higher-order corrections to the spin-orbit and spin-spin tensor interactions in HD+</x:v>
      </x:c>
      <x:c r="G6" s="127" t="str">
        <x:v>Mohammad Haidar; Vladimir I. Korobov; Laurent Hilico; Jean-Philippe Karr</x:v>
      </x:c>
      <x:c r="H6" s="127" t="str"/>
      <x:c r="I6" s="127" t="str">
        <x:v>HD+ molecular</x:v>
      </x:c>
      <x:c r="J6" s="139" t="str">
        <x:v>C3</x:v>
      </x:c>
      <x:c r="K6" s="139" t="str">
        <x:v>green_check</x:v>
      </x:c>
      <x:c r="L6" s="127" t="e">
        <x:f>HYPERLINK("https://doi.org/10.1103/physreva.106.042815","10.1103/physreva.106.042815")</x:f>
        <x:v>HYPERLINK is not implemented. linkLocation=https://doi.org/10.1103/physreva.106.042815, friendlyName=10.1103/physreva.106.042815</x:v>
      </x:c>
      <x:c r="M6" s="127" t="e">
        <x:f>HYPERLINK("https://arxiv.org/abs/2209.02382","2209.02382")</x:f>
        <x:v>HYPERLINK is not implemented. linkLocation=https://arxiv.org/abs/2209.02382, friendlyName=2209.02382</x:v>
      </x:c>
      <x:c r="N6" s="127" t="e">
        <x:f>HYPERLINK("https://arxiv.org/abs/2209.02382","Open PDF / Source")</x:f>
        <x:v>HYPERLINK is not implemented. linkLocation=https://arxiv.org/abs/2209.02382, friendlyName=Open PDF / Source</x:v>
      </x:c>
      <x:c r="O6" s="127" t="str">
        <x:v>v2_high_recall/reading_records/R09_haidar_2022.md</x:v>
      </x:c>
    </x:row>
    <x:row r="7" ht="84" customHeight="1">
      <x:c r="A7" s="124" t="str"/>
      <x:c r="B7" s="124" t="str">
        <x:v>PDF_FIRST_PAGE</x:v>
      </x:c>
      <x:c r="C7" s="124" t="str">
        <x:v>2022 Pavel Fadeev</x:v>
      </x:c>
      <x:c r="D7" s="124" t="str">
        <x:v>L088</x:v>
      </x:c>
      <x:c r="E7" s="134" t="n">
        <x:v>2022</x:v>
      </x:c>
      <x:c r="F7" s="124" t="str">
        <x:v>Pseudovector and pseudoscalar spin-dependent interactions in atoms</x:v>
      </x:c>
      <x:c r="G7" s="124" t="str">
        <x:v>Pavel Fadeev; Filip Ficek; Mikhail G. Kozlov; Dmitry Budker; Victor V. Flambaum</x:v>
      </x:c>
      <x:c r="H7" s="124" t="str"/>
      <x:c r="I7" s="124" t="str">
        <x:v>Atomic &amp; molecular</x:v>
      </x:c>
      <x:c r="J7" s="138" t="str">
        <x:v>C3</x:v>
      </x:c>
      <x:c r="K7" s="138" t="str">
        <x:v>green_check</x:v>
      </x:c>
      <x:c r="L7" s="124" t="e">
        <x:f>HYPERLINK("https://doi.org/10.1103/physreva.105.022812","10.1103/physreva.105.022812")</x:f>
        <x:v>HYPERLINK is not implemented. linkLocation=https://doi.org/10.1103/physreva.105.022812, friendlyName=10.1103/physreva.105.022812</x:v>
      </x:c>
      <x:c r="M7" s="124" t="e">
        <x:f>HYPERLINK("https://arxiv.org/abs/1911.05816","1911.05816")</x:f>
        <x:v>HYPERLINK is not implemented. linkLocation=https://arxiv.org/abs/1911.05816, friendlyName=1911.05816</x:v>
      </x:c>
      <x:c r="N7" s="124" t="e">
        <x:f>HYPERLINK("https://arxiv.org/abs/1911.05816","Open PDF / Source")</x:f>
        <x:v>HYPERLINK is not implemented. linkLocation=https://arxiv.org/abs/1911.05816, friendlyName=Open PDF / Source</x:v>
      </x:c>
      <x:c r="O7" s="124" t="str">
        <x:v>v2_high_recall/reading_records/R03_fadeev_2022_atoms.md</x:v>
      </x:c>
    </x:row>
    <x:row r="8" ht="84" customHeight="1">
      <x:c r="A8" s="127" t="str"/>
      <x:c r="B8" s="127" t="str">
        <x:v>PDF_FIRST_PAGE</x:v>
      </x:c>
      <x:c r="C8" s="127" t="str">
        <x:v>2023 Jean-Philippe Karr</x:v>
      </x:c>
      <x:c r="D8" s="127" t="str">
        <x:v>L092</x:v>
      </x:c>
      <x:c r="E8" s="135" t="n">
        <x:v>2023</x:v>
      </x:c>
      <x:c r="F8" s="127" t="str">
        <x:v>Extraction of spin-averaged rovibrational transition frequencies in HD+ for the determination of fundamental constants</x:v>
      </x:c>
      <x:c r="G8" s="127" t="str">
        <x:v>Jean-Philippe Karr; Jeroen C. J. Koelemeij</x:v>
      </x:c>
      <x:c r="H8" s="127" t="str"/>
      <x:c r="I8" s="127" t="str">
        <x:v>HD+ molecular</x:v>
      </x:c>
      <x:c r="J8" s="139" t="str">
        <x:v>C3</x:v>
      </x:c>
      <x:c r="K8" s="139" t="str">
        <x:v>green_check</x:v>
      </x:c>
      <x:c r="L8" s="127" t="e">
        <x:f>HYPERLINK("https://doi.org/10.1080/00268976.2023.2216081","10.1080/00268976.2023.2216081")</x:f>
        <x:v>HYPERLINK is not implemented. linkLocation=https://doi.org/10.1080/00268976.2023.2216081, friendlyName=10.1080/00268976.2023.2216081</x:v>
      </x:c>
      <x:c r="M8" s="127" t="e">
        <x:f>HYPERLINK("https://arxiv.org/abs/2212.11683","2212.11683")</x:f>
        <x:v>HYPERLINK is not implemented. linkLocation=https://arxiv.org/abs/2212.11683, friendlyName=2212.11683</x:v>
      </x:c>
      <x:c r="N8" s="127" t="e">
        <x:f>HYPERLINK("https://arxiv.org/abs/2212.11683","Open PDF / Source")</x:f>
        <x:v>HYPERLINK is not implemented. linkLocation=https://arxiv.org/abs/2212.11683, friendlyName=Open PDF / Source</x:v>
      </x:c>
      <x:c r="O8" s="127" t="str">
        <x:v>v2_high_recall/reading_records/R10_karr_koelemeij_2023.md</x:v>
      </x:c>
    </x:row>
    <x:row r="9" ht="84" customHeight="1">
      <x:c r="A9" s="124" t="str"/>
      <x:c r="B9" s="124" t="str">
        <x:v>PDF_FIRST_PAGE</x:v>
      </x:c>
      <x:c r="C9" s="124" t="str">
        <x:v>2024 Luca Di Luzio</x:v>
      </x:c>
      <x:c r="D9" s="124" t="str">
        <x:v>L100</x:v>
      </x:c>
      <x:c r="E9" s="134" t="n">
        <x:v>2024</x:v>
      </x:c>
      <x:c r="F9" s="124" t="str">
        <x:v>Axion Window on New Macroscopic Forces</x:v>
      </x:c>
      <x:c r="G9" s="124" t="str">
        <x:v>Luca Di Luzio; Hector Gisbert; Fabrizio Nesti; Philip Sørensen</x:v>
      </x:c>
      <x:c r="H9" s="124" t="str">
        <x:v>Phys.Rev.D 110 (2024) 11, 115034</x:v>
      </x:c>
      <x:c r="I9" s="124" t="str">
        <x:v>Other precision probes</x:v>
      </x:c>
      <x:c r="J9" s="138" t="str">
        <x:v>C3</x:v>
      </x:c>
      <x:c r="K9" s="138" t="str">
        <x:v>green_check</x:v>
      </x:c>
      <x:c r="L9" s="124" t="e">
        <x:f>HYPERLINK("https://doi.org/10.1103/physrevd.110.115034","10.1103/physrevd.110.115034")</x:f>
        <x:v>HYPERLINK is not implemented. linkLocation=https://doi.org/10.1103/physrevd.110.115034, friendlyName=10.1103/physrevd.110.115034</x:v>
      </x:c>
      <x:c r="M9" s="124" t="e">
        <x:f>HYPERLINK("https://arxiv.org/abs/2407.15928","2407.15928")</x:f>
        <x:v>HYPERLINK is not implemented. linkLocation=https://arxiv.org/abs/2407.15928, friendlyName=2407.15928</x:v>
      </x:c>
      <x:c r="N9" s="124" t="e">
        <x:f>HYPERLINK("http://arxiv.org/abs/2407.15928v2","Open PDF / Source")</x:f>
        <x:v>HYPERLINK is not implemented. linkLocation=http://arxiv.org/abs/2407.15928v2, friendlyName=Open PDF / Source</x:v>
      </x:c>
      <x:c r="O9" s="124" t="str">
        <x:v>v2_high_recall/v2_high_recall/reading_records/R18_arxiv_2407_15928.md</x:v>
      </x:c>
    </x:row>
    <x:row r="10" ht="84" customHeight="1">
      <x:c r="A10" s="127" t="str"/>
      <x:c r="B10" s="127" t="str">
        <x:v>PDF_FIRST_PAGE</x:v>
      </x:c>
      <x:c r="C10" s="127" t="str">
        <x:v>2024 Sara Rufrano Aliberti</x:v>
      </x:c>
      <x:c r="D10" s="127" t="str">
        <x:v>L104</x:v>
      </x:c>
      <x:c r="E10" s="135" t="n">
        <x:v>2024</x:v>
      </x:c>
      <x:c r="F10" s="127" t="str">
        <x:v>Limits on dark matter, ultralight scalars, and cosmic neutrinos with gyroscope spin and precision clocks</x:v>
      </x:c>
      <x:c r="G10" s="127" t="str">
        <x:v>Sara Rufrano Aliberti; Gaetano Lambiase; Tanmay Kumar Poddar</x:v>
      </x:c>
      <x:c r="H10" s="127" t="str"/>
      <x:c r="I10" s="127" t="str">
        <x:v>Astro, DM &amp; space</x:v>
      </x:c>
      <x:c r="J10" s="139" t="str">
        <x:v>C3</x:v>
      </x:c>
      <x:c r="K10" s="139" t="str">
        <x:v>green_check</x:v>
      </x:c>
      <x:c r="L10" s="127" t="str"/>
      <x:c r="M10" s="127" t="e">
        <x:f>HYPERLINK("https://arxiv.org/abs/2412.09575","2412.09575")</x:f>
        <x:v>HYPERLINK is not implemented. linkLocation=https://arxiv.org/abs/2412.09575, friendlyName=2412.09575</x:v>
      </x:c>
      <x:c r="N10" s="127" t="e">
        <x:f>HYPERLINK("http://arxiv.org/abs/2412.09575v1","Open PDF / Source")</x:f>
        <x:v>HYPERLINK is not implemented. linkLocation=http://arxiv.org/abs/2412.09575v1, friendlyName=Open PDF / Source</x:v>
      </x:c>
      <x:c r="O10" s="127" t="str">
        <x:v>v2_high_recall/v2_high_recall/reading_records/R22_arxiv_2412_09575.md</x:v>
      </x:c>
    </x:row>
    <x:row r="11" ht="84" customHeight="1">
      <x:c r="A11" s="124" t="str"/>
      <x:c r="B11" s="124" t="str">
        <x:v>PDF_FIRST_PAGE</x:v>
      </x:c>
      <x:c r="C11" s="124" t="str">
        <x:v>2024 Yue Huang</x:v>
      </x:c>
      <x:c r="D11" s="124" t="str">
        <x:v>L106</x:v>
      </x:c>
      <x:c r="E11" s="134" t="n">
        <x:v>2024</x:v>
      </x:c>
      <x:c r="F11" s="124" t="str">
        <x:v>New Constraints on Exotic Spin-Spin-Velocity-Dependent Interactions with Solid-State Quantum Sensors</x:v>
      </x:c>
      <x:c r="G11" s="124" t="str">
        <x:v>Yue Huang; Hang Liang; Man Jiao; Pei Yu; Xiangyu Ye; Yijin Xie; Yi-Fu Cai; Chang-Kui Duan; Ya Wang; Xing Rong; Jiangfeng Du</x:v>
      </x:c>
      <x:c r="H11" s="124" t="str"/>
      <x:c r="I11" s="124" t="str">
        <x:v>Torsion &amp; geophysical</x:v>
      </x:c>
      <x:c r="J11" s="138" t="str">
        <x:v>C3</x:v>
      </x:c>
      <x:c r="K11" s="138" t="str">
        <x:v>green_check</x:v>
      </x:c>
      <x:c r="L11" s="124" t="str"/>
      <x:c r="M11" s="124" t="e">
        <x:f>HYPERLINK("https://arxiv.org/abs/2403.18263","2403.18263")</x:f>
        <x:v>HYPERLINK is not implemented. linkLocation=https://arxiv.org/abs/2403.18263, friendlyName=2403.18263</x:v>
      </x:c>
      <x:c r="N11" s="124" t="e">
        <x:f>HYPERLINK("http://arxiv.org/abs/2403.18263v1","Open PDF / Source")</x:f>
        <x:v>HYPERLINK is not implemented. linkLocation=http://arxiv.org/abs/2403.18263v1, friendlyName=Open PDF / Source</x:v>
      </x:c>
      <x:c r="O11" s="124" t="str">
        <x:v>v2_high_recall/v2_high_recall/reading_records/R17_arxiv_2403_18263.md</x:v>
      </x:c>
    </x:row>
    <x:row r="12" ht="84" customHeight="1">
      <x:c r="A12" s="127" t="str"/>
      <x:c r="B12" s="127" t="str">
        <x:v>PDF_FIRST_PAGE</x:v>
      </x:c>
      <x:c r="C12" s="127" t="str">
        <x:v>2024 Zheng-Ting Lai</x:v>
      </x:c>
      <x:c r="D12" s="127" t="str">
        <x:v>L108</x:v>
      </x:c>
      <x:c r="E12" s="135" t="n">
        <x:v>2024</x:v>
      </x:c>
      <x:c r="F12" s="127" t="str">
        <x:v>Potential of constraining the Fifth Force Using the Earth as a Spin and Mass Source from space</x:v>
      </x:c>
      <x:c r="G12" s="127" t="str">
        <x:v>Zheng-Ting Lai; Jun-Xu Lu; Li-Sheng Geng; Kai Wei; Wei Ji</x:v>
      </x:c>
      <x:c r="H12" s="127" t="str">
        <x:v>Chin. Phys. Lett. 43, 030202 (2026)</x:v>
      </x:c>
      <x:c r="I12" s="127" t="str">
        <x:v>Theory &amp; operators</x:v>
      </x:c>
      <x:c r="J12" s="139" t="str">
        <x:v>C3</x:v>
      </x:c>
      <x:c r="K12" s="139" t="str">
        <x:v>green_check</x:v>
      </x:c>
      <x:c r="L12" s="127" t="e">
        <x:f>HYPERLINK("https://doi.org/10.1088/0256-307x/43/3/030202","10.1088/0256-307x/43/3/030202")</x:f>
        <x:v>HYPERLINK is not implemented. linkLocation=https://doi.org/10.1088/0256-307x/43/3/030202, friendlyName=10.1088/0256-307x/43/3/030202</x:v>
      </x:c>
      <x:c r="M12" s="127" t="e">
        <x:f>HYPERLINK("https://arxiv.org/abs/2410.12469","2410.12469")</x:f>
        <x:v>HYPERLINK is not implemented. linkLocation=https://arxiv.org/abs/2410.12469, friendlyName=2410.12469</x:v>
      </x:c>
      <x:c r="N12" s="127" t="e">
        <x:f>HYPERLINK("http://arxiv.org/abs/2410.12469v3","Open PDF / Source")</x:f>
        <x:v>HYPERLINK is not implemented. linkLocation=http://arxiv.org/abs/2410.12469v3, friendlyName=Open PDF / Source</x:v>
      </x:c>
      <x:c r="O12" s="127" t="str">
        <x:v>v2_high_recall/v2_high_recall/reading_records/R19_arxiv_2410_12469.md</x:v>
      </x:c>
    </x:row>
    <x:row r="13" ht="84" customHeight="1">
      <x:c r="A13" s="124" t="str"/>
      <x:c r="B13" s="124" t="str">
        <x:v>PDF_FIRST_PAGE</x:v>
      </x:c>
      <x:c r="C13" s="124" t="str">
        <x:v>2024 Min Jiang</x:v>
      </x:c>
      <x:c r="D13" s="124" t="str">
        <x:v>L109</x:v>
      </x:c>
      <x:c r="E13" s="134" t="n">
        <x:v>2024</x:v>
      </x:c>
      <x:c r="F13" s="124" t="str">
        <x:v>Searches for exotic spin-dependent interactions with spin sensors</x:v>
      </x:c>
      <x:c r="G13" s="124" t="str">
        <x:v>Min Jiang; Haowen Su; Yifan Chen; Man Jiao; Ying Huang; Yuanhong Wang; Xing Rong; Xinhua Peng; Jiangfeng Du</x:v>
      </x:c>
      <x:c r="H13" s="124" t="str">
        <x:v>Rep. Prog. Phys. 88 (2025) 016401</x:v>
      </x:c>
      <x:c r="I13" s="124" t="str">
        <x:v>Vapor spins &amp; comagnetometry</x:v>
      </x:c>
      <x:c r="J13" s="138" t="str">
        <x:v>C3</x:v>
      </x:c>
      <x:c r="K13" s="138" t="str">
        <x:v>secondary</x:v>
      </x:c>
      <x:c r="L13" s="124" t="e">
        <x:f>HYPERLINK("https://doi.org/10.1088/1361-6633/ad99e6","10.1088/1361-6633/ad99e6")</x:f>
        <x:v>HYPERLINK is not implemented. linkLocation=https://doi.org/10.1088/1361-6633/ad99e6, friendlyName=10.1088/1361-6633/ad99e6</x:v>
      </x:c>
      <x:c r="M13" s="124" t="e">
        <x:f>HYPERLINK("https://arxiv.org/abs/2412.03288","2412.03288")</x:f>
        <x:v>HYPERLINK is not implemented. linkLocation=https://arxiv.org/abs/2412.03288, friendlyName=2412.03288</x:v>
      </x:c>
      <x:c r="N13" s="124" t="e">
        <x:f>HYPERLINK("http://arxiv.org/abs/2412.03288v2","Open PDF / Source")</x:f>
        <x:v>HYPERLINK is not implemented. linkLocation=http://arxiv.org/abs/2412.03288v2, friendlyName=Open PDF / Source</x:v>
      </x:c>
      <x:c r="O13" s="124" t="str">
        <x:v>v2_high_recall/v2_high_recall/reading_records/R21_arxiv_2412_03288.md</x:v>
      </x:c>
    </x:row>
    <x:row r="14" ht="84" customHeight="1">
      <x:c r="A14" s="127" t="str"/>
      <x:c r="B14" s="127" t="str">
        <x:v>PDF_FIRST_PAGE</x:v>
      </x:c>
      <x:c r="C14" s="127" t="str">
        <x:v>2024 Nathan B. Clayburn</x:v>
      </x:c>
      <x:c r="D14" s="127" t="str">
        <x:v>L112</x:v>
      </x:c>
      <x:c r="E14" s="135" t="n">
        <x:v>2024</x:v>
      </x:c>
      <x:c r="F14" s="127" t="str">
        <x:v>Spherically symmetric Earth models yield no net electron spin</x:v>
      </x:c>
      <x:c r="G14" s="127" t="str">
        <x:v>Nathan B. Clayburn; Andrew Glassford; Andrew Leiker; Thomas Uelmen; Jung-Fu Lin; Larry R. Hunter</x:v>
      </x:c>
      <x:c r="H14" s="127" t="str"/>
      <x:c r="I14" s="127" t="str">
        <x:v>Torsion &amp; geophysical</x:v>
      </x:c>
      <x:c r="J14" s="139" t="str">
        <x:v>C3</x:v>
      </x:c>
      <x:c r="K14" s="139" t="str">
        <x:v>green_check</x:v>
      </x:c>
      <x:c r="L14" s="127" t="str"/>
      <x:c r="M14" s="127" t="e">
        <x:f>HYPERLINK("https://arxiv.org/abs/2411.08050","2411.08050")</x:f>
        <x:v>HYPERLINK is not implemented. linkLocation=https://arxiv.org/abs/2411.08050, friendlyName=2411.0805</x:v>
      </x:c>
      <x:c r="N14" s="127" t="e">
        <x:f>HYPERLINK("http://arxiv.org/abs/2411.08050v1","Open PDF / Source")</x:f>
        <x:v>HYPERLINK is not implemented. linkLocation=http://arxiv.org/abs/2411.08050v1, friendlyName=Open PDF / Source</x:v>
      </x:c>
      <x:c r="O14" s="127" t="str">
        <x:v>v2_high_recall/v2_high_recall/reading_records/R20_arxiv_2411_08050.md</x:v>
      </x:c>
    </x:row>
    <x:row r="15" ht="84" customHeight="1">
      <x:c r="A15" s="124" t="str"/>
      <x:c r="B15" s="124" t="str">
        <x:v>PDF_FIRST_PAGE</x:v>
      </x:c>
      <x:c r="C15" s="124" t="str">
        <x:v>2024 Rundong Fang</x:v>
      </x:c>
      <x:c r="D15" s="124" t="str">
        <x:v>L113</x:v>
      </x:c>
      <x:c r="E15" s="134" t="n">
        <x:v>2024</x:v>
      </x:c>
      <x:c r="F15" s="124" t="str">
        <x:v>Testing the Fifth Force on Lepton Spins through Neutrino Oscillations</x:v>
      </x:c>
      <x:c r="G15" s="124" t="str">
        <x:v>Rundong Fang; Ji-Heng Guo; Jia Liu; Xiao-Ping Wang</x:v>
      </x:c>
      <x:c r="H15" s="124" t="str">
        <x:v>Phys.Rev.D 112 (2025) 5, L051701</x:v>
      </x:c>
      <x:c r="I15" s="124" t="str">
        <x:v>Astro, DM &amp; space</x:v>
      </x:c>
      <x:c r="J15" s="138" t="str">
        <x:v>C3</x:v>
      </x:c>
      <x:c r="K15" s="138" t="str">
        <x:v>green_check</x:v>
      </x:c>
      <x:c r="L15" s="124" t="e">
        <x:f>HYPERLINK("https://doi.org/10.1103/r9p5-fxzb","10.1103/r9p5-fxzb")</x:f>
        <x:v>HYPERLINK is not implemented. linkLocation=https://doi.org/10.1103/r9p5-fxzb, friendlyName=10.1103/r9p5-fxzb</x:v>
      </x:c>
      <x:c r="M15" s="124" t="e">
        <x:f>HYPERLINK("https://arxiv.org/abs/2412.10724","2412.10724")</x:f>
        <x:v>HYPERLINK is not implemented. linkLocation=https://arxiv.org/abs/2412.10724, friendlyName=2412.10724</x:v>
      </x:c>
      <x:c r="N15" s="124" t="e">
        <x:f>HYPERLINK("http://arxiv.org/abs/2412.10724v2","Open PDF / Source")</x:f>
        <x:v>HYPERLINK is not implemented. linkLocation=http://arxiv.org/abs/2412.10724v2, friendlyName=Open PDF / Source</x:v>
      </x:c>
      <x:c r="O15" s="124" t="str">
        <x:v>v2_high_recall/v2_high_recall/reading_records/R23_arxiv_2412_10724.md</x:v>
      </x:c>
    </x:row>
    <x:row r="16" ht="84" customHeight="1">
      <x:c r="A16" s="127" t="str"/>
      <x:c r="B16" s="127" t="str">
        <x:v>PDF_FIRST_PAGE</x:v>
      </x:c>
      <x:c r="C16" s="127" t="str">
        <x:v>2025 Rundong Fang</x:v>
      </x:c>
      <x:c r="D16" s="127" t="str">
        <x:v>L117</x:v>
      </x:c>
      <x:c r="E16" s="135" t="n">
        <x:v>2025</x:v>
      </x:c>
      <x:c r="F16" s="127" t="str">
        <x:v>An Axial-Vector Leptophilic Fifth Force Sourced by Solar Neutrinos</x:v>
      </x:c>
      <x:c r="G16" s="127" t="str">
        <x:v>Rundong Fang; Ji-Heng Guo; Jia Liu; Xiao-Ping Wang; YanLi Zhao</x:v>
      </x:c>
      <x:c r="H16" s="127" t="str"/>
      <x:c r="I16" s="127" t="str">
        <x:v>Torsion &amp; geophysical</x:v>
      </x:c>
      <x:c r="J16" s="139" t="str">
        <x:v>C3</x:v>
      </x:c>
      <x:c r="K16" s="139" t="str">
        <x:v>secondary</x:v>
      </x:c>
      <x:c r="L16" s="127" t="str"/>
      <x:c r="M16" s="127" t="e">
        <x:f>HYPERLINK("https://arxiv.org/abs/2510.20672","2510.20672")</x:f>
        <x:v>HYPERLINK is not implemented. linkLocation=https://arxiv.org/abs/2510.20672, friendlyName=2510.20672</x:v>
      </x:c>
      <x:c r="N16" s="127" t="e">
        <x:f>HYPERLINK("http://arxiv.org/abs/2510.20672v1","Open PDF / Source")</x:f>
        <x:v>HYPERLINK is not implemented. linkLocation=http://arxiv.org/abs/2510.20672v1, friendlyName=Open PDF / Source</x:v>
      </x:c>
      <x:c r="O16" s="127" t="str">
        <x:v>v2_high_recall/v2_high_recall/reading_records/R31_arxiv_2510_20672.md</x:v>
      </x:c>
    </x:row>
    <x:row r="17" ht="84" customHeight="1">
      <x:c r="A17" s="124" t="str"/>
      <x:c r="B17" s="124" t="str">
        <x:v>PDF_FIRST_PAGE</x:v>
      </x:c>
      <x:c r="C17" s="124" t="str">
        <x:v>2025 Yuval Grossman</x:v>
      </x:c>
      <x:c r="D17" s="124" t="str">
        <x:v>L118</x:v>
      </x:c>
      <x:c r="E17" s="134" t="n">
        <x:v>2025</x:v>
      </x:c>
      <x:c r="F17" s="124" t="str">
        <x:v>Axion forces in axion backgrounds</x:v>
      </x:c>
      <x:c r="G17" s="124" t="str">
        <x:v>Yuval Grossman; Bingrong Yu; Siyu Zhou</x:v>
      </x:c>
      <x:c r="H17" s="124" t="str"/>
      <x:c r="I17" s="124" t="str">
        <x:v>Atomic &amp; molecular</x:v>
      </x:c>
      <x:c r="J17" s="138" t="str">
        <x:v>C3</x:v>
      </x:c>
      <x:c r="K17" s="138" t="str">
        <x:v>green_check</x:v>
      </x:c>
      <x:c r="L17" s="124" t="str"/>
      <x:c r="M17" s="124" t="e">
        <x:f>HYPERLINK("https://arxiv.org/abs/2504.00104","2504.00104")</x:f>
        <x:v>HYPERLINK is not implemented. linkLocation=https://arxiv.org/abs/2504.00104, friendlyName=2504.00104</x:v>
      </x:c>
      <x:c r="N17" s="124" t="e">
        <x:f>HYPERLINK("http://arxiv.org/abs/2504.00104v2","Open PDF / Source")</x:f>
        <x:v>HYPERLINK is not implemented. linkLocation=http://arxiv.org/abs/2504.00104v2, friendlyName=Open PDF / Source</x:v>
      </x:c>
      <x:c r="O17" s="124" t="str">
        <x:v>v2_high_recall/v2_high_recall/reading_records/R27_arxiv_2504_00104.md</x:v>
      </x:c>
    </x:row>
    <x:row r="18" ht="84" customHeight="1">
      <x:c r="A18" s="127" t="str"/>
      <x:c r="B18" s="127" t="str">
        <x:v>PDF_FIRST_PAGE</x:v>
      </x:c>
      <x:c r="C18" s="127" t="str">
        <x:v>2025 Yu Cheng</x:v>
      </x:c>
      <x:c r="D18" s="127" t="str">
        <x:v>L119</x:v>
      </x:c>
      <x:c r="E18" s="135" t="n">
        <x:v>2025</x:v>
      </x:c>
      <x:c r="F18" s="127" t="str">
        <x:v>Background-Enhanced Axion Force by Axion Dark Matter</x:v>
      </x:c>
      <x:c r="G18" s="127" t="str">
        <x:v>Yu Cheng; Shuailiang Ge</x:v>
      </x:c>
      <x:c r="H18" s="127" t="str"/>
      <x:c r="I18" s="127" t="str">
        <x:v>Torsion &amp; geophysical</x:v>
      </x:c>
      <x:c r="J18" s="139" t="str">
        <x:v>C3</x:v>
      </x:c>
      <x:c r="K18" s="139" t="str">
        <x:v>green_check</x:v>
      </x:c>
      <x:c r="L18" s="127" t="str"/>
      <x:c r="M18" s="127" t="e">
        <x:f>HYPERLINK("https://arxiv.org/abs/2504.02702","2504.02702")</x:f>
        <x:v>HYPERLINK is not implemented. linkLocation=https://arxiv.org/abs/2504.02702, friendlyName=2504.02702</x:v>
      </x:c>
      <x:c r="N18" s="127" t="e">
        <x:f>HYPERLINK("http://arxiv.org/abs/2504.02702v2","Open PDF / Source")</x:f>
        <x:v>HYPERLINK is not implemented. linkLocation=http://arxiv.org/abs/2504.02702v2, friendlyName=Open PDF / Source</x:v>
      </x:c>
      <x:c r="O18" s="127" t="str">
        <x:v>v2_high_recall/v2_high_recall/reading_records/R28_arxiv_2504_02702.md</x:v>
      </x:c>
    </x:row>
    <x:row r="19" ht="84" customHeight="1">
      <x:c r="A19" s="124" t="str"/>
      <x:c r="B19" s="124" t="str">
        <x:v>PDF_FIRST_PAGE</x:v>
      </x:c>
      <x:c r="C19" s="124" t="str">
        <x:v>2025 Kenan Tian</x:v>
      </x:c>
      <x:c r="D19" s="124" t="str">
        <x:v>L121</x:v>
      </x:c>
      <x:c r="E19" s="134" t="n">
        <x:v>2025</x:v>
      </x:c>
      <x:c r="F19" s="124" t="str">
        <x:v>Constraints on Velocity and Spin Dependent Exotic Interaction at the Millimeter Scale with a Diamagnetic-levitated Force Sensor</x:v>
      </x:c>
      <x:c r="G19" s="124" t="str">
        <x:v>Kenan Tian; Yuanji Sheng; Rui Li; Lei Wang; Peiran Yin; Shaochun Lin; Dingjiang Long; Chang-Kui Duan; Xi Kong; Pu Huang; Jiangfeng Du</x:v>
      </x:c>
      <x:c r="H19" s="124" t="str">
        <x:v>Phys. Rev. Lett. 134, 111001 (2025)</x:v>
      </x:c>
      <x:c r="I19" s="124" t="str">
        <x:v>Torsion &amp; geophysical</x:v>
      </x:c>
      <x:c r="J19" s="138" t="str">
        <x:v>C3</x:v>
      </x:c>
      <x:c r="K19" s="138" t="str">
        <x:v>green_check</x:v>
      </x:c>
      <x:c r="L19" s="124" t="e">
        <x:f>HYPERLINK("https://doi.org/10.1103/physrevlett.134.111001","10.1103/physrevlett.134.111001")</x:f>
        <x:v>HYPERLINK is not implemented. linkLocation=https://doi.org/10.1103/physrevlett.134.111001, friendlyName=10.1103/physrevlett.134.111001</x:v>
      </x:c>
      <x:c r="M19" s="124" t="e">
        <x:f>HYPERLINK("https://arxiv.org/abs/2503.20270","2503.20270")</x:f>
        <x:v>HYPERLINK is not implemented. linkLocation=https://arxiv.org/abs/2503.20270, friendlyName=2503.2027</x:v>
      </x:c>
      <x:c r="N19" s="124" t="e">
        <x:f>HYPERLINK("http://arxiv.org/abs/2503.20270v2","Open PDF / Source")</x:f>
        <x:v>HYPERLINK is not implemented. linkLocation=http://arxiv.org/abs/2503.20270v2, friendlyName=Open PDF / Source</x:v>
      </x:c>
      <x:c r="O19" s="124" t="str">
        <x:v>v2_high_recall/v2_high_recall/reading_records/R26_arxiv_2503_20270.md</x:v>
      </x:c>
    </x:row>
    <x:row r="20" ht="84" customHeight="1">
      <x:c r="A20" s="127" t="str"/>
      <x:c r="B20" s="127" t="str">
        <x:v>PDF_FIRST_PAGE</x:v>
      </x:c>
      <x:c r="C20" s="127" t="str">
        <x:v>2025 Konstantin Gaul</x:v>
      </x:c>
      <x:c r="D20" s="127" t="str">
        <x:v>L123</x:v>
      </x:c>
      <x:c r="E20" s="135" t="n">
        <x:v>2025</x:v>
      </x:c>
      <x:c r="F20" s="127" t="str">
        <x:v>Constraints on new vector boson mediated electron-nucleus interactions from spectroscopy of polar diatomic molecules</x:v>
      </x:c>
      <x:c r="G20" s="127" t="str">
        <x:v>Konstantin Gaul; Lei Cong; Dmitry Budker</x:v>
      </x:c>
      <x:c r="H20" s="127" t="str"/>
      <x:c r="I20" s="127" t="str">
        <x:v>Atomic &amp; molecular</x:v>
      </x:c>
      <x:c r="J20" s="139" t="str">
        <x:v>C3</x:v>
      </x:c>
      <x:c r="K20" s="139" t="str">
        <x:v>green_check</x:v>
      </x:c>
      <x:c r="L20" s="127" t="str"/>
      <x:c r="M20" s="127" t="e">
        <x:f>HYPERLINK("https://arxiv.org/abs/2503.08210","2503.08210")</x:f>
        <x:v>HYPERLINK is not implemented. linkLocation=https://arxiv.org/abs/2503.08210, friendlyName=2503.0821</x:v>
      </x:c>
      <x:c r="N20" s="127" t="e">
        <x:f>HYPERLINK("http://arxiv.org/abs/2503.08210v2","Open PDF / Source")</x:f>
        <x:v>HYPERLINK is not implemented. linkLocation=http://arxiv.org/abs/2503.08210v2, friendlyName=Open PDF / Source</x:v>
      </x:c>
      <x:c r="O20" s="127" t="str">
        <x:v>v2_high_recall/v2_high_recall/reading_records/R25_arxiv_2503_08210.md</x:v>
      </x:c>
    </x:row>
    <x:row r="21" ht="84" customHeight="1">
      <x:c r="A21" s="124" t="str"/>
      <x:c r="B21" s="124" t="str">
        <x:v>PDF_FIRST_PAGE</x:v>
      </x:c>
      <x:c r="C21" s="124" t="str">
        <x:v>2025 Lei Cong</x:v>
      </x:c>
      <x:c r="D21" s="124" t="str">
        <x:v>L125</x:v>
      </x:c>
      <x:c r="E21" s="134" t="n">
        <x:v>2025</x:v>
      </x:c>
      <x:c r="F21" s="124" t="str">
        <x:v>Improved constraints on exotic interactions between electron and proton in hydrogen</x:v>
      </x:c>
      <x:c r="G21" s="124" t="str">
        <x:v>Lei Cong; Filip Ficek; Pavel Fadeev; Dmitry Budker</x:v>
      </x:c>
      <x:c r="H21" s="124" t="str"/>
      <x:c r="I21" s="124" t="str">
        <x:v>Other precision probes</x:v>
      </x:c>
      <x:c r="J21" s="138" t="str">
        <x:v>C3</x:v>
      </x:c>
      <x:c r="K21" s="138" t="str">
        <x:v>green_check</x:v>
      </x:c>
      <x:c r="L21" s="124" t="e">
        <x:f>HYPERLINK("https://doi.org/10.1103/8nyk-sysy","10.1103/8nyk-sysy")</x:f>
        <x:v>HYPERLINK is not implemented. linkLocation=https://doi.org/10.1103/8nyk-sysy, friendlyName=10.1103/8nyk-sysy</x:v>
      </x:c>
      <x:c r="M21" s="124" t="e">
        <x:f>HYPERLINK("https://arxiv.org/abs/2408.11009","2408.11009")</x:f>
        <x:v>HYPERLINK is not implemented. linkLocation=https://arxiv.org/abs/2408.11009, friendlyName=2408.11009</x:v>
      </x:c>
      <x:c r="N21" s="124" t="e">
        <x:f>HYPERLINK("https://arxiv.org/abs/2408.11009","Open PDF / Source")</x:f>
        <x:v>HYPERLINK is not implemented. linkLocation=https://arxiv.org/abs/2408.11009, friendlyName=Open PDF / Source</x:v>
      </x:c>
      <x:c r="O21" s="124" t="str">
        <x:v>v2_high_recall/reading_records/R05_cong_2025_hydrogen.md</x:v>
      </x:c>
    </x:row>
    <x:row r="22" ht="84" customHeight="1">
      <x:c r="A22" s="127" t="str"/>
      <x:c r="B22" s="127" t="str">
        <x:v>PDF_FIRST_PAGE</x:v>
      </x:c>
      <x:c r="C22" s="127" t="str">
        <x:v>2025 Zitong Xu</x:v>
      </x:c>
      <x:c r="D22" s="127" t="str">
        <x:v>L127</x:v>
      </x:c>
      <x:c r="E22" s="135" t="n">
        <x:v>2025</x:v>
      </x:c>
      <x:c r="F22" s="127" t="str">
        <x:v>New Constraints on Axion Mediated Dipole-Dipole Interactions</x:v>
      </x:c>
      <x:c r="G22" s="127" t="str">
        <x:v>Zitong Xu; Xing Heng; Guoqing Tian; Di Gong; Lei Cong; Wei Ji; Dmitry Budker; Kai Wei</x:v>
      </x:c>
      <x:c r="H22" s="127" t="str"/>
      <x:c r="I22" s="127" t="str">
        <x:v>Torsion &amp; geophysical</x:v>
      </x:c>
      <x:c r="J22" s="139" t="str">
        <x:v>C3</x:v>
      </x:c>
      <x:c r="K22" s="139" t="str">
        <x:v>green_check</x:v>
      </x:c>
      <x:c r="L22" s="127" t="str"/>
      <x:c r="M22" s="127" t="e">
        <x:f>HYPERLINK("https://arxiv.org/abs/2501.07865","2501.07865")</x:f>
        <x:v>HYPERLINK is not implemented. linkLocation=https://arxiv.org/abs/2501.07865, friendlyName=2501.07865</x:v>
      </x:c>
      <x:c r="N22" s="127" t="e">
        <x:f>HYPERLINK("http://arxiv.org/abs/2501.07865v1","Open PDF / Source")</x:f>
        <x:v>HYPERLINK is not implemented. linkLocation=http://arxiv.org/abs/2501.07865v1, friendlyName=Open PDF / Source</x:v>
      </x:c>
      <x:c r="O22" s="127" t="str">
        <x:v>v2_high_recall/v2_high_recall/reading_records/R24_arxiv_2501_07865.md</x:v>
      </x:c>
    </x:row>
    <x:row r="23" ht="84" customHeight="1">
      <x:c r="A23" s="124" t="str"/>
      <x:c r="B23" s="124" t="str">
        <x:v>PDF_FIRST_PAGE</x:v>
      </x:c>
      <x:c r="C23" s="124" t="str">
        <x:v>2025 T. Mulkey</x:v>
      </x:c>
      <x:c r="D23" s="124" t="str">
        <x:v>L128</x:v>
      </x:c>
      <x:c r="E23" s="134" t="n">
        <x:v>2025</x:v>
      </x:c>
      <x:c r="F23" s="124" t="str">
        <x:v>New Upper Bounds on Exotic Neutron Spin-Electron Spin Interactions via Neutron Spin Rotation Measurements in a Compensated Ferrimagnet</x:v>
      </x:c>
      <x:c r="G23" s="124" t="str">
        <x:v>T. Mulkey; K. N. Lopez; C. D. Hughes; B. Hill; M. Van Meter; H. Wijeratne; J. C. Long; M. Sarsour; W. M. Snow; K. Li; R. Parajuli; S. Samiei; D. V. Baxter; M. Luxnat; Y. Zhang; C. Jiang; E. Stringfellow; J. Torres; R. Hobbs</x:v>
      </x:c>
      <x:c r="H23" s="124" t="str"/>
      <x:c r="I23" s="124" t="str">
        <x:v>Neutron &amp; nucleon</x:v>
      </x:c>
      <x:c r="J23" s="138" t="str">
        <x:v>C3</x:v>
      </x:c>
      <x:c r="K23" s="138" t="str">
        <x:v>green_check</x:v>
      </x:c>
      <x:c r="L23" s="124" t="str"/>
      <x:c r="M23" s="124" t="e">
        <x:f>HYPERLINK("https://arxiv.org/abs/2508.14243","2508.14243")</x:f>
        <x:v>HYPERLINK is not implemented. linkLocation=https://arxiv.org/abs/2508.14243, friendlyName=2508.14243</x:v>
      </x:c>
      <x:c r="N23" s="124" t="e">
        <x:f>HYPERLINK("http://arxiv.org/abs/2508.14243v1","Open PDF / Source")</x:f>
        <x:v>HYPERLINK is not implemented. linkLocation=http://arxiv.org/abs/2508.14243v1, friendlyName=Open PDF / Source</x:v>
      </x:c>
      <x:c r="O23" s="124" t="str">
        <x:v>v2_high_recall/v2_high_recall/reading_records/R30_arxiv_2508_14243.md</x:v>
      </x:c>
    </x:row>
    <x:row r="24" ht="84" customHeight="1">
      <x:c r="A24" s="127" t="str"/>
      <x:c r="B24" s="127" t="str">
        <x:v>PDF_FIRST_PAGE</x:v>
      </x:c>
      <x:c r="C24" s="127" t="str">
        <x:v>2025 Yixin Zhao</x:v>
      </x:c>
      <x:c r="D24" s="127" t="str">
        <x:v>L129</x:v>
      </x:c>
      <x:c r="E24" s="135" t="n">
        <x:v>2025</x:v>
      </x:c>
      <x:c r="F24" s="127" t="str">
        <x:v>Response of Comagnetometer to Exotic Spin-Dependent Couplings</x:v>
      </x:c>
      <x:c r="G24" s="127" t="str">
        <x:v>Yixin Zhao; Xiang Peng; Teng Wu; Hong Guo</x:v>
      </x:c>
      <x:c r="H24" s="127" t="str"/>
      <x:c r="I24" s="127" t="str">
        <x:v>Atomic &amp; molecular</x:v>
      </x:c>
      <x:c r="J24" s="139" t="str">
        <x:v>C3</x:v>
      </x:c>
      <x:c r="K24" s="139" t="str">
        <x:v>secondary</x:v>
      </x:c>
      <x:c r="L24" s="127" t="str"/>
      <x:c r="M24" s="127" t="e">
        <x:f>HYPERLINK("https://arxiv.org/abs/2506.15046","2506.15046")</x:f>
        <x:v>HYPERLINK is not implemented. linkLocation=https://arxiv.org/abs/2506.15046, friendlyName=2506.15046</x:v>
      </x:c>
      <x:c r="N24" s="127" t="e">
        <x:f>HYPERLINK("http://arxiv.org/abs/2506.15046v1","Open PDF / Source")</x:f>
        <x:v>HYPERLINK is not implemented. linkLocation=http://arxiv.org/abs/2506.15046v1, friendlyName=Open PDF / Source</x:v>
      </x:c>
      <x:c r="O24" s="127" t="str">
        <x:v>v2_high_recall/v2_high_recall/reading_records/R29_arxiv_2506_15046.md</x:v>
      </x:c>
    </x:row>
    <x:row r="25" ht="84" customHeight="1">
      <x:c r="A25" s="124" t="str"/>
      <x:c r="B25" s="124" t="str">
        <x:v>PDF_FIRST_PAGE</x:v>
      </x:c>
      <x:c r="C25" s="124" t="str">
        <x:v>2025 Lei Cong</x:v>
      </x:c>
      <x:c r="D25" s="124" t="str">
        <x:v>L133</x:v>
      </x:c>
      <x:c r="E25" s="134" t="n">
        <x:v>2025</x:v>
      </x:c>
      <x:c r="F25" s="124" t="str">
        <x:v>Spin-dependent exotic interactions</x:v>
      </x:c>
      <x:c r="G25" s="124" t="str">
        <x:v>Lei Cong; Wei Ji; Pavel Fadeev; Filip Ficek; Min Jiang; Victor V. Flambaum; Haosen Guan; Derek F. Jackson Kimball; Mikhail G. Kozlov; Yevgeny V. Stadnik; Dmitry Budker</x:v>
      </x:c>
      <x:c r="H25" s="124" t="str">
        <x:v>Reviews of Modern Physics</x:v>
      </x:c>
      <x:c r="I25" s="124" t="str">
        <x:v>Reviews &amp; taxonomy</x:v>
      </x:c>
      <x:c r="J25" s="138" t="str">
        <x:v>C3</x:v>
      </x:c>
      <x:c r="K25" s="138" t="str">
        <x:v>green_check</x:v>
      </x:c>
      <x:c r="L25" s="124" t="e">
        <x:f>HYPERLINK("https://doi.org/10.1103/revmodphys.97.025005","10.1103/revmodphys.97.025005")</x:f>
        <x:v>HYPERLINK is not implemented. linkLocation=https://doi.org/10.1103/revmodphys.97.025005, friendlyName=10.1103/revmodphys.97.025005</x:v>
      </x:c>
      <x:c r="M25" s="124" t="e">
        <x:f>HYPERLINK("https://arxiv.org/abs/2408.15691","2408.15691")</x:f>
        <x:v>HYPERLINK is not implemented. linkLocation=https://arxiv.org/abs/2408.15691, friendlyName=2408.15691</x:v>
      </x:c>
      <x:c r="N25" s="124" t="e">
        <x:f>HYPERLINK("https://doi.org/10.1103/revmodphys.97.025005","Open PDF / Source")</x:f>
        <x:v>HYPERLINK is not implemented. linkLocation=https://doi.org/10.1103/revmodphys.97.025005, friendlyName=Open PDF / Source</x:v>
      </x:c>
      <x:c r="O25" s="124" t="str">
        <x:v>v2_high_recall/reading_records/R04_spin_dependent_review_2025.md</x:v>
      </x:c>
    </x:row>
    <x:row r="26" ht="84" customHeight="1">
      <x:c r="A26" s="127" t="str"/>
      <x:c r="B26" s="127" t="str">
        <x:v>PDF_FIRST_PAGE</x:v>
      </x:c>
      <x:c r="C26" s="127" t="str">
        <x:v>2026 Dorian W. P. Amaral</x:v>
      </x:c>
      <x:c r="D26" s="127" t="str">
        <x:v>L135</x:v>
      </x:c>
      <x:c r="E26" s="135" t="n">
        <x:v>2026</x:v>
      </x:c>
      <x:c r="F26" s="127" t="str">
        <x:v>A Levitated-Magnet Vector Force Sensor for Spin-Dependent Exotic Interactions</x:v>
      </x:c>
      <x:c r="G26" s="127" t="str">
        <x:v>Dorian W. P. Amaral; Lei Cong; Tim M. Fuchs; Hendrik Ulbricht; Dmitry Budker</x:v>
      </x:c>
      <x:c r="H26" s="127" t="str"/>
      <x:c r="I26" s="127" t="str">
        <x:v>Reviews &amp; taxonomy</x:v>
      </x:c>
      <x:c r="J26" s="139" t="str">
        <x:v>C3</x:v>
      </x:c>
      <x:c r="K26" s="139" t="str">
        <x:v>secondary</x:v>
      </x:c>
      <x:c r="L26" s="127" t="str"/>
      <x:c r="M26" s="127" t="e">
        <x:f>HYPERLINK("https://arxiv.org/abs/2606.30781","2606.30781")</x:f>
        <x:v>HYPERLINK is not implemented. linkLocation=https://arxiv.org/abs/2606.30781, friendlyName=2606.30781</x:v>
      </x:c>
      <x:c r="N26" s="127" t="e">
        <x:f>HYPERLINK("http://arxiv.org/abs/2606.30781v1","Open PDF / Source")</x:f>
        <x:v>HYPERLINK is not implemented. linkLocation=http://arxiv.org/abs/2606.30781v1, friendlyName=Open PDF / Source</x:v>
      </x:c>
      <x:c r="O26" s="127" t="str">
        <x:v>v2_high_recall/v2_high_recall/reading_records/R34_arxiv_2606_30781.md</x:v>
      </x:c>
    </x:row>
    <x:row r="27" ht="84" customHeight="1">
      <x:c r="A27" s="124" t="str"/>
      <x:c r="B27" s="124" t="str">
        <x:v>PDF_FIRST_PAGE</x:v>
      </x:c>
      <x:c r="C27" s="124" t="str">
        <x:v>2026 L. Y. Wu</x:v>
      </x:c>
      <x:c r="D27" s="124" t="str">
        <x:v>L136</x:v>
      </x:c>
      <x:c r="E27" s="134" t="n">
        <x:v>2026</x:v>
      </x:c>
      <x:c r="F27" s="124" t="str">
        <x:v>Exploring Exotic Spin-Dependent Interactions Beyond the Standard Model: Theoretical Foundations and Experimental Investigations</x:v>
      </x:c>
      <x:c r="G27" s="124" t="str">
        <x:v>L. Y. Wu; H. Yan</x:v>
      </x:c>
      <x:c r="H27" s="124" t="str"/>
      <x:c r="I27" s="124" t="str">
        <x:v>Torsion &amp; geophysical</x:v>
      </x:c>
      <x:c r="J27" s="138" t="str">
        <x:v>C3</x:v>
      </x:c>
      <x:c r="K27" s="138" t="str">
        <x:v>green_check</x:v>
      </x:c>
      <x:c r="L27" s="124" t="str"/>
      <x:c r="M27" s="124" t="e">
        <x:f>HYPERLINK("https://arxiv.org/abs/2606.13318","2606.13318")</x:f>
        <x:v>HYPERLINK is not implemented. linkLocation=https://arxiv.org/abs/2606.13318, friendlyName=2606.13318</x:v>
      </x:c>
      <x:c r="N27" s="124" t="e">
        <x:f>HYPERLINK("http://arxiv.org/abs/2606.13318v1","Open PDF / Source")</x:f>
        <x:v>HYPERLINK is not implemented. linkLocation=http://arxiv.org/abs/2606.13318v1, friendlyName=Open PDF / Source</x:v>
      </x:c>
      <x:c r="O27" s="124" t="str">
        <x:v>v2_high_recall/v2_high_recall/reading_records/R33_arxiv_2606_13318.md</x:v>
      </x:c>
    </x:row>
    <x:row r="28" ht="84" customHeight="1">
      <x:c r="A28" s="127" t="str"/>
      <x:c r="B28" s="127" t="str">
        <x:v>PDF_FIRST_PAGE</x:v>
      </x:c>
      <x:c r="C28" s="127" t="str">
        <x:v>2026 Charlotte M. König</x:v>
      </x:c>
      <x:c r="D28" s="127" t="str">
        <x:v>L138</x:v>
      </x:c>
      <x:c r="E28" s="135" t="n">
        <x:v>2026</x:v>
      </x:c>
      <x:c r="F28" s="127" t="str">
        <x:v>High-precision Penning-trap spectroscopy of the ground-state spin structure of HD+</x:v>
      </x:c>
      <x:c r="G28" s="127" t="str">
        <x:v>Charlotte M. König; Matthew Bohman; Fabian Heiße; Jonathan Morgner; Tim Sailer; Bingsheng Tu; Klaus Blaum; Sven Sturm; Dimitar Bakalov; Hugo D. Nogueira; Jean-Philippe Karr; Ossama Kullie; Stephan Schiller</x:v>
      </x:c>
      <x:c r="H28" s="127" t="str"/>
      <x:c r="I28" s="127" t="str">
        <x:v>HD+ molecular</x:v>
      </x:c>
      <x:c r="J28" s="139" t="str">
        <x:v>C3</x:v>
      </x:c>
      <x:c r="K28" s="139" t="str">
        <x:v>green_check</x:v>
      </x:c>
      <x:c r="L28" s="127" t="e">
        <x:f>HYPERLINK("https://doi.org/10.1103/vrl8-bpmz","10.1103/vrl8-bpmz")</x:f>
        <x:v>HYPERLINK is not implemented. linkLocation=https://doi.org/10.1103/vrl8-bpmz, friendlyName=10.1103/vrl8-bpmz</x:v>
      </x:c>
      <x:c r="M28" s="127" t="e">
        <x:f>HYPERLINK("https://arxiv.org/abs/2602.17522","2602.17522")</x:f>
        <x:v>HYPERLINK is not implemented. linkLocation=https://arxiv.org/abs/2602.17522, friendlyName=2602.17522</x:v>
      </x:c>
      <x:c r="N28" s="127" t="e">
        <x:f>HYPERLINK("https://arxiv.org/abs/2602.17522","Open PDF / Source")</x:f>
        <x:v>HYPERLINK is not implemented. linkLocation=https://arxiv.org/abs/2602.17522, friendlyName=Open PDF / Source</x:v>
      </x:c>
      <x:c r="O28" s="127" t="str">
        <x:v>v2_high_recall/reading_records/R11_koenig_2026.md</x:v>
      </x:c>
    </x:row>
    <x:row r="29" ht="84" customHeight="1">
      <x:c r="A29" s="124" t="str"/>
      <x:c r="B29" s="124" t="str">
        <x:v>PDF_FIRST_PAGE</x:v>
      </x:c>
      <x:c r="C29" s="124" t="str">
        <x:v>2026 Xiaoxuan Lin</x:v>
      </x:c>
      <x:c r="D29" s="124" t="str">
        <x:v>L141</x:v>
      </x:c>
      <x:c r="E29" s="134" t="n">
        <x:v>2026</x:v>
      </x:c>
      <x:c r="F29" s="124" t="str">
        <x:v>Probing a Fifth Force in Muonic Atoms through Lamb Shifts and Hyperfine Structure</x:v>
      </x:c>
      <x:c r="G29" s="124" t="str">
        <x:v>Xiaoxuan Lin; Qian Wu; Wei Kou; Xurong Chen</x:v>
      </x:c>
      <x:c r="H29" s="124" t="str"/>
      <x:c r="I29" s="124" t="str">
        <x:v>Atomic &amp; molecular</x:v>
      </x:c>
      <x:c r="J29" s="138" t="str">
        <x:v>C3</x:v>
      </x:c>
      <x:c r="K29" s="138" t="str">
        <x:v>green_check</x:v>
      </x:c>
      <x:c r="L29" s="124" t="str"/>
      <x:c r="M29" s="124" t="e">
        <x:f>HYPERLINK("https://arxiv.org/abs/2603.01429","2603.01429")</x:f>
        <x:v>HYPERLINK is not implemented. linkLocation=https://arxiv.org/abs/2603.01429, friendlyName=2603.01429</x:v>
      </x:c>
      <x:c r="N29" s="124" t="e">
        <x:f>HYPERLINK("https://arxiv.org/abs/2603.01429","Open PDF / Source")</x:f>
        <x:v>HYPERLINK is not implemented. linkLocation=https://arxiv.org/abs/2603.01429, friendlyName=Open PDF / Source</x:v>
      </x:c>
      <x:c r="O29" s="124" t="str">
        <x:v>v2_high_recall/reading_records/R15_muonic_atoms_2026.md</x:v>
      </x:c>
    </x:row>
    <x:row r="30" ht="84" customHeight="1">
      <x:c r="A30" s="127" t="str"/>
      <x:c r="B30" s="127" t="str">
        <x:v>PDF_FIRST_PAGE</x:v>
      </x:c>
      <x:c r="C30" s="127" t="str">
        <x:v>2026 D. Kliukin</x:v>
      </x:c>
      <x:c r="D30" s="127" t="str">
        <x:v>L143</x:v>
      </x:c>
      <x:c r="E30" s="135" t="n">
        <x:v>2026</x:v>
      </x:c>
      <x:c r="F30" s="127" t="str">
        <x:v>Spectroscopy of the Hyperfine Structure of HD+ in Rotationally Excited States with 10-ppb Uncertainty</x:v>
      </x:c>
      <x:c r="G30" s="127" t="str">
        <x:v>D. Kliukin; V. Barbe; T. Klijn Velderman; J. B. E. Schokking; J. John; K. S. E. Eikema; J. C. J. Koelemeij; Jean-Philippe Karr</x:v>
      </x:c>
      <x:c r="H30" s="127" t="str"/>
      <x:c r="I30" s="127" t="str">
        <x:v>HD+ molecular</x:v>
      </x:c>
      <x:c r="J30" s="139" t="str">
        <x:v>C3</x:v>
      </x:c>
      <x:c r="K30" s="139" t="str">
        <x:v>green_check</x:v>
      </x:c>
      <x:c r="L30" s="127" t="str"/>
      <x:c r="M30" s="127" t="e">
        <x:f>HYPERLINK("https://arxiv.org/abs/2608.00607","2608.00607")</x:f>
        <x:v>HYPERLINK is not implemented. linkLocation=https://arxiv.org/abs/2608.00607, friendlyName=2608.00607</x:v>
      </x:c>
      <x:c r="N30" s="127" t="e">
        <x:f>HYPERLINK("https://arxiv.org/abs/2608.00607","Open PDF / Source")</x:f>
        <x:v>HYPERLINK is not implemented. linkLocation=https://arxiv.org/abs/2608.00607, friendlyName=Open PDF / Source</x:v>
      </x:c>
      <x:c r="O30" s="127" t="str">
        <x:v>v2_high_recall/reading_records/R12_kliukin_2026.md</x:v>
      </x:c>
    </x:row>
    <x:row r="31" ht="84" customHeight="1">
      <x:c r="A31" s="124" t="str"/>
      <x:c r="B31" s="124" t="str">
        <x:v>PDF_FIRST_PAGE</x:v>
      </x:c>
      <x:c r="C31" s="124" t="str">
        <x:v>2026 Cedric Quint</x:v>
      </x:c>
      <x:c r="D31" s="124" t="str">
        <x:v>L144</x:v>
      </x:c>
      <x:c r="E31" s="134" t="n">
        <x:v>2026</x:v>
      </x:c>
      <x:c r="F31" s="124" t="str">
        <x:v>Stringent Constraints on New Pseudoscalar and Vector Bosons from Precision Hyperfine Splitting Measurements</x:v>
      </x:c>
      <x:c r="G31" s="124" t="str">
        <x:v>Cedric Quint; Fabian Heiße; Joerg Jaeckel; Lutz Leimenstoll; Christoph H. Keitel; Zoltan Harman</x:v>
      </x:c>
      <x:c r="H31" s="124" t="str"/>
      <x:c r="I31" s="124" t="str">
        <x:v>Atomic &amp; molecular</x:v>
      </x:c>
      <x:c r="J31" s="138" t="str">
        <x:v>C3</x:v>
      </x:c>
      <x:c r="K31" s="138" t="str">
        <x:v>green_check</x:v>
      </x:c>
      <x:c r="L31" s="124" t="e">
        <x:f>HYPERLINK("https://doi.org/10.1103/rvt1-93v2","10.1103/rvt1-93v2")</x:f>
        <x:v>HYPERLINK is not implemented. linkLocation=https://doi.org/10.1103/rvt1-93v2, friendlyName=10.1103/rvt1-93v2</x:v>
      </x:c>
      <x:c r="M31" s="124" t="str"/>
      <x:c r="N31" s="124" t="e">
        <x:f>HYPERLINK("https://doi.org/10.1103/rvt1-93v2","Open PDF / Source")</x:f>
        <x:v>HYPERLINK is not implemented. linkLocation=https://doi.org/10.1103/rvt1-93v2, friendlyName=Open PDF / Source</x:v>
      </x:c>
      <x:c r="O31" s="124" t="str">
        <x:v>v2_high_recall/reading_records/R14_quint_2026.md</x:v>
      </x:c>
    </x:row>
    <x:row r="32" ht="84" customHeight="1">
      <x:c r="A32" s="128" t="str"/>
      <x:c r="B32" s="128" t="str">
        <x:v>PDF_FIRST_PAGE</x:v>
      </x:c>
      <x:c r="C32" s="128" t="str">
        <x:v>2026 Lei Cong</x:v>
      </x:c>
      <x:c r="D32" s="128" t="str">
        <x:v>L146</x:v>
      </x:c>
      <x:c r="E32" s="136" t="n">
        <x:v>2026</x:v>
      </x:c>
      <x:c r="F32" s="128" t="str">
        <x:v>Testing Exotic Electron-Electron Interactions with the Helium Ionization-Energy Anomaly</x:v>
      </x:c>
      <x:c r="G32" s="128" t="str">
        <x:v>Lei Cong; Filip Ficek; Rinat Abdullin; Mikhail G. Kozlov; Dmitry Budker</x:v>
      </x:c>
      <x:c r="H32" s="128" t="str"/>
      <x:c r="I32" s="128" t="str">
        <x:v>Atomic &amp; molecular</x:v>
      </x:c>
      <x:c r="J32" s="140" t="str">
        <x:v>C3</x:v>
      </x:c>
      <x:c r="K32" s="140" t="str">
        <x:v>green_check</x:v>
      </x:c>
      <x:c r="L32" s="128" t="str"/>
      <x:c r="M32" s="128" t="e">
        <x:f>HYPERLINK("https://arxiv.org/abs/2602.09743","2602.09743")</x:f>
        <x:v>HYPERLINK is not implemented. linkLocation=https://arxiv.org/abs/2602.09743, friendlyName=2602.09743</x:v>
      </x:c>
      <x:c r="N32" s="128" t="e">
        <x:f>HYPERLINK("http://arxiv.org/abs/2602.09743v1","Open PDF / Source")</x:f>
        <x:v>HYPERLINK is not implemented. linkLocation=http://arxiv.org/abs/2602.09743v1, friendlyName=Open PDF / Source</x:v>
      </x:c>
      <x:c r="O32" s="128" t="str">
        <x:v>v2_high_recall/v2_high_recall/reading_records/R32_arxiv_2602_09743.md</x:v>
      </x:c>
    </x:row>
  </x:sheetData>
  <x:mergeCells>
    <x:mergeCell ref="A1:O1"/>
    <x:mergeCell ref="A2:O2"/>
  </x:mergeCells>
  <x:conditionalFormatting sqref="J4:J32">
    <x:cfRule type="containsText" dxfId="4" priority="1" operator="containsText" text="C3"/>
  </x:conditionalFormatting>
  <x:conditionalFormatting sqref="K4:K32">
    <x:cfRule type="containsText" dxfId="5" priority="2" operator="containsText" text="green_check"/>
  </x:conditionalFormatting>
  <x:pageMargins left="0.7" right="0.7" top="0.75" bottom="0.75" header="0.3" footer="0.3"/>
  <x:drawing xmlns:r="http://schemas.openxmlformats.org/officeDocument/2006/relationships" r:id="R392d246fda614d76"/>
  <x:tableParts count="1">
    <x:tablePart xmlns:r="http://schemas.openxmlformats.org/officeDocument/2006/relationships" r:id="R5c5e47d329e74c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2" hidden="0" customWidth="1"/>
    <x:col min="3" max="3" width="25" hidden="0" customWidth="1"/>
    <x:col min="4" max="4" width="11" hidden="0" customWidth="1"/>
    <x:col min="5" max="5" width="9" hidden="0" customWidth="1"/>
    <x:col min="6" max="6" width="54" hidden="0" customWidth="1"/>
    <x:col min="7" max="7" width="43" hidden="0" customWidth="1"/>
    <x:col min="8" max="8" width="25" hidden="0" customWidth="1"/>
    <x:col min="9" max="9" width="25" hidden="0" customWidth="1"/>
    <x:col min="10" max="10" width="12" hidden="0" customWidth="1"/>
    <x:col min="11" max="11" width="15" hidden="0" customWidth="1"/>
    <x:col min="12" max="12" width="27" hidden="0" customWidth="1"/>
    <x:col min="13" max="13" width="17" hidden="0" customWidth="1"/>
    <x:col min="14" max="14" width="42" hidden="0" customWidth="1"/>
    <x:col min="15" max="15" width="33" hidden="0" customWidth="1"/>
  </x:cols>
  <x:sheetData>
    <x:row r="1" ht="34" customHeight="1">
      <x:c r="A1" s="103" t="str">
        <x:v>04 HD+ Lineage Map | Complete Literature Title Index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O1" s="103"/>
    </x:row>
    <x:row r="2" ht="26" customHeight="1">
      <x:c r="A2" s="106" t="str">
        <x:v>Covers project-native deep-reading inputs, theoretical roots of HD+ hyperfine structure, and direct comparison papers; every row includes an image.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</x:row>
    <x:row r="3" ht="32" customHeight="1">
      <x:c r="A3" s="113" t="str">
        <x:v>Literature Image</x:v>
      </x:c>
      <x:c r="B3" s="114" t="str">
        <x:v>Image Type</x:v>
      </x:c>
      <x:c r="C3" s="114" t="str">
        <x:v>Map Label</x:v>
      </x:c>
      <x:c r="D3" s="114" t="str">
        <x:v>Node ID</x:v>
      </x:c>
      <x:c r="E3" s="114" t="str">
        <x:v>Year</x:v>
      </x:c>
      <x:c r="F3" s="114" t="str">
        <x:v>Full Literature Title</x:v>
      </x:c>
      <x:c r="G3" s="114" t="str">
        <x:v>Authors</x:v>
      </x:c>
      <x:c r="H3" s="114" t="str">
        <x:v>Journal / Source</x:v>
      </x:c>
      <x:c r="I3" s="114" t="str">
        <x:v>Research Branch</x:v>
      </x:c>
      <x:c r="J3" s="114" t="str">
        <x:v>Evidence Level</x:v>
      </x:c>
      <x:c r="K3" s="114" t="str">
        <x:v>Verification Status</x:v>
      </x:c>
      <x:c r="L3" s="114" t="str">
        <x:v>DOI</x:v>
      </x:c>
      <x:c r="M3" s="114" t="str">
        <x:v>arXiv</x:v>
      </x:c>
      <x:c r="N3" s="114" t="str">
        <x:v>Source Link</x:v>
      </x:c>
      <x:c r="O3" s="115" t="str">
        <x:v>Deep-Reading Record</x:v>
      </x:c>
    </x:row>
    <x:row r="4" ht="84" customHeight="1">
      <x:c r="A4" s="126" t="str"/>
      <x:c r="B4" s="126" t="str">
        <x:v>PDF_FIRST_PAGE</x:v>
      </x:c>
      <x:c r="C4" s="126" t="str">
        <x:v>2006 Dimitar Bakalov</x:v>
      </x:c>
      <x:c r="D4" s="126" t="str">
        <x:v>L011</x:v>
      </x:c>
      <x:c r="E4" s="133" t="n">
        <x:v>2006</x:v>
      </x:c>
      <x:c r="F4" s="126" t="str">
        <x:v>High-Precision Calculation of the Hyperfine Structure of the HD+ Ion</x:v>
      </x:c>
      <x:c r="G4" s="126" t="str">
        <x:v>Dimitar Bakalov; Vladimir I. Korobov; Stephan Schiller</x:v>
      </x:c>
      <x:c r="H4" s="126" t="str">
        <x:v>Physical Review Letters</x:v>
      </x:c>
      <x:c r="I4" s="126" t="str">
        <x:v>HD+ molecular</x:v>
      </x:c>
      <x:c r="J4" s="137" t="str">
        <x:v>C1_identifier</x:v>
      </x:c>
      <x:c r="K4" s="137" t="str">
        <x:v>secondary</x:v>
      </x:c>
      <x:c r="L4" s="126" t="e">
        <x:f>HYPERLINK("https://doi.org/10.1103/physrevlett.97.243001","10.1103/physrevlett.97.243001")</x:f>
        <x:v>HYPERLINK is not implemented. linkLocation=https://doi.org/10.1103/physrevlett.97.243001, friendlyName=10.1103/physrevlett.97.243001</x:v>
      </x:c>
      <x:c r="M4" s="126" t="str"/>
      <x:c r="N4" s="126" t="e">
        <x:f>HYPERLINK("https://www.exphy.hhu.de/fileadmin/redaktion/Fakultaeten/Mathematisch-Naturwissenschaftliche_Fakultaet/Physik/AG_Schiller/older_publications/Bakalov_et_al_High-Precision_Calculation_of_the_Hyperfine_Structure_of_the_HD_Ion_PhysRevLett_97_243001_20063.pdf","Open PDF / Source")</x:f>
        <x:v>HYPERLINK is not implemented. linkLocation=https://www.exphy.hhu.de/fileadmin/redaktion/Fakultaeten/Mathematisch-Naturwissenschaftliche_Fakultaet/Physik/AG_Schiller/older_publications/Bakalov_et_al_High-Precision_Calculation_of_the_Hyperfine_Structure_of_the_HD_Ion_PhysRevLett_97_243001_20063.pdf, friendlyName=Open PDF / Source</x:v>
      </x:c>
      <x:c r="O4" s="126" t="str"/>
    </x:row>
    <x:row r="5" ht="84" customHeight="1">
      <x:c r="A5" s="124" t="str"/>
      <x:c r="B5" s="124" t="str">
        <x:v>PDF_FIRST_PAGE</x:v>
      </x:c>
      <x:c r="C5" s="124" t="str">
        <x:v>2006 Bogdan A. Dobrescu</x:v>
      </x:c>
      <x:c r="D5" s="124" t="str">
        <x:v>L013</x:v>
      </x:c>
      <x:c r="E5" s="134" t="n">
        <x:v>2006</x:v>
      </x:c>
      <x:c r="F5" s="124" t="str">
        <x:v>Spin-Dependent Macroscopic Forces from New Particle Exchange</x:v>
      </x:c>
      <x:c r="G5" s="124" t="str">
        <x:v>Bogdan A. Dobrescu; Irina Mocioiu</x:v>
      </x:c>
      <x:c r="H5" s="124" t="str"/>
      <x:c r="I5" s="124" t="str">
        <x:v>Theory &amp; operators</x:v>
      </x:c>
      <x:c r="J5" s="138" t="str">
        <x:v>C3</x:v>
      </x:c>
      <x:c r="K5" s="138" t="str">
        <x:v>green_check</x:v>
      </x:c>
      <x:c r="L5" s="124" t="e">
        <x:f>HYPERLINK("https://doi.org/10.1088/1126-6708/2006/11/005","10.1088/1126-6708/2006/11/005")</x:f>
        <x:v>HYPERLINK is not implemented. linkLocation=https://doi.org/10.1088/1126-6708/2006/11/005, friendlyName=10.1088/1126-6708/2006/11/005</x:v>
      </x:c>
      <x:c r="M5" s="124" t="e">
        <x:f>HYPERLINK("https://arxiv.org/abs/hep-ph/0605342","hep-ph/0605342")</x:f>
        <x:v>HYPERLINK is not implemented. linkLocation=https://arxiv.org/abs/hep-ph/0605342, friendlyName=hep-ph/0605342</x:v>
      </x:c>
      <x:c r="N5" s="124" t="e">
        <x:f>HYPERLINK("https://arxiv.org/abs/hep-ph/0605342","Open PDF / Source")</x:f>
        <x:v>HYPERLINK is not implemented. linkLocation=https://arxiv.org/abs/hep-ph/0605342, friendlyName=Open PDF / Source</x:v>
      </x:c>
      <x:c r="O5" s="124" t="str">
        <x:v>v2_high_recall/reading_records/R01_dobrescu_mocioiu_2006.md</x:v>
      </x:c>
    </x:row>
    <x:row r="6" ht="84" customHeight="1">
      <x:c r="A6" s="127" t="str"/>
      <x:c r="B6" s="127" t="str">
        <x:v>PDF_FIRST_PAGE</x:v>
      </x:c>
      <x:c r="C6" s="127" t="str">
        <x:v>2011 Savely G. Karshenboim</x:v>
      </x:c>
      <x:c r="D6" s="127" t="str">
        <x:v>L022</x:v>
      </x:c>
      <x:c r="E6" s="135" t="n">
        <x:v>2011</x:v>
      </x:c>
      <x:c r="F6" s="127" t="str">
        <x:v>HFS interval of the 2s state of hydrogen-like atoms and a constraint on a pseudovector boson with mass below 1 keV/c^2</x:v>
      </x:c>
      <x:c r="G6" s="127" t="str">
        <x:v>Savely G. Karshenboim</x:v>
      </x:c>
      <x:c r="H6" s="127" t="str"/>
      <x:c r="I6" s="127" t="str">
        <x:v>Other precision probes</x:v>
      </x:c>
      <x:c r="J6" s="139" t="str">
        <x:v>C3</x:v>
      </x:c>
      <x:c r="K6" s="139" t="str">
        <x:v>green_check</x:v>
      </x:c>
      <x:c r="L6" s="127" t="e">
        <x:f>HYPERLINK("https://doi.org/10.1103/physreva.83.062119","10.1103/physreva.83.062119")</x:f>
        <x:v>HYPERLINK is not implemented. linkLocation=https://doi.org/10.1103/physreva.83.062119, friendlyName=10.1103/physreva.83.062119</x:v>
      </x:c>
      <x:c r="M6" s="127" t="e">
        <x:f>HYPERLINK("https://arxiv.org/abs/1005.4875","1005.4875")</x:f>
        <x:v>HYPERLINK is not implemented. linkLocation=https://arxiv.org/abs/1005.4875, friendlyName=1005.4875</x:v>
      </x:c>
      <x:c r="N6" s="127" t="e">
        <x:f>HYPERLINK("https://arxiv.org/abs/1005.4875","Open PDF / Source")</x:f>
        <x:v>HYPERLINK is not implemented. linkLocation=https://arxiv.org/abs/1005.4875, friendlyName=Open PDF / Source</x:v>
      </x:c>
      <x:c r="O6" s="127" t="str">
        <x:v>v2_high_recall/reading_records/R06_karshenboim_2011.md</x:v>
      </x:c>
    </x:row>
    <x:row r="7" ht="84" customHeight="1">
      <x:c r="A7" s="124" t="str"/>
      <x:c r="B7" s="124" t="str">
        <x:v>PDF_FIRST_PAGE</x:v>
      </x:c>
      <x:c r="C7" s="124" t="str">
        <x:v>2013 M. P. Ledbetter</x:v>
      </x:c>
      <x:c r="D7" s="124" t="str">
        <x:v>L028</x:v>
      </x:c>
      <x:c r="E7" s="134" t="n">
        <x:v>2013</x:v>
      </x:c>
      <x:c r="F7" s="124" t="str">
        <x:v>Constraints on short-range spin-dependent interactions from scalar spin-spin coupling in deuterated molecular hydrogen</x:v>
      </x:c>
      <x:c r="G7" s="124" t="str">
        <x:v>M. P. Ledbetter; M. V. Romalis; D. F. Jackson Kimball</x:v>
      </x:c>
      <x:c r="H7" s="124" t="str"/>
      <x:c r="I7" s="124" t="str">
        <x:v>Neutron &amp; nucleon</x:v>
      </x:c>
      <x:c r="J7" s="138" t="str">
        <x:v>C3</x:v>
      </x:c>
      <x:c r="K7" s="138" t="str">
        <x:v>green_check</x:v>
      </x:c>
      <x:c r="L7" s="124" t="e">
        <x:f>HYPERLINK("https://doi.org/10.1103/physrevlett.110.040402","10.1103/physrevlett.110.040402")</x:f>
        <x:v>HYPERLINK is not implemented. linkLocation=https://doi.org/10.1103/physrevlett.110.040402, friendlyName=10.1103/physrevlett.110.040402</x:v>
      </x:c>
      <x:c r="M7" s="124" t="e">
        <x:f>HYPERLINK("https://arxiv.org/abs/1203.6894","1203.6894")</x:f>
        <x:v>HYPERLINK is not implemented. linkLocation=https://arxiv.org/abs/1203.6894, friendlyName=1203.6894</x:v>
      </x:c>
      <x:c r="N7" s="124" t="e">
        <x:f>HYPERLINK("https://arxiv.org/abs/1203.6894","Open PDF / Source")</x:f>
        <x:v>HYPERLINK is not implemented. linkLocation=https://arxiv.org/abs/1203.6894, friendlyName=Open PDF / Source</x:v>
      </x:c>
      <x:c r="O7" s="124" t="str">
        <x:v>v2_high_recall/reading_records/R07_ledbetter_2013_hd.md</x:v>
      </x:c>
    </x:row>
    <x:row r="8" ht="84" customHeight="1">
      <x:c r="A8" s="127" t="str"/>
      <x:c r="B8" s="127" t="str">
        <x:v>PDF_FIRST_PAGE</x:v>
      </x:c>
      <x:c r="C8" s="127" t="str">
        <x:v>2019 Pavel Fadeev</x:v>
      </x:c>
      <x:c r="D8" s="127" t="str">
        <x:v>L067</x:v>
      </x:c>
      <x:c r="E8" s="135" t="n">
        <x:v>2019</x:v>
      </x:c>
      <x:c r="F8" s="127" t="str">
        <x:v>Revisiting spin-dependent forces mediated by new bosons: Potentials in the coordinate-space representation for macroscopic- and atomic-scale experiments</x:v>
      </x:c>
      <x:c r="G8" s="127" t="str">
        <x:v>Pavel Fadeev; Yevgeny V. Stadnik; Filip Ficek; Mikhail G. Kozlov; Victor V. Flambaum; Dmitry Budker</x:v>
      </x:c>
      <x:c r="H8" s="127" t="str"/>
      <x:c r="I8" s="127" t="str">
        <x:v>Theory &amp; operators</x:v>
      </x:c>
      <x:c r="J8" s="139" t="str">
        <x:v>C3</x:v>
      </x:c>
      <x:c r="K8" s="139" t="str">
        <x:v>green_check</x:v>
      </x:c>
      <x:c r="L8" s="127" t="e">
        <x:f>HYPERLINK("https://doi.org/10.1103/physreva.99.022113","10.1103/physreva.99.022113")</x:f>
        <x:v>HYPERLINK is not implemented. linkLocation=https://doi.org/10.1103/physreva.99.022113, friendlyName=10.1103/physreva.99.022113</x:v>
      </x:c>
      <x:c r="M8" s="127" t="e">
        <x:f>HYPERLINK("https://arxiv.org/abs/1810.10364","1810.10364")</x:f>
        <x:v>HYPERLINK is not implemented. linkLocation=https://arxiv.org/abs/1810.10364, friendlyName=1810.10364</x:v>
      </x:c>
      <x:c r="N8" s="127" t="e">
        <x:f>HYPERLINK("https://arxiv.org/abs/1810.10364","Open PDF / Source")</x:f>
        <x:v>HYPERLINK is not implemented. linkLocation=https://arxiv.org/abs/1810.10364, friendlyName=Open PDF / Source</x:v>
      </x:c>
      <x:c r="O8" s="127" t="str">
        <x:v>v2_high_recall/reading_records/R02_fadeev_2019_revisiting.md</x:v>
      </x:c>
    </x:row>
    <x:row r="9" ht="84" customHeight="1">
      <x:c r="A9" s="124" t="str"/>
      <x:c r="B9" s="124" t="str">
        <x:v>PDF_FIRST_PAGE</x:v>
      </x:c>
      <x:c r="C9" s="124" t="str">
        <x:v>2020 Ulrich D. Jentschura</x:v>
      </x:c>
      <x:c r="D9" s="124" t="str">
        <x:v>L070</x:v>
      </x:c>
      <x:c r="E9" s="134" t="n">
        <x:v>2020</x:v>
      </x:c>
      <x:c r="F9" s="124" t="str">
        <x:v>Fifth Force and Hyperfine Splitting in Bound Systems</x:v>
      </x:c>
      <x:c r="G9" s="124" t="str">
        <x:v>Ulrich D. Jentschura</x:v>
      </x:c>
      <x:c r="H9" s="124" t="str"/>
      <x:c r="I9" s="124" t="str">
        <x:v>Theory &amp; operators</x:v>
      </x:c>
      <x:c r="J9" s="138" t="str">
        <x:v>C3</x:v>
      </x:c>
      <x:c r="K9" s="138" t="str">
        <x:v>green_check</x:v>
      </x:c>
      <x:c r="L9" s="124" t="e">
        <x:f>HYPERLINK("https://doi.org/10.1103/physreva.101.062503","10.1103/physreva.101.062503")</x:f>
        <x:v>HYPERLINK is not implemented. linkLocation=https://doi.org/10.1103/physreva.101.062503, friendlyName=10.1103/physreva.101.062503</x:v>
      </x:c>
      <x:c r="M9" s="124" t="e">
        <x:f>HYPERLINK("https://arxiv.org/abs/2003.07207","2003.07207")</x:f>
        <x:v>HYPERLINK is not implemented. linkLocation=https://arxiv.org/abs/2003.07207, friendlyName=2003.07207</x:v>
      </x:c>
      <x:c r="N9" s="124" t="e">
        <x:f>HYPERLINK("https://arxiv.org/abs/2003.07207","Open PDF / Source")</x:f>
        <x:v>HYPERLINK is not implemented. linkLocation=https://arxiv.org/abs/2003.07207, friendlyName=Open PDF / Source</x:v>
      </x:c>
      <x:c r="O9" s="124" t="str">
        <x:v>v2_high_recall/reading_records/R13_jentschura_2020.md</x:v>
      </x:c>
    </x:row>
    <x:row r="10" ht="84" customHeight="1">
      <x:c r="A10" s="127" t="str"/>
      <x:c r="B10" s="127" t="str">
        <x:v>PDF_FIRST_PAGE</x:v>
      </x:c>
      <x:c r="C10" s="127" t="str">
        <x:v>2020 S. Alighanbari</x:v>
      </x:c>
      <x:c r="D10" s="127" t="str">
        <x:v>L073</x:v>
      </x:c>
      <x:c r="E10" s="135" t="n">
        <x:v>2020</x:v>
      </x:c>
      <x:c r="F10" s="127" t="str">
        <x:v>Precise test of quantum electrodynamics and determination of fundamental constants with HD+ ions</x:v>
      </x:c>
      <x:c r="G10" s="127" t="str">
        <x:v>S. Alighanbari; G. S. Giri; F. L. Constantin; V. I. Korobov; S. Schiller</x:v>
      </x:c>
      <x:c r="H10" s="127" t="str"/>
      <x:c r="I10" s="127" t="str">
        <x:v>HD+ molecular</x:v>
      </x:c>
      <x:c r="J10" s="139" t="str">
        <x:v>C3</x:v>
      </x:c>
      <x:c r="K10" s="139" t="str">
        <x:v>green_check</x:v>
      </x:c>
      <x:c r="L10" s="127" t="e">
        <x:f>HYPERLINK("https://doi.org/10.1038/s41586-020-2261-5","10.1038/s41586-020-2261-5")</x:f>
        <x:v>HYPERLINK is not implemented. linkLocation=https://doi.org/10.1038/s41586-020-2261-5, friendlyName=10.1038/s41586-020-2261-5</x:v>
      </x:c>
      <x:c r="M10" s="127" t="str"/>
      <x:c r="N10" s="127" t="e">
        <x:f>HYPERLINK("https://doi.org/10.1038/s41586-020-2261-5","Open PDF / Source")</x:f>
        <x:v>HYPERLINK is not implemented. linkLocation=https://doi.org/10.1038/s41586-020-2261-5, friendlyName=Open PDF / Source</x:v>
      </x:c>
      <x:c r="O10" s="127" t="str">
        <x:v>v2_high_recall/reading_records/R08_alighanbari_2020.md</x:v>
      </x:c>
    </x:row>
    <x:row r="11" ht="84" customHeight="1">
      <x:c r="A11" s="124" t="str"/>
      <x:c r="B11" s="124" t="str">
        <x:v>PDF_FIRST_PAGE</x:v>
      </x:c>
      <x:c r="C11" s="124" t="str">
        <x:v>2022 Mohammad Haidar</x:v>
      </x:c>
      <x:c r="D11" s="124" t="str">
        <x:v>L085</x:v>
      </x:c>
      <x:c r="E11" s="134" t="n">
        <x:v>2022</x:v>
      </x:c>
      <x:c r="F11" s="124" t="str">
        <x:v>Higher-order corrections to the spin-orbit and spin-spin tensor interactions in HD+</x:v>
      </x:c>
      <x:c r="G11" s="124" t="str">
        <x:v>Mohammad Haidar; Vladimir I. Korobov; Laurent Hilico; Jean-Philippe Karr</x:v>
      </x:c>
      <x:c r="H11" s="124" t="str"/>
      <x:c r="I11" s="124" t="str">
        <x:v>HD+ molecular</x:v>
      </x:c>
      <x:c r="J11" s="138" t="str">
        <x:v>C3</x:v>
      </x:c>
      <x:c r="K11" s="138" t="str">
        <x:v>green_check</x:v>
      </x:c>
      <x:c r="L11" s="124" t="e">
        <x:f>HYPERLINK("https://doi.org/10.1103/physreva.106.042815","10.1103/physreva.106.042815")</x:f>
        <x:v>HYPERLINK is not implemented. linkLocation=https://doi.org/10.1103/physreva.106.042815, friendlyName=10.1103/physreva.106.042815</x:v>
      </x:c>
      <x:c r="M11" s="124" t="e">
        <x:f>HYPERLINK("https://arxiv.org/abs/2209.02382","2209.02382")</x:f>
        <x:v>HYPERLINK is not implemented. linkLocation=https://arxiv.org/abs/2209.02382, friendlyName=2209.02382</x:v>
      </x:c>
      <x:c r="N11" s="124" t="e">
        <x:f>HYPERLINK("https://arxiv.org/abs/2209.02382","Open PDF / Source")</x:f>
        <x:v>HYPERLINK is not implemented. linkLocation=https://arxiv.org/abs/2209.02382, friendlyName=Open PDF / Source</x:v>
      </x:c>
      <x:c r="O11" s="124" t="str">
        <x:v>v2_high_recall/reading_records/R09_haidar_2022.md</x:v>
      </x:c>
    </x:row>
    <x:row r="12" ht="84" customHeight="1">
      <x:c r="A12" s="127" t="str"/>
      <x:c r="B12" s="127" t="str">
        <x:v>PDF_FIRST_PAGE</x:v>
      </x:c>
      <x:c r="C12" s="127" t="str">
        <x:v>2022 Pavel Fadeev</x:v>
      </x:c>
      <x:c r="D12" s="127" t="str">
        <x:v>L088</x:v>
      </x:c>
      <x:c r="E12" s="135" t="n">
        <x:v>2022</x:v>
      </x:c>
      <x:c r="F12" s="127" t="str">
        <x:v>Pseudovector and pseudoscalar spin-dependent interactions in atoms</x:v>
      </x:c>
      <x:c r="G12" s="127" t="str">
        <x:v>Pavel Fadeev; Filip Ficek; Mikhail G. Kozlov; Dmitry Budker; Victor V. Flambaum</x:v>
      </x:c>
      <x:c r="H12" s="127" t="str"/>
      <x:c r="I12" s="127" t="str">
        <x:v>Atomic &amp; molecular</x:v>
      </x:c>
      <x:c r="J12" s="139" t="str">
        <x:v>C3</x:v>
      </x:c>
      <x:c r="K12" s="139" t="str">
        <x:v>green_check</x:v>
      </x:c>
      <x:c r="L12" s="127" t="e">
        <x:f>HYPERLINK("https://doi.org/10.1103/physreva.105.022812","10.1103/physreva.105.022812")</x:f>
        <x:v>HYPERLINK is not implemented. linkLocation=https://doi.org/10.1103/physreva.105.022812, friendlyName=10.1103/physreva.105.022812</x:v>
      </x:c>
      <x:c r="M12" s="127" t="e">
        <x:f>HYPERLINK("https://arxiv.org/abs/1911.05816","1911.05816")</x:f>
        <x:v>HYPERLINK is not implemented. linkLocation=https://arxiv.org/abs/1911.05816, friendlyName=1911.05816</x:v>
      </x:c>
      <x:c r="N12" s="127" t="e">
        <x:f>HYPERLINK("https://arxiv.org/abs/1911.05816","Open PDF / Source")</x:f>
        <x:v>HYPERLINK is not implemented. linkLocation=https://arxiv.org/abs/1911.05816, friendlyName=Open PDF / Source</x:v>
      </x:c>
      <x:c r="O12" s="127" t="str">
        <x:v>v2_high_recall/reading_records/R03_fadeev_2022_atoms.md</x:v>
      </x:c>
    </x:row>
    <x:row r="13" ht="84" customHeight="1">
      <x:c r="A13" s="124" t="str"/>
      <x:c r="B13" s="124" t="str">
        <x:v>PDF_FIRST_PAGE</x:v>
      </x:c>
      <x:c r="C13" s="124" t="str">
        <x:v>2023 Jean-Philippe Karr</x:v>
      </x:c>
      <x:c r="D13" s="124" t="str">
        <x:v>L092</x:v>
      </x:c>
      <x:c r="E13" s="134" t="n">
        <x:v>2023</x:v>
      </x:c>
      <x:c r="F13" s="124" t="str">
        <x:v>Extraction of spin-averaged rovibrational transition frequencies in HD+ for the determination of fundamental constants</x:v>
      </x:c>
      <x:c r="G13" s="124" t="str">
        <x:v>Jean-Philippe Karr; Jeroen C. J. Koelemeij</x:v>
      </x:c>
      <x:c r="H13" s="124" t="str"/>
      <x:c r="I13" s="124" t="str">
        <x:v>HD+ molecular</x:v>
      </x:c>
      <x:c r="J13" s="138" t="str">
        <x:v>C3</x:v>
      </x:c>
      <x:c r="K13" s="138" t="str">
        <x:v>green_check</x:v>
      </x:c>
      <x:c r="L13" s="124" t="e">
        <x:f>HYPERLINK("https://doi.org/10.1080/00268976.2023.2216081","10.1080/00268976.2023.2216081")</x:f>
        <x:v>HYPERLINK is not implemented. linkLocation=https://doi.org/10.1080/00268976.2023.2216081, friendlyName=10.1080/00268976.2023.2216081</x:v>
      </x:c>
      <x:c r="M13" s="124" t="e">
        <x:f>HYPERLINK("https://arxiv.org/abs/2212.11683","2212.11683")</x:f>
        <x:v>HYPERLINK is not implemented. linkLocation=https://arxiv.org/abs/2212.11683, friendlyName=2212.11683</x:v>
      </x:c>
      <x:c r="N13" s="124" t="e">
        <x:f>HYPERLINK("https://arxiv.org/abs/2212.11683","Open PDF / Source")</x:f>
        <x:v>HYPERLINK is not implemented. linkLocation=https://arxiv.org/abs/2212.11683, friendlyName=Open PDF / Source</x:v>
      </x:c>
      <x:c r="O13" s="124" t="str">
        <x:v>v2_high_recall/reading_records/R10_karr_koelemeij_2023.md</x:v>
      </x:c>
    </x:row>
    <x:row r="14" ht="84" customHeight="1">
      <x:c r="A14" s="127" t="str"/>
      <x:c r="B14" s="127" t="str">
        <x:v>PDF_FIRST_PAGE</x:v>
      </x:c>
      <x:c r="C14" s="127" t="str">
        <x:v>2025 Lei Cong</x:v>
      </x:c>
      <x:c r="D14" s="127" t="str">
        <x:v>L125</x:v>
      </x:c>
      <x:c r="E14" s="135" t="n">
        <x:v>2025</x:v>
      </x:c>
      <x:c r="F14" s="127" t="str">
        <x:v>Improved constraints on exotic interactions between electron and proton in hydrogen</x:v>
      </x:c>
      <x:c r="G14" s="127" t="str">
        <x:v>Lei Cong; Filip Ficek; Pavel Fadeev; Dmitry Budker</x:v>
      </x:c>
      <x:c r="H14" s="127" t="str"/>
      <x:c r="I14" s="127" t="str">
        <x:v>Other precision probes</x:v>
      </x:c>
      <x:c r="J14" s="139" t="str">
        <x:v>C3</x:v>
      </x:c>
      <x:c r="K14" s="139" t="str">
        <x:v>green_check</x:v>
      </x:c>
      <x:c r="L14" s="127" t="e">
        <x:f>HYPERLINK("https://doi.org/10.1103/8nyk-sysy","10.1103/8nyk-sysy")</x:f>
        <x:v>HYPERLINK is not implemented. linkLocation=https://doi.org/10.1103/8nyk-sysy, friendlyName=10.1103/8nyk-sysy</x:v>
      </x:c>
      <x:c r="M14" s="127" t="e">
        <x:f>HYPERLINK("https://arxiv.org/abs/2408.11009","2408.11009")</x:f>
        <x:v>HYPERLINK is not implemented. linkLocation=https://arxiv.org/abs/2408.11009, friendlyName=2408.11009</x:v>
      </x:c>
      <x:c r="N14" s="127" t="e">
        <x:f>HYPERLINK("https://arxiv.org/abs/2408.11009","Open PDF / Source")</x:f>
        <x:v>HYPERLINK is not implemented. linkLocation=https://arxiv.org/abs/2408.11009, friendlyName=Open PDF / Source</x:v>
      </x:c>
      <x:c r="O14" s="127" t="str">
        <x:v>v2_high_recall/reading_records/R05_cong_2025_hydrogen.md</x:v>
      </x:c>
    </x:row>
    <x:row r="15" ht="84" customHeight="1">
      <x:c r="A15" s="124" t="str"/>
      <x:c r="B15" s="124" t="str">
        <x:v>PDF_FIRST_PAGE</x:v>
      </x:c>
      <x:c r="C15" s="124" t="str">
        <x:v>2025 Lei Cong</x:v>
      </x:c>
      <x:c r="D15" s="124" t="str">
        <x:v>L133</x:v>
      </x:c>
      <x:c r="E15" s="134" t="n">
        <x:v>2025</x:v>
      </x:c>
      <x:c r="F15" s="124" t="str">
        <x:v>Spin-dependent exotic interactions</x:v>
      </x:c>
      <x:c r="G15" s="124" t="str">
        <x:v>Lei Cong; Wei Ji; Pavel Fadeev; Filip Ficek; Min Jiang; Victor V. Flambaum; Haosen Guan; Derek F. Jackson Kimball; Mikhail G. Kozlov; Yevgeny V. Stadnik; Dmitry Budker</x:v>
      </x:c>
      <x:c r="H15" s="124" t="str">
        <x:v>Reviews of Modern Physics</x:v>
      </x:c>
      <x:c r="I15" s="124" t="str">
        <x:v>Reviews &amp; taxonomy</x:v>
      </x:c>
      <x:c r="J15" s="138" t="str">
        <x:v>C3</x:v>
      </x:c>
      <x:c r="K15" s="138" t="str">
        <x:v>green_check</x:v>
      </x:c>
      <x:c r="L15" s="124" t="e">
        <x:f>HYPERLINK("https://doi.org/10.1103/revmodphys.97.025005","10.1103/revmodphys.97.025005")</x:f>
        <x:v>HYPERLINK is not implemented. linkLocation=https://doi.org/10.1103/revmodphys.97.025005, friendlyName=10.1103/revmodphys.97.025005</x:v>
      </x:c>
      <x:c r="M15" s="124" t="e">
        <x:f>HYPERLINK("https://arxiv.org/abs/2408.15691","2408.15691")</x:f>
        <x:v>HYPERLINK is not implemented. linkLocation=https://arxiv.org/abs/2408.15691, friendlyName=2408.15691</x:v>
      </x:c>
      <x:c r="N15" s="124" t="e">
        <x:f>HYPERLINK("https://doi.org/10.1103/revmodphys.97.025005","Open PDF / Source")</x:f>
        <x:v>HYPERLINK is not implemented. linkLocation=https://doi.org/10.1103/revmodphys.97.025005, friendlyName=Open PDF / Source</x:v>
      </x:c>
      <x:c r="O15" s="124" t="str">
        <x:v>v2_high_recall/reading_records/R04_spin_dependent_review_2025.md</x:v>
      </x:c>
    </x:row>
    <x:row r="16" ht="84" customHeight="1">
      <x:c r="A16" s="127" t="str"/>
      <x:c r="B16" s="127" t="str">
        <x:v>PDF_FIRST_PAGE</x:v>
      </x:c>
      <x:c r="C16" s="127" t="str">
        <x:v>2026 Charlotte M. König</x:v>
      </x:c>
      <x:c r="D16" s="127" t="str">
        <x:v>L138</x:v>
      </x:c>
      <x:c r="E16" s="135" t="n">
        <x:v>2026</x:v>
      </x:c>
      <x:c r="F16" s="127" t="str">
        <x:v>High-precision Penning-trap spectroscopy of the ground-state spin structure of HD+</x:v>
      </x:c>
      <x:c r="G16" s="127" t="str">
        <x:v>Charlotte M. König; Matthew Bohman; Fabian Heiße; Jonathan Morgner; Tim Sailer; Bingsheng Tu; Klaus Blaum; Sven Sturm; Dimitar Bakalov; Hugo D. Nogueira; Jean-Philippe Karr; Ossama Kullie; Stephan Schiller</x:v>
      </x:c>
      <x:c r="H16" s="127" t="str"/>
      <x:c r="I16" s="127" t="str">
        <x:v>HD+ molecular</x:v>
      </x:c>
      <x:c r="J16" s="139" t="str">
        <x:v>C3</x:v>
      </x:c>
      <x:c r="K16" s="139" t="str">
        <x:v>green_check</x:v>
      </x:c>
      <x:c r="L16" s="127" t="e">
        <x:f>HYPERLINK("https://doi.org/10.1103/vrl8-bpmz","10.1103/vrl8-bpmz")</x:f>
        <x:v>HYPERLINK is not implemented. linkLocation=https://doi.org/10.1103/vrl8-bpmz, friendlyName=10.1103/vrl8-bpmz</x:v>
      </x:c>
      <x:c r="M16" s="127" t="e">
        <x:f>HYPERLINK("https://arxiv.org/abs/2602.17522","2602.17522")</x:f>
        <x:v>HYPERLINK is not implemented. linkLocation=https://arxiv.org/abs/2602.17522, friendlyName=2602.17522</x:v>
      </x:c>
      <x:c r="N16" s="127" t="e">
        <x:f>HYPERLINK("https://arxiv.org/abs/2602.17522","Open PDF / Source")</x:f>
        <x:v>HYPERLINK is not implemented. linkLocation=https://arxiv.org/abs/2602.17522, friendlyName=Open PDF / Source</x:v>
      </x:c>
      <x:c r="O16" s="127" t="str">
        <x:v>v2_high_recall/reading_records/R11_koenig_2026.md</x:v>
      </x:c>
    </x:row>
    <x:row r="17" ht="84" customHeight="1">
      <x:c r="A17" s="124" t="str"/>
      <x:c r="B17" s="124" t="str">
        <x:v>PDF_FIRST_PAGE</x:v>
      </x:c>
      <x:c r="C17" s="124" t="str">
        <x:v>2026 Xiaoxuan Lin</x:v>
      </x:c>
      <x:c r="D17" s="124" t="str">
        <x:v>L141</x:v>
      </x:c>
      <x:c r="E17" s="134" t="n">
        <x:v>2026</x:v>
      </x:c>
      <x:c r="F17" s="124" t="str">
        <x:v>Probing a Fifth Force in Muonic Atoms through Lamb Shifts and Hyperfine Structure</x:v>
      </x:c>
      <x:c r="G17" s="124" t="str">
        <x:v>Xiaoxuan Lin; Qian Wu; Wei Kou; Xurong Chen</x:v>
      </x:c>
      <x:c r="H17" s="124" t="str"/>
      <x:c r="I17" s="124" t="str">
        <x:v>Atomic &amp; molecular</x:v>
      </x:c>
      <x:c r="J17" s="138" t="str">
        <x:v>C3</x:v>
      </x:c>
      <x:c r="K17" s="138" t="str">
        <x:v>green_check</x:v>
      </x:c>
      <x:c r="L17" s="124" t="str"/>
      <x:c r="M17" s="124" t="e">
        <x:f>HYPERLINK("https://arxiv.org/abs/2603.01429","2603.01429")</x:f>
        <x:v>HYPERLINK is not implemented. linkLocation=https://arxiv.org/abs/2603.01429, friendlyName=2603.01429</x:v>
      </x:c>
      <x:c r="N17" s="124" t="e">
        <x:f>HYPERLINK("https://arxiv.org/abs/2603.01429","Open PDF / Source")</x:f>
        <x:v>HYPERLINK is not implemented. linkLocation=https://arxiv.org/abs/2603.01429, friendlyName=Open PDF / Source</x:v>
      </x:c>
      <x:c r="O17" s="124" t="str">
        <x:v>v2_high_recall/reading_records/R15_muonic_atoms_2026.md</x:v>
      </x:c>
    </x:row>
    <x:row r="18" ht="84" customHeight="1">
      <x:c r="A18" s="127" t="str"/>
      <x:c r="B18" s="127" t="str">
        <x:v>PDF_FIRST_PAGE</x:v>
      </x:c>
      <x:c r="C18" s="127" t="str">
        <x:v>2026 D. Kliukin</x:v>
      </x:c>
      <x:c r="D18" s="127" t="str">
        <x:v>L143</x:v>
      </x:c>
      <x:c r="E18" s="135" t="n">
        <x:v>2026</x:v>
      </x:c>
      <x:c r="F18" s="127" t="str">
        <x:v>Spectroscopy of the Hyperfine Structure of HD+ in Rotationally Excited States with 10-ppb Uncertainty</x:v>
      </x:c>
      <x:c r="G18" s="127" t="str">
        <x:v>D. Kliukin; V. Barbe; T. Klijn Velderman; J. B. E. Schokking; J. John; K. S. E. Eikema; J. C. J. Koelemeij; Jean-Philippe Karr</x:v>
      </x:c>
      <x:c r="H18" s="127" t="str"/>
      <x:c r="I18" s="127" t="str">
        <x:v>HD+ molecular</x:v>
      </x:c>
      <x:c r="J18" s="139" t="str">
        <x:v>C3</x:v>
      </x:c>
      <x:c r="K18" s="139" t="str">
        <x:v>green_check</x:v>
      </x:c>
      <x:c r="L18" s="127" t="str"/>
      <x:c r="M18" s="127" t="e">
        <x:f>HYPERLINK("https://arxiv.org/abs/2608.00607","2608.00607")</x:f>
        <x:v>HYPERLINK is not implemented. linkLocation=https://arxiv.org/abs/2608.00607, friendlyName=2608.00607</x:v>
      </x:c>
      <x:c r="N18" s="127" t="e">
        <x:f>HYPERLINK("https://arxiv.org/abs/2608.00607","Open PDF / Source")</x:f>
        <x:v>HYPERLINK is not implemented. linkLocation=https://arxiv.org/abs/2608.00607, friendlyName=Open PDF / Source</x:v>
      </x:c>
      <x:c r="O18" s="127" t="str">
        <x:v>v2_high_recall/reading_records/R12_kliukin_2026.md</x:v>
      </x:c>
    </x:row>
    <x:row r="19" ht="84" customHeight="1">
      <x:c r="A19" s="125" t="str"/>
      <x:c r="B19" s="125" t="str">
        <x:v>PDF_FIRST_PAGE</x:v>
      </x:c>
      <x:c r="C19" s="125" t="str">
        <x:v>2026 Cedric Quint</x:v>
      </x:c>
      <x:c r="D19" s="125" t="str">
        <x:v>L144</x:v>
      </x:c>
      <x:c r="E19" s="142" t="n">
        <x:v>2026</x:v>
      </x:c>
      <x:c r="F19" s="125" t="str">
        <x:v>Stringent Constraints on New Pseudoscalar and Vector Bosons from Precision Hyperfine Splitting Measurements</x:v>
      </x:c>
      <x:c r="G19" s="125" t="str">
        <x:v>Cedric Quint; Fabian Heiße; Joerg Jaeckel; Lutz Leimenstoll; Christoph H. Keitel; Zoltan Harman</x:v>
      </x:c>
      <x:c r="H19" s="125" t="str"/>
      <x:c r="I19" s="125" t="str">
        <x:v>Atomic &amp; molecular</x:v>
      </x:c>
      <x:c r="J19" s="143" t="str">
        <x:v>C3</x:v>
      </x:c>
      <x:c r="K19" s="143" t="str">
        <x:v>green_check</x:v>
      </x:c>
      <x:c r="L19" s="125" t="e">
        <x:f>HYPERLINK("https://doi.org/10.1103/rvt1-93v2","10.1103/rvt1-93v2")</x:f>
        <x:v>HYPERLINK is not implemented. linkLocation=https://doi.org/10.1103/rvt1-93v2, friendlyName=10.1103/rvt1-93v2</x:v>
      </x:c>
      <x:c r="M19" s="125" t="str"/>
      <x:c r="N19" s="125" t="e">
        <x:f>HYPERLINK("https://doi.org/10.1103/rvt1-93v2","Open PDF / Source")</x:f>
        <x:v>HYPERLINK is not implemented. linkLocation=https://doi.org/10.1103/rvt1-93v2, friendlyName=Open PDF / Source</x:v>
      </x:c>
      <x:c r="O19" s="125" t="str">
        <x:v>v2_high_recall/reading_records/R14_quint_2026.md</x:v>
      </x:c>
    </x:row>
  </x:sheetData>
  <x:mergeCells>
    <x:mergeCell ref="A1:O1"/>
    <x:mergeCell ref="A2:O2"/>
  </x:mergeCells>
  <x:conditionalFormatting sqref="J4:J19">
    <x:cfRule type="containsText" dxfId="6" priority="1" operator="containsText" text="C3"/>
  </x:conditionalFormatting>
  <x:conditionalFormatting sqref="K4:K19">
    <x:cfRule type="containsText" dxfId="7" priority="2" operator="containsText" text="green_check"/>
  </x:conditionalFormatting>
  <x:pageMargins left="0.7" right="0.7" top="0.75" bottom="0.75" header="0.3" footer="0.3"/>
  <x:drawing xmlns:r="http://schemas.openxmlformats.org/officeDocument/2006/relationships" r:id="R8ef202846e0e432d"/>
  <x:tableParts count="1">
    <x:tablePart xmlns:r="http://schemas.openxmlformats.org/officeDocument/2006/relationships" r:id="R2c2f849a78a94a76"/>
  </x:tableParts>
</x:worksheet>
</file>