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siriccardo\EXT\RLAB5\"/>
    </mc:Choice>
  </mc:AlternateContent>
  <bookViews>
    <workbookView xWindow="120" yWindow="132" windowWidth="15480" windowHeight="9060" firstSheet="2" activeTab="6"/>
  </bookViews>
  <sheets>
    <sheet name="dab762b03d74b6e843ef504148811f7" sheetId="15" state="veryHidden" r:id="rId1"/>
    <sheet name="69f8205a35b4f47a9b5b4da04ec208c" sheetId="16" state="veryHidden" r:id="rId2"/>
    <sheet name="INPUTS - OUTPUTS" sheetId="25" r:id="rId3"/>
    <sheet name="OVER-OB" sheetId="24" r:id="rId4"/>
    <sheet name="T2D" sheetId="26" r:id="rId5"/>
    <sheet name="HYP" sheetId="28" r:id="rId6"/>
    <sheet name="CVD" sheetId="27" r:id="rId7"/>
    <sheet name="f9a02ffe5764c7cb3e47b8372c4a7ef" sheetId="18" state="veryHidden" r:id="rId8"/>
  </sheets>
  <calcPr calcId="162913"/>
</workbook>
</file>

<file path=xl/calcChain.xml><?xml version="1.0" encoding="utf-8"?>
<calcChain xmlns="http://schemas.openxmlformats.org/spreadsheetml/2006/main">
  <c r="M13" i="27" l="1"/>
  <c r="G32" i="26" l="1"/>
  <c r="G31" i="26"/>
  <c r="E13" i="28"/>
  <c r="F17" i="24" l="1"/>
  <c r="R12" i="27"/>
  <c r="R13" i="27"/>
  <c r="R14" i="27"/>
  <c r="M14" i="27"/>
  <c r="M12" i="27"/>
  <c r="G50" i="26"/>
  <c r="E11" i="28"/>
  <c r="E10" i="28"/>
  <c r="S13" i="27" l="1"/>
  <c r="S14" i="27"/>
  <c r="S12" i="27"/>
  <c r="E12" i="28"/>
  <c r="E8" i="28"/>
  <c r="F8" i="28" s="1"/>
  <c r="E7" i="28"/>
  <c r="F7" i="28" s="1"/>
  <c r="F14" i="28" s="1"/>
  <c r="F16" i="28" l="1"/>
  <c r="F17" i="28" s="1"/>
  <c r="I25" i="28" s="1"/>
  <c r="E14" i="28"/>
  <c r="S21" i="27"/>
  <c r="R8" i="27"/>
  <c r="R16" i="27"/>
  <c r="S16" i="27" s="1"/>
  <c r="R15" i="27"/>
  <c r="S15" i="27" s="1"/>
  <c r="R9" i="27"/>
  <c r="R10" i="27"/>
  <c r="R11" i="27"/>
  <c r="M11" i="27"/>
  <c r="M10" i="27"/>
  <c r="M9" i="27"/>
  <c r="M8" i="27"/>
  <c r="C42" i="26"/>
  <c r="C43" i="26"/>
  <c r="C44" i="26"/>
  <c r="C45" i="26"/>
  <c r="G35" i="26"/>
  <c r="G36" i="26"/>
  <c r="G34" i="26"/>
  <c r="G29" i="26"/>
  <c r="G28" i="26"/>
  <c r="G26" i="26"/>
  <c r="G25" i="26"/>
  <c r="G22" i="26"/>
  <c r="G23" i="26"/>
  <c r="G20" i="26"/>
  <c r="G19" i="26"/>
  <c r="G18" i="26"/>
  <c r="G17" i="26"/>
  <c r="G16" i="26"/>
  <c r="G15" i="26"/>
  <c r="G10" i="26"/>
  <c r="G9" i="26"/>
  <c r="G8" i="26"/>
  <c r="G7" i="26"/>
  <c r="D10" i="24"/>
  <c r="G10" i="24"/>
  <c r="E10" i="24"/>
  <c r="K5" i="25"/>
  <c r="J15" i="25"/>
  <c r="J14" i="25"/>
  <c r="G11" i="24" l="1"/>
  <c r="E11" i="24"/>
  <c r="I11" i="24"/>
  <c r="E9" i="28"/>
  <c r="D16" i="28" s="1"/>
  <c r="D17" i="28" s="1"/>
  <c r="S10" i="27"/>
  <c r="S9" i="27"/>
  <c r="S11" i="27"/>
  <c r="S8" i="27"/>
  <c r="G11" i="26"/>
  <c r="G13" i="26"/>
  <c r="G12" i="26"/>
  <c r="F14" i="24" l="1"/>
  <c r="I22" i="28"/>
  <c r="Q32" i="25" s="1"/>
  <c r="S17" i="27"/>
  <c r="G38" i="26"/>
  <c r="I29" i="28" l="1"/>
  <c r="Q33" i="25" s="1"/>
  <c r="F21" i="24"/>
  <c r="Q16" i="25" s="1"/>
  <c r="Q15" i="25"/>
  <c r="S18" i="27"/>
  <c r="G45" i="26"/>
  <c r="I45" i="26" s="1"/>
  <c r="G43" i="26"/>
  <c r="I43" i="26" s="1"/>
  <c r="G44" i="26"/>
  <c r="I44" i="26" s="1"/>
  <c r="G42" i="26"/>
  <c r="I42" i="26" s="1"/>
  <c r="G41" i="26"/>
  <c r="I41" i="26" s="1"/>
  <c r="S25" i="27" l="1"/>
  <c r="Q41" i="25" s="1"/>
  <c r="Q40" i="25"/>
  <c r="H47" i="26"/>
  <c r="G47" i="26"/>
  <c r="Q23" i="25" s="1"/>
  <c r="G54" i="26" l="1"/>
  <c r="Q24" i="25" s="1"/>
  <c r="AI5" i="15" l="1"/>
  <c r="AB6" i="15"/>
  <c r="AG9" i="15"/>
  <c r="AG8" i="15"/>
  <c r="E11" i="15"/>
  <c r="AE12" i="15"/>
  <c r="C5" i="15"/>
  <c r="AE6" i="15"/>
  <c r="A9" i="15"/>
  <c r="AC12" i="15"/>
  <c r="E7" i="15"/>
  <c r="AC10" i="15"/>
  <c r="AI8" i="15"/>
  <c r="AF12" i="15"/>
  <c r="D6" i="15"/>
  <c r="C8" i="15"/>
  <c r="AD10" i="15"/>
  <c r="AI10" i="15"/>
  <c r="AG6" i="15"/>
  <c r="AD6" i="15"/>
  <c r="A6" i="15"/>
  <c r="AG5" i="15"/>
  <c r="C6" i="15"/>
  <c r="A12" i="15"/>
  <c r="AE9" i="15"/>
  <c r="AC11" i="15"/>
  <c r="AC4" i="15"/>
  <c r="AA4" i="15"/>
  <c r="A10" i="15"/>
  <c r="AH10" i="15"/>
  <c r="AA6" i="15"/>
  <c r="AI6" i="15"/>
  <c r="AD11" i="15"/>
  <c r="AI11" i="15"/>
  <c r="AH8" i="15"/>
  <c r="AF11" i="15"/>
  <c r="AD12" i="15"/>
  <c r="E9" i="15"/>
  <c r="AD8" i="15"/>
  <c r="D12" i="15"/>
  <c r="AG10" i="15"/>
  <c r="C7" i="15"/>
  <c r="AB4" i="15"/>
  <c r="AF6" i="15"/>
  <c r="AB7" i="15"/>
  <c r="E8" i="15"/>
  <c r="C11" i="15"/>
  <c r="D9" i="15"/>
  <c r="AF5" i="15"/>
  <c r="D8" i="15"/>
  <c r="AH5" i="15"/>
  <c r="AA5" i="15"/>
  <c r="D4" i="15"/>
  <c r="AH9" i="15"/>
  <c r="AB12" i="15"/>
  <c r="AC8" i="15"/>
  <c r="AD5" i="15"/>
  <c r="D7" i="15"/>
  <c r="AA9" i="15"/>
  <c r="A7" i="15"/>
  <c r="A4" i="15"/>
  <c r="AC9" i="15"/>
  <c r="B1" i="16"/>
  <c r="AR12" i="15"/>
  <c r="E4" i="15"/>
  <c r="E10" i="15"/>
  <c r="AG11" i="15"/>
  <c r="AC5" i="15"/>
  <c r="A11" i="15"/>
  <c r="AA8" i="15"/>
  <c r="D11" i="15"/>
  <c r="C9" i="15"/>
  <c r="AB9" i="15"/>
  <c r="AF8" i="15"/>
  <c r="AF7" i="15"/>
  <c r="A5" i="15"/>
  <c r="B1" i="18"/>
  <c r="E6" i="15"/>
  <c r="AH11" i="15"/>
  <c r="C4" i="15"/>
  <c r="AH6" i="15"/>
  <c r="AI12" i="15"/>
  <c r="E12" i="15"/>
  <c r="AC7" i="15"/>
  <c r="AE5" i="15"/>
  <c r="E5" i="15"/>
  <c r="A3" i="16"/>
  <c r="D5" i="15"/>
  <c r="C10" i="15"/>
  <c r="C12" i="15"/>
  <c r="AE11" i="15"/>
  <c r="AI7" i="15"/>
  <c r="AB11" i="15"/>
  <c r="AC6" i="15"/>
  <c r="AH12" i="15"/>
  <c r="AA11" i="15"/>
  <c r="AB8" i="15"/>
  <c r="D10" i="15"/>
  <c r="AE10" i="15"/>
  <c r="AB5" i="15"/>
  <c r="AI9" i="15"/>
  <c r="AA12" i="15"/>
  <c r="AH7" i="15"/>
  <c r="AD7" i="15"/>
  <c r="AE7" i="15"/>
  <c r="A8" i="15"/>
  <c r="AG7" i="15"/>
  <c r="AF10" i="15"/>
  <c r="AF9" i="15"/>
  <c r="AD9" i="15"/>
  <c r="AA7" i="15"/>
  <c r="AE8" i="15"/>
  <c r="AG12" i="15"/>
  <c r="AA10" i="15"/>
  <c r="AB10" i="15"/>
</calcChain>
</file>

<file path=xl/sharedStrings.xml><?xml version="1.0" encoding="utf-8"?>
<sst xmlns="http://schemas.openxmlformats.org/spreadsheetml/2006/main" count="258" uniqueCount="177">
  <si>
    <t>Obesity</t>
  </si>
  <si>
    <t>C</t>
  </si>
  <si>
    <t>__ParamBGObjects</t>
  </si>
  <si>
    <t>1.21</t>
  </si>
  <si>
    <t>StartJauge</t>
  </si>
  <si>
    <t>EndJauge</t>
  </si>
  <si>
    <t>StartLink</t>
  </si>
  <si>
    <t>EndLink</t>
  </si>
  <si>
    <t>StartPlaceur</t>
  </si>
  <si>
    <t>EndPlaceur</t>
  </si>
  <si>
    <t>StartLinkedSymbol</t>
  </si>
  <si>
    <t>EndLinkedSymbol</t>
  </si>
  <si>
    <t>BG__Gauge1</t>
  </si>
  <si>
    <t>Half_01 black.emf</t>
  </si>
  <si>
    <t>Half_01 Silver.png</t>
  </si>
  <si>
    <t>26 Gray small.emf</t>
  </si>
  <si>
    <t>C1</t>
  </si>
  <si>
    <t>__Paramètres CM</t>
  </si>
  <si>
    <t>end</t>
  </si>
  <si>
    <t>BG__Gauge2</t>
  </si>
  <si>
    <t>Aucun</t>
  </si>
  <si>
    <t>Half_18 White.emf</t>
  </si>
  <si>
    <t>28 Gray.emf</t>
  </si>
  <si>
    <t>BG__Gauge3</t>
  </si>
  <si>
    <t>BG__Gauge4</t>
  </si>
  <si>
    <t>MM</t>
  </si>
  <si>
    <t>BeGraphicOnClick18201235019PM</t>
  </si>
  <si>
    <t>BG__Gauge5</t>
  </si>
  <si>
    <t>BG__Gauge6</t>
  </si>
  <si>
    <t>BG__Gauge7</t>
  </si>
  <si>
    <t>BG__Gauge8</t>
  </si>
  <si>
    <t>05 Gradiant of red thin.emf</t>
  </si>
  <si>
    <t>BG__Gauge9</t>
  </si>
  <si>
    <t>BeGraphicOnClick182012102712PM</t>
  </si>
  <si>
    <t>no</t>
  </si>
  <si>
    <t>BMI &gt;= 25</t>
  </si>
  <si>
    <t>BMI &gt;= 30</t>
  </si>
  <si>
    <t>Maschi</t>
  </si>
  <si>
    <t>Femmine</t>
  </si>
  <si>
    <t>Entrambi</t>
  </si>
  <si>
    <t>Familiarità</t>
  </si>
  <si>
    <t>Attività motoria continuativa di 30 minuti al giorno</t>
  </si>
  <si>
    <t>Sovrappeso</t>
  </si>
  <si>
    <t>Obesità</t>
  </si>
  <si>
    <t xml:space="preserve">(Ramachandran et al, Ann. Intern. Med. 2005. 143:473-480, based on Framingham data) </t>
  </si>
  <si>
    <t>PERCENTUALI PER L'ITALIA</t>
  </si>
  <si>
    <t>(country estimates for Italy, WHO reports 2009)</t>
  </si>
  <si>
    <t>GENERALI</t>
  </si>
  <si>
    <t>Peso (Kg)</t>
  </si>
  <si>
    <t>Altezza (cm)</t>
  </si>
  <si>
    <t>Sesso (M o F)</t>
  </si>
  <si>
    <t>M</t>
  </si>
  <si>
    <t>Età (anni)</t>
  </si>
  <si>
    <t>N</t>
  </si>
  <si>
    <t>PRESSIONE ARTERIOSA</t>
  </si>
  <si>
    <t>Genitori con ipertensione?</t>
  </si>
  <si>
    <t>ZUCCHERI</t>
  </si>
  <si>
    <t>GRASSI</t>
  </si>
  <si>
    <t>HDL</t>
  </si>
  <si>
    <t>25 &lt; BMI &lt; 30</t>
  </si>
  <si>
    <t>BMI</t>
  </si>
  <si>
    <t>S</t>
  </si>
  <si>
    <t>S/N</t>
  </si>
  <si>
    <t>Sesso</t>
  </si>
  <si>
    <t>F</t>
  </si>
  <si>
    <t>tu</t>
  </si>
  <si>
    <t>Età</t>
  </si>
  <si>
    <t>Girovita (in cm, all'ombelico)</t>
  </si>
  <si>
    <t>si</t>
  </si>
  <si>
    <t>Frequenza con cui si mangia verdura o frutta</t>
  </si>
  <si>
    <t>tutti i giorni</t>
  </si>
  <si>
    <t>non tutti i giorni</t>
  </si>
  <si>
    <t>Si prendono farmaci contro l'ipertensione?</t>
  </si>
  <si>
    <t>Si hanno parenti con il diabete?</t>
  </si>
  <si>
    <t>si, nonni o zii</t>
  </si>
  <si>
    <t>sì, genitori o fratelli</t>
  </si>
  <si>
    <t>Presenza costante (tutti i giorni) di frutta o verdura nella dieta</t>
  </si>
  <si>
    <t>Elevata glicemia in passato?</t>
  </si>
  <si>
    <t>(ESC-EASD Guidelines, EHJ 2007, 28:88-136)</t>
  </si>
  <si>
    <t>Punti</t>
  </si>
  <si>
    <t>Punti propri</t>
  </si>
  <si>
    <t>Limiti</t>
  </si>
  <si>
    <t>Parenti (nonni, zii) con Diabete?</t>
  </si>
  <si>
    <t>Si è mai avuta elevata glicemia</t>
  </si>
  <si>
    <t>Genitori (o fratelli) con Diabete?</t>
  </si>
  <si>
    <t>Il rischio su 10 anni di sviluppare T2D</t>
  </si>
  <si>
    <t>(Basso)</t>
  </si>
  <si>
    <t>(medio-basso)</t>
  </si>
  <si>
    <t>(moderato)</t>
  </si>
  <si>
    <t>(alto)</t>
  </si>
  <si>
    <t>(molto alto)</t>
  </si>
  <si>
    <t>Fumatore</t>
  </si>
  <si>
    <t>b1</t>
  </si>
  <si>
    <t>età</t>
  </si>
  <si>
    <t>b2</t>
  </si>
  <si>
    <t>b3</t>
  </si>
  <si>
    <t>b4</t>
  </si>
  <si>
    <t>b5</t>
  </si>
  <si>
    <t>b6</t>
  </si>
  <si>
    <t>b7</t>
  </si>
  <si>
    <t>COL</t>
  </si>
  <si>
    <t>se fumatore</t>
  </si>
  <si>
    <t>se trattato con antipertensivi</t>
  </si>
  <si>
    <t>1 - [S(t)]^ [EXP [sommatoria]-G(gamma)]</t>
  </si>
  <si>
    <t>G(gamma)</t>
  </si>
  <si>
    <t>Sopravvivenza alla linea di base S(t)</t>
  </si>
  <si>
    <t>EQUAZIONE UTILIZZATA PER IL CALCOLO DEL RISCHIO CARDIOVASCOLARE GLOBALE su 10 anni</t>
  </si>
  <si>
    <t>Colesterolo Totale (COL)</t>
  </si>
  <si>
    <t>Sommatoria dei beta*X</t>
  </si>
  <si>
    <t>beta</t>
  </si>
  <si>
    <t>beta*X</t>
  </si>
  <si>
    <t>X</t>
  </si>
  <si>
    <t>RISCHIO ASSOLUTO (RA individuale)</t>
  </si>
  <si>
    <t>per i maschi</t>
  </si>
  <si>
    <t>per le femmine</t>
  </si>
  <si>
    <t>PAS (press. Sistolica)</t>
  </si>
  <si>
    <t>RR</t>
  </si>
  <si>
    <t>variable</t>
  </si>
  <si>
    <t>Baseline</t>
  </si>
  <si>
    <t>Ottimale</t>
  </si>
  <si>
    <t>Intercetta</t>
  </si>
  <si>
    <t>Età*DBP</t>
  </si>
  <si>
    <t>SCALE</t>
  </si>
  <si>
    <t>anni</t>
  </si>
  <si>
    <t>(Parich et al. 'A Risk Score for Predicting Near-Term Incidence of Hypertension: The Framingham Heart Study, Annals of Internal Medicine 2008)</t>
  </si>
  <si>
    <t>VALUTAZIONE COMPLETA DEL RISCHIO DI DIABETE SU 10 ANNI</t>
  </si>
  <si>
    <t>Se si è risposto alle domande inerenti</t>
  </si>
  <si>
    <t>BASSO</t>
  </si>
  <si>
    <t>ELEVATO</t>
  </si>
  <si>
    <t>MODERATO</t>
  </si>
  <si>
    <t>SBP (Sistolica - massima)</t>
  </si>
  <si>
    <t>DBP (Diastolica - minima)</t>
  </si>
  <si>
    <t>Calcolato come in "La valutazione del rischio cardiovascolare globale assoluto: il punteggio individuale del Progetto CUORE", Ann Ist Super Sanità 2004;40(4):393-399</t>
  </si>
  <si>
    <t>RAssoluto</t>
  </si>
  <si>
    <t>Se normopeso</t>
  </si>
  <si>
    <t>Se già sovrappeso</t>
  </si>
  <si>
    <t>Se già obeso</t>
  </si>
  <si>
    <t>BMI&gt;=30</t>
  </si>
  <si>
    <t>BMI &lt;= 25</t>
  </si>
  <si>
    <t>RISCHIO ASSOLUTO (RAt2d)</t>
  </si>
  <si>
    <t>RISCHIO ASSOLUTO (RAover ; RAob)</t>
  </si>
  <si>
    <t>RISCHIO RELATIVO (RRover ; RRob)</t>
  </si>
  <si>
    <t>RISCHIO RELATIVO PER DIABETE  (RRt2d)</t>
  </si>
  <si>
    <t>RISCHIO ASSOLUTO (RAcvd)</t>
  </si>
  <si>
    <t>RISCHIO CARDIOVASCOLARE RELATIVO (RRcvd)</t>
  </si>
  <si>
    <t>RISCHIO ASSOLUTO (RAhyp)</t>
  </si>
  <si>
    <t>RISCHIO OTTIMALE (Rahyp-OPT)</t>
  </si>
  <si>
    <t>RISCHIO RELATIVO PER IPERTENSIONE  (RRhyp)</t>
  </si>
  <si>
    <t>no (0), si (1)</t>
  </si>
  <si>
    <t>INPUT QUALITATIVI (DOMANDE CHIUSE)</t>
  </si>
  <si>
    <t>INPUT QUANTITATIVI (NUMERICI)</t>
  </si>
  <si>
    <t>Sistolica - MAX (mmHg)</t>
  </si>
  <si>
    <t>Diastolica - MIN (mmHg)</t>
  </si>
  <si>
    <t>Trattamento medico per ipertensione?</t>
  </si>
  <si>
    <t>RISCHIO ASSOLUTO MEDIO (mRA cvd)</t>
  </si>
  <si>
    <t xml:space="preserve">Il rischio  assoluto è calcolato su </t>
  </si>
  <si>
    <t>RISCHIO ASSOLUTO MEDIO (mRA t2d)</t>
  </si>
  <si>
    <t>RISCHIO ASSOLUTO MEDIO (mRA over; mRA ob)</t>
  </si>
  <si>
    <t xml:space="preserve">VALUTAZIONE SEMPLICE DEL RISCHIO ASSOLUTO PER SOVRAPPESO O OBESITA' A 4 ANNI </t>
  </si>
  <si>
    <t>VALUTAZIONE DEL RISCHIO DI IPERTENSIONE A 4 ANNI</t>
  </si>
  <si>
    <t>VALUTAZIONE DEL RISCHIO CARDIOVASCOLARE</t>
  </si>
  <si>
    <t xml:space="preserve">OUTPUT </t>
  </si>
  <si>
    <t xml:space="preserve">Tu sei diabetico? </t>
  </si>
  <si>
    <t>Sei fumatore?</t>
  </si>
  <si>
    <t>TOTALE PUNTI PROPRI</t>
  </si>
  <si>
    <t>CVD</t>
  </si>
  <si>
    <t>HYP</t>
  </si>
  <si>
    <t>T2D</t>
  </si>
  <si>
    <t>OVER-OB</t>
  </si>
  <si>
    <t>Girovita (cm, all'ombelico)</t>
  </si>
  <si>
    <t>se diabetico o potenzialmente diab. (glicemia &gt; 126)</t>
  </si>
  <si>
    <t>Glicemia abituale (mg/dL)</t>
  </si>
  <si>
    <t>ASSENTE</t>
  </si>
  <si>
    <t xml:space="preserve">Suggerimento per eventuale </t>
  </si>
  <si>
    <t>suddivisione in intervalli di rischio</t>
  </si>
  <si>
    <t>http://www.endmemo.com/medical/unitconvert/Cholesterol.php</t>
  </si>
  <si>
    <t>Cholesterol values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</si>
</sst>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quotePrefix="1" applyFont="1" applyFill="1"/>
    <xf numFmtId="22" fontId="5" fillId="2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1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9" fontId="0" fillId="0" borderId="0" xfId="0" applyNumberFormat="1" applyBorder="1"/>
    <xf numFmtId="0" fontId="0" fillId="0" borderId="8" xfId="0" applyBorder="1"/>
    <xf numFmtId="0" fontId="0" fillId="0" borderId="14" xfId="0" applyBorder="1"/>
    <xf numFmtId="9" fontId="0" fillId="0" borderId="5" xfId="0" applyNumberFormat="1" applyBorder="1"/>
    <xf numFmtId="9" fontId="0" fillId="0" borderId="0" xfId="1" applyFont="1" applyBorder="1"/>
    <xf numFmtId="0" fontId="0" fillId="0" borderId="0" xfId="0" applyFont="1"/>
    <xf numFmtId="164" fontId="1" fillId="0" borderId="0" xfId="0" applyNumberFormat="1" applyFont="1" applyBorder="1" applyAlignment="1">
      <alignment vertical="center"/>
    </xf>
    <xf numFmtId="9" fontId="0" fillId="0" borderId="0" xfId="1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0" fillId="0" borderId="5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 applyBorder="1"/>
    <xf numFmtId="166" fontId="0" fillId="0" borderId="0" xfId="0" applyNumberFormat="1"/>
    <xf numFmtId="0" fontId="1" fillId="0" borderId="0" xfId="0" applyFont="1" applyAlignment="1">
      <alignment horizontal="right"/>
    </xf>
    <xf numFmtId="9" fontId="0" fillId="0" borderId="1" xfId="1" applyFont="1" applyBorder="1" applyAlignment="1">
      <alignment horizontal="center"/>
    </xf>
    <xf numFmtId="164" fontId="1" fillId="3" borderId="15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15" xfId="1" applyNumberFormat="1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1" xfId="0" applyFont="1" applyBorder="1" applyAlignment="1">
      <alignment vertical="top" wrapText="1"/>
    </xf>
    <xf numFmtId="167" fontId="9" fillId="5" borderId="1" xfId="0" applyNumberFormat="1" applyFont="1" applyFill="1" applyBorder="1" applyAlignment="1">
      <alignment horizontal="right" vertical="top" wrapText="1"/>
    </xf>
    <xf numFmtId="0" fontId="0" fillId="0" borderId="0" xfId="0" applyFont="1" applyBorder="1"/>
    <xf numFmtId="0" fontId="9" fillId="0" borderId="0" xfId="0" applyFont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 vertical="top" wrapText="1"/>
    </xf>
    <xf numFmtId="16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2" fontId="1" fillId="0" borderId="0" xfId="1" applyNumberFormat="1" applyFont="1" applyFill="1" applyBorder="1" applyAlignment="1">
      <alignment horizontal="center"/>
    </xf>
    <xf numFmtId="0" fontId="0" fillId="0" borderId="5" xfId="0" applyFill="1" applyBorder="1"/>
    <xf numFmtId="0" fontId="2" fillId="0" borderId="0" xfId="0" applyFont="1"/>
    <xf numFmtId="0" fontId="0" fillId="0" borderId="0" xfId="0" applyFill="1" applyBorder="1"/>
    <xf numFmtId="9" fontId="0" fillId="3" borderId="1" xfId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9" fontId="1" fillId="3" borderId="15" xfId="1" applyFont="1" applyFill="1" applyBorder="1" applyAlignment="1">
      <alignment horizontal="center"/>
    </xf>
    <xf numFmtId="9" fontId="1" fillId="3" borderId="15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1" applyNumberFormat="1" applyFont="1"/>
    <xf numFmtId="165" fontId="1" fillId="3" borderId="15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/>
    <xf numFmtId="2" fontId="0" fillId="0" borderId="1" xfId="0" applyNumberFormat="1" applyBorder="1"/>
    <xf numFmtId="165" fontId="0" fillId="0" borderId="1" xfId="1" applyNumberFormat="1" applyFont="1" applyBorder="1"/>
    <xf numFmtId="2" fontId="0" fillId="0" borderId="0" xfId="0" applyNumberFormat="1" applyBorder="1"/>
    <xf numFmtId="0" fontId="0" fillId="0" borderId="9" xfId="0" applyBorder="1"/>
    <xf numFmtId="0" fontId="0" fillId="0" borderId="16" xfId="0" applyFill="1" applyBorder="1"/>
    <xf numFmtId="9" fontId="1" fillId="3" borderId="18" xfId="1" applyNumberFormat="1" applyFont="1" applyFill="1" applyBorder="1"/>
    <xf numFmtId="9" fontId="1" fillId="0" borderId="18" xfId="1" applyNumberFormat="1" applyFont="1" applyBorder="1"/>
    <xf numFmtId="0" fontId="0" fillId="0" borderId="18" xfId="0" applyBorder="1"/>
    <xf numFmtId="9" fontId="0" fillId="3" borderId="17" xfId="0" applyNumberFormat="1" applyFill="1" applyBorder="1"/>
    <xf numFmtId="0" fontId="0" fillId="0" borderId="7" xfId="0" applyFill="1" applyBorder="1"/>
    <xf numFmtId="9" fontId="0" fillId="0" borderId="7" xfId="0" applyNumberFormat="1" applyBorder="1"/>
    <xf numFmtId="9" fontId="0" fillId="0" borderId="8" xfId="0" applyNumberFormat="1" applyBorder="1"/>
    <xf numFmtId="9" fontId="1" fillId="0" borderId="0" xfId="1" applyNumberFormat="1" applyFont="1" applyFill="1" applyBorder="1"/>
    <xf numFmtId="9" fontId="0" fillId="0" borderId="0" xfId="0" applyNumberForma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5" xfId="0" applyFont="1" applyFill="1" applyBorder="1" applyAlignment="1">
      <alignment horizontal="left"/>
    </xf>
    <xf numFmtId="0" fontId="0" fillId="3" borderId="0" xfId="0" applyFill="1" applyBorder="1"/>
    <xf numFmtId="0" fontId="1" fillId="3" borderId="0" xfId="0" applyFont="1" applyFill="1" applyBorder="1" applyAlignment="1">
      <alignment horizontal="right"/>
    </xf>
    <xf numFmtId="2" fontId="1" fillId="3" borderId="0" xfId="1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0" fontId="1" fillId="0" borderId="11" xfId="0" applyFont="1" applyBorder="1" applyAlignment="1">
      <alignment horizontal="right"/>
    </xf>
    <xf numFmtId="0" fontId="14" fillId="0" borderId="0" xfId="0" applyFont="1"/>
    <xf numFmtId="0" fontId="11" fillId="0" borderId="0" xfId="0" applyFont="1" applyFill="1" applyBorder="1" applyAlignment="1">
      <alignment horizontal="right" vertical="center"/>
    </xf>
    <xf numFmtId="0" fontId="12" fillId="0" borderId="9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2" applyAlignment="1">
      <alignment horizontal="left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en-US" sz="1600"/>
              <a:t>OVERWEITH  OR OBESITY</a:t>
            </a:r>
          </a:p>
        </c:rich>
      </c:tx>
      <c:layout>
        <c:manualLayout>
          <c:xMode val="edge"/>
          <c:yMode val="edge"/>
          <c:x val="0.14848736029124629"/>
          <c:y val="6.82939238786595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66576261467388"/>
          <c:y val="0.447154142226527"/>
          <c:w val="0.76561888151665303"/>
          <c:h val="0.204967948441720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OUTPUTS'!$Q$16</c:f>
              <c:numCache>
                <c:formatCode>0.00</c:formatCode>
                <c:ptCount val="1"/>
                <c:pt idx="0">
                  <c:v>0.64766839378238339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7-4CF7-8926-C3593EB16E17}"/>
            </c:ext>
          </c:extLst>
        </c:ser>
        <c:ser>
          <c:idx val="3"/>
          <c:order val="1"/>
          <c:spPr>
            <a:solidFill>
              <a:schemeClr val="tx1"/>
            </a:solidFill>
          </c:spPr>
          <c:invertIfNegative val="0"/>
          <c:dLbls>
            <c:delete val="1"/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OUTPUTS'!$O$4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7-4CF7-8926-C3593EB16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37877376"/>
        <c:axId val="137878912"/>
      </c:barChart>
      <c:catAx>
        <c:axId val="137877376"/>
        <c:scaling>
          <c:orientation val="maxMin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lang="en-US" sz="1200"/>
            </a:pPr>
            <a:endParaRPr lang="en-US"/>
          </a:p>
        </c:txPr>
        <c:crossAx val="137878912"/>
        <c:crosses val="autoZero"/>
        <c:auto val="1"/>
        <c:lblAlgn val="ctr"/>
        <c:lblOffset val="100"/>
        <c:noMultiLvlLbl val="0"/>
      </c:catAx>
      <c:valAx>
        <c:axId val="137878912"/>
        <c:scaling>
          <c:logBase val="10"/>
          <c:orientation val="minMax"/>
          <c:max val="10"/>
          <c:min val="0.1"/>
        </c:scaling>
        <c:delete val="0"/>
        <c:axPos val="t"/>
        <c:majorGridlines/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137877376"/>
        <c:crosses val="autoZero"/>
        <c:crossBetween val="between"/>
      </c:valAx>
      <c:spPr>
        <a:gradFill flip="none" rotWithShape="1">
          <a:gsLst>
            <a:gs pos="50000">
              <a:srgbClr val="FFFF00"/>
            </a:gs>
            <a:gs pos="100000">
              <a:srgbClr val="00B050"/>
            </a:gs>
            <a:gs pos="0">
              <a:srgbClr val="FF0000"/>
            </a:gs>
          </a:gsLst>
          <a:lin ang="10800000" scaled="1"/>
          <a:tileRect/>
        </a:gradFill>
        <a:ln w="9525"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33" l="0.70000000000000262" r="0.700000000000002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en-US" sz="1600"/>
              <a:t>TYPE 2 DIABETES</a:t>
            </a:r>
          </a:p>
        </c:rich>
      </c:tx>
      <c:layout>
        <c:manualLayout>
          <c:xMode val="edge"/>
          <c:yMode val="edge"/>
          <c:x val="0.15262283560502657"/>
          <c:y val="8.975821553396745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66576261467388"/>
          <c:y val="0.44715414222652689"/>
          <c:w val="0.76561888151665303"/>
          <c:h val="0.20496794844172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OUTPUTS'!$Q$24</c:f>
              <c:numCache>
                <c:formatCode>0.00</c:formatCode>
                <c:ptCount val="1"/>
                <c:pt idx="0">
                  <c:v>0.39999999999999997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25C-AE05-303C862E7FDD}"/>
            </c:ext>
          </c:extLst>
        </c:ser>
        <c:ser>
          <c:idx val="3"/>
          <c:order val="1"/>
          <c:spPr>
            <a:solidFill>
              <a:schemeClr val="tx1"/>
            </a:solidFill>
          </c:spPr>
          <c:invertIfNegative val="0"/>
          <c:dLbls>
            <c:delete val="1"/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OUTPUTS'!$O$4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5-425C-AE05-303C862E7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37797632"/>
        <c:axId val="137799168"/>
      </c:barChart>
      <c:catAx>
        <c:axId val="137797632"/>
        <c:scaling>
          <c:orientation val="maxMin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lang="en-US" sz="1200"/>
            </a:pPr>
            <a:endParaRPr lang="en-US"/>
          </a:p>
        </c:txPr>
        <c:crossAx val="137799168"/>
        <c:crosses val="autoZero"/>
        <c:auto val="1"/>
        <c:lblAlgn val="ctr"/>
        <c:lblOffset val="100"/>
        <c:noMultiLvlLbl val="0"/>
      </c:catAx>
      <c:valAx>
        <c:axId val="137799168"/>
        <c:scaling>
          <c:logBase val="10"/>
          <c:orientation val="minMax"/>
          <c:max val="10"/>
          <c:min val="0.1"/>
        </c:scaling>
        <c:delete val="0"/>
        <c:axPos val="t"/>
        <c:majorGridlines/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137797632"/>
        <c:crosses val="autoZero"/>
        <c:crossBetween val="between"/>
      </c:valAx>
      <c:spPr>
        <a:gradFill flip="none" rotWithShape="1">
          <a:gsLst>
            <a:gs pos="50000">
              <a:srgbClr val="FFFF00"/>
            </a:gs>
            <a:gs pos="100000">
              <a:srgbClr val="00B050"/>
            </a:gs>
            <a:gs pos="0">
              <a:srgbClr val="FF0000"/>
            </a:gs>
          </a:gsLst>
          <a:lin ang="10800000" scaled="1"/>
          <a:tileRect/>
        </a:gradFill>
        <a:ln w="9525"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262" r="0.70000000000000262" t="0.750000000000008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en-US" sz="1600"/>
              <a:t>CARDIO VASCULAR DISEASES</a:t>
            </a:r>
          </a:p>
        </c:rich>
      </c:tx>
      <c:layout>
        <c:manualLayout>
          <c:xMode val="edge"/>
          <c:yMode val="edge"/>
          <c:x val="0.14848736029124646"/>
          <c:y val="6.82939238786595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66576261467388"/>
          <c:y val="0.44715414222652677"/>
          <c:w val="0.76561888151665303"/>
          <c:h val="0.204967948441721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OUTPUTS'!$Q$41</c:f>
              <c:numCache>
                <c:formatCode>0.00</c:formatCode>
                <c:ptCount val="1"/>
                <c:pt idx="0">
                  <c:v>0.38614064759265182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9-4372-91EB-B3E50F594917}"/>
            </c:ext>
          </c:extLst>
        </c:ser>
        <c:ser>
          <c:idx val="3"/>
          <c:order val="1"/>
          <c:spPr>
            <a:solidFill>
              <a:schemeClr val="tx1"/>
            </a:solidFill>
          </c:spPr>
          <c:invertIfNegative val="0"/>
          <c:dLbls>
            <c:delete val="1"/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OUTPUTS'!$O$4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9-4372-91EB-B3E50F5949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38229632"/>
        <c:axId val="138231168"/>
      </c:barChart>
      <c:catAx>
        <c:axId val="138229632"/>
        <c:scaling>
          <c:orientation val="maxMin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lang="en-US" sz="1200"/>
            </a:pPr>
            <a:endParaRPr lang="en-US"/>
          </a:p>
        </c:txPr>
        <c:crossAx val="138231168"/>
        <c:crosses val="autoZero"/>
        <c:auto val="1"/>
        <c:lblAlgn val="ctr"/>
        <c:lblOffset val="100"/>
        <c:noMultiLvlLbl val="0"/>
      </c:catAx>
      <c:valAx>
        <c:axId val="138231168"/>
        <c:scaling>
          <c:logBase val="10"/>
          <c:orientation val="minMax"/>
          <c:max val="10"/>
          <c:min val="0.1"/>
        </c:scaling>
        <c:delete val="0"/>
        <c:axPos val="t"/>
        <c:majorGridlines/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138229632"/>
        <c:crosses val="autoZero"/>
        <c:crossBetween val="between"/>
      </c:valAx>
      <c:spPr>
        <a:gradFill flip="none" rotWithShape="1">
          <a:gsLst>
            <a:gs pos="50000">
              <a:srgbClr val="FFFF00"/>
            </a:gs>
            <a:gs pos="100000">
              <a:srgbClr val="00B050"/>
            </a:gs>
            <a:gs pos="0">
              <a:srgbClr val="FF0000"/>
            </a:gs>
          </a:gsLst>
          <a:lin ang="10800000" scaled="1"/>
          <a:tileRect/>
        </a:gradFill>
        <a:ln w="9525"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262" r="0.70000000000000262" t="0.750000000000008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/>
            </a:pPr>
            <a:r>
              <a:rPr lang="en-US" sz="1600"/>
              <a:t>HYPERTENSION</a:t>
            </a:r>
          </a:p>
        </c:rich>
      </c:tx>
      <c:layout>
        <c:manualLayout>
          <c:xMode val="edge"/>
          <c:yMode val="edge"/>
          <c:x val="0.14710890288477455"/>
          <c:y val="5.67511511103920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66576261467388"/>
          <c:y val="0.44715414222652666"/>
          <c:w val="0.76561888151665303"/>
          <c:h val="0.2049679484417212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2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OUTPUTS'!$Q$33</c:f>
              <c:numCache>
                <c:formatCode>0.00</c:formatCode>
                <c:ptCount val="1"/>
                <c:pt idx="0">
                  <c:v>9.3676885294290191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7-4295-AE0A-4086DF1F1AC4}"/>
            </c:ext>
          </c:extLst>
        </c:ser>
        <c:ser>
          <c:idx val="3"/>
          <c:order val="1"/>
          <c:spPr>
            <a:solidFill>
              <a:schemeClr val="tx1"/>
            </a:solidFill>
          </c:spPr>
          <c:invertIfNegative val="0"/>
          <c:dLbls>
            <c:delete val="1"/>
          </c:dLbls>
          <c:cat>
            <c:strRef>
              <c:f>'INPUTS - OUTPUTS'!$P$16</c:f>
              <c:strCache>
                <c:ptCount val="1"/>
                <c:pt idx="0">
                  <c:v>RR</c:v>
                </c:pt>
              </c:strCache>
            </c:strRef>
          </c:cat>
          <c:val>
            <c:numRef>
              <c:f>'INPUTS - OUTPUTS'!$O$4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7-4295-AE0A-4086DF1F1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38149888"/>
        <c:axId val="138151424"/>
      </c:barChart>
      <c:catAx>
        <c:axId val="138149888"/>
        <c:scaling>
          <c:orientation val="maxMin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lang="en-US" sz="1200"/>
            </a:pPr>
            <a:endParaRPr lang="en-US"/>
          </a:p>
        </c:txPr>
        <c:crossAx val="138151424"/>
        <c:crosses val="autoZero"/>
        <c:auto val="1"/>
        <c:lblAlgn val="ctr"/>
        <c:lblOffset val="100"/>
        <c:noMultiLvlLbl val="0"/>
      </c:catAx>
      <c:valAx>
        <c:axId val="138151424"/>
        <c:scaling>
          <c:logBase val="10"/>
          <c:orientation val="minMax"/>
          <c:max val="10"/>
          <c:min val="0.1"/>
        </c:scaling>
        <c:delete val="0"/>
        <c:axPos val="t"/>
        <c:majorGridlines/>
        <c:numFmt formatCode="General" sourceLinked="0"/>
        <c:majorTickMark val="none"/>
        <c:minorTickMark val="none"/>
        <c:tickLblPos val="high"/>
        <c:txPr>
          <a:bodyPr/>
          <a:lstStyle/>
          <a:p>
            <a:pPr>
              <a:defRPr lang="en-US" sz="1200" baseline="0"/>
            </a:pPr>
            <a:endParaRPr lang="en-US"/>
          </a:p>
        </c:txPr>
        <c:crossAx val="138149888"/>
        <c:crosses val="autoZero"/>
        <c:crossBetween val="between"/>
      </c:valAx>
      <c:spPr>
        <a:gradFill flip="none" rotWithShape="1">
          <a:gsLst>
            <a:gs pos="50000">
              <a:srgbClr val="FFFF00"/>
            </a:gs>
            <a:gs pos="100000">
              <a:srgbClr val="00B050"/>
            </a:gs>
            <a:gs pos="0">
              <a:srgbClr val="FF0000"/>
            </a:gs>
          </a:gsLst>
          <a:lin ang="10800000" scaled="1"/>
          <a:tileRect/>
        </a:gradFill>
        <a:ln w="9525"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99" l="0.70000000000000262" r="0.700000000000002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242661</xdr:colOff>
      <xdr:row>11</xdr:row>
      <xdr:rowOff>131536</xdr:rowOff>
    </xdr:from>
    <xdr:to>
      <xdr:col>32</xdr:col>
      <xdr:colOff>311686</xdr:colOff>
      <xdr:row>17</xdr:row>
      <xdr:rowOff>166997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269875</xdr:colOff>
      <xdr:row>19</xdr:row>
      <xdr:rowOff>127000</xdr:rowOff>
    </xdr:from>
    <xdr:to>
      <xdr:col>32</xdr:col>
      <xdr:colOff>338900</xdr:colOff>
      <xdr:row>25</xdr:row>
      <xdr:rowOff>146586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269876</xdr:colOff>
      <xdr:row>36</xdr:row>
      <xdr:rowOff>85438</xdr:rowOff>
    </xdr:from>
    <xdr:to>
      <xdr:col>32</xdr:col>
      <xdr:colOff>338901</xdr:colOff>
      <xdr:row>42</xdr:row>
      <xdr:rowOff>105023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299605</xdr:colOff>
      <xdr:row>28</xdr:row>
      <xdr:rowOff>67540</xdr:rowOff>
    </xdr:from>
    <xdr:to>
      <xdr:col>32</xdr:col>
      <xdr:colOff>368630</xdr:colOff>
      <xdr:row>34</xdr:row>
      <xdr:rowOff>87127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dmemo.com/medical/unitconvert/Cholesterol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showRowColHeaders="0" workbookViewId="0">
      <selection activeCell="A12" sqref="A12:XFD12"/>
    </sheetView>
  </sheetViews>
  <sheetFormatPr defaultColWidth="9.109375" defaultRowHeight="14.4" x14ac:dyDescent="0.3"/>
  <cols>
    <col min="1" max="16384" width="9.109375" style="5"/>
  </cols>
  <sheetData>
    <row r="1" spans="1:55" x14ac:dyDescent="0.3">
      <c r="A1" s="5" t="s">
        <v>2</v>
      </c>
      <c r="D1" s="6" t="s">
        <v>3</v>
      </c>
    </row>
    <row r="3" spans="1:55" x14ac:dyDescent="0.3">
      <c r="A3" s="5" t="s">
        <v>4</v>
      </c>
    </row>
    <row r="4" spans="1:55" x14ac:dyDescent="0.3">
      <c r="A4" s="5" t="e">
        <f ca="1">CELL("address",#REF!)</f>
        <v>#REF!</v>
      </c>
      <c r="B4" s="5" t="s">
        <v>12</v>
      </c>
      <c r="C4" s="5" t="e">
        <f ca="1">CELL("address",#REF!)</f>
        <v>#REF!</v>
      </c>
      <c r="D4" s="5" t="e">
        <f ca="1">CELL("address",#REF!)</f>
        <v>#REF!</v>
      </c>
      <c r="E4" s="5" t="e">
        <f ca="1">CELL("address",#REF!)</f>
        <v>#REF!</v>
      </c>
      <c r="G4" s="5">
        <v>2</v>
      </c>
      <c r="H4" s="5">
        <v>1</v>
      </c>
      <c r="I4" s="5">
        <v>1</v>
      </c>
      <c r="J4" s="5" t="s">
        <v>13</v>
      </c>
      <c r="L4" s="5">
        <v>0</v>
      </c>
      <c r="M4" s="5">
        <v>0</v>
      </c>
      <c r="N4" s="5">
        <v>1</v>
      </c>
      <c r="O4" s="5" t="s">
        <v>14</v>
      </c>
      <c r="Q4" s="5" t="s">
        <v>15</v>
      </c>
      <c r="S4" s="5">
        <v>1</v>
      </c>
      <c r="T4" s="5">
        <v>255</v>
      </c>
      <c r="U4" s="5">
        <v>1</v>
      </c>
      <c r="V4" s="5">
        <v>1</v>
      </c>
      <c r="W4" s="5">
        <v>65535</v>
      </c>
      <c r="X4" s="5">
        <v>1</v>
      </c>
      <c r="Y4" s="5">
        <v>1</v>
      </c>
      <c r="Z4" s="5">
        <v>1</v>
      </c>
      <c r="AA4" s="5" t="e">
        <f ca="1">CELL("address",#REF!)</f>
        <v>#REF!</v>
      </c>
      <c r="AB4" s="5" t="e">
        <f ca="1">CELL("address",#REF!)</f>
        <v>#REF!</v>
      </c>
      <c r="AC4" s="5" t="e">
        <f ca="1">CELL("address",#REF!)</f>
        <v>#REF!</v>
      </c>
      <c r="AJ4" s="5" t="s">
        <v>16</v>
      </c>
      <c r="AK4" s="5">
        <v>1</v>
      </c>
      <c r="AL4" s="5">
        <v>2</v>
      </c>
      <c r="AM4" s="5">
        <v>2</v>
      </c>
      <c r="AN4" s="5">
        <v>1</v>
      </c>
      <c r="AO4" s="5">
        <v>0</v>
      </c>
      <c r="AP4" s="5">
        <v>65535</v>
      </c>
      <c r="AQ4" s="5">
        <v>1</v>
      </c>
    </row>
    <row r="5" spans="1:55" x14ac:dyDescent="0.3">
      <c r="A5" s="5" t="e">
        <f ca="1">CELL("address",#REF!)</f>
        <v>#REF!</v>
      </c>
      <c r="B5" s="5" t="s">
        <v>19</v>
      </c>
      <c r="C5" s="5" t="e">
        <f ca="1">CELL("address",#REF!)</f>
        <v>#REF!</v>
      </c>
      <c r="D5" s="5" t="e">
        <f ca="1">CELL("address",#REF!)</f>
        <v>#REF!</v>
      </c>
      <c r="E5" s="5" t="e">
        <f ca="1">CELL("address",#REF!)</f>
        <v>#REF!</v>
      </c>
      <c r="G5" s="5">
        <v>2</v>
      </c>
      <c r="H5" s="5">
        <v>1</v>
      </c>
      <c r="I5" s="5">
        <v>1</v>
      </c>
      <c r="J5" s="5" t="s">
        <v>13</v>
      </c>
      <c r="L5" s="5">
        <v>0</v>
      </c>
      <c r="M5" s="5">
        <v>0</v>
      </c>
      <c r="N5" s="5">
        <v>1</v>
      </c>
      <c r="O5" s="5" t="s">
        <v>21</v>
      </c>
      <c r="Q5" s="5" t="s">
        <v>22</v>
      </c>
      <c r="R5" s="5" t="s">
        <v>20</v>
      </c>
      <c r="S5" s="5">
        <v>1</v>
      </c>
      <c r="T5" s="5">
        <v>12632256</v>
      </c>
      <c r="U5" s="5">
        <v>1</v>
      </c>
      <c r="V5" s="5">
        <v>1</v>
      </c>
      <c r="W5" s="5">
        <v>12632256</v>
      </c>
      <c r="X5" s="5">
        <v>1</v>
      </c>
      <c r="Y5" s="5">
        <v>1</v>
      </c>
      <c r="Z5" s="5">
        <v>1</v>
      </c>
      <c r="AA5" s="5" t="e">
        <f ca="1">CELL("address",#REF!)</f>
        <v>#REF!</v>
      </c>
      <c r="AB5" s="5" t="e">
        <f ca="1">CELL("address",#REF!)</f>
        <v>#REF!</v>
      </c>
      <c r="AC5" s="5" t="e">
        <f ca="1">CELL("address",#REF!)</f>
        <v>#REF!</v>
      </c>
      <c r="AD5" s="5" t="e">
        <f ca="1">CELL("address",#REF!)</f>
        <v>#REF!</v>
      </c>
      <c r="AE5" s="5" t="e">
        <f ca="1">CELL("address",#REF!)</f>
        <v>#REF!</v>
      </c>
      <c r="AF5" s="5" t="e">
        <f ca="1">CELL("address",#REF!)</f>
        <v>#REF!</v>
      </c>
      <c r="AG5" s="5" t="e">
        <f ca="1">CELL("address",#REF!)</f>
        <v>#REF!</v>
      </c>
      <c r="AH5" s="5" t="e">
        <f ca="1">CELL("address",#REF!)</f>
        <v>#REF!</v>
      </c>
      <c r="AI5" s="5" t="e">
        <f ca="1">CELL("address",#REF!)</f>
        <v>#REF!</v>
      </c>
      <c r="AJ5" s="5" t="s">
        <v>16</v>
      </c>
      <c r="AK5" s="5">
        <v>0</v>
      </c>
      <c r="AL5" s="5">
        <v>2</v>
      </c>
      <c r="AM5" s="5">
        <v>1</v>
      </c>
      <c r="AN5" s="5">
        <v>1</v>
      </c>
      <c r="AO5" s="5">
        <v>0</v>
      </c>
      <c r="AP5" s="5">
        <v>16777215</v>
      </c>
      <c r="AQ5" s="5">
        <v>1</v>
      </c>
    </row>
    <row r="6" spans="1:55" x14ac:dyDescent="0.3">
      <c r="A6" s="5" t="e">
        <f ca="1">CELL("address",#REF!)</f>
        <v>#REF!</v>
      </c>
      <c r="B6" s="5" t="s">
        <v>23</v>
      </c>
      <c r="C6" s="5" t="e">
        <f ca="1">CELL("address",#REF!)</f>
        <v>#REF!</v>
      </c>
      <c r="D6" s="5" t="e">
        <f ca="1">CELL("address",#REF!)</f>
        <v>#REF!</v>
      </c>
      <c r="E6" s="5" t="e">
        <f ca="1">CELL("address",#REF!)</f>
        <v>#REF!</v>
      </c>
      <c r="G6" s="5">
        <v>2</v>
      </c>
      <c r="H6" s="5">
        <v>1</v>
      </c>
      <c r="I6" s="5">
        <v>1</v>
      </c>
      <c r="J6" s="5" t="s">
        <v>13</v>
      </c>
      <c r="L6" s="5">
        <v>0</v>
      </c>
      <c r="M6" s="5">
        <v>0</v>
      </c>
      <c r="N6" s="5">
        <v>1</v>
      </c>
      <c r="O6" s="5" t="s">
        <v>21</v>
      </c>
      <c r="Q6" s="5" t="s">
        <v>22</v>
      </c>
      <c r="R6" s="5" t="s">
        <v>20</v>
      </c>
      <c r="S6" s="5">
        <v>1</v>
      </c>
      <c r="T6" s="5">
        <v>12632256</v>
      </c>
      <c r="U6" s="5">
        <v>1</v>
      </c>
      <c r="V6" s="5">
        <v>1</v>
      </c>
      <c r="W6" s="5">
        <v>12632256</v>
      </c>
      <c r="X6" s="5">
        <v>1</v>
      </c>
      <c r="Y6" s="5">
        <v>1</v>
      </c>
      <c r="Z6" s="5">
        <v>1</v>
      </c>
      <c r="AA6" s="5" t="e">
        <f ca="1">CELL("address",#REF!)</f>
        <v>#REF!</v>
      </c>
      <c r="AB6" s="5" t="e">
        <f ca="1">CELL("address",#REF!)</f>
        <v>#REF!</v>
      </c>
      <c r="AC6" s="5" t="e">
        <f ca="1">CELL("address",#REF!)</f>
        <v>#REF!</v>
      </c>
      <c r="AD6" s="5" t="e">
        <f ca="1">CELL("address",#REF!)</f>
        <v>#REF!</v>
      </c>
      <c r="AE6" s="5" t="e">
        <f ca="1">CELL("address",#REF!)</f>
        <v>#REF!</v>
      </c>
      <c r="AF6" s="5" t="e">
        <f ca="1">CELL("address",#REF!)</f>
        <v>#REF!</v>
      </c>
      <c r="AG6" s="5" t="e">
        <f ca="1">CELL("address",#REF!)</f>
        <v>#REF!</v>
      </c>
      <c r="AH6" s="5" t="e">
        <f ca="1">CELL("address",#REF!)</f>
        <v>#REF!</v>
      </c>
      <c r="AI6" s="5" t="e">
        <f ca="1">CELL("address",#REF!)</f>
        <v>#REF!</v>
      </c>
      <c r="AJ6" s="5" t="s">
        <v>16</v>
      </c>
      <c r="AK6" s="5">
        <v>0</v>
      </c>
      <c r="AL6" s="5">
        <v>2</v>
      </c>
      <c r="AM6" s="5">
        <v>2</v>
      </c>
      <c r="AN6" s="5">
        <v>1</v>
      </c>
      <c r="AO6" s="5">
        <v>0</v>
      </c>
      <c r="AP6" s="5">
        <v>16777215</v>
      </c>
      <c r="AQ6" s="5">
        <v>1</v>
      </c>
    </row>
    <row r="7" spans="1:55" x14ac:dyDescent="0.3">
      <c r="A7" s="5" t="e">
        <f ca="1">CELL("address",#REF!)</f>
        <v>#REF!</v>
      </c>
      <c r="B7" s="5" t="s">
        <v>24</v>
      </c>
      <c r="C7" s="5" t="e">
        <f ca="1">CELL("address",#REF!)</f>
        <v>#REF!</v>
      </c>
      <c r="D7" s="5" t="e">
        <f ca="1">CELL("address",#REF!)</f>
        <v>#REF!</v>
      </c>
      <c r="E7" s="5" t="e">
        <f ca="1">CELL("address",#REF!)</f>
        <v>#REF!</v>
      </c>
      <c r="G7" s="5">
        <v>2</v>
      </c>
      <c r="H7" s="5">
        <v>1</v>
      </c>
      <c r="I7" s="5">
        <v>1</v>
      </c>
      <c r="J7" s="5" t="s">
        <v>13</v>
      </c>
      <c r="L7" s="5">
        <v>0</v>
      </c>
      <c r="M7" s="5">
        <v>0</v>
      </c>
      <c r="N7" s="5">
        <v>1</v>
      </c>
      <c r="O7" s="5" t="s">
        <v>21</v>
      </c>
      <c r="Q7" s="5" t="s">
        <v>22</v>
      </c>
      <c r="S7" s="5">
        <v>1</v>
      </c>
      <c r="T7" s="5">
        <v>12632256</v>
      </c>
      <c r="U7" s="5">
        <v>1</v>
      </c>
      <c r="V7" s="5">
        <v>1</v>
      </c>
      <c r="W7" s="5">
        <v>12632256</v>
      </c>
      <c r="X7" s="5">
        <v>1</v>
      </c>
      <c r="Y7" s="5">
        <v>1</v>
      </c>
      <c r="Z7" s="5">
        <v>1</v>
      </c>
      <c r="AA7" s="5" t="e">
        <f ca="1">CELL("address",#REF!)</f>
        <v>#REF!</v>
      </c>
      <c r="AB7" s="5" t="e">
        <f ca="1">CELL("address",#REF!)</f>
        <v>#REF!</v>
      </c>
      <c r="AC7" s="5" t="e">
        <f ca="1">CELL("address",#REF!)</f>
        <v>#REF!</v>
      </c>
      <c r="AD7" s="5" t="e">
        <f ca="1">CELL("address",#REF!)</f>
        <v>#REF!</v>
      </c>
      <c r="AE7" s="5" t="e">
        <f ca="1">CELL("address",#REF!)</f>
        <v>#REF!</v>
      </c>
      <c r="AF7" s="5" t="e">
        <f ca="1">CELL("address",#REF!)</f>
        <v>#REF!</v>
      </c>
      <c r="AG7" s="5" t="e">
        <f ca="1">CELL("address",#REF!)</f>
        <v>#REF!</v>
      </c>
      <c r="AH7" s="5" t="e">
        <f ca="1">CELL("address",#REF!)</f>
        <v>#REF!</v>
      </c>
      <c r="AI7" s="5" t="e">
        <f ca="1">CELL("address",#REF!)</f>
        <v>#REF!</v>
      </c>
      <c r="AJ7" s="5" t="s">
        <v>16</v>
      </c>
      <c r="AK7" s="5">
        <v>0</v>
      </c>
      <c r="AL7" s="5">
        <v>2</v>
      </c>
      <c r="AM7" s="5">
        <v>2</v>
      </c>
      <c r="AN7" s="5">
        <v>1</v>
      </c>
      <c r="AO7" s="5">
        <v>0</v>
      </c>
      <c r="AP7" s="5">
        <v>16777215</v>
      </c>
      <c r="AQ7" s="5">
        <v>1</v>
      </c>
    </row>
    <row r="8" spans="1:55" x14ac:dyDescent="0.3">
      <c r="A8" s="5" t="e">
        <f ca="1">CELL("address",#REF!)</f>
        <v>#REF!</v>
      </c>
      <c r="B8" s="5" t="s">
        <v>27</v>
      </c>
      <c r="C8" s="5" t="e">
        <f ca="1">CELL("address",#REF!)</f>
        <v>#REF!</v>
      </c>
      <c r="D8" s="5" t="e">
        <f ca="1">CELL("address",#REF!)</f>
        <v>#REF!</v>
      </c>
      <c r="E8" s="5" t="e">
        <f ca="1">CELL("address",#REF!)</f>
        <v>#REF!</v>
      </c>
      <c r="G8" s="5">
        <v>2</v>
      </c>
      <c r="H8" s="5">
        <v>1</v>
      </c>
      <c r="I8" s="5">
        <v>1</v>
      </c>
      <c r="J8" s="5" t="s">
        <v>13</v>
      </c>
      <c r="L8" s="5">
        <v>0</v>
      </c>
      <c r="M8" s="5">
        <v>0</v>
      </c>
      <c r="N8" s="5">
        <v>1</v>
      </c>
      <c r="O8" s="5" t="s">
        <v>21</v>
      </c>
      <c r="Q8" s="5" t="s">
        <v>22</v>
      </c>
      <c r="S8" s="5">
        <v>1</v>
      </c>
      <c r="T8" s="5">
        <v>12632256</v>
      </c>
      <c r="U8" s="5">
        <v>0</v>
      </c>
      <c r="V8" s="5">
        <v>2</v>
      </c>
      <c r="W8" s="5">
        <v>65535</v>
      </c>
      <c r="X8" s="5">
        <v>1</v>
      </c>
      <c r="Y8" s="5">
        <v>1</v>
      </c>
      <c r="Z8" s="5">
        <v>1</v>
      </c>
      <c r="AA8" s="5" t="e">
        <f ca="1">CELL("address",#REF!)</f>
        <v>#REF!</v>
      </c>
      <c r="AB8" s="5" t="e">
        <f ca="1">CELL("address",#REF!)</f>
        <v>#REF!</v>
      </c>
      <c r="AC8" s="5" t="e">
        <f ca="1">CELL("address",#REF!)</f>
        <v>#REF!</v>
      </c>
      <c r="AD8" s="5" t="e">
        <f ca="1">CELL("address",#REF!)</f>
        <v>#REF!</v>
      </c>
      <c r="AE8" s="5" t="e">
        <f ca="1">CELL("address",#REF!)</f>
        <v>#REF!</v>
      </c>
      <c r="AF8" s="5" t="e">
        <f ca="1">CELL("address",#REF!)</f>
        <v>#REF!</v>
      </c>
      <c r="AG8" s="5" t="e">
        <f ca="1">CELL("address",#REF!)</f>
        <v>#REF!</v>
      </c>
      <c r="AH8" s="5" t="e">
        <f ca="1">CELL("address",#REF!)</f>
        <v>#REF!</v>
      </c>
      <c r="AI8" s="5" t="e">
        <f ca="1">CELL("address",#REF!)</f>
        <v>#REF!</v>
      </c>
      <c r="AJ8" s="5" t="s">
        <v>16</v>
      </c>
      <c r="AK8" s="5">
        <v>0</v>
      </c>
      <c r="AL8" s="5">
        <v>2</v>
      </c>
      <c r="AM8" s="5">
        <v>2</v>
      </c>
      <c r="AN8" s="5">
        <v>1</v>
      </c>
      <c r="AO8" s="5">
        <v>0</v>
      </c>
      <c r="AP8" s="5">
        <v>13434879</v>
      </c>
      <c r="AQ8" s="5">
        <v>1</v>
      </c>
    </row>
    <row r="9" spans="1:55" x14ac:dyDescent="0.3">
      <c r="A9" s="5" t="e">
        <f ca="1">CELL("address",#REF!)</f>
        <v>#REF!</v>
      </c>
      <c r="B9" s="5" t="s">
        <v>28</v>
      </c>
      <c r="C9" s="5" t="e">
        <f ca="1">CELL("address",#REF!)</f>
        <v>#REF!</v>
      </c>
      <c r="D9" s="5" t="e">
        <f ca="1">CELL("address",#REF!)</f>
        <v>#REF!</v>
      </c>
      <c r="E9" s="5" t="e">
        <f ca="1">CELL("address",#REF!)</f>
        <v>#REF!</v>
      </c>
      <c r="G9" s="5">
        <v>2</v>
      </c>
      <c r="H9" s="5">
        <v>1</v>
      </c>
      <c r="I9" s="5">
        <v>1</v>
      </c>
      <c r="J9" s="5" t="s">
        <v>13</v>
      </c>
      <c r="L9" s="5">
        <v>0</v>
      </c>
      <c r="M9" s="5">
        <v>0</v>
      </c>
      <c r="N9" s="5">
        <v>1</v>
      </c>
      <c r="O9" s="5" t="s">
        <v>21</v>
      </c>
      <c r="Q9" s="5" t="s">
        <v>22</v>
      </c>
      <c r="S9" s="5">
        <v>1</v>
      </c>
      <c r="T9" s="5">
        <v>12632256</v>
      </c>
      <c r="U9" s="5">
        <v>0</v>
      </c>
      <c r="V9" s="5">
        <v>2</v>
      </c>
      <c r="W9" s="5">
        <v>65535</v>
      </c>
      <c r="X9" s="5">
        <v>1</v>
      </c>
      <c r="Y9" s="5">
        <v>1</v>
      </c>
      <c r="Z9" s="5">
        <v>1</v>
      </c>
      <c r="AA9" s="5" t="e">
        <f ca="1">CELL("address",#REF!)</f>
        <v>#REF!</v>
      </c>
      <c r="AB9" s="5" t="e">
        <f ca="1">CELL("address",#REF!)</f>
        <v>#REF!</v>
      </c>
      <c r="AC9" s="5" t="e">
        <f ca="1">CELL("address",#REF!)</f>
        <v>#REF!</v>
      </c>
      <c r="AD9" s="5" t="e">
        <f ca="1">CELL("address",#REF!)</f>
        <v>#REF!</v>
      </c>
      <c r="AE9" s="5" t="e">
        <f ca="1">CELL("address",#REF!)</f>
        <v>#REF!</v>
      </c>
      <c r="AF9" s="5" t="e">
        <f ca="1">CELL("address",#REF!)</f>
        <v>#REF!</v>
      </c>
      <c r="AG9" s="5" t="e">
        <f ca="1">CELL("address",#REF!)</f>
        <v>#REF!</v>
      </c>
      <c r="AH9" s="5" t="e">
        <f ca="1">CELL("address",#REF!)</f>
        <v>#REF!</v>
      </c>
      <c r="AI9" s="5" t="e">
        <f ca="1">CELL("address",#REF!)</f>
        <v>#REF!</v>
      </c>
      <c r="AJ9" s="5" t="s">
        <v>16</v>
      </c>
      <c r="AK9" s="5">
        <v>0</v>
      </c>
      <c r="AL9" s="5">
        <v>2</v>
      </c>
      <c r="AM9" s="5">
        <v>2</v>
      </c>
      <c r="AN9" s="5">
        <v>1</v>
      </c>
      <c r="AO9" s="5">
        <v>0</v>
      </c>
      <c r="AP9" s="5">
        <v>16777215</v>
      </c>
      <c r="AQ9" s="5">
        <v>1</v>
      </c>
    </row>
    <row r="10" spans="1:55" x14ac:dyDescent="0.3">
      <c r="A10" s="5" t="e">
        <f ca="1">CELL("address",#REF!)</f>
        <v>#REF!</v>
      </c>
      <c r="B10" s="5" t="s">
        <v>29</v>
      </c>
      <c r="C10" s="5" t="e">
        <f ca="1">CELL("address",#REF!)</f>
        <v>#REF!</v>
      </c>
      <c r="D10" s="5" t="e">
        <f ca="1">CELL("address",#REF!)</f>
        <v>#REF!</v>
      </c>
      <c r="E10" s="5" t="e">
        <f ca="1">CELL("address",#REF!)</f>
        <v>#REF!</v>
      </c>
      <c r="G10" s="5">
        <v>2</v>
      </c>
      <c r="H10" s="5">
        <v>1</v>
      </c>
      <c r="I10" s="5">
        <v>1</v>
      </c>
      <c r="J10" s="5" t="s">
        <v>13</v>
      </c>
      <c r="L10" s="5">
        <v>0</v>
      </c>
      <c r="M10" s="5">
        <v>0</v>
      </c>
      <c r="N10" s="5">
        <v>1</v>
      </c>
      <c r="O10" s="5" t="s">
        <v>21</v>
      </c>
      <c r="Q10" s="5" t="s">
        <v>22</v>
      </c>
      <c r="S10" s="5">
        <v>1</v>
      </c>
      <c r="T10" s="5">
        <v>12632256</v>
      </c>
      <c r="U10" s="5">
        <v>0</v>
      </c>
      <c r="V10" s="5">
        <v>2</v>
      </c>
      <c r="W10" s="5">
        <v>65535</v>
      </c>
      <c r="X10" s="5">
        <v>1</v>
      </c>
      <c r="Y10" s="5">
        <v>1</v>
      </c>
      <c r="Z10" s="5">
        <v>1</v>
      </c>
      <c r="AA10" s="5" t="e">
        <f ca="1">CELL("address",#REF!)</f>
        <v>#REF!</v>
      </c>
      <c r="AB10" s="5" t="e">
        <f ca="1">CELL("address",#REF!)</f>
        <v>#REF!</v>
      </c>
      <c r="AC10" s="5" t="e">
        <f ca="1">CELL("address",#REF!)</f>
        <v>#REF!</v>
      </c>
      <c r="AD10" s="5" t="e">
        <f ca="1">CELL("address",#REF!)</f>
        <v>#REF!</v>
      </c>
      <c r="AE10" s="5" t="e">
        <f ca="1">CELL("address",#REF!)</f>
        <v>#REF!</v>
      </c>
      <c r="AF10" s="5" t="e">
        <f ca="1">CELL("address",#REF!)</f>
        <v>#REF!</v>
      </c>
      <c r="AG10" s="5" t="e">
        <f ca="1">CELL("address",#REF!)</f>
        <v>#REF!</v>
      </c>
      <c r="AH10" s="5" t="e">
        <f ca="1">CELL("address",#REF!)</f>
        <v>#REF!</v>
      </c>
      <c r="AI10" s="5" t="e">
        <f ca="1">CELL("address",#REF!)</f>
        <v>#REF!</v>
      </c>
      <c r="AJ10" s="5" t="s">
        <v>16</v>
      </c>
      <c r="AK10" s="5">
        <v>0</v>
      </c>
      <c r="AL10" s="5">
        <v>2</v>
      </c>
      <c r="AM10" s="5">
        <v>2</v>
      </c>
      <c r="AN10" s="5">
        <v>1</v>
      </c>
      <c r="AO10" s="5">
        <v>0</v>
      </c>
      <c r="AP10" s="5">
        <v>16777215</v>
      </c>
      <c r="AQ10" s="5">
        <v>1</v>
      </c>
    </row>
    <row r="11" spans="1:55" x14ac:dyDescent="0.3">
      <c r="A11" s="5" t="e">
        <f ca="1">CELL("address",#REF!)</f>
        <v>#REF!</v>
      </c>
      <c r="B11" s="5" t="s">
        <v>30</v>
      </c>
      <c r="C11" s="5" t="e">
        <f ca="1">CELL("address",#REF!)</f>
        <v>#REF!</v>
      </c>
      <c r="D11" s="5" t="e">
        <f ca="1">CELL("address",#REF!)</f>
        <v>#REF!</v>
      </c>
      <c r="E11" s="5" t="e">
        <f ca="1">CELL("address",#REF!)</f>
        <v>#REF!</v>
      </c>
      <c r="G11" s="5">
        <v>2</v>
      </c>
      <c r="H11" s="5">
        <v>1</v>
      </c>
      <c r="I11" s="5">
        <v>1</v>
      </c>
      <c r="J11" s="5" t="s">
        <v>13</v>
      </c>
      <c r="L11" s="5">
        <v>0</v>
      </c>
      <c r="M11" s="5">
        <v>0</v>
      </c>
      <c r="N11" s="5">
        <v>1</v>
      </c>
      <c r="O11" s="5" t="s">
        <v>14</v>
      </c>
      <c r="Q11" s="5" t="s">
        <v>31</v>
      </c>
      <c r="R11" s="5" t="s">
        <v>20</v>
      </c>
      <c r="S11" s="5">
        <v>1</v>
      </c>
      <c r="T11" s="5">
        <v>12632256</v>
      </c>
      <c r="U11" s="5">
        <v>1</v>
      </c>
      <c r="V11" s="5">
        <v>1</v>
      </c>
      <c r="W11" s="5">
        <v>12632256</v>
      </c>
      <c r="X11" s="5">
        <v>1</v>
      </c>
      <c r="Y11" s="5">
        <v>1</v>
      </c>
      <c r="Z11" s="5">
        <v>1</v>
      </c>
      <c r="AA11" s="5" t="e">
        <f ca="1">CELL("address",#REF!)</f>
        <v>#REF!</v>
      </c>
      <c r="AB11" s="5" t="e">
        <f ca="1">CELL("address",#REF!)</f>
        <v>#REF!</v>
      </c>
      <c r="AC11" s="5" t="e">
        <f ca="1">CELL("address",#REF!)</f>
        <v>#REF!</v>
      </c>
      <c r="AD11" s="5" t="e">
        <f ca="1">CELL("address",#REF!)</f>
        <v>#REF!</v>
      </c>
      <c r="AE11" s="5" t="e">
        <f ca="1">CELL("address",#REF!)</f>
        <v>#REF!</v>
      </c>
      <c r="AF11" s="5" t="e">
        <f ca="1">CELL("address",#REF!)</f>
        <v>#REF!</v>
      </c>
      <c r="AG11" s="5" t="e">
        <f ca="1">CELL("address",#REF!)</f>
        <v>#REF!</v>
      </c>
      <c r="AH11" s="5" t="e">
        <f ca="1">CELL("address",#REF!)</f>
        <v>#REF!</v>
      </c>
      <c r="AI11" s="5" t="e">
        <f ca="1">CELL("address",#REF!)</f>
        <v>#REF!</v>
      </c>
      <c r="AJ11" s="5" t="s">
        <v>16</v>
      </c>
      <c r="AK11" s="5">
        <v>0</v>
      </c>
      <c r="AL11" s="5">
        <v>2</v>
      </c>
      <c r="AM11" s="5">
        <v>2</v>
      </c>
      <c r="AN11" s="5">
        <v>1</v>
      </c>
      <c r="AO11" s="5">
        <v>0</v>
      </c>
      <c r="AP11" s="5">
        <v>16777215</v>
      </c>
      <c r="AQ11" s="5">
        <v>1</v>
      </c>
      <c r="BC11" s="5">
        <v>5</v>
      </c>
    </row>
    <row r="12" spans="1:55" x14ac:dyDescent="0.3">
      <c r="A12" s="5" t="e">
        <f ca="1">CELL("address",#REF!)</f>
        <v>#REF!</v>
      </c>
      <c r="B12" s="5" t="s">
        <v>32</v>
      </c>
      <c r="C12" s="5" t="e">
        <f ca="1">CELL("address",#REF!)</f>
        <v>#REF!</v>
      </c>
      <c r="D12" s="5" t="e">
        <f ca="1">CELL("address",#REF!)</f>
        <v>#REF!</v>
      </c>
      <c r="E12" s="5" t="e">
        <f ca="1">CELL("address",#REF!)</f>
        <v>#REF!</v>
      </c>
      <c r="G12" s="5">
        <v>2</v>
      </c>
      <c r="H12" s="5">
        <v>1</v>
      </c>
      <c r="I12" s="5">
        <v>1</v>
      </c>
      <c r="J12" s="5" t="s">
        <v>13</v>
      </c>
      <c r="L12" s="5">
        <v>0</v>
      </c>
      <c r="M12" s="5">
        <v>0</v>
      </c>
      <c r="N12" s="5">
        <v>1</v>
      </c>
      <c r="O12" s="5" t="s">
        <v>21</v>
      </c>
      <c r="Q12" s="5" t="s">
        <v>31</v>
      </c>
      <c r="R12" s="5" t="s">
        <v>20</v>
      </c>
      <c r="S12" s="5">
        <v>1</v>
      </c>
      <c r="T12" s="5">
        <v>255</v>
      </c>
      <c r="U12" s="5">
        <v>0</v>
      </c>
      <c r="V12" s="5">
        <v>2</v>
      </c>
      <c r="W12" s="5">
        <v>65535</v>
      </c>
      <c r="X12" s="5">
        <v>0</v>
      </c>
      <c r="Y12" s="5">
        <v>1</v>
      </c>
      <c r="Z12" s="5">
        <v>1</v>
      </c>
      <c r="AA12" s="5" t="e">
        <f ca="1">CELL("address",#REF!)</f>
        <v>#REF!</v>
      </c>
      <c r="AB12" s="5" t="e">
        <f ca="1">CELL("address",#REF!)</f>
        <v>#REF!</v>
      </c>
      <c r="AC12" s="5" t="e">
        <f ca="1">CELL("address",#REF!)</f>
        <v>#REF!</v>
      </c>
      <c r="AD12" s="5" t="e">
        <f ca="1">CELL("address",#REF!)</f>
        <v>#REF!</v>
      </c>
      <c r="AE12" s="5" t="e">
        <f ca="1">CELL("address",#REF!)</f>
        <v>#REF!</v>
      </c>
      <c r="AF12" s="5" t="e">
        <f ca="1">CELL("address",#REF!)</f>
        <v>#REF!</v>
      </c>
      <c r="AG12" s="5" t="e">
        <f ca="1">CELL("address",#REF!)</f>
        <v>#REF!</v>
      </c>
      <c r="AH12" s="5" t="e">
        <f ca="1">CELL("address",#REF!)</f>
        <v>#REF!</v>
      </c>
      <c r="AI12" s="5" t="e">
        <f ca="1">CELL("address",#REF!)</f>
        <v>#REF!</v>
      </c>
      <c r="AJ12" s="5" t="s">
        <v>16</v>
      </c>
      <c r="AK12" s="5">
        <v>0</v>
      </c>
      <c r="AL12" s="5">
        <v>2</v>
      </c>
      <c r="AM12" s="5">
        <v>2</v>
      </c>
      <c r="AN12" s="5">
        <v>1</v>
      </c>
      <c r="AO12" s="5">
        <v>0</v>
      </c>
      <c r="AP12" s="5">
        <v>255</v>
      </c>
      <c r="AQ12" s="5">
        <v>2</v>
      </c>
      <c r="AR12" s="5" t="e">
        <f ca="1">CELL("address",#REF!)</f>
        <v>#REF!</v>
      </c>
    </row>
    <row r="13" spans="1:55" x14ac:dyDescent="0.3">
      <c r="A13" s="5" t="s">
        <v>5</v>
      </c>
    </row>
    <row r="14" spans="1:55" x14ac:dyDescent="0.3">
      <c r="A14" s="5" t="s">
        <v>6</v>
      </c>
    </row>
    <row r="15" spans="1:55" x14ac:dyDescent="0.3">
      <c r="A15" s="5" t="s">
        <v>7</v>
      </c>
    </row>
    <row r="16" spans="1:55" x14ac:dyDescent="0.3">
      <c r="A16" s="5" t="s">
        <v>8</v>
      </c>
    </row>
    <row r="17" spans="1:1" x14ac:dyDescent="0.3">
      <c r="A17" s="5" t="s">
        <v>9</v>
      </c>
    </row>
    <row r="18" spans="1:1" x14ac:dyDescent="0.3">
      <c r="A18" s="5" t="s">
        <v>10</v>
      </c>
    </row>
    <row r="19" spans="1:1" x14ac:dyDescent="0.3">
      <c r="A19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"/>
  <sheetViews>
    <sheetView showRowColHeaders="0" workbookViewId="0">
      <selection activeCell="A3" sqref="A3:BY3"/>
    </sheetView>
  </sheetViews>
  <sheetFormatPr defaultColWidth="12.6640625" defaultRowHeight="14.4" x14ac:dyDescent="0.3"/>
  <cols>
    <col min="1" max="16384" width="12.6640625" style="5"/>
  </cols>
  <sheetData>
    <row r="1" spans="1:182" x14ac:dyDescent="0.3">
      <c r="A1" s="5" t="s">
        <v>17</v>
      </c>
      <c r="B1" s="5" t="e">
        <f ca="1">CELL("address",#REF!)</f>
        <v>#REF!</v>
      </c>
      <c r="C1" s="5" t="s">
        <v>26</v>
      </c>
      <c r="D1" s="6" t="s">
        <v>3</v>
      </c>
    </row>
    <row r="2" spans="1:182" x14ac:dyDescent="0.3">
      <c r="FZ2" s="5">
        <v>3</v>
      </c>
    </row>
    <row r="3" spans="1:182" x14ac:dyDescent="0.3">
      <c r="A3" s="5" t="e">
        <f ca="1">CELL("address",#REF!)</f>
        <v>#REF!</v>
      </c>
      <c r="E3" s="5" t="s">
        <v>0</v>
      </c>
      <c r="H3" s="5">
        <v>6</v>
      </c>
      <c r="L3" s="5">
        <v>1</v>
      </c>
      <c r="M3" s="5" t="s">
        <v>25</v>
      </c>
      <c r="O3" s="5">
        <v>250</v>
      </c>
      <c r="P3" s="5">
        <v>249</v>
      </c>
      <c r="R3" s="5">
        <v>0</v>
      </c>
      <c r="S3" s="5">
        <v>2456</v>
      </c>
      <c r="T3" s="5">
        <v>30</v>
      </c>
      <c r="U3" s="7">
        <v>40916.663240740738</v>
      </c>
      <c r="V3" s="5">
        <v>0</v>
      </c>
      <c r="W3" s="5">
        <v>999</v>
      </c>
      <c r="X3" s="5">
        <v>0</v>
      </c>
      <c r="Y3" s="5">
        <v>100</v>
      </c>
      <c r="Z3" s="5">
        <v>0</v>
      </c>
      <c r="AA3" s="5">
        <v>0</v>
      </c>
      <c r="AB3" s="5">
        <v>100</v>
      </c>
      <c r="AC3" s="5">
        <v>0</v>
      </c>
      <c r="AD3" s="5">
        <v>100</v>
      </c>
      <c r="AE3" s="5">
        <v>0</v>
      </c>
      <c r="AI3" s="5">
        <v>1</v>
      </c>
      <c r="AJ3" s="5" t="s">
        <v>0</v>
      </c>
      <c r="AK3" s="5">
        <v>0</v>
      </c>
      <c r="AL3" s="5">
        <v>0</v>
      </c>
      <c r="AM3" s="5">
        <v>0</v>
      </c>
      <c r="AN3" s="5">
        <v>0</v>
      </c>
      <c r="AO3" s="5" t="s">
        <v>0</v>
      </c>
      <c r="AP3" s="5">
        <v>0</v>
      </c>
      <c r="AQ3" s="5">
        <v>0</v>
      </c>
      <c r="AT3" s="5">
        <v>0</v>
      </c>
      <c r="AU3" s="5">
        <v>0</v>
      </c>
      <c r="AZ3" s="5">
        <v>0</v>
      </c>
      <c r="BB3" s="5">
        <v>1</v>
      </c>
      <c r="BC3" s="5">
        <v>0</v>
      </c>
      <c r="BD3" s="5" t="s">
        <v>1</v>
      </c>
      <c r="BF3" s="5" t="s">
        <v>1</v>
      </c>
      <c r="BG3" s="5">
        <v>0</v>
      </c>
      <c r="BH3" s="5">
        <v>0</v>
      </c>
      <c r="BN3" s="5">
        <v>0</v>
      </c>
      <c r="BO3" s="5">
        <v>0</v>
      </c>
      <c r="BQ3" s="5">
        <v>100</v>
      </c>
      <c r="BS3" s="5">
        <v>100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3</v>
      </c>
      <c r="BZ3" s="5" t="s">
        <v>18</v>
      </c>
      <c r="FZ3" s="5" t="s">
        <v>18</v>
      </c>
    </row>
    <row r="4" spans="1:182" x14ac:dyDescent="0.3">
      <c r="A4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showGridLines="0" zoomScale="55" zoomScaleNormal="55" workbookViewId="0">
      <selection activeCell="F49" sqref="F49"/>
    </sheetView>
  </sheetViews>
  <sheetFormatPr defaultRowHeight="14.4" x14ac:dyDescent="0.3"/>
  <cols>
    <col min="1" max="1" width="5.6640625" style="69" customWidth="1"/>
    <col min="2" max="2" width="4" customWidth="1"/>
    <col min="3" max="3" width="13.44140625" style="21" customWidth="1"/>
    <col min="5" max="5" width="3" customWidth="1"/>
    <col min="14" max="14" width="9.109375" style="69"/>
  </cols>
  <sheetData>
    <row r="1" spans="2:39" s="69" customFormat="1" ht="16.5" customHeight="1" x14ac:dyDescent="0.6">
      <c r="C1" s="68"/>
    </row>
    <row r="2" spans="2:39" s="69" customFormat="1" ht="16.5" customHeight="1" x14ac:dyDescent="0.6">
      <c r="C2" s="68"/>
    </row>
    <row r="3" spans="2:39" s="69" customFormat="1" ht="16.5" customHeight="1" x14ac:dyDescent="0.4">
      <c r="B3" s="138" t="s">
        <v>150</v>
      </c>
      <c r="O3" s="138" t="s">
        <v>161</v>
      </c>
      <c r="P3"/>
      <c r="Q3"/>
    </row>
    <row r="4" spans="2:39" x14ac:dyDescent="0.3">
      <c r="B4" s="96"/>
      <c r="C4" s="114"/>
      <c r="D4" s="10"/>
      <c r="E4" s="10"/>
      <c r="F4" s="115"/>
      <c r="G4" s="10"/>
      <c r="H4" s="10"/>
      <c r="I4" s="10"/>
      <c r="J4" s="10"/>
      <c r="K4" s="10"/>
      <c r="L4" s="17"/>
      <c r="O4" s="140">
        <v>1E-3</v>
      </c>
      <c r="P4" s="137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7"/>
      <c r="AJ4" t="s">
        <v>173</v>
      </c>
      <c r="AK4" s="12"/>
      <c r="AL4" s="12"/>
      <c r="AM4" s="12"/>
    </row>
    <row r="5" spans="2:39" x14ac:dyDescent="0.3">
      <c r="B5" s="29"/>
      <c r="C5" s="116" t="s">
        <v>47</v>
      </c>
      <c r="D5" s="8"/>
      <c r="E5" s="8"/>
      <c r="F5" s="8"/>
      <c r="G5" s="8"/>
      <c r="H5" s="117" t="s">
        <v>48</v>
      </c>
      <c r="I5" s="24">
        <v>79</v>
      </c>
      <c r="J5" s="128" t="s">
        <v>60</v>
      </c>
      <c r="K5" s="67">
        <f>'INPUTS - OUTPUTS'!I5/(('INPUTS - OUTPUTS'!I6/100)^2)</f>
        <v>26.703623580313685</v>
      </c>
      <c r="L5" s="14"/>
      <c r="O5" s="29"/>
      <c r="P5" s="9"/>
      <c r="Q5" s="136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14"/>
      <c r="AJ5" t="s">
        <v>174</v>
      </c>
      <c r="AK5" s="12"/>
      <c r="AL5" s="12"/>
      <c r="AM5" s="12"/>
    </row>
    <row r="6" spans="2:39" x14ac:dyDescent="0.3">
      <c r="B6" s="29"/>
      <c r="C6" s="118"/>
      <c r="D6" s="8"/>
      <c r="E6" s="8"/>
      <c r="F6" s="8"/>
      <c r="G6" s="8"/>
      <c r="H6" s="117" t="s">
        <v>49</v>
      </c>
      <c r="I6" s="24">
        <v>172</v>
      </c>
      <c r="J6" s="129"/>
      <c r="K6" s="41"/>
      <c r="L6" s="14"/>
      <c r="O6" s="29"/>
      <c r="P6" s="9"/>
      <c r="Q6" s="95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14"/>
      <c r="AJ6" s="12"/>
      <c r="AK6" s="12"/>
      <c r="AL6" s="12"/>
      <c r="AM6" s="12"/>
    </row>
    <row r="7" spans="2:39" x14ac:dyDescent="0.3">
      <c r="B7" s="29"/>
      <c r="C7" s="118"/>
      <c r="D7" s="8"/>
      <c r="E7" s="8"/>
      <c r="F7" s="8"/>
      <c r="G7" s="8"/>
      <c r="H7" s="117" t="s">
        <v>50</v>
      </c>
      <c r="I7" s="24" t="s">
        <v>51</v>
      </c>
      <c r="J7" s="8"/>
      <c r="K7" s="8"/>
      <c r="L7" s="14"/>
      <c r="O7" s="29"/>
      <c r="P7" s="8"/>
      <c r="Q7" s="8"/>
      <c r="R7" s="8"/>
      <c r="S7" s="8"/>
      <c r="T7" s="8"/>
      <c r="U7" s="8"/>
      <c r="V7" s="35"/>
      <c r="W7" s="8"/>
      <c r="X7" s="8"/>
      <c r="Y7" s="8"/>
      <c r="Z7" s="8"/>
      <c r="AA7" s="8"/>
      <c r="AB7" s="8"/>
      <c r="AC7" s="8"/>
      <c r="AD7" s="8"/>
      <c r="AE7" s="8"/>
      <c r="AF7" s="8"/>
      <c r="AG7" s="14"/>
      <c r="AM7" s="12"/>
    </row>
    <row r="8" spans="2:39" x14ac:dyDescent="0.3">
      <c r="B8" s="29"/>
      <c r="C8" s="118"/>
      <c r="D8" s="8"/>
      <c r="E8" s="8"/>
      <c r="F8" s="8"/>
      <c r="G8" s="8"/>
      <c r="H8" s="117" t="s">
        <v>52</v>
      </c>
      <c r="I8" s="24">
        <v>45</v>
      </c>
      <c r="J8" s="8"/>
      <c r="K8" s="8"/>
      <c r="L8" s="14"/>
      <c r="O8" s="29"/>
      <c r="P8" s="8"/>
      <c r="Q8" s="8"/>
      <c r="R8" s="8"/>
      <c r="S8" s="8"/>
      <c r="T8" s="8"/>
      <c r="U8" s="8"/>
      <c r="V8" s="35"/>
      <c r="W8" s="8"/>
      <c r="X8" s="8"/>
      <c r="Y8" s="8"/>
      <c r="Z8" s="8"/>
      <c r="AA8" s="8"/>
      <c r="AB8" s="8"/>
      <c r="AC8" s="8"/>
      <c r="AD8" s="8"/>
      <c r="AE8" s="8"/>
      <c r="AF8" s="8"/>
      <c r="AG8" s="14"/>
      <c r="AJ8" s="145"/>
      <c r="AK8" t="s">
        <v>128</v>
      </c>
      <c r="AM8" s="12"/>
    </row>
    <row r="9" spans="2:39" x14ac:dyDescent="0.3">
      <c r="B9" s="29"/>
      <c r="C9" s="118"/>
      <c r="D9" s="8"/>
      <c r="E9" s="8"/>
      <c r="F9" s="8"/>
      <c r="G9" s="8"/>
      <c r="H9" s="117" t="s">
        <v>169</v>
      </c>
      <c r="I9" s="24">
        <v>80</v>
      </c>
      <c r="J9" s="8"/>
      <c r="K9" s="8"/>
      <c r="L9" s="14"/>
      <c r="O9" s="29"/>
      <c r="P9" s="8"/>
      <c r="Q9" s="8"/>
      <c r="R9" s="8"/>
      <c r="S9" s="8"/>
      <c r="T9" s="8"/>
      <c r="U9" s="8"/>
      <c r="V9" s="35"/>
      <c r="W9" s="8"/>
      <c r="X9" s="8"/>
      <c r="Y9" s="8"/>
      <c r="Z9" s="8"/>
      <c r="AA9" s="8"/>
      <c r="AB9" s="8"/>
      <c r="AC9" s="8"/>
      <c r="AD9" s="8"/>
      <c r="AE9" s="8"/>
      <c r="AF9" s="8"/>
      <c r="AG9" s="14"/>
      <c r="AI9">
        <v>2</v>
      </c>
      <c r="AJ9" s="144"/>
      <c r="AK9" t="s">
        <v>129</v>
      </c>
      <c r="AM9" s="12"/>
    </row>
    <row r="10" spans="2:39" x14ac:dyDescent="0.3">
      <c r="B10" s="29"/>
      <c r="C10" s="118"/>
      <c r="D10" s="8"/>
      <c r="E10" s="8"/>
      <c r="F10" s="8"/>
      <c r="G10" s="8"/>
      <c r="H10" s="8"/>
      <c r="I10" s="8"/>
      <c r="J10" s="8"/>
      <c r="K10" s="8"/>
      <c r="L10" s="14"/>
      <c r="O10" s="2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4"/>
      <c r="AI10">
        <v>1.2</v>
      </c>
      <c r="AJ10" s="143"/>
      <c r="AM10" s="12"/>
    </row>
    <row r="11" spans="2:39" x14ac:dyDescent="0.3">
      <c r="B11" s="29"/>
      <c r="C11" s="118"/>
      <c r="D11" s="8"/>
      <c r="E11" s="8"/>
      <c r="F11" s="8"/>
      <c r="G11" s="8"/>
      <c r="H11" s="117"/>
      <c r="I11" s="25"/>
      <c r="J11" s="8"/>
      <c r="K11" s="8"/>
      <c r="L11" s="14"/>
      <c r="O11" s="29"/>
      <c r="P11" s="8"/>
      <c r="Q11" s="8"/>
      <c r="R11" s="8"/>
      <c r="S11" s="8"/>
      <c r="T11" s="8"/>
      <c r="U11" s="8"/>
      <c r="V11" s="35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4"/>
      <c r="AI11">
        <v>1</v>
      </c>
      <c r="AJ11" s="143"/>
      <c r="AK11" t="s">
        <v>172</v>
      </c>
    </row>
    <row r="12" spans="2:39" x14ac:dyDescent="0.3">
      <c r="B12" s="29"/>
      <c r="C12" s="118" t="s">
        <v>56</v>
      </c>
      <c r="D12" s="8"/>
      <c r="E12" s="8"/>
      <c r="F12" s="8"/>
      <c r="G12" s="8"/>
      <c r="H12" s="139" t="s">
        <v>171</v>
      </c>
      <c r="I12" s="28">
        <v>120</v>
      </c>
      <c r="J12" s="26"/>
      <c r="K12" s="8"/>
      <c r="L12" s="14"/>
      <c r="O12" s="29"/>
      <c r="P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4"/>
      <c r="AI12">
        <v>0.83</v>
      </c>
      <c r="AJ12" s="143"/>
    </row>
    <row r="13" spans="2:39" x14ac:dyDescent="0.3">
      <c r="B13" s="29"/>
      <c r="C13" s="118"/>
      <c r="D13" s="8"/>
      <c r="E13" s="8"/>
      <c r="F13" s="8"/>
      <c r="G13" s="8"/>
      <c r="H13" s="62"/>
      <c r="I13" s="8"/>
      <c r="J13" s="8"/>
      <c r="K13" s="8"/>
      <c r="L13" s="14"/>
      <c r="O13" s="29"/>
      <c r="P13" s="135" t="s">
        <v>168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4"/>
      <c r="AI13">
        <v>0.5</v>
      </c>
      <c r="AJ13" s="142"/>
      <c r="AK13" t="s">
        <v>127</v>
      </c>
    </row>
    <row r="14" spans="2:39" x14ac:dyDescent="0.3">
      <c r="B14" s="29"/>
      <c r="C14" s="116" t="s">
        <v>54</v>
      </c>
      <c r="D14" s="8"/>
      <c r="E14" s="8"/>
      <c r="F14" s="8"/>
      <c r="G14" s="8"/>
      <c r="H14" s="117" t="s">
        <v>151</v>
      </c>
      <c r="I14" s="24">
        <v>130</v>
      </c>
      <c r="J14" s="119" t="str">
        <f>IF(I14="","Pressione massima","")</f>
        <v/>
      </c>
      <c r="K14" s="8"/>
      <c r="L14" s="14"/>
      <c r="O14" s="2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4"/>
      <c r="AJ14" s="141"/>
      <c r="AK14" s="69" t="s">
        <v>172</v>
      </c>
    </row>
    <row r="15" spans="2:39" x14ac:dyDescent="0.3">
      <c r="B15" s="29"/>
      <c r="C15" s="116"/>
      <c r="D15" s="8"/>
      <c r="E15" s="8"/>
      <c r="F15" s="8"/>
      <c r="G15" s="8"/>
      <c r="H15" s="117" t="s">
        <v>152</v>
      </c>
      <c r="I15" s="24">
        <v>80</v>
      </c>
      <c r="J15" s="119" t="str">
        <f>IF(I15="","Pressione minima","")</f>
        <v/>
      </c>
      <c r="K15" s="8"/>
      <c r="L15" s="14"/>
      <c r="O15" s="29"/>
      <c r="P15" s="9" t="s">
        <v>133</v>
      </c>
      <c r="Q15" s="92">
        <f>'OVER-OB'!F14</f>
        <v>0.125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4"/>
    </row>
    <row r="16" spans="2:39" x14ac:dyDescent="0.3">
      <c r="B16" s="29"/>
      <c r="C16" s="118"/>
      <c r="D16" s="8"/>
      <c r="E16" s="8"/>
      <c r="F16" s="8"/>
      <c r="G16" s="8"/>
      <c r="H16" s="8"/>
      <c r="I16" s="8"/>
      <c r="J16" s="8"/>
      <c r="K16" s="8"/>
      <c r="L16" s="14"/>
      <c r="O16" s="29"/>
      <c r="P16" s="9" t="s">
        <v>116</v>
      </c>
      <c r="Q16" s="93">
        <f>'OVER-OB'!F21</f>
        <v>0.64766839378238339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4"/>
    </row>
    <row r="17" spans="2:33" x14ac:dyDescent="0.3">
      <c r="B17" s="29"/>
      <c r="C17" s="113" t="s">
        <v>57</v>
      </c>
      <c r="D17" s="8"/>
      <c r="E17" s="8"/>
      <c r="F17" s="8"/>
      <c r="G17" s="8"/>
      <c r="H17" s="117" t="s">
        <v>58</v>
      </c>
      <c r="I17" s="24">
        <v>45</v>
      </c>
      <c r="J17" s="8"/>
      <c r="K17" s="8"/>
      <c r="L17" s="14"/>
      <c r="O17" s="29"/>
      <c r="P17" s="9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4"/>
    </row>
    <row r="18" spans="2:33" x14ac:dyDescent="0.3">
      <c r="B18" s="29"/>
      <c r="C18" s="122"/>
      <c r="D18" s="8"/>
      <c r="E18" s="8"/>
      <c r="F18" s="8"/>
      <c r="G18" s="8"/>
      <c r="H18" s="117" t="s">
        <v>107</v>
      </c>
      <c r="I18" s="24">
        <v>190</v>
      </c>
      <c r="J18" s="121"/>
      <c r="K18" s="8"/>
      <c r="L18" s="14"/>
      <c r="O18" s="2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4"/>
    </row>
    <row r="19" spans="2:33" x14ac:dyDescent="0.3">
      <c r="B19" s="29"/>
      <c r="C19" s="113"/>
      <c r="D19" s="76"/>
      <c r="E19" s="76"/>
      <c r="F19" s="76"/>
      <c r="G19" s="76"/>
      <c r="H19" s="76"/>
      <c r="I19" s="76"/>
      <c r="J19" s="76"/>
      <c r="K19" s="8"/>
      <c r="L19" s="14"/>
      <c r="O19" s="2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4"/>
    </row>
    <row r="20" spans="2:33" x14ac:dyDescent="0.3">
      <c r="B20" s="123"/>
      <c r="C20" s="130"/>
      <c r="D20" s="74"/>
      <c r="E20" s="74"/>
      <c r="F20" s="74"/>
      <c r="G20" s="74"/>
      <c r="H20" s="74"/>
      <c r="I20" s="74"/>
      <c r="J20" s="74"/>
      <c r="K20" s="125"/>
      <c r="L20" s="15"/>
      <c r="O20" s="2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4"/>
    </row>
    <row r="21" spans="2:33" x14ac:dyDescent="0.3">
      <c r="O21" s="29"/>
      <c r="P21" s="135" t="s">
        <v>167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4"/>
    </row>
    <row r="22" spans="2:33" ht="21" x14ac:dyDescent="0.4">
      <c r="B22" s="138" t="s">
        <v>149</v>
      </c>
      <c r="O22" s="2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</row>
    <row r="23" spans="2:33" x14ac:dyDescent="0.3">
      <c r="B23" s="96"/>
      <c r="C23" s="114"/>
      <c r="D23" s="10"/>
      <c r="E23" s="10"/>
      <c r="F23" s="10"/>
      <c r="G23" s="10"/>
      <c r="H23" s="10"/>
      <c r="I23" s="10"/>
      <c r="J23" s="10"/>
      <c r="K23" s="10"/>
      <c r="L23" s="17"/>
      <c r="O23" s="29"/>
      <c r="P23" s="9" t="s">
        <v>133</v>
      </c>
      <c r="Q23" s="92">
        <f>T2D!G47</f>
        <v>0.04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4"/>
    </row>
    <row r="24" spans="2:33" x14ac:dyDescent="0.3">
      <c r="B24" s="29"/>
      <c r="C24" s="126"/>
      <c r="D24" s="8"/>
      <c r="E24" s="8"/>
      <c r="F24" s="8"/>
      <c r="G24" s="8"/>
      <c r="H24" s="109" t="s">
        <v>153</v>
      </c>
      <c r="I24" s="108">
        <v>1</v>
      </c>
      <c r="J24" s="27" t="s">
        <v>148</v>
      </c>
      <c r="K24" s="8"/>
      <c r="L24" s="14"/>
      <c r="O24" s="29"/>
      <c r="P24" s="9" t="s">
        <v>116</v>
      </c>
      <c r="Q24" s="93">
        <f>T2D!G54</f>
        <v>0.39999999999999997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4"/>
    </row>
    <row r="25" spans="2:33" x14ac:dyDescent="0.3">
      <c r="B25" s="29"/>
      <c r="C25" s="122"/>
      <c r="D25" s="8"/>
      <c r="E25" s="8"/>
      <c r="F25" s="8"/>
      <c r="G25" s="8"/>
      <c r="H25" s="109" t="s">
        <v>55</v>
      </c>
      <c r="I25" s="108">
        <v>1</v>
      </c>
      <c r="J25" s="27" t="s">
        <v>148</v>
      </c>
      <c r="K25" s="8"/>
      <c r="L25" s="14"/>
      <c r="O25" s="29"/>
      <c r="P25" s="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4"/>
    </row>
    <row r="26" spans="2:33" x14ac:dyDescent="0.3">
      <c r="B26" s="29"/>
      <c r="C26" s="122"/>
      <c r="D26" s="8"/>
      <c r="E26" s="8"/>
      <c r="F26" s="8"/>
      <c r="G26" s="8"/>
      <c r="H26" s="109" t="s">
        <v>84</v>
      </c>
      <c r="I26" s="108">
        <v>0</v>
      </c>
      <c r="J26" s="27" t="s">
        <v>148</v>
      </c>
      <c r="K26" s="8"/>
      <c r="L26" s="14"/>
      <c r="O26" s="2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4"/>
    </row>
    <row r="27" spans="2:33" x14ac:dyDescent="0.3">
      <c r="B27" s="29"/>
      <c r="C27" s="122"/>
      <c r="D27" s="8"/>
      <c r="E27" s="8"/>
      <c r="F27" s="8"/>
      <c r="G27" s="8"/>
      <c r="H27" s="109" t="s">
        <v>82</v>
      </c>
      <c r="I27" s="108">
        <v>1</v>
      </c>
      <c r="J27" s="27" t="s">
        <v>148</v>
      </c>
      <c r="K27" s="8"/>
      <c r="L27" s="14"/>
      <c r="O27" s="2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4"/>
    </row>
    <row r="28" spans="2:33" x14ac:dyDescent="0.3">
      <c r="B28" s="29"/>
      <c r="C28" s="126"/>
      <c r="D28" s="8"/>
      <c r="E28" s="8"/>
      <c r="F28" s="8"/>
      <c r="G28" s="8"/>
      <c r="H28" s="120" t="s">
        <v>162</v>
      </c>
      <c r="I28" s="110">
        <v>0</v>
      </c>
      <c r="J28" s="27" t="s">
        <v>148</v>
      </c>
      <c r="K28" s="8"/>
      <c r="L28" s="14"/>
      <c r="O28" s="2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4"/>
    </row>
    <row r="29" spans="2:33" x14ac:dyDescent="0.3">
      <c r="B29" s="29"/>
      <c r="C29" s="122"/>
      <c r="D29" s="8"/>
      <c r="E29" s="8"/>
      <c r="F29" s="8"/>
      <c r="G29" s="8"/>
      <c r="H29" s="8"/>
      <c r="I29" s="8"/>
      <c r="J29" s="8"/>
      <c r="K29" s="8"/>
      <c r="L29" s="14"/>
      <c r="O29" s="2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</row>
    <row r="30" spans="2:33" x14ac:dyDescent="0.3">
      <c r="B30" s="29"/>
      <c r="C30" s="122"/>
      <c r="D30" s="8"/>
      <c r="E30" s="8"/>
      <c r="F30" s="8"/>
      <c r="G30" s="8"/>
      <c r="H30" s="8"/>
      <c r="I30" s="8"/>
      <c r="J30" s="8"/>
      <c r="K30" s="8"/>
      <c r="L30" s="14"/>
      <c r="O30" s="29"/>
      <c r="P30" s="135" t="s">
        <v>166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4"/>
    </row>
    <row r="31" spans="2:33" x14ac:dyDescent="0.3">
      <c r="B31" s="29"/>
      <c r="C31" s="126"/>
      <c r="D31" s="8"/>
      <c r="E31" s="8"/>
      <c r="F31" s="8"/>
      <c r="G31" s="8"/>
      <c r="H31" s="109" t="s">
        <v>163</v>
      </c>
      <c r="I31" s="108" t="s">
        <v>53</v>
      </c>
      <c r="J31" s="11" t="s">
        <v>62</v>
      </c>
      <c r="K31" s="8"/>
      <c r="L31" s="14"/>
      <c r="O31" s="29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</row>
    <row r="32" spans="2:33" x14ac:dyDescent="0.3">
      <c r="B32" s="29"/>
      <c r="C32" s="122"/>
      <c r="D32" s="8"/>
      <c r="E32" s="8"/>
      <c r="F32" s="8"/>
      <c r="G32" s="8"/>
      <c r="H32" s="109" t="s">
        <v>77</v>
      </c>
      <c r="I32" s="108" t="s">
        <v>53</v>
      </c>
      <c r="J32" s="11" t="s">
        <v>62</v>
      </c>
      <c r="K32" s="8"/>
      <c r="L32" s="14"/>
      <c r="O32" s="29"/>
      <c r="P32" s="9" t="s">
        <v>133</v>
      </c>
      <c r="Q32" s="92">
        <f>HYP!I22</f>
        <v>0.20111002665777289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</row>
    <row r="33" spans="2:33" x14ac:dyDescent="0.3">
      <c r="B33" s="29"/>
      <c r="C33" s="122"/>
      <c r="D33" s="8"/>
      <c r="E33" s="8"/>
      <c r="F33" s="8"/>
      <c r="G33" s="8"/>
      <c r="H33" s="127" t="s">
        <v>41</v>
      </c>
      <c r="I33" s="110" t="s">
        <v>53</v>
      </c>
      <c r="J33" s="11" t="s">
        <v>62</v>
      </c>
      <c r="K33" s="8"/>
      <c r="L33" s="14"/>
      <c r="O33" s="29"/>
      <c r="P33" s="9" t="s">
        <v>116</v>
      </c>
      <c r="Q33" s="93">
        <f>HYP!I29</f>
        <v>9.3676885294290191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4"/>
    </row>
    <row r="34" spans="2:33" x14ac:dyDescent="0.3">
      <c r="B34" s="29"/>
      <c r="C34" s="122"/>
      <c r="D34" s="8"/>
      <c r="E34" s="8"/>
      <c r="F34" s="8"/>
      <c r="G34" s="8"/>
      <c r="H34" s="127" t="s">
        <v>76</v>
      </c>
      <c r="I34" s="110" t="s">
        <v>61</v>
      </c>
      <c r="J34" s="11" t="s">
        <v>62</v>
      </c>
      <c r="K34" s="8"/>
      <c r="L34" s="14"/>
      <c r="O34" s="2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4"/>
    </row>
    <row r="35" spans="2:33" x14ac:dyDescent="0.3">
      <c r="B35" s="123"/>
      <c r="C35" s="124"/>
      <c r="D35" s="125"/>
      <c r="E35" s="125"/>
      <c r="F35" s="125"/>
      <c r="G35" s="125"/>
      <c r="H35" s="125"/>
      <c r="I35" s="125"/>
      <c r="J35" s="125"/>
      <c r="K35" s="125"/>
      <c r="L35" s="15"/>
      <c r="O35" s="2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4"/>
    </row>
    <row r="36" spans="2:33" x14ac:dyDescent="0.3">
      <c r="O36" s="2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4"/>
    </row>
    <row r="37" spans="2:33" x14ac:dyDescent="0.3">
      <c r="O37" s="2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4"/>
    </row>
    <row r="38" spans="2:33" x14ac:dyDescent="0.3">
      <c r="O38" s="29"/>
      <c r="P38" s="135" t="s">
        <v>165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</row>
    <row r="39" spans="2:33" x14ac:dyDescent="0.3">
      <c r="O39" s="29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</row>
    <row r="40" spans="2:33" x14ac:dyDescent="0.3">
      <c r="O40" s="29"/>
      <c r="P40" s="9" t="s">
        <v>133</v>
      </c>
      <c r="Q40" s="94">
        <f>CVD!S18</f>
        <v>3.0891251807412146E-2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14"/>
    </row>
    <row r="41" spans="2:33" x14ac:dyDescent="0.3">
      <c r="O41" s="29"/>
      <c r="P41" s="9" t="s">
        <v>116</v>
      </c>
      <c r="Q41" s="93">
        <f>CVD!S25</f>
        <v>0.38614064759265182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4"/>
    </row>
    <row r="42" spans="2:33" x14ac:dyDescent="0.3">
      <c r="C42" s="21" t="s">
        <v>176</v>
      </c>
      <c r="O42" s="2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4"/>
    </row>
    <row r="43" spans="2:33" x14ac:dyDescent="0.3">
      <c r="C43" s="148" t="s">
        <v>175</v>
      </c>
      <c r="O43" s="2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</row>
    <row r="44" spans="2:33" x14ac:dyDescent="0.3">
      <c r="O44" s="2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14"/>
    </row>
    <row r="45" spans="2:33" x14ac:dyDescent="0.3">
      <c r="O45" s="2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14"/>
    </row>
    <row r="46" spans="2:33" x14ac:dyDescent="0.3">
      <c r="O46" s="123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5"/>
    </row>
    <row r="47" spans="2:33" x14ac:dyDescent="0.3">
      <c r="C47"/>
      <c r="D47" s="76"/>
      <c r="E47" s="76"/>
      <c r="F47" s="76"/>
      <c r="G47" s="76"/>
      <c r="H47" s="111"/>
      <c r="I47" s="112"/>
    </row>
    <row r="48" spans="2:33" x14ac:dyDescent="0.3">
      <c r="C48" s="20"/>
      <c r="D48" s="76"/>
      <c r="E48" s="76"/>
      <c r="F48" s="76"/>
      <c r="G48" s="76"/>
      <c r="H48" s="76"/>
      <c r="I48" s="112"/>
    </row>
    <row r="49" spans="3:16" x14ac:dyDescent="0.3">
      <c r="C49"/>
      <c r="D49" s="76"/>
      <c r="E49" s="76"/>
      <c r="F49" s="76"/>
      <c r="G49" s="76"/>
      <c r="H49" s="111"/>
      <c r="I49" s="112"/>
      <c r="P49" s="70"/>
    </row>
    <row r="50" spans="3:16" x14ac:dyDescent="0.3">
      <c r="C50"/>
      <c r="D50" s="76"/>
      <c r="E50" s="76"/>
      <c r="F50" s="76"/>
      <c r="G50" s="76"/>
      <c r="H50" s="111"/>
      <c r="I50" s="112"/>
    </row>
    <row r="51" spans="3:16" x14ac:dyDescent="0.3">
      <c r="C51"/>
      <c r="D51" s="76"/>
      <c r="E51" s="76"/>
      <c r="F51" s="76"/>
      <c r="G51" s="76"/>
      <c r="H51" s="111"/>
      <c r="I51" s="112"/>
      <c r="M51" s="12"/>
    </row>
    <row r="52" spans="3:16" x14ac:dyDescent="0.3">
      <c r="M52" s="12"/>
    </row>
  </sheetData>
  <hyperlinks>
    <hyperlink ref="C43" r:id="rId1"/>
  </hyperlinks>
  <pageMargins left="0.7" right="0.7" top="0.75" bottom="0.75" header="0.3" footer="0.3"/>
  <pageSetup orientation="portrait" horizontalDpi="4294967293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0" zoomScaleNormal="80" workbookViewId="0">
      <selection activeCell="N14" sqref="N14"/>
    </sheetView>
  </sheetViews>
  <sheetFormatPr defaultRowHeight="14.4" x14ac:dyDescent="0.3"/>
  <cols>
    <col min="1" max="1" width="8.88671875" style="69"/>
    <col min="5" max="5" width="11.44140625" customWidth="1"/>
    <col min="6" max="6" width="10" bestFit="1" customWidth="1"/>
    <col min="7" max="7" width="12.44140625" customWidth="1"/>
    <col min="9" max="9" width="8.5546875" customWidth="1"/>
    <col min="10" max="10" width="5.6640625" bestFit="1" customWidth="1"/>
  </cols>
  <sheetData>
    <row r="1" spans="3:17" x14ac:dyDescent="0.3">
      <c r="C1" s="21"/>
      <c r="H1" s="18"/>
    </row>
    <row r="2" spans="3:17" x14ac:dyDescent="0.3">
      <c r="C2" s="4" t="s">
        <v>158</v>
      </c>
    </row>
    <row r="3" spans="3:17" x14ac:dyDescent="0.3">
      <c r="C3" t="s">
        <v>44</v>
      </c>
    </row>
    <row r="5" spans="3:17" s="69" customFormat="1" x14ac:dyDescent="0.3">
      <c r="E5" s="69" t="s">
        <v>134</v>
      </c>
      <c r="G5" s="69" t="s">
        <v>135</v>
      </c>
      <c r="I5" s="69" t="s">
        <v>136</v>
      </c>
    </row>
    <row r="6" spans="3:17" x14ac:dyDescent="0.3">
      <c r="E6" s="34" t="s">
        <v>138</v>
      </c>
      <c r="F6" s="37"/>
      <c r="G6" s="96" t="s">
        <v>59</v>
      </c>
      <c r="H6" s="17"/>
      <c r="I6" s="2" t="s">
        <v>137</v>
      </c>
    </row>
    <row r="7" spans="3:17" x14ac:dyDescent="0.3">
      <c r="D7" s="2" t="s">
        <v>63</v>
      </c>
      <c r="E7" s="29" t="s">
        <v>42</v>
      </c>
      <c r="F7" s="8"/>
      <c r="G7" s="96" t="s">
        <v>43</v>
      </c>
      <c r="H7" s="17"/>
      <c r="I7" s="102" t="s">
        <v>43</v>
      </c>
    </row>
    <row r="8" spans="3:17" x14ac:dyDescent="0.3">
      <c r="D8" s="33" t="s">
        <v>51</v>
      </c>
      <c r="E8" s="30">
        <v>0.28000000000000003</v>
      </c>
      <c r="F8" s="35"/>
      <c r="G8" s="30">
        <v>0.125</v>
      </c>
      <c r="H8" s="14"/>
      <c r="I8" s="103">
        <v>1</v>
      </c>
      <c r="Q8" s="19"/>
    </row>
    <row r="9" spans="3:17" x14ac:dyDescent="0.3">
      <c r="D9" s="36" t="s">
        <v>64</v>
      </c>
      <c r="E9" s="31">
        <v>0.16500000000000001</v>
      </c>
      <c r="F9" s="38"/>
      <c r="G9" s="31">
        <v>0.19500000000000001</v>
      </c>
      <c r="H9" s="15"/>
      <c r="I9" s="104">
        <v>1</v>
      </c>
      <c r="Q9" s="22"/>
    </row>
    <row r="10" spans="3:17" ht="15" thickBot="1" x14ac:dyDescent="0.35">
      <c r="D10" s="8" t="str">
        <f>'INPUTS - OUTPUTS'!I7</f>
        <v>M</v>
      </c>
      <c r="E10" s="39">
        <f>IF('INPUTS - OUTPUTS'!$I$7="M",E8,E9)</f>
        <v>0.28000000000000003</v>
      </c>
      <c r="F10" s="39"/>
      <c r="G10" s="39">
        <f>IF('INPUTS - OUTPUTS'!$I$7="M",G8,G9)</f>
        <v>0.125</v>
      </c>
      <c r="I10" s="19">
        <v>1</v>
      </c>
    </row>
    <row r="11" spans="3:17" ht="15" thickBot="1" x14ac:dyDescent="0.35">
      <c r="D11" s="97" t="s">
        <v>65</v>
      </c>
      <c r="E11" s="98" t="str">
        <f>IF('INPUTS - OUTPUTS'!$K$5&lt;=25,E10,"")</f>
        <v/>
      </c>
      <c r="F11" s="99"/>
      <c r="G11" s="98">
        <f>IF(AND('INPUTS - OUTPUTS'!$K$5&gt;25,'INPUTS - OUTPUTS'!$K$5&lt;30),G10,"")</f>
        <v>0.125</v>
      </c>
      <c r="H11" s="100"/>
      <c r="I11" s="101" t="str">
        <f>IF('INPUTS - OUTPUTS'!$K$5&gt;=30,I10,"")</f>
        <v/>
      </c>
    </row>
    <row r="12" spans="3:17" s="69" customFormat="1" x14ac:dyDescent="0.3">
      <c r="D12" s="76"/>
      <c r="E12" s="105"/>
      <c r="F12" s="105"/>
      <c r="G12" s="105"/>
      <c r="H12" s="76"/>
      <c r="I12" s="106"/>
      <c r="J12" s="12"/>
      <c r="K12" s="12"/>
    </row>
    <row r="13" spans="3:17" ht="15" thickBot="1" x14ac:dyDescent="0.35">
      <c r="E13" s="23"/>
      <c r="F13" s="23"/>
    </row>
    <row r="14" spans="3:17" ht="15" thickBot="1" x14ac:dyDescent="0.35">
      <c r="E14" s="52" t="s">
        <v>140</v>
      </c>
      <c r="F14" s="80">
        <f>SUM(E11,F11,G11,I11)</f>
        <v>0.125</v>
      </c>
    </row>
    <row r="17" spans="3:11" x14ac:dyDescent="0.3">
      <c r="D17" s="18"/>
      <c r="E17" s="52" t="s">
        <v>157</v>
      </c>
      <c r="F17" s="53">
        <f>IF('INPUTS - OUTPUTS'!I7="M",G17,G18)</f>
        <v>0.193</v>
      </c>
      <c r="G17">
        <v>0.193</v>
      </c>
      <c r="H17" t="s">
        <v>113</v>
      </c>
    </row>
    <row r="18" spans="3:11" x14ac:dyDescent="0.3">
      <c r="C18" s="18"/>
      <c r="D18" s="18"/>
      <c r="F18" s="11"/>
      <c r="G18">
        <v>0.14899999999999999</v>
      </c>
      <c r="H18" t="s">
        <v>114</v>
      </c>
    </row>
    <row r="20" spans="3:11" ht="15" thickBot="1" x14ac:dyDescent="0.35">
      <c r="C20" s="84"/>
      <c r="D20" s="84"/>
      <c r="E20" s="84"/>
      <c r="F20" s="84"/>
      <c r="G20" s="84"/>
      <c r="H20" s="84"/>
      <c r="I20" s="84"/>
      <c r="J20" s="84"/>
      <c r="K20" s="84"/>
    </row>
    <row r="21" spans="3:11" ht="15" thickBot="1" x14ac:dyDescent="0.35">
      <c r="C21" s="84"/>
      <c r="D21" s="85"/>
      <c r="E21" s="87" t="s">
        <v>141</v>
      </c>
      <c r="F21" s="56">
        <f>F14/F17</f>
        <v>0.64766839378238339</v>
      </c>
      <c r="G21" s="84"/>
      <c r="H21" s="84"/>
      <c r="I21" s="84"/>
      <c r="J21" s="84"/>
      <c r="K21" s="84"/>
    </row>
    <row r="22" spans="3:11" x14ac:dyDescent="0.3">
      <c r="C22" s="84"/>
      <c r="D22" s="84"/>
      <c r="E22" s="84"/>
      <c r="F22" s="84"/>
      <c r="G22" s="84"/>
      <c r="H22" s="84"/>
      <c r="I22" s="84"/>
      <c r="J22" s="84"/>
      <c r="K22" s="84"/>
    </row>
    <row r="25" spans="3:11" x14ac:dyDescent="0.3">
      <c r="C25" s="1" t="s">
        <v>45</v>
      </c>
    </row>
    <row r="26" spans="3:11" x14ac:dyDescent="0.3">
      <c r="C26" t="s">
        <v>46</v>
      </c>
    </row>
    <row r="28" spans="3:11" x14ac:dyDescent="0.3">
      <c r="E28" t="s">
        <v>35</v>
      </c>
      <c r="F28" t="s">
        <v>36</v>
      </c>
    </row>
    <row r="29" spans="3:11" x14ac:dyDescent="0.3">
      <c r="D29" s="18" t="s">
        <v>37</v>
      </c>
      <c r="E29">
        <v>58.3</v>
      </c>
      <c r="F29">
        <v>19.3</v>
      </c>
    </row>
    <row r="30" spans="3:11" x14ac:dyDescent="0.3">
      <c r="D30" s="18" t="s">
        <v>38</v>
      </c>
      <c r="E30">
        <v>40.1</v>
      </c>
      <c r="F30">
        <v>14.9</v>
      </c>
    </row>
    <row r="31" spans="3:11" x14ac:dyDescent="0.3">
      <c r="D31" s="18" t="s">
        <v>39</v>
      </c>
      <c r="E31">
        <v>49.2</v>
      </c>
      <c r="F31">
        <v>17.2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0" zoomScaleNormal="80" workbookViewId="0">
      <selection activeCell="J28" sqref="J28"/>
    </sheetView>
  </sheetViews>
  <sheetFormatPr defaultRowHeight="14.4" x14ac:dyDescent="0.3"/>
  <cols>
    <col min="1" max="1" width="8.88671875" style="69"/>
    <col min="3" max="3" width="9.109375" style="1"/>
    <col min="4" max="5" width="9.109375" style="18"/>
    <col min="7" max="7" width="11.88671875" bestFit="1" customWidth="1"/>
    <col min="8" max="8" width="18" bestFit="1" customWidth="1"/>
  </cols>
  <sheetData>
    <row r="1" spans="3:7" s="69" customFormat="1" x14ac:dyDescent="0.3">
      <c r="C1" s="1"/>
      <c r="D1" s="70"/>
      <c r="E1" s="70"/>
    </row>
    <row r="2" spans="3:7" x14ac:dyDescent="0.3">
      <c r="C2" s="4" t="s">
        <v>125</v>
      </c>
    </row>
    <row r="3" spans="3:7" x14ac:dyDescent="0.3">
      <c r="C3" s="1" t="s">
        <v>126</v>
      </c>
    </row>
    <row r="4" spans="3:7" x14ac:dyDescent="0.3">
      <c r="C4" s="40" t="s">
        <v>78</v>
      </c>
    </row>
    <row r="5" spans="3:7" x14ac:dyDescent="0.3">
      <c r="C5" s="40"/>
    </row>
    <row r="6" spans="3:7" x14ac:dyDescent="0.3">
      <c r="D6" s="146" t="s">
        <v>81</v>
      </c>
      <c r="E6" s="146"/>
      <c r="F6" s="32" t="s">
        <v>79</v>
      </c>
      <c r="G6" s="32" t="s">
        <v>80</v>
      </c>
    </row>
    <row r="7" spans="3:7" x14ac:dyDescent="0.3">
      <c r="C7" s="43" t="s">
        <v>66</v>
      </c>
      <c r="D7" s="13">
        <v>45</v>
      </c>
      <c r="E7" s="13"/>
      <c r="F7" s="32">
        <v>0</v>
      </c>
      <c r="G7" s="17" t="str">
        <f>IF('INPUTS - OUTPUTS'!$I$8&lt;D7,F7,"")</f>
        <v/>
      </c>
    </row>
    <row r="8" spans="3:7" x14ac:dyDescent="0.3">
      <c r="C8" s="44"/>
      <c r="D8" s="9">
        <v>45</v>
      </c>
      <c r="E8" s="9">
        <v>54</v>
      </c>
      <c r="F8" s="33">
        <v>2</v>
      </c>
      <c r="G8" s="14" t="str">
        <f>IF(AND('INPUTS - OUTPUTS'!$I$8&gt;D8,'INPUTS - OUTPUTS'!$I$8&lt;E8),F8,"")</f>
        <v/>
      </c>
    </row>
    <row r="9" spans="3:7" x14ac:dyDescent="0.3">
      <c r="C9" s="44"/>
      <c r="D9" s="9">
        <v>55</v>
      </c>
      <c r="E9" s="9">
        <v>64</v>
      </c>
      <c r="F9" s="33">
        <v>3</v>
      </c>
      <c r="G9" s="14" t="str">
        <f>IF(AND('INPUTS - OUTPUTS'!$I$8&gt;D9,'INPUTS - OUTPUTS'!$I$8&lt;E9),F9,"")</f>
        <v/>
      </c>
    </row>
    <row r="10" spans="3:7" x14ac:dyDescent="0.3">
      <c r="C10" s="46"/>
      <c r="D10" s="47"/>
      <c r="E10" s="47">
        <v>64</v>
      </c>
      <c r="F10" s="36">
        <v>4</v>
      </c>
      <c r="G10" s="15" t="str">
        <f>IF('INPUTS - OUTPUTS'!$I$8&gt;E10,F10,"")</f>
        <v/>
      </c>
    </row>
    <row r="11" spans="3:7" x14ac:dyDescent="0.3">
      <c r="C11" s="43" t="s">
        <v>60</v>
      </c>
      <c r="D11" s="13">
        <v>25</v>
      </c>
      <c r="E11" s="13"/>
      <c r="F11" s="32">
        <v>0</v>
      </c>
      <c r="G11" s="17" t="str">
        <f>IF('INPUTS - OUTPUTS'!$K$5&lt;D11,F11,"")</f>
        <v/>
      </c>
    </row>
    <row r="12" spans="3:7" x14ac:dyDescent="0.3">
      <c r="C12" s="44"/>
      <c r="D12" s="9">
        <v>25</v>
      </c>
      <c r="E12" s="9">
        <v>30</v>
      </c>
      <c r="F12" s="33">
        <v>1</v>
      </c>
      <c r="G12" s="14">
        <f>IF(AND('INPUTS - OUTPUTS'!$K$5&gt;D12,'INPUTS - OUTPUTS'!$K$5&lt;E12),F12,"")</f>
        <v>1</v>
      </c>
    </row>
    <row r="13" spans="3:7" x14ac:dyDescent="0.3">
      <c r="C13" s="44"/>
      <c r="D13" s="9"/>
      <c r="E13" s="9">
        <v>30</v>
      </c>
      <c r="F13" s="33">
        <v>3</v>
      </c>
      <c r="G13" s="14" t="str">
        <f>IF('INPUTS - OUTPUTS'!$K$5&gt;E13,F13,"")</f>
        <v/>
      </c>
    </row>
    <row r="14" spans="3:7" x14ac:dyDescent="0.3">
      <c r="C14" s="43" t="s">
        <v>67</v>
      </c>
      <c r="D14" s="13"/>
      <c r="E14" s="13"/>
      <c r="F14" s="32"/>
      <c r="G14" s="17"/>
    </row>
    <row r="15" spans="3:7" x14ac:dyDescent="0.3">
      <c r="C15" s="45" t="s">
        <v>37</v>
      </c>
      <c r="D15" s="9">
        <v>94</v>
      </c>
      <c r="E15" s="9"/>
      <c r="F15" s="33">
        <v>0</v>
      </c>
      <c r="G15" s="14">
        <f>IF('INPUTS - OUTPUTS'!$I$7="M",IF('INPUTS - OUTPUTS'!$I$9&lt;D15,F15,""),"")</f>
        <v>0</v>
      </c>
    </row>
    <row r="16" spans="3:7" x14ac:dyDescent="0.3">
      <c r="C16" s="45"/>
      <c r="D16" s="9">
        <v>94</v>
      </c>
      <c r="E16" s="9">
        <v>102</v>
      </c>
      <c r="F16" s="33">
        <v>3</v>
      </c>
      <c r="G16" s="14" t="str">
        <f>IF('INPUTS - OUTPUTS'!$I$7="M",IF(AND('INPUTS - OUTPUTS'!$I$9&gt;D16,'INPUTS - OUTPUTS'!$I$9&lt;E16),F16,""),"")</f>
        <v/>
      </c>
    </row>
    <row r="17" spans="3:7" x14ac:dyDescent="0.3">
      <c r="C17" s="45"/>
      <c r="D17" s="9"/>
      <c r="E17" s="9">
        <v>102</v>
      </c>
      <c r="F17" s="33">
        <v>4</v>
      </c>
      <c r="G17" s="14" t="str">
        <f>IF('INPUTS - OUTPUTS'!$I$7="M",IF('INPUTS - OUTPUTS'!$I$9&gt;E17,F17,""),"")</f>
        <v/>
      </c>
    </row>
    <row r="18" spans="3:7" x14ac:dyDescent="0.3">
      <c r="C18" s="45" t="s">
        <v>38</v>
      </c>
      <c r="D18" s="9">
        <v>80</v>
      </c>
      <c r="E18" s="9"/>
      <c r="F18" s="33">
        <v>0</v>
      </c>
      <c r="G18" s="14" t="str">
        <f>IF('INPUTS - OUTPUTS'!$I$7="F",IF('INPUTS - OUTPUTS'!$I$9&lt;D18,F18,""),"")</f>
        <v/>
      </c>
    </row>
    <row r="19" spans="3:7" x14ac:dyDescent="0.3">
      <c r="C19" s="44"/>
      <c r="D19" s="9">
        <v>80</v>
      </c>
      <c r="E19" s="9">
        <v>88</v>
      </c>
      <c r="F19" s="33">
        <v>3</v>
      </c>
      <c r="G19" s="14" t="str">
        <f>IF('INPUTS - OUTPUTS'!$I$7="F",IF(AND('INPUTS - OUTPUTS'!$I$9&gt;D19,'INPUTS - OUTPUTS'!$I$9&lt;E19),F19,""),"")</f>
        <v/>
      </c>
    </row>
    <row r="20" spans="3:7" x14ac:dyDescent="0.3">
      <c r="C20" s="46"/>
      <c r="D20" s="47"/>
      <c r="E20" s="47">
        <v>88</v>
      </c>
      <c r="F20" s="36">
        <v>4</v>
      </c>
      <c r="G20" s="15" t="str">
        <f>IF('INPUTS - OUTPUTS'!$I$7="F",IF('INPUTS - OUTPUTS'!$I$9&gt;E20,F20,""),"")</f>
        <v/>
      </c>
    </row>
    <row r="21" spans="3:7" x14ac:dyDescent="0.3">
      <c r="C21" s="48" t="s">
        <v>41</v>
      </c>
      <c r="D21" s="9"/>
      <c r="E21" s="9"/>
      <c r="F21" s="33"/>
      <c r="G21" s="14"/>
    </row>
    <row r="22" spans="3:7" x14ac:dyDescent="0.3">
      <c r="C22" s="44"/>
      <c r="D22" s="9" t="s">
        <v>68</v>
      </c>
      <c r="E22" s="9"/>
      <c r="F22" s="33">
        <v>0</v>
      </c>
      <c r="G22" s="14" t="str">
        <f>IF('INPUTS - OUTPUTS'!$I$33="S",F22,"")</f>
        <v/>
      </c>
    </row>
    <row r="23" spans="3:7" x14ac:dyDescent="0.3">
      <c r="C23" s="44"/>
      <c r="D23" s="9" t="s">
        <v>34</v>
      </c>
      <c r="E23" s="9"/>
      <c r="F23" s="33">
        <v>2</v>
      </c>
      <c r="G23" s="14">
        <f>IF('INPUTS - OUTPUTS'!$I$33="N",F23,"")</f>
        <v>2</v>
      </c>
    </row>
    <row r="24" spans="3:7" x14ac:dyDescent="0.3">
      <c r="C24" s="43" t="s">
        <v>69</v>
      </c>
      <c r="D24" s="13"/>
      <c r="E24" s="13"/>
      <c r="F24" s="32"/>
      <c r="G24" s="17"/>
    </row>
    <row r="25" spans="3:7" x14ac:dyDescent="0.3">
      <c r="C25" s="44"/>
      <c r="D25" s="9" t="s">
        <v>70</v>
      </c>
      <c r="E25" s="9"/>
      <c r="F25" s="33">
        <v>0</v>
      </c>
      <c r="G25" s="14">
        <f>IF('INPUTS - OUTPUTS'!$I$34="S",F25,"")</f>
        <v>0</v>
      </c>
    </row>
    <row r="26" spans="3:7" x14ac:dyDescent="0.3">
      <c r="C26" s="46"/>
      <c r="D26" s="47" t="s">
        <v>71</v>
      </c>
      <c r="E26" s="47"/>
      <c r="F26" s="36">
        <v>1</v>
      </c>
      <c r="G26" s="15" t="str">
        <f>IF('INPUTS - OUTPUTS'!$I$34="N",F26,"")</f>
        <v/>
      </c>
    </row>
    <row r="27" spans="3:7" x14ac:dyDescent="0.3">
      <c r="C27" s="43" t="s">
        <v>72</v>
      </c>
      <c r="D27" s="13"/>
      <c r="E27" s="13"/>
      <c r="F27" s="32"/>
      <c r="G27" s="17"/>
    </row>
    <row r="28" spans="3:7" x14ac:dyDescent="0.3">
      <c r="C28" s="44"/>
      <c r="D28" s="9" t="s">
        <v>34</v>
      </c>
      <c r="E28" s="9"/>
      <c r="F28" s="33">
        <v>0</v>
      </c>
      <c r="G28" s="14" t="str">
        <f>IF('INPUTS - OUTPUTS'!$I$24=0,F28,"")</f>
        <v/>
      </c>
    </row>
    <row r="29" spans="3:7" x14ac:dyDescent="0.3">
      <c r="C29" s="46"/>
      <c r="D29" s="47" t="s">
        <v>68</v>
      </c>
      <c r="E29" s="47"/>
      <c r="F29" s="36">
        <v>2</v>
      </c>
      <c r="G29" s="15">
        <f>IF('INPUTS - OUTPUTS'!$I$24=1,F29,"")</f>
        <v>2</v>
      </c>
    </row>
    <row r="30" spans="3:7" x14ac:dyDescent="0.3">
      <c r="C30" s="43" t="s">
        <v>83</v>
      </c>
      <c r="D30" s="13"/>
      <c r="E30" s="13"/>
      <c r="F30" s="32"/>
      <c r="G30" s="17"/>
    </row>
    <row r="31" spans="3:7" x14ac:dyDescent="0.3">
      <c r="C31" s="44"/>
      <c r="D31" s="9" t="s">
        <v>34</v>
      </c>
      <c r="E31" s="9"/>
      <c r="F31" s="33">
        <v>0</v>
      </c>
      <c r="G31" s="14">
        <f>IF('INPUTS - OUTPUTS'!$I$32="N",F31,"")</f>
        <v>0</v>
      </c>
    </row>
    <row r="32" spans="3:7" x14ac:dyDescent="0.3">
      <c r="C32" s="46"/>
      <c r="D32" s="47" t="s">
        <v>68</v>
      </c>
      <c r="E32" s="47"/>
      <c r="F32" s="36">
        <v>5</v>
      </c>
      <c r="G32" s="15" t="str">
        <f>IF('INPUTS - OUTPUTS'!$I$32="S",F32,"")</f>
        <v/>
      </c>
    </row>
    <row r="33" spans="3:9" x14ac:dyDescent="0.3">
      <c r="C33" s="43" t="s">
        <v>73</v>
      </c>
      <c r="D33" s="13"/>
      <c r="E33" s="13"/>
      <c r="F33" s="32"/>
      <c r="G33" s="17"/>
    </row>
    <row r="34" spans="3:9" x14ac:dyDescent="0.3">
      <c r="C34" s="44"/>
      <c r="D34" s="9" t="s">
        <v>34</v>
      </c>
      <c r="E34" s="9"/>
      <c r="F34" s="33">
        <v>0</v>
      </c>
      <c r="G34" s="14" t="str">
        <f>IF(AND('INPUTS - OUTPUTS'!$I$26=0,'INPUTS - OUTPUTS'!$I$27=0),F34,"")</f>
        <v/>
      </c>
    </row>
    <row r="35" spans="3:9" x14ac:dyDescent="0.3">
      <c r="C35" s="44"/>
      <c r="D35" s="9" t="s">
        <v>74</v>
      </c>
      <c r="E35" s="9"/>
      <c r="F35" s="33">
        <v>3</v>
      </c>
      <c r="G35" s="14">
        <f>IF('INPUTS - OUTPUTS'!$I$27=1,F35,"")</f>
        <v>3</v>
      </c>
    </row>
    <row r="36" spans="3:9" x14ac:dyDescent="0.3">
      <c r="C36" s="46"/>
      <c r="D36" s="47" t="s">
        <v>75</v>
      </c>
      <c r="E36" s="47"/>
      <c r="F36" s="36">
        <v>5</v>
      </c>
      <c r="G36" s="15" t="str">
        <f>IF('INPUTS - OUTPUTS'!$I$26&lt;&gt;0,F36,"")</f>
        <v/>
      </c>
    </row>
    <row r="38" spans="3:9" x14ac:dyDescent="0.3">
      <c r="F38" s="18" t="s">
        <v>164</v>
      </c>
      <c r="G38" s="3">
        <f>SUM(G7:G36)</f>
        <v>8</v>
      </c>
    </row>
    <row r="39" spans="3:9" x14ac:dyDescent="0.3">
      <c r="G39" s="16"/>
    </row>
    <row r="40" spans="3:9" x14ac:dyDescent="0.3">
      <c r="C40" s="1" t="s">
        <v>85</v>
      </c>
      <c r="G40" s="16"/>
    </row>
    <row r="41" spans="3:9" x14ac:dyDescent="0.3">
      <c r="C41" s="19">
        <v>0.01</v>
      </c>
      <c r="D41" s="18">
        <v>7</v>
      </c>
      <c r="G41" s="42" t="str">
        <f>IF($G$38&lt;D41,C41,"")</f>
        <v/>
      </c>
      <c r="H41" s="21" t="s">
        <v>86</v>
      </c>
      <c r="I41" t="str">
        <f>IF(G41&lt;&gt;"",H41,"")</f>
        <v/>
      </c>
    </row>
    <row r="42" spans="3:9" x14ac:dyDescent="0.3">
      <c r="C42" s="23">
        <f>1/25</f>
        <v>0.04</v>
      </c>
      <c r="D42" s="18">
        <v>7</v>
      </c>
      <c r="E42" s="18">
        <v>11</v>
      </c>
      <c r="G42" s="42">
        <f>IF(AND($G$38&gt;D42,$G$38&lt;=E42),C42,"")</f>
        <v>0.04</v>
      </c>
      <c r="H42" s="21" t="s">
        <v>87</v>
      </c>
      <c r="I42" t="str">
        <f>IF(G42&lt;&gt;"",H42,"")</f>
        <v>(medio-basso)</v>
      </c>
    </row>
    <row r="43" spans="3:9" x14ac:dyDescent="0.3">
      <c r="C43" s="23">
        <f>1/6</f>
        <v>0.16666666666666666</v>
      </c>
      <c r="D43" s="18">
        <v>12</v>
      </c>
      <c r="E43" s="18">
        <v>14</v>
      </c>
      <c r="G43" s="42" t="str">
        <f>IF(AND($G$38&gt;D43,$G$38&lt;=E43),C43,"")</f>
        <v/>
      </c>
      <c r="H43" s="21" t="s">
        <v>88</v>
      </c>
      <c r="I43" t="str">
        <f>IF(G43&lt;&gt;"",H43,"")</f>
        <v/>
      </c>
    </row>
    <row r="44" spans="3:9" x14ac:dyDescent="0.3">
      <c r="C44" s="23">
        <f>1/3</f>
        <v>0.33333333333333331</v>
      </c>
      <c r="D44" s="18">
        <v>15</v>
      </c>
      <c r="E44" s="18">
        <v>20</v>
      </c>
      <c r="G44" s="42" t="str">
        <f>IF(AND($G$38&gt;D44,$G$38&lt;=E44),C44,"")</f>
        <v/>
      </c>
      <c r="H44" s="21" t="s">
        <v>89</v>
      </c>
      <c r="I44" t="str">
        <f>IF(G44&lt;&gt;"",H44,"")</f>
        <v/>
      </c>
    </row>
    <row r="45" spans="3:9" x14ac:dyDescent="0.3">
      <c r="C45" s="23">
        <f>1/2</f>
        <v>0.5</v>
      </c>
      <c r="E45" s="18">
        <v>20</v>
      </c>
      <c r="G45" s="42" t="str">
        <f>IF($G$38&gt;E45,C45,"")</f>
        <v/>
      </c>
      <c r="H45" s="21" t="s">
        <v>90</v>
      </c>
      <c r="I45" t="str">
        <f>IF(G45&lt;&gt;"",H45,"")</f>
        <v/>
      </c>
    </row>
    <row r="46" spans="3:9" ht="15" thickBot="1" x14ac:dyDescent="0.35">
      <c r="G46" s="16"/>
    </row>
    <row r="47" spans="3:9" ht="15" thickBot="1" x14ac:dyDescent="0.35">
      <c r="F47" s="52" t="s">
        <v>139</v>
      </c>
      <c r="G47" s="78">
        <f>SUM(G41:G45)</f>
        <v>0.04</v>
      </c>
      <c r="H47" s="79" t="str">
        <f>CONCATENATE(I41,I42,I43,I44,I45)</f>
        <v>(medio-basso)</v>
      </c>
    </row>
    <row r="50" spans="3:9" x14ac:dyDescent="0.3">
      <c r="F50" s="52" t="s">
        <v>156</v>
      </c>
      <c r="G50" s="77">
        <f>IF('INPUTS - OUTPUTS'!I7="M",H50,H51)</f>
        <v>0.1</v>
      </c>
      <c r="H50">
        <v>0.1</v>
      </c>
      <c r="I50" t="s">
        <v>113</v>
      </c>
    </row>
    <row r="51" spans="3:9" x14ac:dyDescent="0.3">
      <c r="G51" s="11"/>
      <c r="H51">
        <v>7.0000000000000007E-2</v>
      </c>
      <c r="I51" t="s">
        <v>114</v>
      </c>
    </row>
    <row r="52" spans="3:9" x14ac:dyDescent="0.3">
      <c r="C52" s="18"/>
    </row>
    <row r="53" spans="3:9" ht="15" thickBot="1" x14ac:dyDescent="0.35">
      <c r="C53" s="86"/>
      <c r="D53" s="85"/>
      <c r="E53" s="85"/>
      <c r="F53" s="84"/>
      <c r="G53" s="84"/>
      <c r="H53" s="84"/>
      <c r="I53" s="84"/>
    </row>
    <row r="54" spans="3:9" ht="15" thickBot="1" x14ac:dyDescent="0.35">
      <c r="C54" s="86"/>
      <c r="D54" s="85"/>
      <c r="E54" s="85"/>
      <c r="F54" s="87" t="s">
        <v>142</v>
      </c>
      <c r="G54" s="54">
        <f>G47/G50</f>
        <v>0.39999999999999997</v>
      </c>
      <c r="H54" s="84"/>
      <c r="I54" s="84"/>
    </row>
    <row r="55" spans="3:9" x14ac:dyDescent="0.3">
      <c r="C55" s="86"/>
      <c r="D55" s="85"/>
      <c r="E55" s="85"/>
      <c r="F55" s="84"/>
      <c r="G55" s="84"/>
      <c r="H55" s="84"/>
      <c r="I55" s="84"/>
    </row>
  </sheetData>
  <mergeCells count="1">
    <mergeCell ref="D6:E6"/>
  </mergeCells>
  <pageMargins left="0.7" right="0.7" top="0.75" bottom="0.75" header="0.3" footer="0.3"/>
  <pageSetup orientation="portrait" horizontalDpi="4294967293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zoomScale="80" zoomScaleNormal="80" workbookViewId="0">
      <selection activeCell="C23" sqref="C23"/>
    </sheetView>
  </sheetViews>
  <sheetFormatPr defaultRowHeight="14.4" x14ac:dyDescent="0.3"/>
  <cols>
    <col min="1" max="1" width="8.88671875" style="69"/>
    <col min="3" max="3" width="31.88671875" customWidth="1"/>
    <col min="4" max="4" width="12" customWidth="1"/>
    <col min="7" max="7" width="2.6640625" customWidth="1"/>
  </cols>
  <sheetData>
    <row r="2" spans="3:14" x14ac:dyDescent="0.3">
      <c r="C2" s="4" t="s">
        <v>159</v>
      </c>
      <c r="M2" s="9"/>
      <c r="N2" s="8"/>
    </row>
    <row r="3" spans="3:14" x14ac:dyDescent="0.3">
      <c r="C3" t="s">
        <v>124</v>
      </c>
    </row>
    <row r="5" spans="3:14" x14ac:dyDescent="0.3">
      <c r="C5" s="58" t="s">
        <v>117</v>
      </c>
      <c r="D5" s="58" t="s">
        <v>109</v>
      </c>
      <c r="E5" s="8" t="s">
        <v>118</v>
      </c>
      <c r="F5" s="59" t="s">
        <v>119</v>
      </c>
    </row>
    <row r="6" spans="3:14" x14ac:dyDescent="0.3">
      <c r="C6" s="60" t="s">
        <v>120</v>
      </c>
      <c r="D6" s="61">
        <v>22.949535999999998</v>
      </c>
      <c r="E6" s="62"/>
      <c r="F6" s="63"/>
    </row>
    <row r="7" spans="3:14" x14ac:dyDescent="0.3">
      <c r="C7" s="60" t="s">
        <v>66</v>
      </c>
      <c r="D7" s="61">
        <v>-0.156412</v>
      </c>
      <c r="E7" s="62">
        <f>'INPUTS - OUTPUTS'!I8</f>
        <v>45</v>
      </c>
      <c r="F7" s="63">
        <f>E7</f>
        <v>45</v>
      </c>
    </row>
    <row r="8" spans="3:14" x14ac:dyDescent="0.3">
      <c r="C8" s="60" t="s">
        <v>63</v>
      </c>
      <c r="D8" s="61">
        <v>-0.202933</v>
      </c>
      <c r="E8" s="62">
        <f>IF('INPUTS - OUTPUTS'!I7="M",0,1)</f>
        <v>0</v>
      </c>
      <c r="F8" s="63">
        <f>E8</f>
        <v>0</v>
      </c>
    </row>
    <row r="9" spans="3:14" x14ac:dyDescent="0.3">
      <c r="C9" s="60" t="s">
        <v>60</v>
      </c>
      <c r="D9" s="61">
        <v>-3.3881000000000001E-2</v>
      </c>
      <c r="E9" s="62">
        <f>'INPUTS - OUTPUTS'!K5</f>
        <v>26.703623580313685</v>
      </c>
      <c r="F9" s="63">
        <v>22.5</v>
      </c>
    </row>
    <row r="10" spans="3:14" x14ac:dyDescent="0.3">
      <c r="C10" s="60" t="s">
        <v>130</v>
      </c>
      <c r="D10" s="61">
        <v>-5.9330000000000001E-2</v>
      </c>
      <c r="E10" s="62">
        <f>'INPUTS - OUTPUTS'!I14</f>
        <v>130</v>
      </c>
      <c r="F10" s="63">
        <v>110</v>
      </c>
    </row>
    <row r="11" spans="3:14" x14ac:dyDescent="0.3">
      <c r="C11" s="60" t="s">
        <v>131</v>
      </c>
      <c r="D11" s="61">
        <v>-0.128468</v>
      </c>
      <c r="E11" s="62">
        <f>'INPUTS - OUTPUTS'!I15</f>
        <v>80</v>
      </c>
      <c r="F11" s="63">
        <v>70</v>
      </c>
    </row>
    <row r="12" spans="3:14" x14ac:dyDescent="0.3">
      <c r="C12" s="60" t="s">
        <v>91</v>
      </c>
      <c r="D12" s="61">
        <v>-0.19073100000000001</v>
      </c>
      <c r="E12" s="62">
        <f>IF('INPUTS - OUTPUTS'!I31="S",1,0)</f>
        <v>0</v>
      </c>
      <c r="F12" s="63">
        <v>0</v>
      </c>
    </row>
    <row r="13" spans="3:14" x14ac:dyDescent="0.3">
      <c r="C13" s="60" t="s">
        <v>40</v>
      </c>
      <c r="D13" s="61">
        <v>-0.16612099999999999</v>
      </c>
      <c r="E13" s="62">
        <f>'INPUTS - OUTPUTS'!I25</f>
        <v>1</v>
      </c>
      <c r="F13" s="63">
        <v>0</v>
      </c>
    </row>
    <row r="14" spans="3:14" x14ac:dyDescent="0.3">
      <c r="C14" s="60" t="s">
        <v>121</v>
      </c>
      <c r="D14" s="61">
        <v>1.624E-3</v>
      </c>
      <c r="E14" s="62">
        <f>E7*E11</f>
        <v>3600</v>
      </c>
      <c r="F14" s="63">
        <f>F7*F11</f>
        <v>3150</v>
      </c>
    </row>
    <row r="15" spans="3:14" x14ac:dyDescent="0.3">
      <c r="C15" s="64" t="s">
        <v>122</v>
      </c>
      <c r="D15" s="65">
        <v>0.87692499999999995</v>
      </c>
      <c r="E15" s="62"/>
      <c r="F15" s="64">
        <v>0.87692499999999995</v>
      </c>
    </row>
    <row r="16" spans="3:14" x14ac:dyDescent="0.3">
      <c r="C16" s="64" t="s">
        <v>110</v>
      </c>
      <c r="D16" s="65">
        <f>D6 + D7*E7 + D8*E8 + D9*E9 + D10*E10 + D11*E11 + D12*E12 + D13*E13 + E14*D14</f>
        <v>2.6961895294753906</v>
      </c>
      <c r="E16" s="62"/>
      <c r="F16" s="62">
        <f>D6 + D7*F7 + D8*F8 + D9*F9 + D10*F10 + D11*F11 + D12*F12 + D13*F13 + F14*D14</f>
        <v>4.7452134999999975</v>
      </c>
    </row>
    <row r="17" spans="3:10" x14ac:dyDescent="0.3">
      <c r="C17" s="66"/>
      <c r="D17" s="39">
        <f>1-EXP(-EXP((LN(D19) - D16)/$D$15))</f>
        <v>0.20111002665777289</v>
      </c>
      <c r="E17" s="62"/>
      <c r="F17" s="50">
        <f>1-EXP(-EXP((LN(D19) - F16)/$D$15))</f>
        <v>2.1468479233268334E-2</v>
      </c>
    </row>
    <row r="18" spans="3:10" x14ac:dyDescent="0.3">
      <c r="C18" s="66"/>
      <c r="D18" s="23"/>
      <c r="E18" s="40"/>
      <c r="F18" s="23"/>
    </row>
    <row r="19" spans="3:10" x14ac:dyDescent="0.3">
      <c r="C19" s="66" t="s">
        <v>155</v>
      </c>
      <c r="D19" s="107">
        <v>4</v>
      </c>
      <c r="E19" s="40" t="s">
        <v>123</v>
      </c>
      <c r="F19" s="23"/>
    </row>
    <row r="20" spans="3:10" x14ac:dyDescent="0.3">
      <c r="H20" s="18"/>
    </row>
    <row r="21" spans="3:10" ht="15" thickBot="1" x14ac:dyDescent="0.35">
      <c r="F21" s="18"/>
      <c r="H21" s="18"/>
    </row>
    <row r="22" spans="3:10" ht="15" thickBot="1" x14ac:dyDescent="0.35">
      <c r="H22" s="52" t="s">
        <v>145</v>
      </c>
      <c r="I22" s="81">
        <f>D17</f>
        <v>0.20111002665777289</v>
      </c>
    </row>
    <row r="23" spans="3:10" x14ac:dyDescent="0.3">
      <c r="I23" s="55"/>
    </row>
    <row r="24" spans="3:10" x14ac:dyDescent="0.3">
      <c r="I24" s="55"/>
    </row>
    <row r="25" spans="3:10" x14ac:dyDescent="0.3">
      <c r="H25" s="52" t="s">
        <v>146</v>
      </c>
      <c r="I25" s="82">
        <f>F17</f>
        <v>2.1468479233268334E-2</v>
      </c>
    </row>
    <row r="26" spans="3:10" s="69" customFormat="1" x14ac:dyDescent="0.3">
      <c r="H26" s="52"/>
      <c r="I26" s="134"/>
    </row>
    <row r="27" spans="3:10" x14ac:dyDescent="0.3">
      <c r="I27" s="55"/>
    </row>
    <row r="28" spans="3:10" ht="15" thickBot="1" x14ac:dyDescent="0.35">
      <c r="D28" s="84"/>
      <c r="E28" s="84"/>
      <c r="F28" s="84"/>
      <c r="G28" s="84"/>
      <c r="H28" s="84"/>
      <c r="I28" s="88"/>
      <c r="J28" s="84"/>
    </row>
    <row r="29" spans="3:10" ht="15" thickBot="1" x14ac:dyDescent="0.35">
      <c r="D29" s="84"/>
      <c r="E29" s="84"/>
      <c r="F29" s="84"/>
      <c r="G29" s="84"/>
      <c r="H29" s="87" t="s">
        <v>147</v>
      </c>
      <c r="I29" s="83">
        <f>I22/I25</f>
        <v>9.3676885294290191</v>
      </c>
      <c r="J29" s="84"/>
    </row>
    <row r="30" spans="3:10" x14ac:dyDescent="0.3">
      <c r="D30" s="84"/>
      <c r="E30" s="84"/>
      <c r="F30" s="84"/>
      <c r="G30" s="84"/>
      <c r="H30" s="84"/>
      <c r="I30" s="84"/>
      <c r="J30" s="84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9"/>
  <sheetViews>
    <sheetView tabSelected="1" zoomScale="80" zoomScaleNormal="80" workbookViewId="0">
      <selection activeCell="AA18" sqref="AA18"/>
    </sheetView>
  </sheetViews>
  <sheetFormatPr defaultRowHeight="14.4" x14ac:dyDescent="0.3"/>
  <cols>
    <col min="1" max="1" width="8.88671875" style="69"/>
    <col min="5" max="9" width="5.33203125" customWidth="1"/>
    <col min="10" max="12" width="6.5546875" customWidth="1"/>
    <col min="13" max="14" width="5.33203125" customWidth="1"/>
    <col min="15" max="16" width="8.109375" customWidth="1"/>
    <col min="17" max="17" width="5.33203125" customWidth="1"/>
    <col min="18" max="18" width="7.33203125" customWidth="1"/>
    <col min="19" max="19" width="9.44140625" customWidth="1"/>
    <col min="20" max="21" width="5.33203125" customWidth="1"/>
    <col min="22" max="22" width="7.5546875" customWidth="1"/>
    <col min="23" max="27" width="5.33203125" customWidth="1"/>
  </cols>
  <sheetData>
    <row r="2" spans="3:35" x14ac:dyDescent="0.3">
      <c r="C2" s="4" t="s">
        <v>160</v>
      </c>
    </row>
    <row r="3" spans="3:35" x14ac:dyDescent="0.3">
      <c r="C3" s="69" t="s">
        <v>132</v>
      </c>
    </row>
    <row r="4" spans="3:35" s="69" customFormat="1" x14ac:dyDescent="0.3"/>
    <row r="5" spans="3:35" x14ac:dyDescent="0.3">
      <c r="C5" s="1" t="s">
        <v>112</v>
      </c>
    </row>
    <row r="6" spans="3:35" x14ac:dyDescent="0.3">
      <c r="C6" s="75" t="s">
        <v>106</v>
      </c>
    </row>
    <row r="7" spans="3:35" x14ac:dyDescent="0.3">
      <c r="M7" t="s">
        <v>111</v>
      </c>
      <c r="O7" t="s">
        <v>51</v>
      </c>
      <c r="P7" t="s">
        <v>64</v>
      </c>
      <c r="R7" t="s">
        <v>109</v>
      </c>
      <c r="S7" t="s">
        <v>110</v>
      </c>
      <c r="AI7" s="69"/>
    </row>
    <row r="8" spans="3:35" x14ac:dyDescent="0.3">
      <c r="C8" t="s">
        <v>103</v>
      </c>
      <c r="H8" s="18"/>
      <c r="L8" s="18" t="s">
        <v>93</v>
      </c>
      <c r="M8" s="18">
        <f>'INPUTS - OUTPUTS'!I8</f>
        <v>45</v>
      </c>
      <c r="N8" s="18" t="s">
        <v>92</v>
      </c>
      <c r="O8" s="51">
        <v>7.5999999999999998E-2</v>
      </c>
      <c r="P8" s="51">
        <v>7.9000000000000001E-2</v>
      </c>
      <c r="R8">
        <f>IF('INPUTS - OUTPUTS'!$I$7="M",O8,P8)</f>
        <v>7.5999999999999998E-2</v>
      </c>
      <c r="S8">
        <f t="shared" ref="S8:S14" si="0">R8*M8</f>
        <v>3.42</v>
      </c>
      <c r="AI8" s="51"/>
    </row>
    <row r="9" spans="3:35" x14ac:dyDescent="0.3">
      <c r="L9" s="18" t="s">
        <v>115</v>
      </c>
      <c r="M9" s="18">
        <f>'INPUTS - OUTPUTS'!I14</f>
        <v>130</v>
      </c>
      <c r="N9" s="18" t="s">
        <v>94</v>
      </c>
      <c r="O9" s="51">
        <v>1.2999999999999999E-2</v>
      </c>
      <c r="P9" s="51">
        <v>1.6E-2</v>
      </c>
      <c r="R9">
        <f>IF('INPUTS - OUTPUTS'!$I$7="M",O9,P9)</f>
        <v>1.2999999999999999E-2</v>
      </c>
      <c r="S9">
        <f t="shared" si="0"/>
        <v>1.69</v>
      </c>
      <c r="AI9" s="51"/>
    </row>
    <row r="10" spans="3:35" x14ac:dyDescent="0.3">
      <c r="L10" s="18" t="s">
        <v>100</v>
      </c>
      <c r="M10" s="18">
        <f>'INPUTS - OUTPUTS'!I18</f>
        <v>190</v>
      </c>
      <c r="N10" s="18" t="s">
        <v>95</v>
      </c>
      <c r="O10" s="51">
        <v>6.0000000000000001E-3</v>
      </c>
      <c r="P10" s="51">
        <v>3.0000000000000001E-3</v>
      </c>
      <c r="R10">
        <f>IF('INPUTS - OUTPUTS'!$I$7="M",O10,P10)</f>
        <v>6.0000000000000001E-3</v>
      </c>
      <c r="S10">
        <f t="shared" si="0"/>
        <v>1.1400000000000001</v>
      </c>
      <c r="AI10" s="51"/>
    </row>
    <row r="11" spans="3:35" x14ac:dyDescent="0.3">
      <c r="L11" s="18" t="s">
        <v>58</v>
      </c>
      <c r="M11" s="18">
        <f>'INPUTS - OUTPUTS'!I17</f>
        <v>45</v>
      </c>
      <c r="N11" s="18" t="s">
        <v>96</v>
      </c>
      <c r="O11" s="51">
        <v>-1.2999999999999999E-2</v>
      </c>
      <c r="P11" s="51">
        <v>-1.4999999999999999E-2</v>
      </c>
      <c r="R11">
        <f>IF('INPUTS - OUTPUTS'!$I$7="M",O11,P11)</f>
        <v>-1.2999999999999999E-2</v>
      </c>
      <c r="S11">
        <f t="shared" si="0"/>
        <v>-0.58499999999999996</v>
      </c>
      <c r="AI11" s="51"/>
    </row>
    <row r="12" spans="3:35" x14ac:dyDescent="0.3">
      <c r="L12" s="18" t="s">
        <v>101</v>
      </c>
      <c r="M12" s="18">
        <f>IF('INPUTS - OUTPUTS'!I31="S",1,0)</f>
        <v>0</v>
      </c>
      <c r="N12" s="18" t="s">
        <v>97</v>
      </c>
      <c r="O12" s="51">
        <v>0.50800000000000001</v>
      </c>
      <c r="P12" s="51">
        <v>0.77300000000000002</v>
      </c>
      <c r="R12" s="69">
        <f>IF('INPUTS - OUTPUTS'!$I$7="M",O12,P12)</f>
        <v>0.50800000000000001</v>
      </c>
      <c r="S12" s="69">
        <f t="shared" si="0"/>
        <v>0</v>
      </c>
      <c r="AI12" s="51"/>
    </row>
    <row r="13" spans="3:35" x14ac:dyDescent="0.3">
      <c r="L13" s="18" t="s">
        <v>170</v>
      </c>
      <c r="M13" s="18">
        <f>IF('INPUTS - OUTPUTS'!I12&gt;126,1,0)</f>
        <v>0</v>
      </c>
      <c r="N13" s="18" t="s">
        <v>98</v>
      </c>
      <c r="O13" s="51">
        <v>0.46200000000000002</v>
      </c>
      <c r="P13" s="51">
        <v>0.33900000000000002</v>
      </c>
      <c r="R13" s="69">
        <f>IF('INPUTS - OUTPUTS'!$I$7="M",O13,P13)</f>
        <v>0.46200000000000002</v>
      </c>
      <c r="S13" s="69">
        <f t="shared" si="0"/>
        <v>0</v>
      </c>
      <c r="AE13" s="69"/>
      <c r="AF13" s="69"/>
      <c r="AI13" s="51"/>
    </row>
    <row r="14" spans="3:35" x14ac:dyDescent="0.3">
      <c r="L14" s="18" t="s">
        <v>102</v>
      </c>
      <c r="M14" s="18">
        <f>IF('INPUTS - OUTPUTS'!I24=1,1,0)</f>
        <v>1</v>
      </c>
      <c r="N14" s="18" t="s">
        <v>99</v>
      </c>
      <c r="O14" s="51">
        <v>0.49</v>
      </c>
      <c r="P14" s="51">
        <v>0.59</v>
      </c>
      <c r="R14" s="69">
        <f>IF('INPUTS - OUTPUTS'!$I$7="M",O14,P14)</f>
        <v>0.49</v>
      </c>
      <c r="S14" s="69">
        <f t="shared" si="0"/>
        <v>0.49</v>
      </c>
      <c r="V14" s="89"/>
      <c r="AI14" s="51"/>
    </row>
    <row r="15" spans="3:35" x14ac:dyDescent="0.3">
      <c r="N15" s="18" t="s">
        <v>104</v>
      </c>
      <c r="O15" s="51">
        <v>6.5830000000000002</v>
      </c>
      <c r="P15" s="51">
        <v>6.016</v>
      </c>
      <c r="R15">
        <f>IF('INPUTS - OUTPUTS'!$I$7="M",O15,P15)</f>
        <v>6.5830000000000002</v>
      </c>
      <c r="S15">
        <f>R15</f>
        <v>6.5830000000000002</v>
      </c>
      <c r="U15" s="70"/>
      <c r="V15" s="89"/>
      <c r="AD15" s="70"/>
      <c r="AE15" s="69"/>
      <c r="AF15" s="69"/>
      <c r="AG15" s="69"/>
      <c r="AI15" s="51"/>
    </row>
    <row r="16" spans="3:35" x14ac:dyDescent="0.3">
      <c r="N16" s="18" t="s">
        <v>105</v>
      </c>
      <c r="O16" s="51">
        <v>0.95299999999999996</v>
      </c>
      <c r="P16" s="51">
        <v>0.98899999999999999</v>
      </c>
      <c r="R16">
        <f>IF('INPUTS - OUTPUTS'!$I$7="M",O16,P16)</f>
        <v>0.95299999999999996</v>
      </c>
      <c r="S16">
        <f>R16</f>
        <v>0.95299999999999996</v>
      </c>
      <c r="V16" s="89"/>
      <c r="AE16" s="51"/>
      <c r="AF16" s="51"/>
      <c r="AG16" s="69"/>
      <c r="AI16" s="51"/>
    </row>
    <row r="17" spans="3:33" ht="15" thickBot="1" x14ac:dyDescent="0.35">
      <c r="R17" s="18" t="s">
        <v>108</v>
      </c>
      <c r="S17" s="32">
        <f>SUM(S8:S14)</f>
        <v>6.1550000000000002</v>
      </c>
      <c r="V17" s="89"/>
      <c r="W17" s="23"/>
    </row>
    <row r="18" spans="3:33" ht="15" thickBot="1" x14ac:dyDescent="0.35">
      <c r="R18" s="52" t="s">
        <v>143</v>
      </c>
      <c r="S18" s="90">
        <f>1-(S16^(EXP(S17-S15)))</f>
        <v>3.0891251807412146E-2</v>
      </c>
      <c r="V18" s="89"/>
      <c r="W18" s="69"/>
      <c r="AD18" s="70"/>
      <c r="AG18" s="69"/>
    </row>
    <row r="19" spans="3:33" x14ac:dyDescent="0.3">
      <c r="V19" s="89"/>
      <c r="W19" s="91"/>
      <c r="X19" s="69"/>
      <c r="AE19" s="51"/>
      <c r="AF19" s="51"/>
      <c r="AG19" s="69"/>
    </row>
    <row r="20" spans="3:33" x14ac:dyDescent="0.3">
      <c r="D20" s="18"/>
      <c r="E20" s="18"/>
      <c r="W20" s="8"/>
      <c r="X20" s="8"/>
    </row>
    <row r="21" spans="3:33" x14ac:dyDescent="0.3">
      <c r="C21" s="18"/>
      <c r="D21" s="18"/>
      <c r="E21" s="18"/>
      <c r="R21" s="52" t="s">
        <v>154</v>
      </c>
      <c r="S21" s="77">
        <f>IF('INPUTS - OUTPUTS'!I7="M",U21,U22)</f>
        <v>0.08</v>
      </c>
      <c r="U21">
        <v>0.08</v>
      </c>
      <c r="V21" t="s">
        <v>113</v>
      </c>
      <c r="W21" s="11"/>
      <c r="X21" s="8"/>
    </row>
    <row r="22" spans="3:33" x14ac:dyDescent="0.3">
      <c r="C22" s="18"/>
      <c r="D22" s="18"/>
      <c r="E22" s="18"/>
      <c r="S22" s="11"/>
      <c r="U22">
        <v>0.03</v>
      </c>
      <c r="V22" t="s">
        <v>114</v>
      </c>
      <c r="W22" s="11"/>
      <c r="X22" s="8"/>
    </row>
    <row r="23" spans="3:33" x14ac:dyDescent="0.3">
      <c r="C23" s="18"/>
      <c r="D23" s="18"/>
      <c r="E23" s="18"/>
      <c r="W23" s="8"/>
      <c r="X23" s="8"/>
    </row>
    <row r="24" spans="3:33" ht="15" thickBot="1" x14ac:dyDescent="0.35">
      <c r="C24" s="20"/>
      <c r="D24" s="18"/>
      <c r="E24" s="18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"/>
      <c r="X24" s="8"/>
    </row>
    <row r="25" spans="3:33" ht="15" thickBot="1" x14ac:dyDescent="0.35">
      <c r="C25" s="18"/>
      <c r="D25" s="18"/>
      <c r="E25" s="18"/>
      <c r="K25" s="84"/>
      <c r="L25" s="84"/>
      <c r="M25" s="84"/>
      <c r="N25" s="84"/>
      <c r="O25" s="84"/>
      <c r="P25" s="84"/>
      <c r="Q25" s="84"/>
      <c r="R25" s="87" t="s">
        <v>144</v>
      </c>
      <c r="S25" s="57">
        <f>S18/S21</f>
        <v>0.38614064759265182</v>
      </c>
      <c r="T25" s="84"/>
      <c r="U25" s="84"/>
      <c r="V25" s="84"/>
    </row>
    <row r="26" spans="3:33" s="12" customFormat="1" x14ac:dyDescent="0.3">
      <c r="C26" s="111"/>
      <c r="D26" s="111"/>
      <c r="E26" s="111"/>
      <c r="F26" s="76"/>
      <c r="G26" s="76"/>
      <c r="H26" s="76"/>
      <c r="I26" s="76"/>
      <c r="J26" s="76"/>
      <c r="K26" s="131"/>
      <c r="L26" s="131"/>
      <c r="M26" s="131"/>
      <c r="N26" s="131"/>
      <c r="O26" s="131"/>
      <c r="P26" s="131"/>
      <c r="Q26" s="131"/>
      <c r="R26" s="132"/>
      <c r="S26" s="133"/>
      <c r="T26" s="131"/>
      <c r="U26" s="131"/>
      <c r="V26" s="131"/>
      <c r="W26" s="76"/>
    </row>
    <row r="27" spans="3:33" s="12" customFormat="1" x14ac:dyDescent="0.3">
      <c r="C27" s="71"/>
      <c r="D27" s="71"/>
      <c r="E27" s="71"/>
      <c r="R27" s="72"/>
      <c r="S27" s="73"/>
    </row>
    <row r="28" spans="3:33" s="12" customFormat="1" x14ac:dyDescent="0.3">
      <c r="C28" s="71"/>
      <c r="D28" s="71"/>
      <c r="E28" s="71"/>
      <c r="R28" s="72"/>
      <c r="S28" s="73"/>
    </row>
    <row r="29" spans="3:33" s="12" customFormat="1" x14ac:dyDescent="0.3">
      <c r="C29" s="71"/>
      <c r="D29" s="71"/>
      <c r="E29" s="71"/>
      <c r="R29" s="72"/>
      <c r="S29" s="73"/>
    </row>
    <row r="30" spans="3:33" s="12" customFormat="1" x14ac:dyDescent="0.3">
      <c r="C30" s="71"/>
      <c r="D30" s="71"/>
      <c r="E30" s="71"/>
      <c r="R30" s="72"/>
      <c r="S30" s="73"/>
    </row>
    <row r="31" spans="3:33" x14ac:dyDescent="0.3">
      <c r="C31" s="18"/>
      <c r="D31" s="18"/>
      <c r="E31" s="18"/>
    </row>
    <row r="33" s="69" customFormat="1" x14ac:dyDescent="0.3"/>
    <row r="54" spans="29:32" s="69" customFormat="1" x14ac:dyDescent="0.3"/>
    <row r="58" spans="29:32" x14ac:dyDescent="0.3">
      <c r="AC58" s="147"/>
      <c r="AD58" s="147"/>
      <c r="AE58" s="147"/>
      <c r="AF58" s="147"/>
    </row>
    <row r="59" spans="29:32" x14ac:dyDescent="0.3">
      <c r="AC59" s="49"/>
      <c r="AD59" s="49"/>
      <c r="AE59" s="49"/>
      <c r="AF59" s="49"/>
    </row>
  </sheetData>
  <mergeCells count="2">
    <mergeCell ref="AC58:AD58"/>
    <mergeCell ref="AE58:AF58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"/>
  <sheetViews>
    <sheetView showRowColHeaders="0" workbookViewId="0">
      <selection sqref="A1:XFD1048576"/>
    </sheetView>
  </sheetViews>
  <sheetFormatPr defaultColWidth="12.6640625" defaultRowHeight="14.4" x14ac:dyDescent="0.3"/>
  <cols>
    <col min="1" max="16384" width="12.6640625" style="5"/>
  </cols>
  <sheetData>
    <row r="1" spans="1:182" x14ac:dyDescent="0.3">
      <c r="A1" s="5" t="s">
        <v>17</v>
      </c>
      <c r="B1" s="5" t="e">
        <f ca="1">CELL("address",#REF!)</f>
        <v>#REF!</v>
      </c>
      <c r="C1" s="5" t="s">
        <v>33</v>
      </c>
      <c r="D1" s="6" t="s">
        <v>3</v>
      </c>
    </row>
    <row r="2" spans="1:182" x14ac:dyDescent="0.3">
      <c r="FZ2" s="5">
        <v>3</v>
      </c>
    </row>
    <row r="3" spans="1:182" x14ac:dyDescent="0.3">
      <c r="A3" s="5" t="s">
        <v>18</v>
      </c>
      <c r="FZ3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INPUTS - OUTPUTS</vt:lpstr>
      <vt:lpstr>OVER-OB</vt:lpstr>
      <vt:lpstr>T2D</vt:lpstr>
      <vt:lpstr>HYP</vt:lpstr>
      <vt:lpstr>CVD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RHome</dc:creator>
  <cp:lastModifiedBy>Riccardo Rossi</cp:lastModifiedBy>
  <cp:lastPrinted>2012-01-10T18:05:51Z</cp:lastPrinted>
  <dcterms:created xsi:type="dcterms:W3CDTF">2011-11-12T19:36:41Z</dcterms:created>
  <dcterms:modified xsi:type="dcterms:W3CDTF">2018-01-10T14:07:09Z</dcterms:modified>
</cp:coreProperties>
</file>