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66925"/>
  <mc:AlternateContent xmlns:mc="http://schemas.openxmlformats.org/markup-compatibility/2006">
    <mc:Choice Requires="x15">
      <x15ac:absPath xmlns:x15ac="http://schemas.microsoft.com/office/spreadsheetml/2010/11/ac" url="C:\tmp\src\work-time-model-psy\clock-stop\"/>
    </mc:Choice>
  </mc:AlternateContent>
  <xr:revisionPtr revIDLastSave="0" documentId="13_ncr:1_{73A0F0A5-C4E9-47C6-A96A-01DF6F4BDF57}" xr6:coauthVersionLast="45" xr6:coauthVersionMax="45" xr10:uidLastSave="{00000000-0000-0000-0000-000000000000}"/>
  <bookViews>
    <workbookView xWindow="-120" yWindow="-120" windowWidth="29040" windowHeight="15840" tabRatio="348" activeTab="3" xr2:uid="{00000000-000D-0000-FFFF-FFFF00000000}"/>
  </bookViews>
  <sheets>
    <sheet name="Stop-PD" sheetId="1" r:id="rId1"/>
    <sheet name="Stop-PTSD" sheetId="8" r:id="rId2"/>
    <sheet name="Stop-MAP" sheetId="9" r:id="rId3"/>
    <sheet name="Stop-CORE" sheetId="10" r:id="rId4"/>
  </sheets>
  <definedNames>
    <definedName name="availableHours">'Stop-PD'!$L$6</definedName>
    <definedName name="availableHoursWeekly">'Stop-PD'!$M$6</definedName>
    <definedName name="availableWeeks">'Stop-PD'!$N$6</definedName>
    <definedName name="clkStopCORE_E">'Stop-CORE'!$E$5</definedName>
    <definedName name="clkStopMAP_E">'Stop-MAP'!$E$5</definedName>
    <definedName name="clkStopPD_E">'Stop-PD'!$E$5</definedName>
    <definedName name="clkStopPTSD_E" localSheetId="1">'Stop-PTSD'!$E$5</definedName>
    <definedName name="existAbsWTE" localSheetId="3">'Stop-CORE'!$N$20</definedName>
    <definedName name="existAbsWTE" localSheetId="2">'Stop-MAP'!$N$20</definedName>
    <definedName name="existAbsWTE" localSheetId="1">'Stop-PTSD'!$N$20</definedName>
    <definedName name="existAbsWTE">'Stop-PD'!$N$20</definedName>
    <definedName name="existClinWTE" localSheetId="3">'Stop-CORE'!$O$18</definedName>
    <definedName name="existClinWTE" localSheetId="2">'Stop-MAP'!$O$18</definedName>
    <definedName name="existClinWTE" localSheetId="1">'Stop-PTSD'!$O$18</definedName>
    <definedName name="existClinWTE">'Stop-PD'!$O$18</definedName>
    <definedName name="indFctSCM" localSheetId="3">'Stop-CORE'!$A$5</definedName>
    <definedName name="indFctSCM" localSheetId="2">'Stop-MAP'!$A$5</definedName>
    <definedName name="indFctSCM" localSheetId="1">'Stop-PTSD'!$A$5</definedName>
    <definedName name="indFctSCM">'Stop-PD'!$A$5</definedName>
    <definedName name="nrTH1" localSheetId="3">'Stop-CORE'!$J$29</definedName>
    <definedName name="nrTH1" localSheetId="2">'Stop-MAP'!$J$29</definedName>
    <definedName name="nrTH1" localSheetId="1">'Stop-PTSD'!$J$29</definedName>
    <definedName name="nrTH1">'Stop-PD'!$J$29</definedName>
    <definedName name="nrTH2" localSheetId="3">'Stop-CORE'!$N$29</definedName>
    <definedName name="nrTH2" localSheetId="2">'Stop-MAP'!$N$29</definedName>
    <definedName name="nrTH2" localSheetId="1">'Stop-PTSD'!$N$29</definedName>
    <definedName name="nrTH2">'Stop-PD'!$N$29</definedName>
    <definedName name="otherWork_H">'Stop-PD'!$E$2</definedName>
    <definedName name="weeklyDevelopmentCORE">'Stop-CORE'!$I$20</definedName>
    <definedName name="weeklyDevelopmentMAP">'Stop-MAP'!$I$20</definedName>
    <definedName name="weeklyDevelopmentPD">'Stop-PD'!$I$20</definedName>
    <definedName name="weeklyDevelopmentPTSD">'Stop-PTSD'!$I$20</definedName>
    <definedName name="weeklyMeetingsCORE">'Stop-CORE'!$I$18</definedName>
    <definedName name="weeklyMeetingsMAP">'Stop-MAP'!$I$18</definedName>
    <definedName name="weeklyMeetingsPD">'Stop-PD'!$I$18</definedName>
    <definedName name="weeklyMeetingsPTSD">'Stop-PTSD'!$I$18</definedName>
    <definedName name="weeklyOngoingCORE">'Stop-CORE'!$I$19</definedName>
    <definedName name="weeklyOngoingMAP">'Stop-MAP'!$I$19</definedName>
    <definedName name="weeklyOngoingPD">'Stop-PD'!$I$19</definedName>
    <definedName name="weeklyOngoingPTSD">'Stop-PTSD'!$I$19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8" l="1"/>
  <c r="E9" i="1" l="1"/>
  <c r="E9" i="8"/>
  <c r="E9" i="9"/>
  <c r="F10" i="9"/>
  <c r="F10" i="8"/>
  <c r="F10" i="1"/>
  <c r="F10" i="10"/>
  <c r="C5" i="10" l="1"/>
  <c r="N6" i="10"/>
  <c r="N6" i="9"/>
  <c r="N6" i="8"/>
  <c r="M6" i="10"/>
  <c r="M6" i="9"/>
  <c r="M6" i="8"/>
  <c r="F12" i="10" l="1"/>
  <c r="E9" i="10"/>
  <c r="O35" i="10"/>
  <c r="I35" i="10"/>
  <c r="I34" i="10"/>
  <c r="I33" i="10"/>
  <c r="I32" i="10"/>
  <c r="I31" i="10"/>
  <c r="I19" i="10"/>
  <c r="N32" i="10" s="1"/>
  <c r="I18" i="10"/>
  <c r="I16" i="10"/>
  <c r="K16" i="10" s="1"/>
  <c r="K15" i="10"/>
  <c r="K13" i="10"/>
  <c r="L12" i="10"/>
  <c r="K12" i="10"/>
  <c r="K11" i="10"/>
  <c r="E11" i="10"/>
  <c r="K10" i="10"/>
  <c r="K9" i="10"/>
  <c r="K8" i="10"/>
  <c r="F8" i="10"/>
  <c r="K7" i="10"/>
  <c r="E7" i="10"/>
  <c r="K6" i="10"/>
  <c r="K5" i="10"/>
  <c r="E5" i="10"/>
  <c r="N35" i="10" s="1"/>
  <c r="F12" i="9"/>
  <c r="O35" i="9"/>
  <c r="I35" i="9"/>
  <c r="I34" i="9"/>
  <c r="I33" i="9"/>
  <c r="I32" i="9"/>
  <c r="I31" i="9"/>
  <c r="I19" i="9"/>
  <c r="N32" i="9" s="1"/>
  <c r="I18" i="9"/>
  <c r="N31" i="9" s="1"/>
  <c r="I16" i="9"/>
  <c r="K16" i="9" s="1"/>
  <c r="K15" i="9"/>
  <c r="K13" i="9"/>
  <c r="L12" i="9"/>
  <c r="K12" i="9"/>
  <c r="K11" i="9"/>
  <c r="K10" i="9"/>
  <c r="K9" i="9"/>
  <c r="K8" i="9"/>
  <c r="F8" i="9"/>
  <c r="K7" i="9"/>
  <c r="K6" i="9"/>
  <c r="K5" i="9"/>
  <c r="O35" i="8"/>
  <c r="I35" i="8"/>
  <c r="K35" i="8" s="1"/>
  <c r="I34" i="8"/>
  <c r="I33" i="8"/>
  <c r="I32" i="8"/>
  <c r="I31" i="8"/>
  <c r="I19" i="8"/>
  <c r="N32" i="8" s="1"/>
  <c r="I18" i="8"/>
  <c r="N31" i="8" s="1"/>
  <c r="I16" i="8"/>
  <c r="I20" i="8" s="1"/>
  <c r="N33" i="8" s="1"/>
  <c r="K15" i="8"/>
  <c r="K13" i="8"/>
  <c r="L12" i="8"/>
  <c r="K12" i="8"/>
  <c r="F12" i="8"/>
  <c r="K11" i="8"/>
  <c r="E11" i="8"/>
  <c r="K10" i="8"/>
  <c r="K9" i="8"/>
  <c r="K8" i="8"/>
  <c r="F8" i="8"/>
  <c r="K7" i="8"/>
  <c r="E7" i="8"/>
  <c r="K6" i="8"/>
  <c r="K5" i="8"/>
  <c r="N35" i="8"/>
  <c r="I33" i="1"/>
  <c r="I32" i="1"/>
  <c r="I31" i="1"/>
  <c r="I35" i="1"/>
  <c r="I34" i="1"/>
  <c r="E2" i="1"/>
  <c r="N34" i="10" s="1"/>
  <c r="K14" i="10" l="1"/>
  <c r="I20" i="10"/>
  <c r="N33" i="10" s="1"/>
  <c r="N34" i="8"/>
  <c r="N30" i="8" s="1"/>
  <c r="J32" i="8"/>
  <c r="J31" i="8"/>
  <c r="J34" i="9"/>
  <c r="J34" i="10"/>
  <c r="E2" i="8"/>
  <c r="E2" i="9"/>
  <c r="E2" i="10"/>
  <c r="N34" i="9"/>
  <c r="J32" i="9"/>
  <c r="J31" i="9"/>
  <c r="J35" i="10"/>
  <c r="K35" i="9"/>
  <c r="J32" i="10"/>
  <c r="K35" i="10"/>
  <c r="N31" i="10"/>
  <c r="J31" i="10"/>
  <c r="K14" i="8"/>
  <c r="J33" i="8"/>
  <c r="I20" i="9"/>
  <c r="N33" i="9" s="1"/>
  <c r="K14" i="9"/>
  <c r="E7" i="9"/>
  <c r="E11" i="9"/>
  <c r="E5" i="9"/>
  <c r="N35" i="9" s="1"/>
  <c r="K16" i="8"/>
  <c r="J34" i="8"/>
  <c r="J35" i="8"/>
  <c r="J34" i="1"/>
  <c r="N34" i="1"/>
  <c r="F12" i="1"/>
  <c r="E11" i="1"/>
  <c r="F8" i="1"/>
  <c r="E7" i="1"/>
  <c r="J33" i="10" l="1"/>
  <c r="J30" i="10" s="1"/>
  <c r="J33" i="9"/>
  <c r="J35" i="9"/>
  <c r="N30" i="10"/>
  <c r="J30" i="8"/>
  <c r="N30" i="9"/>
  <c r="E5" i="1"/>
  <c r="J30" i="9" l="1"/>
  <c r="J35" i="1"/>
  <c r="N35" i="1"/>
  <c r="I16" i="1" l="1"/>
  <c r="K14" i="1" s="1"/>
  <c r="L12" i="1"/>
  <c r="K15" i="1"/>
  <c r="K12" i="1"/>
  <c r="K13" i="1"/>
  <c r="K11" i="1"/>
  <c r="K6" i="1"/>
  <c r="K7" i="1"/>
  <c r="K8" i="1"/>
  <c r="K9" i="1"/>
  <c r="K10" i="1"/>
  <c r="K5" i="1"/>
  <c r="I20" i="1" l="1"/>
  <c r="K16" i="1"/>
  <c r="N33" i="1" l="1"/>
  <c r="J33" i="1"/>
  <c r="I19" i="1"/>
  <c r="N32" i="1" l="1"/>
  <c r="J32" i="1"/>
  <c r="K35" i="1"/>
  <c r="O35" i="1"/>
  <c r="I18" i="1"/>
  <c r="L6" i="1"/>
  <c r="K30" i="1" l="1"/>
  <c r="L6" i="9"/>
  <c r="L6" i="8"/>
  <c r="L6" i="10"/>
  <c r="P11" i="10"/>
  <c r="P11" i="9"/>
  <c r="P11" i="8"/>
  <c r="K30" i="9"/>
  <c r="K31" i="9" s="1"/>
  <c r="O30" i="8"/>
  <c r="O31" i="8" s="1"/>
  <c r="K30" i="8"/>
  <c r="K31" i="8" s="1"/>
  <c r="K30" i="10"/>
  <c r="K31" i="10" s="1"/>
  <c r="O30" i="9"/>
  <c r="O31" i="9" s="1"/>
  <c r="O30" i="10"/>
  <c r="O31" i="10" s="1"/>
  <c r="N31" i="1"/>
  <c r="J31" i="1"/>
  <c r="O30" i="1"/>
  <c r="P11" i="1"/>
  <c r="J30" i="1" l="1"/>
  <c r="K31" i="1" s="1"/>
  <c r="N30" i="1"/>
  <c r="O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Roberts Klotins</author>
    <author>Roberts.Klotins</author>
  </authors>
  <commentList>
    <comment ref="H3" authorId="0" shapeId="0" xr:uid="{74E1D275-F8D2-4F9F-B5C9-5FAB3CCB1CBA}">
      <text>
        <r>
          <rPr>
            <b/>
            <sz val="9"/>
            <color indexed="81"/>
            <rFont val="Tahoma"/>
            <family val="2"/>
          </rPr>
          <t>Roberts Klotins:</t>
        </r>
        <r>
          <rPr>
            <sz val="9"/>
            <color indexed="81"/>
            <rFont val="Tahoma"/>
            <family val="2"/>
          </rPr>
          <t xml:space="preserve">
This box with sums on the bottom reflects time spent on generic activities. &lt;number&gt; field here means how many times this amount of minutes is spent per week.</t>
        </r>
      </text>
    </comment>
    <comment ref="F7" authorId="1" shapeId="0" xr:uid="{A1B02CAA-878D-439F-AA92-7297AE588050}">
      <text>
        <r>
          <rPr>
            <b/>
            <sz val="9"/>
            <color indexed="81"/>
            <rFont val="Tahoma"/>
            <family val="2"/>
          </rPr>
          <t>Roberts.Klotins:</t>
        </r>
        <r>
          <rPr>
            <sz val="9"/>
            <color indexed="81"/>
            <rFont val="Tahoma"/>
            <family val="2"/>
          </rPr>
          <t xml:space="preserve">
This is just interesting to know - how much time from Stop-the-Clock is spent facing the patient.</t>
        </r>
      </text>
    </comment>
    <comment ref="P11" authorId="1" shapeId="0" xr:uid="{9CCF77A3-9CFE-4438-BC09-2EEB5AB4593F}">
      <text>
        <r>
          <rPr>
            <b/>
            <sz val="9"/>
            <color indexed="81"/>
            <rFont val="Tahoma"/>
            <family val="2"/>
          </rPr>
          <t>Roberts.Klotins:</t>
        </r>
        <r>
          <rPr>
            <sz val="9"/>
            <color indexed="81"/>
            <rFont val="Tahoma"/>
            <family val="2"/>
          </rPr>
          <t xml:space="preserve">
0.2% of available hours per year. 
Our error threshold for yearly workload to appear GREEN. If above then RED, if below that threshold - then YELLOW</t>
        </r>
      </text>
    </comment>
    <comment ref="H14" authorId="1" shapeId="0" xr:uid="{6E68161E-7048-45B0-83DD-4A09F12251C1}">
      <text>
        <r>
          <rPr>
            <b/>
            <sz val="9"/>
            <color indexed="81"/>
            <rFont val="Tahoma"/>
            <charset val="1"/>
          </rPr>
          <t>Roberts.Klotins:</t>
        </r>
        <r>
          <rPr>
            <sz val="9"/>
            <color indexed="81"/>
            <rFont val="Tahoma"/>
            <charset val="1"/>
          </rPr>
          <t xml:space="preserve">
Once a month 2 hour training Wed from 14:00. Mandatory trainings. Reading and sharing knowledge within team. CPD activities that we are supposed to do per our contracts</t>
        </r>
      </text>
    </comment>
    <comment ref="H15" authorId="1" shapeId="0" xr:uid="{05BA9F29-B089-4E06-AF6A-47B145E55711}">
      <text>
        <r>
          <rPr>
            <b/>
            <sz val="9"/>
            <color indexed="81"/>
            <rFont val="Tahoma"/>
            <charset val="1"/>
          </rPr>
          <t>Roberts.Klotins:</t>
        </r>
        <r>
          <rPr>
            <sz val="9"/>
            <color indexed="81"/>
            <rFont val="Tahoma"/>
            <charset val="1"/>
          </rPr>
          <t xml:space="preserve">
Audits, QI, data collection, internal waiting list management (e.g. for MBT, SCM).</t>
        </r>
      </text>
    </comment>
    <comment ref="B25" authorId="1" shapeId="0" xr:uid="{9FB0E994-24CF-400B-A72A-0017DA159BE3}">
      <text>
        <r>
          <rPr>
            <b/>
            <sz val="9"/>
            <color indexed="81"/>
            <rFont val="Tahoma"/>
            <charset val="1"/>
          </rPr>
          <t>Roberts.Klotins:</t>
        </r>
        <r>
          <rPr>
            <sz val="9"/>
            <color indexed="81"/>
            <rFont val="Tahoma"/>
            <charset val="1"/>
          </rPr>
          <t xml:space="preserve">
Reason for setting CIW apart is simple - this is the basic minimum that is significant to patient and the clinician. It is </t>
        </r>
        <r>
          <rPr>
            <i/>
            <sz val="9"/>
            <color indexed="81"/>
            <rFont val="Tahoma"/>
            <family val="2"/>
          </rPr>
          <t>sine qua non</t>
        </r>
        <r>
          <rPr>
            <sz val="9"/>
            <color indexed="81"/>
            <rFont val="Tahoma"/>
            <charset val="1"/>
          </rPr>
          <t>. Just completing the RiO portion without doing this basic work, or cutting corners of this basic work is meaningless and high risk. Stating this in another way - RiO bit is the time overhead that we have to pay (for good reasons), we cannot prioritise this overhead over CIW. But when we say no matter what - we must do the RiO and if we do not leave the time for CIW - it is precisely what we are doing; prioritising the appearance of work over the work itself. I hope this makes it clear. RK</t>
        </r>
      </text>
    </comment>
    <comment ref="L31" authorId="1" shapeId="0" xr:uid="{45AFE1FD-A6F6-4344-8A37-5C9519708402}">
      <text>
        <r>
          <rPr>
            <b/>
            <sz val="9"/>
            <color indexed="81"/>
            <rFont val="Tahoma"/>
            <family val="2"/>
          </rPr>
          <t>Roberts.Klotins:</t>
        </r>
        <r>
          <rPr>
            <sz val="9"/>
            <color indexed="81"/>
            <rFont val="Tahoma"/>
            <family val="2"/>
          </rPr>
          <t xml:space="preserve">
This clinician does not go to all meetings. Goes to Main(0.2), Check-In(0.1), 1 AssessmentWKS(0.1)
So all in all does 0.4 meetings.
In ongoing work - cut activity to 2.5 hours a week - e-mail and some emergency work.
In development - cut some more time, probably no audits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Roberts.Klotins</author>
  </authors>
  <commentList>
    <comment ref="B8" authorId="0" shapeId="0" xr:uid="{636AAF4C-E10F-4623-A3DB-B167E335A957}">
      <text>
        <r>
          <rPr>
            <b/>
            <sz val="9"/>
            <color indexed="81"/>
            <rFont val="Tahoma"/>
            <charset val="1"/>
          </rPr>
          <t>Roberts.Klotins:</t>
        </r>
        <r>
          <rPr>
            <sz val="9"/>
            <color indexed="81"/>
            <rFont val="Tahoma"/>
            <charset val="1"/>
          </rPr>
          <t xml:space="preserve">
Seeing people for 1 to 2 times. It may require more for the care plan to be co-produced. Maybe the correct number then is 2.</t>
        </r>
      </text>
    </comment>
    <comment ref="P11" authorId="0" shapeId="0" xr:uid="{B095E1BF-E8DE-46EE-8228-60AEA1DD637A}">
      <text>
        <r>
          <rPr>
            <b/>
            <sz val="9"/>
            <color indexed="81"/>
            <rFont val="Tahoma"/>
            <family val="2"/>
          </rPr>
          <t>Roberts.Klotins:</t>
        </r>
        <r>
          <rPr>
            <sz val="9"/>
            <color indexed="81"/>
            <rFont val="Tahoma"/>
            <family val="2"/>
          </rPr>
          <t xml:space="preserve">
0.2% of available hours per year. 
Our error threshold for yearly workload to appear GREEN. If above then RED, if below that threshold - then YELLOW</t>
        </r>
      </text>
    </comment>
    <comment ref="H12" authorId="0" shapeId="0" xr:uid="{C917D55D-8E3C-4573-A239-FBAD2B95F173}">
      <text>
        <r>
          <rPr>
            <b/>
            <sz val="9"/>
            <color indexed="81"/>
            <rFont val="Tahoma"/>
            <charset val="1"/>
          </rPr>
          <t>Roberts.Klotins:</t>
        </r>
        <r>
          <rPr>
            <sz val="9"/>
            <color indexed="81"/>
            <rFont val="Tahoma"/>
            <charset val="1"/>
          </rPr>
          <t xml:space="preserve">
Quite honest about the e-mail work. Probably takes even more time. That means at least 5 hours a week just on e-mail.</t>
        </r>
      </text>
    </comment>
    <comment ref="H14" authorId="0" shapeId="0" xr:uid="{43C8D88B-D433-46EC-B493-8A96D4325B35}">
      <text>
        <r>
          <rPr>
            <b/>
            <sz val="9"/>
            <color indexed="81"/>
            <rFont val="Tahoma"/>
            <charset val="1"/>
          </rPr>
          <t>Roberts.Klotins:</t>
        </r>
        <r>
          <rPr>
            <sz val="9"/>
            <color indexed="81"/>
            <rFont val="Tahoma"/>
            <charset val="1"/>
          </rPr>
          <t xml:space="preserve">
Hour and a half once a month</t>
        </r>
      </text>
    </comment>
    <comment ref="H15" authorId="0" shapeId="0" xr:uid="{9FFF1D9C-AFA8-4A68-A089-249BDCD0E74D}">
      <text>
        <r>
          <rPr>
            <b/>
            <sz val="9"/>
            <color indexed="81"/>
            <rFont val="Tahoma"/>
            <charset val="1"/>
          </rPr>
          <t>Roberts.Klotins:</t>
        </r>
        <r>
          <rPr>
            <sz val="9"/>
            <color indexed="81"/>
            <rFont val="Tahoma"/>
            <charset val="1"/>
          </rPr>
          <t xml:space="preserve">
One hour once a month</t>
        </r>
      </text>
    </comment>
    <comment ref="H16" authorId="0" shapeId="0" xr:uid="{032A5A16-83FD-40DB-93F6-A66CD64F30EC}">
      <text>
        <r>
          <rPr>
            <b/>
            <sz val="9"/>
            <color indexed="81"/>
            <rFont val="Tahoma"/>
            <charset val="1"/>
          </rPr>
          <t>Roberts.Klotins:</t>
        </r>
        <r>
          <rPr>
            <sz val="9"/>
            <color indexed="81"/>
            <rFont val="Tahoma"/>
            <charset val="1"/>
          </rPr>
          <t xml:space="preserve">
This is away day once a year - works out time of ~ 10 minutes per week.
</t>
        </r>
      </text>
    </comment>
    <comment ref="B18" authorId="0" shapeId="0" xr:uid="{5AA0525A-D71E-4D23-BF92-C7E1AB9DF34B}">
      <text>
        <r>
          <rPr>
            <b/>
            <sz val="9"/>
            <color indexed="81"/>
            <rFont val="Tahoma"/>
            <charset val="1"/>
          </rPr>
          <t>Roberts.Klotins:</t>
        </r>
        <r>
          <rPr>
            <sz val="9"/>
            <color indexed="81"/>
            <rFont val="Tahoma"/>
            <charset val="1"/>
          </rPr>
          <t xml:space="preserve">
As transpired in PTSD interview - a Trust Risk assessment form must be updated. It is clinically bad form, mostly we need to copy/paste from our main assessment, but it has many boxes and requires some thought. Therefore 15 minutes.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Roberts Klotins</author>
    <author>Roberts.Klotins</author>
    <author>r0bis</author>
  </authors>
  <commentList>
    <comment ref="H3" authorId="0" shapeId="0" xr:uid="{4611AEF0-F383-46D4-8FE5-582D8D8B0FB7}">
      <text>
        <r>
          <rPr>
            <b/>
            <sz val="9"/>
            <color indexed="81"/>
            <rFont val="Tahoma"/>
            <family val="2"/>
          </rPr>
          <t>Roberts Klotins:</t>
        </r>
        <r>
          <rPr>
            <sz val="9"/>
            <color indexed="81"/>
            <rFont val="Tahoma"/>
            <family val="2"/>
          </rPr>
          <t xml:space="preserve">
This box with sums on the bottom reflects time spent on generic activities. &lt;number&gt; field here means how many times this amount of minutes is spent per week.</t>
        </r>
      </text>
    </comment>
    <comment ref="H8" authorId="1" shapeId="0" xr:uid="{0A050DE3-98DB-4FAA-85EE-1314CC509B97}">
      <text>
        <r>
          <rPr>
            <b/>
            <sz val="9"/>
            <color indexed="81"/>
            <rFont val="Tahoma"/>
            <charset val="1"/>
          </rPr>
          <t>Roberts.Klotins:</t>
        </r>
        <r>
          <rPr>
            <sz val="9"/>
            <color indexed="81"/>
            <rFont val="Tahoma"/>
            <charset val="1"/>
          </rPr>
          <t xml:space="preserve">
For 3 senior people, not everybody else - therefore set to 0 here</t>
        </r>
      </text>
    </comment>
    <comment ref="H10" authorId="1" shapeId="0" xr:uid="{646EDAA9-25CF-42A8-8064-9F2A8D98C80C}">
      <text>
        <r>
          <rPr>
            <b/>
            <sz val="9"/>
            <color indexed="81"/>
            <rFont val="Tahoma"/>
            <charset val="1"/>
          </rPr>
          <t>Roberts.Klotins:</t>
        </r>
        <r>
          <rPr>
            <sz val="9"/>
            <color indexed="81"/>
            <rFont val="Tahoma"/>
            <charset val="1"/>
          </rPr>
          <t xml:space="preserve">
Meeting twice a month - hence 0.5 per week</t>
        </r>
      </text>
    </comment>
    <comment ref="P11" authorId="1" shapeId="0" xr:uid="{C44A2107-8DEC-462F-B9A7-713156691329}">
      <text>
        <r>
          <rPr>
            <b/>
            <sz val="9"/>
            <color indexed="81"/>
            <rFont val="Tahoma"/>
            <family val="2"/>
          </rPr>
          <t>Roberts.Klotins:</t>
        </r>
        <r>
          <rPr>
            <sz val="9"/>
            <color indexed="81"/>
            <rFont val="Tahoma"/>
            <family val="2"/>
          </rPr>
          <t xml:space="preserve">
0.2% of available hours per year. 
Our error threshold for yearly workload to appear GREEN. If above then RED, if below that threshold - then YELLOW</t>
        </r>
      </text>
    </comment>
    <comment ref="J29" authorId="0" shapeId="0" xr:uid="{B856A7FF-81DE-401E-86F8-699D3AFD3168}">
      <text>
        <r>
          <rPr>
            <b/>
            <sz val="9"/>
            <color indexed="81"/>
            <rFont val="Tahoma"/>
            <family val="2"/>
          </rPr>
          <t xml:space="preserve">Roberts Klotins: NR of Clinicians
default = 1
Nr of GENERIC Clinicians
</t>
        </r>
        <r>
          <rPr>
            <sz val="9"/>
            <color indexed="81"/>
            <rFont val="Tahoma"/>
            <family val="2"/>
          </rPr>
          <t>-&gt; If we plan for individual (e.g. Christina) this number will always be 1
This field is number of times we employ a generic clinician. It is useful if we had let's say 5 clinician boxes instead of 16. We could plan for a general clinican with particular workload and put number 3 there - which means we will employ 3 such clinicans. The last column in the clincian box (the one with grey numbers) shows output we get from 1 or more clinicians - depending on the number in this cell.
NB: It would not make much sense to make this number less than one. It is better then to have several boxes and enter part time WTEs</t>
        </r>
      </text>
    </comment>
    <comment ref="K29" authorId="0" shapeId="0" xr:uid="{D6AC6A84-C14D-481D-88EA-C4EB7DAB0D71}">
      <text>
        <r>
          <rPr>
            <b/>
            <sz val="9"/>
            <color indexed="81"/>
            <rFont val="Tahoma"/>
            <family val="2"/>
          </rPr>
          <t xml:space="preserve">Roberts Klotins:  EMPLOYED WTE
default = 1
</t>
        </r>
        <r>
          <rPr>
            <sz val="9"/>
            <color indexed="81"/>
            <rFont val="Tahoma"/>
            <family val="2"/>
          </rPr>
          <t xml:space="preserve">
This number means WTE (same as FTE) 
   1 = full time (1 WTE)
   0.8 is 4 days a week (= 8 sessions),
   0.5 is 2.5 days a week (5 sessions) - e.t.c.
It is used in adjusting the hours planned colour thresholds. It is also used to account accurately how many WTEs we have as a team. It still may not reflect fully the clinical time available - a clinician may be employed at 1 but only have about 0.3 of that time available for clinical work.
</t>
        </r>
      </text>
    </comment>
    <comment ref="J30" authorId="0" shapeId="0" xr:uid="{24BDE841-4579-4538-802A-BF9EC553CBAF}">
      <text>
        <r>
          <rPr>
            <b/>
            <sz val="9"/>
            <color indexed="81"/>
            <rFont val="Tahoma"/>
            <family val="2"/>
          </rPr>
          <t xml:space="preserve">Roberts Klotins:  Time Planned
sum of hours in this clinician box
</t>
        </r>
        <r>
          <rPr>
            <sz val="9"/>
            <color indexed="81"/>
            <rFont val="Tahoma"/>
            <family val="2"/>
          </rPr>
          <t xml:space="preserve">
This number is sum of time required for this clinican to perform the planned number of activities per year. </t>
        </r>
        <r>
          <rPr>
            <b/>
            <sz val="9"/>
            <color indexed="81"/>
            <rFont val="Tahoma"/>
            <family val="2"/>
          </rPr>
          <t>Green</t>
        </r>
        <r>
          <rPr>
            <sz val="9"/>
            <color indexed="81"/>
            <rFont val="Tahoma"/>
            <family val="2"/>
          </rPr>
          <t xml:space="preserve"> is if very close to optimal range, otherwise </t>
        </r>
        <r>
          <rPr>
            <b/>
            <sz val="9"/>
            <color indexed="81"/>
            <rFont val="Tahoma"/>
            <family val="2"/>
          </rPr>
          <t>yellow</t>
        </r>
        <r>
          <rPr>
            <sz val="9"/>
            <color indexed="81"/>
            <rFont val="Tahoma"/>
            <family val="2"/>
          </rPr>
          <t xml:space="preserve"> (it means has hours available), if overshoots by 0.2% then </t>
        </r>
        <r>
          <rPr>
            <b/>
            <sz val="9"/>
            <color indexed="81"/>
            <rFont val="Tahoma"/>
            <family val="2"/>
          </rPr>
          <t>red</t>
        </r>
        <r>
          <rPr>
            <sz val="9"/>
            <color indexed="81"/>
            <rFont val="Tahoma"/>
            <family val="2"/>
          </rPr>
          <t>. 
Red means we are planning to overwork this clinician for more than the contracted hours.</t>
        </r>
      </text>
    </comment>
    <comment ref="K30" authorId="2" shapeId="0" xr:uid="{45B983DF-B5E3-4991-99BC-99219E0FCC5B}">
      <text>
        <r>
          <rPr>
            <b/>
            <sz val="9"/>
            <color indexed="81"/>
            <rFont val="Tahoma"/>
            <family val="2"/>
          </rPr>
          <t>r0bis: Hours available at WTE</t>
        </r>
        <r>
          <rPr>
            <sz val="9"/>
            <color indexed="81"/>
            <rFont val="Tahoma"/>
            <family val="2"/>
          </rPr>
          <t xml:space="preserve">
This is just for comparison with the value to the left. If the value to the left (Time Planned) is red - we can then easily see why it is red. We can also see by how many hours we have to reduce our plans to make it green.</t>
        </r>
      </text>
    </comment>
    <comment ref="J31" authorId="1" shapeId="0" xr:uid="{7ED9B151-FDFD-4E98-A78E-C4C860F6449C}">
      <text>
        <r>
          <rPr>
            <b/>
            <sz val="9"/>
            <color indexed="81"/>
            <rFont val="Tahoma"/>
            <family val="2"/>
          </rPr>
          <t>Roberts.Klotins:</t>
        </r>
        <r>
          <rPr>
            <sz val="9"/>
            <color indexed="81"/>
            <rFont val="Tahoma"/>
            <family val="2"/>
          </rPr>
          <t xml:space="preserve">
</t>
        </r>
      </text>
    </comment>
    <comment ref="L31" authorId="1" shapeId="0" xr:uid="{B86D3B9B-F208-4E0C-90F9-E42DAF90DBAB}">
      <text>
        <r>
          <rPr>
            <b/>
            <sz val="9"/>
            <color indexed="81"/>
            <rFont val="Tahoma"/>
            <family val="2"/>
          </rPr>
          <t>Roberts.Klotins:</t>
        </r>
        <r>
          <rPr>
            <sz val="9"/>
            <color indexed="81"/>
            <rFont val="Tahoma"/>
            <family val="2"/>
          </rPr>
          <t xml:space="preserve">
X does not go to all meetings. Goes to Main(0.2), Check-In(0.1), 1 AssessmentWKS(0.1)
So all in all does 0.4 meetings.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Roberts Klotins</author>
    <author>Roberts.Klotins</author>
    <author>r0bis</author>
  </authors>
  <commentList>
    <comment ref="H3" authorId="0" shapeId="0" xr:uid="{329F15B5-4053-4108-9153-C8FDA6C54481}">
      <text>
        <r>
          <rPr>
            <b/>
            <sz val="9"/>
            <color indexed="81"/>
            <rFont val="Tahoma"/>
            <family val="2"/>
          </rPr>
          <t>Roberts Klotins:</t>
        </r>
        <r>
          <rPr>
            <sz val="9"/>
            <color indexed="81"/>
            <rFont val="Tahoma"/>
            <family val="2"/>
          </rPr>
          <t xml:space="preserve">
This box with sums on the bottom reflects time spent on generic/service-supporting activities that every team member has to do. &lt;number&gt; field here means how many times this amount of minutes is spent per week.</t>
        </r>
      </text>
    </comment>
    <comment ref="H8" authorId="1" shapeId="0" xr:uid="{979873DC-B0AC-4F4E-AC8E-08D34EA88302}">
      <text>
        <r>
          <rPr>
            <b/>
            <sz val="9"/>
            <color indexed="81"/>
            <rFont val="Tahoma"/>
            <charset val="1"/>
          </rPr>
          <t>Roberts.Klotins:</t>
        </r>
        <r>
          <rPr>
            <sz val="9"/>
            <color indexed="81"/>
            <rFont val="Tahoma"/>
            <charset val="1"/>
          </rPr>
          <t xml:space="preserve">
Supervising junior doctors</t>
        </r>
      </text>
    </comment>
    <comment ref="H9" authorId="1" shapeId="0" xr:uid="{8EACFA6D-9114-4076-8AE6-05FF8F8941E5}">
      <text>
        <r>
          <rPr>
            <b/>
            <sz val="9"/>
            <color indexed="81"/>
            <rFont val="Tahoma"/>
            <charset val="1"/>
          </rPr>
          <t>Roberts.Klotins:</t>
        </r>
        <r>
          <rPr>
            <sz val="9"/>
            <color indexed="81"/>
            <rFont val="Tahoma"/>
            <charset val="1"/>
          </rPr>
          <t xml:space="preserve">
1 tribunal 3 hours long occurs every 2 months.
Depends how many patients are on CTO at a given time. Usually around 6.
about 45 minutes a week. Report takes 2-3 hours. So 50 minutes per week. </t>
        </r>
      </text>
    </comment>
    <comment ref="H11" authorId="1" shapeId="0" xr:uid="{CD3A3291-FD41-40F7-8A8D-4F73F65DB233}">
      <text>
        <r>
          <rPr>
            <b/>
            <sz val="9"/>
            <color indexed="81"/>
            <rFont val="Tahoma"/>
            <charset val="1"/>
          </rPr>
          <t>Roberts.Klotins:</t>
        </r>
        <r>
          <rPr>
            <sz val="9"/>
            <color indexed="81"/>
            <rFont val="Tahoma"/>
            <charset val="1"/>
          </rPr>
          <t xml:space="preserve">
2 h per week is a conservative estimate could be up to 6 hours per week. Includes HVs.</t>
        </r>
      </text>
    </comment>
    <comment ref="P11" authorId="1" shapeId="0" xr:uid="{EA8236B0-0E64-4F27-9699-B57A6C05815E}">
      <text>
        <r>
          <rPr>
            <b/>
            <sz val="9"/>
            <color indexed="81"/>
            <rFont val="Tahoma"/>
            <family val="2"/>
          </rPr>
          <t>Roberts.Klotins:</t>
        </r>
        <r>
          <rPr>
            <sz val="9"/>
            <color indexed="81"/>
            <rFont val="Tahoma"/>
            <family val="2"/>
          </rPr>
          <t xml:space="preserve">
0.2% of available hours per year. 
Our error threshold for yearly workload to appear GREEN. If above then RED, if below that threshold - then YELLOW</t>
        </r>
      </text>
    </comment>
    <comment ref="H13" authorId="1" shapeId="0" xr:uid="{F591353A-2861-4B6F-9705-1DE40C6C27AB}">
      <text>
        <r>
          <rPr>
            <b/>
            <sz val="9"/>
            <color indexed="81"/>
            <rFont val="Tahoma"/>
            <charset val="1"/>
          </rPr>
          <t>Roberts.Klotins:</t>
        </r>
        <r>
          <rPr>
            <sz val="9"/>
            <color indexed="81"/>
            <rFont val="Tahoma"/>
            <charset val="1"/>
          </rPr>
          <t xml:space="preserve">
8 followup patients see for 30 min and 15 min admin.</t>
        </r>
      </text>
    </comment>
    <comment ref="H15" authorId="1" shapeId="0" xr:uid="{D97342CF-C134-46FB-9CAB-B6C466FE2E6D}">
      <text>
        <r>
          <rPr>
            <b/>
            <sz val="9"/>
            <color indexed="81"/>
            <rFont val="Tahoma"/>
            <charset val="1"/>
          </rPr>
          <t>Roberts.Klotins:</t>
        </r>
        <r>
          <rPr>
            <sz val="9"/>
            <color indexed="81"/>
            <rFont val="Tahoma"/>
            <charset val="1"/>
          </rPr>
          <t xml:space="preserve">
A break in pressurised circumstances is very necessary and happens anyway.</t>
        </r>
      </text>
    </comment>
    <comment ref="B19" authorId="1" shapeId="0" xr:uid="{735DA3AA-0522-4B22-8CD9-5EBE18D615D9}">
      <text>
        <r>
          <rPr>
            <b/>
            <sz val="9"/>
            <color indexed="81"/>
            <rFont val="Tahoma"/>
            <charset val="1"/>
          </rPr>
          <t>Roberts.Klotins:</t>
        </r>
        <r>
          <rPr>
            <sz val="9"/>
            <color indexed="81"/>
            <rFont val="Tahoma"/>
            <charset val="1"/>
          </rPr>
          <t xml:space="preserve">
We looked at Dialog+ on RiO - this is a co-produced thing, you cannot possibly do it without a patient. Going through that and recording would take an hour, no less. Currently D+ is not done, but it is going to be a requirement.</t>
        </r>
      </text>
    </comment>
    <comment ref="B21" authorId="1" shapeId="0" xr:uid="{32EB61F8-26E1-4164-9FD4-DA525B66CD74}">
      <text>
        <r>
          <rPr>
            <b/>
            <sz val="9"/>
            <color indexed="81"/>
            <rFont val="Tahoma"/>
            <charset val="1"/>
          </rPr>
          <t>Roberts.Klotins:</t>
        </r>
        <r>
          <rPr>
            <sz val="9"/>
            <color indexed="81"/>
            <rFont val="Tahoma"/>
            <charset val="1"/>
          </rPr>
          <t xml:space="preserve">
A document that contains the structured assessment and a plan of what to do about it (which should be co-produced - I do not know yet for CORE how the co-production aspect is going to work - for PD and MAP I have factored it in)</t>
        </r>
      </text>
    </comment>
    <comment ref="J29" authorId="0" shapeId="0" xr:uid="{5DCA2EEF-1139-4098-ACCD-0A3EEF46D7A7}">
      <text>
        <r>
          <rPr>
            <b/>
            <sz val="9"/>
            <color indexed="81"/>
            <rFont val="Tahoma"/>
            <family val="2"/>
          </rPr>
          <t xml:space="preserve">Roberts Klotins: NR of Clinicians
default = 1
Nr of GENERIC Clinicians
</t>
        </r>
        <r>
          <rPr>
            <sz val="9"/>
            <color indexed="81"/>
            <rFont val="Tahoma"/>
            <family val="2"/>
          </rPr>
          <t>-&gt; If we plan for individual (e.g. Christina) this number will always be 1
This field is number of times we employ a generic clinician. It is useful if we had let's say 5 clinician boxes instead of 16. We could plan for a general clinican with particular workload and put number 3 there - which means we will employ 3 such clinicans. The last column in the clincian box (the one with grey numbers) shows output we get from 1 or more clinicians - depending on the number in this cell.
NB: It would not make much sense to make this number less than one. It is better then to have several boxes and enter part time WTEs</t>
        </r>
      </text>
    </comment>
    <comment ref="K29" authorId="0" shapeId="0" xr:uid="{515FC891-F100-41CC-AD33-6AC6E023C1D7}">
      <text>
        <r>
          <rPr>
            <b/>
            <sz val="9"/>
            <color indexed="81"/>
            <rFont val="Tahoma"/>
            <family val="2"/>
          </rPr>
          <t xml:space="preserve">Roberts Klotins:  EMPLOYED WTE
default = 1
</t>
        </r>
        <r>
          <rPr>
            <sz val="9"/>
            <color indexed="81"/>
            <rFont val="Tahoma"/>
            <family val="2"/>
          </rPr>
          <t xml:space="preserve">
This number means WTE (same as FTE) 
   1 = full time (1 WTE)
   0.8 is 4 days a week (= 8 sessions),
   0.5 is 2.5 days a week (5 sessions) - e.t.c.
It is used in adjusting the hours planned colour thresholds. It is also used to account accurately how many WTEs we have as a team. It still may not reflect fully the clinical time available - a clinician may be employed at 1 but only have about 0.3 of that time available for clinical work.
</t>
        </r>
      </text>
    </comment>
    <comment ref="J30" authorId="0" shapeId="0" xr:uid="{40F0F683-C34B-4C76-866F-24AC3A9453D2}">
      <text>
        <r>
          <rPr>
            <b/>
            <sz val="9"/>
            <color indexed="81"/>
            <rFont val="Tahoma"/>
            <family val="2"/>
          </rPr>
          <t xml:space="preserve">Roberts Klotins:  Time Planned
sum of hours in this clinician box
</t>
        </r>
        <r>
          <rPr>
            <sz val="9"/>
            <color indexed="81"/>
            <rFont val="Tahoma"/>
            <family val="2"/>
          </rPr>
          <t xml:space="preserve">
This number is sum of time required for this clinican to perform the planned number of activities per year. </t>
        </r>
        <r>
          <rPr>
            <b/>
            <sz val="9"/>
            <color indexed="81"/>
            <rFont val="Tahoma"/>
            <family val="2"/>
          </rPr>
          <t>Green</t>
        </r>
        <r>
          <rPr>
            <sz val="9"/>
            <color indexed="81"/>
            <rFont val="Tahoma"/>
            <family val="2"/>
          </rPr>
          <t xml:space="preserve"> is if very close to optimal range, otherwise </t>
        </r>
        <r>
          <rPr>
            <b/>
            <sz val="9"/>
            <color indexed="81"/>
            <rFont val="Tahoma"/>
            <family val="2"/>
          </rPr>
          <t>yellow</t>
        </r>
        <r>
          <rPr>
            <sz val="9"/>
            <color indexed="81"/>
            <rFont val="Tahoma"/>
            <family val="2"/>
          </rPr>
          <t xml:space="preserve"> (it means has hours available), if overshoots by 0.2% then </t>
        </r>
        <r>
          <rPr>
            <b/>
            <sz val="9"/>
            <color indexed="81"/>
            <rFont val="Tahoma"/>
            <family val="2"/>
          </rPr>
          <t>red</t>
        </r>
        <r>
          <rPr>
            <sz val="9"/>
            <color indexed="81"/>
            <rFont val="Tahoma"/>
            <family val="2"/>
          </rPr>
          <t>. 
Red means we are planning to overwork this clinician for more than the contracted hours.</t>
        </r>
      </text>
    </comment>
    <comment ref="K30" authorId="2" shapeId="0" xr:uid="{75C04400-919F-4A36-859A-BBE1FFED2AB5}">
      <text>
        <r>
          <rPr>
            <b/>
            <sz val="9"/>
            <color indexed="81"/>
            <rFont val="Tahoma"/>
            <family val="2"/>
          </rPr>
          <t>r0bis: Hours available at WTE</t>
        </r>
        <r>
          <rPr>
            <sz val="9"/>
            <color indexed="81"/>
            <rFont val="Tahoma"/>
            <family val="2"/>
          </rPr>
          <t xml:space="preserve">
This is just for comparison with the value to the left. If the value to the left (Time Planned) is red - we can then easily see why it is red. One cell below in light grey we can also see by how many hours we have to reduce our plans to make it green.</t>
        </r>
      </text>
    </comment>
  </commentList>
</comments>
</file>

<file path=xl/sharedStrings.xml><?xml version="1.0" encoding="utf-8"?>
<sst xmlns="http://schemas.openxmlformats.org/spreadsheetml/2006/main" count="390" uniqueCount="114">
  <si>
    <t>INTERVENTIONS</t>
  </si>
  <si>
    <t>TIME AVAILABLE PER PERSON PER YEAR</t>
  </si>
  <si>
    <t>NHS time = 37.5 h/week with 8 bank holidays and 33 days annual leave</t>
  </si>
  <si>
    <t>Per Person</t>
  </si>
  <si>
    <t>Minutes</t>
  </si>
  <si>
    <t>Number</t>
  </si>
  <si>
    <t>TIME-SUM</t>
  </si>
  <si>
    <t>Weekly NECESSITIES</t>
  </si>
  <si>
    <t>HOURS / YR</t>
  </si>
  <si>
    <t>HRS/wk</t>
  </si>
  <si>
    <t>WEEKS / YR</t>
  </si>
  <si>
    <t>SCM-SV</t>
  </si>
  <si>
    <t>ASSMT-wrkshop</t>
  </si>
  <si>
    <t>MEETING-Clinical</t>
  </si>
  <si>
    <t>MBT-SV</t>
  </si>
  <si>
    <t>Check-In</t>
  </si>
  <si>
    <t>NHS</t>
  </si>
  <si>
    <t>see hour count below</t>
  </si>
  <si>
    <t>Business/Reflection</t>
  </si>
  <si>
    <t xml:space="preserve">Emergency Work </t>
  </si>
  <si>
    <t>NHS week is 37.5 hours - with five half-hour lunchbreaks</t>
  </si>
  <si>
    <t>E-mail Routine</t>
  </si>
  <si>
    <t>CPD</t>
  </si>
  <si>
    <t>Clinical Governance</t>
  </si>
  <si>
    <t>Away Day</t>
  </si>
  <si>
    <t>SUM MEETINGS</t>
  </si>
  <si>
    <t>SUM ONGOING</t>
  </si>
  <si>
    <t>SUM DEVELOPMENT</t>
  </si>
  <si>
    <t>.</t>
  </si>
  <si>
    <t>Meetings</t>
  </si>
  <si>
    <t>Ongoing Work</t>
  </si>
  <si>
    <t>Development</t>
  </si>
  <si>
    <t>Target ~ 1650 hrs per year +/- 3hrs</t>
  </si>
  <si>
    <t>We assume people will work 43.943 weeks of the year (NHS calculation) ~ 44</t>
  </si>
  <si>
    <t xml:space="preserve">NHS leave is 33 work-days per year </t>
  </si>
  <si>
    <t>Bank Holidays is 8 per year during work-days</t>
  </si>
  <si>
    <t>Reviews &amp; Duty</t>
  </si>
  <si>
    <t>Minutes in a 7.5 hour work day</t>
  </si>
  <si>
    <t>Target error</t>
  </si>
  <si>
    <t xml:space="preserve">TIME PER PERSON PER WEEK </t>
  </si>
  <si>
    <t xml:space="preserve">  </t>
  </si>
  <si>
    <t>RiO Diary Entries</t>
  </si>
  <si>
    <t>RiO Notes Review</t>
  </si>
  <si>
    <t>See the patient</t>
  </si>
  <si>
    <t>RAG -&gt; MAST rating</t>
  </si>
  <si>
    <t>Clustering</t>
  </si>
  <si>
    <t>Diagnosis Coding</t>
  </si>
  <si>
    <t>Social inclusion</t>
  </si>
  <si>
    <t>RiO Core assessment</t>
  </si>
  <si>
    <t>Alcohol (in CORE)</t>
  </si>
  <si>
    <t>Smoking (in CORE)</t>
  </si>
  <si>
    <t>Physical Health (in CORE)</t>
  </si>
  <si>
    <t>Summarise Ax in RiO notes</t>
  </si>
  <si>
    <t>Report - to patient/referrer</t>
  </si>
  <si>
    <t>F2F with PT</t>
  </si>
  <si>
    <t>RiO Data Work</t>
  </si>
  <si>
    <t>PD Clock-Stop</t>
  </si>
  <si>
    <t>Working time availability for full time worker (1 WTE) per year</t>
  </si>
  <si>
    <t>Hard to convert to weekly basis - assessments often take several appointments</t>
  </si>
  <si>
    <t>It is important that ADMIN STAFF (Band 4) arrange appointments and track DNAs for clinicians (Band 7 and above)</t>
  </si>
  <si>
    <t>Need to estabish culture prioritising direct work with patients and associated CIW to meetings and e-mail</t>
  </si>
  <si>
    <t>Quality Criteria for assessment are important (partly contained in RiO Data work, largely in Clinical Intellectual Work - CIW)</t>
  </si>
  <si>
    <t>YEAR PERSPECTIVE</t>
  </si>
  <si>
    <t>Therapist-1</t>
  </si>
  <si>
    <t>WEEKLY PERSPECTIVE</t>
  </si>
  <si>
    <t>CLOCK</t>
  </si>
  <si>
    <t>QUAL</t>
  </si>
  <si>
    <t>CULTURE</t>
  </si>
  <si>
    <t>YEAR PERSPECTIVE - for reasonable work output planning over time</t>
  </si>
  <si>
    <t>WEEKLY PERSPECTIVE - to be able to focus on shorter term goals</t>
  </si>
  <si>
    <t>Need to think re: amount of meetings staff attend - especially part-time staff</t>
  </si>
  <si>
    <t>Need to establish culture of what to do in case of DNA - i.e. good use of time, good flow of taking on new patients</t>
  </si>
  <si>
    <t>See patients first do meetings and e-mail at the end of the day (prioritise work over talking about work)</t>
  </si>
  <si>
    <t>Other Work Hours</t>
  </si>
  <si>
    <t>Other Work Hrs</t>
  </si>
  <si>
    <r>
      <rPr>
        <b/>
        <sz val="10"/>
        <rFont val="Nimbus Sans"/>
      </rPr>
      <t>Overhead</t>
    </r>
    <r>
      <rPr>
        <sz val="10"/>
        <rFont val="Nimbus Sans"/>
        <family val="2"/>
      </rPr>
      <t xml:space="preserve"> to be met before work with patients</t>
    </r>
  </si>
  <si>
    <t>2 ways to look at DNA - not engage</t>
  </si>
  <si>
    <t>ONLY change data in the WEEKLY PERSPECTIVE</t>
  </si>
  <si>
    <t>CIW = Clinical Intellectual Work</t>
  </si>
  <si>
    <t>OTHER-WORK = catch all for unaccounted workload e.g. management</t>
  </si>
  <si>
    <t>ASSMT-CLK-STOP</t>
  </si>
  <si>
    <t>Clinicians need sufficient training (Band 7+ and familiar with the team work) to be able to do the assessments</t>
  </si>
  <si>
    <t>But we could say to complete assesment within 2 weeks (whether 2 or 3 appointments needed)</t>
  </si>
  <si>
    <t>So 1 person 6 clock stops in 2 weeks</t>
  </si>
  <si>
    <t xml:space="preserve">* </t>
  </si>
  <si>
    <t>OTHER-WORK*</t>
  </si>
  <si>
    <t>CIW*</t>
  </si>
  <si>
    <t>ZONING-meeting</t>
  </si>
  <si>
    <t>CPD &amp; Governance</t>
  </si>
  <si>
    <t>6 assessments and 1.5 hours of other useful work per week</t>
  </si>
  <si>
    <t>An assessment done by doctor</t>
  </si>
  <si>
    <t>Dialog+</t>
  </si>
  <si>
    <t>Case Discussion</t>
  </si>
  <si>
    <t>MDT screening</t>
  </si>
  <si>
    <t>FOR CORE:</t>
  </si>
  <si>
    <t>Assumption here - this doctor does just assessments - 5 a week</t>
  </si>
  <si>
    <t>30 minutes a week for other work</t>
  </si>
  <si>
    <t>Could be more if grey/red/green areas edited - that is being done by teams</t>
  </si>
  <si>
    <t>CIW = Clinical Intellectual Work (what clinicians have been trained to do - assessments, reports, integrating information, care planning)</t>
  </si>
  <si>
    <t>Team meeting PTSD</t>
  </si>
  <si>
    <t>CPD 1x mo</t>
  </si>
  <si>
    <t>PT meeting</t>
  </si>
  <si>
    <t>Risk Assessment (RiO)</t>
  </si>
  <si>
    <t>REFERRALS-meeting</t>
  </si>
  <si>
    <t>Business/clin/reflection</t>
  </si>
  <si>
    <t>Supervision mtg</t>
  </si>
  <si>
    <t>Tribunals</t>
  </si>
  <si>
    <t>Reviews&amp;its admin</t>
  </si>
  <si>
    <t>Decompression</t>
  </si>
  <si>
    <t>CORE Clock-Stop</t>
  </si>
  <si>
    <t>MAP Clock-Stop</t>
  </si>
  <si>
    <t>PTSD Clock-Stop</t>
  </si>
  <si>
    <t>Screenings etc.</t>
  </si>
  <si>
    <t>Supervision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</si>
</sst>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
    <numFmt numFmtId="166" formatCode="0.0%"/>
  </numFmts>
  <fonts count="17">
    <font>
      <sz val="10"/>
      <name val="Nimbus Sans"/>
      <family val="2"/>
    </font>
    <font>
      <b/>
      <sz val="10"/>
      <name val="Nimbus Sans"/>
      <family val="2"/>
    </font>
    <font>
      <sz val="10"/>
      <color rgb="FFCCCCCC"/>
      <name val="Nimbus Sans"/>
      <family val="2"/>
    </font>
    <font>
      <i/>
      <sz val="10"/>
      <name val="Nimbus Sans"/>
    </font>
    <font>
      <b/>
      <sz val="10"/>
      <name val="Nimbus Sans"/>
    </font>
    <font>
      <b/>
      <sz val="10"/>
      <color theme="0"/>
      <name val="Nimbus Sans"/>
    </font>
    <font>
      <sz val="10"/>
      <color theme="6" tint="-0.499984740745262"/>
      <name val="Nimbus Sans"/>
      <family val="2"/>
    </font>
    <font>
      <sz val="9"/>
      <color indexed="81"/>
      <name val="Tahoma"/>
      <family val="2"/>
    </font>
    <font>
      <b/>
      <sz val="9"/>
      <color indexed="81"/>
      <name val="Tahoma"/>
      <family val="2"/>
    </font>
    <font>
      <sz val="10"/>
      <color rgb="FFC00000"/>
      <name val="Nimbus Sans"/>
      <family val="2"/>
    </font>
    <font>
      <sz val="10"/>
      <color rgb="FFEE82D2"/>
      <name val="Nimbus Sans"/>
      <family val="2"/>
    </font>
    <font>
      <sz val="10"/>
      <color rgb="FF00B050"/>
      <name val="Nimbus Sans"/>
      <family val="2"/>
    </font>
    <font>
      <sz val="10"/>
      <color theme="9" tint="-0.249977111117893"/>
      <name val="Nimbus Sans"/>
      <family val="2"/>
    </font>
    <font>
      <sz val="10"/>
      <name val="Nimbus Sans"/>
    </font>
    <font>
      <sz val="9"/>
      <color indexed="81"/>
      <name val="Tahoma"/>
      <charset val="1"/>
    </font>
    <font>
      <b/>
      <sz val="9"/>
      <color indexed="81"/>
      <name val="Tahoma"/>
      <charset val="1"/>
    </font>
    <font>
      <i/>
      <sz val="9"/>
      <color indexed="81"/>
      <name val="Tahoma"/>
      <family val="2"/>
    </font>
  </fonts>
  <fills count="24">
    <fill>
      <patternFill patternType="none"/>
    </fill>
    <fill>
      <patternFill patternType="gray125"/>
    </fill>
    <fill>
      <patternFill patternType="solid">
        <fgColor rgb="FFFFFF00"/>
        <bgColor rgb="FFFFFF38"/>
      </patternFill>
    </fill>
    <fill>
      <patternFill patternType="solid">
        <fgColor rgb="FFFFFF38"/>
        <bgColor rgb="FFFFFF00"/>
      </patternFill>
    </fill>
    <fill>
      <patternFill patternType="solid">
        <fgColor rgb="FFFFFFD7"/>
        <bgColor rgb="FFFFFFCC"/>
      </patternFill>
    </fill>
    <fill>
      <patternFill patternType="solid">
        <fgColor rgb="FFDDDDDD"/>
        <bgColor rgb="FFDEE6EF"/>
      </patternFill>
    </fill>
    <fill>
      <patternFill patternType="solid">
        <fgColor rgb="FFDDE8CB"/>
        <bgColor rgb="FFDDDDDD"/>
      </patternFill>
    </fill>
    <fill>
      <patternFill patternType="solid">
        <fgColor rgb="FFFFDBB6"/>
        <bgColor rgb="FFFFD7D7"/>
      </patternFill>
    </fill>
    <fill>
      <patternFill patternType="solid">
        <fgColor rgb="FFFFF5CE"/>
        <bgColor rgb="FFF6F9D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rgb="FFDDDDDD"/>
      </patternFill>
    </fill>
    <fill>
      <patternFill patternType="solid">
        <fgColor theme="4" tint="-0.249977111117893"/>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59999389629810485"/>
        <bgColor rgb="FFB2B2B2"/>
      </patternFill>
    </fill>
    <fill>
      <patternFill patternType="solid">
        <fgColor theme="5" tint="0.59999389629810485"/>
        <bgColor rgb="FFFFD7D7"/>
      </patternFill>
    </fill>
    <fill>
      <patternFill patternType="solid">
        <fgColor theme="0" tint="-4.9989318521683403E-2"/>
        <bgColor indexed="64"/>
      </patternFill>
    </fill>
    <fill>
      <patternFill patternType="solid">
        <fgColor rgb="FFFFFF00"/>
        <bgColor rgb="FFFFFFCC"/>
      </patternFill>
    </fill>
    <fill>
      <patternFill patternType="solid">
        <fgColor theme="9" tint="0.79998168889431442"/>
        <bgColor rgb="FFB2B2B2"/>
      </patternFill>
    </fill>
    <fill>
      <patternFill patternType="solid">
        <fgColor theme="0" tint="-4.9989318521683403E-2"/>
        <bgColor rgb="FFFFFFCC"/>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auto="1"/>
      </left>
      <right style="hair">
        <color auto="1"/>
      </right>
      <top style="medium">
        <color indexed="64"/>
      </top>
      <bottom style="hair">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1">
    <xf numFmtId="0" fontId="0" fillId="0" borderId="0"/>
  </cellStyleXfs>
  <cellXfs count="108">
    <xf numFmtId="0" fontId="0" fillId="0" borderId="0" xfId="0"/>
    <xf numFmtId="0" fontId="0" fillId="0" borderId="0" xfId="0" applyAlignment="1">
      <alignment horizontal="center"/>
    </xf>
    <xf numFmtId="164" fontId="0" fillId="4" borderId="0" xfId="0" applyNumberFormat="1" applyFill="1" applyAlignment="1">
      <alignment horizontal="center"/>
    </xf>
    <xf numFmtId="21" fontId="0" fillId="0" borderId="0" xfId="0" applyNumberFormat="1"/>
    <xf numFmtId="164" fontId="0" fillId="0" borderId="0" xfId="0" applyNumberFormat="1"/>
    <xf numFmtId="0" fontId="3" fillId="0" borderId="0" xfId="0" applyFont="1"/>
    <xf numFmtId="0" fontId="0" fillId="2" borderId="1" xfId="0" applyFill="1" applyBorder="1"/>
    <xf numFmtId="0" fontId="0" fillId="0" borderId="2" xfId="0" applyBorder="1"/>
    <xf numFmtId="0" fontId="0" fillId="0" borderId="3" xfId="0" applyBorder="1"/>
    <xf numFmtId="0" fontId="0" fillId="3" borderId="4" xfId="0" applyFill="1" applyBorder="1"/>
    <xf numFmtId="0" fontId="0" fillId="0" borderId="5" xfId="0" applyBorder="1"/>
    <xf numFmtId="0" fontId="0" fillId="5" borderId="4" xfId="0" applyFill="1" applyBorder="1"/>
    <xf numFmtId="0" fontId="0" fillId="7" borderId="4" xfId="0" applyFill="1" applyBorder="1"/>
    <xf numFmtId="0" fontId="0" fillId="6" borderId="4" xfId="0" applyFill="1" applyBorder="1"/>
    <xf numFmtId="0" fontId="0" fillId="0" borderId="4" xfId="0" applyBorder="1"/>
    <xf numFmtId="46" fontId="0" fillId="0" borderId="0" xfId="0" applyNumberFormat="1"/>
    <xf numFmtId="0" fontId="0" fillId="6" borderId="6" xfId="0" applyFill="1" applyBorder="1"/>
    <xf numFmtId="164" fontId="0" fillId="0" borderId="7" xfId="0" applyNumberFormat="1" applyBorder="1"/>
    <xf numFmtId="0" fontId="0" fillId="0" borderId="8" xfId="0" applyBorder="1"/>
    <xf numFmtId="0" fontId="0" fillId="0" borderId="7" xfId="0" applyBorder="1"/>
    <xf numFmtId="0" fontId="0" fillId="9" borderId="2" xfId="0" applyFill="1" applyBorder="1"/>
    <xf numFmtId="0" fontId="0" fillId="0" borderId="12" xfId="0" applyBorder="1"/>
    <xf numFmtId="0" fontId="0" fillId="0" borderId="13" xfId="0" applyBorder="1"/>
    <xf numFmtId="0" fontId="0" fillId="0" borderId="15" xfId="0" applyBorder="1"/>
    <xf numFmtId="0" fontId="0" fillId="0" borderId="16" xfId="0" applyBorder="1"/>
    <xf numFmtId="0" fontId="0" fillId="0" borderId="17" xfId="0" applyBorder="1"/>
    <xf numFmtId="164" fontId="0" fillId="0" borderId="12" xfId="0" applyNumberFormat="1" applyBorder="1"/>
    <xf numFmtId="0" fontId="0" fillId="10" borderId="0" xfId="0" applyFill="1"/>
    <xf numFmtId="0" fontId="4" fillId="11" borderId="0" xfId="0" applyFont="1" applyFill="1"/>
    <xf numFmtId="0" fontId="4" fillId="11" borderId="0" xfId="0" applyFont="1" applyFill="1" applyAlignment="1">
      <alignment horizontal="center"/>
    </xf>
    <xf numFmtId="1" fontId="0" fillId="0" borderId="0" xfId="0" applyNumberFormat="1"/>
    <xf numFmtId="0" fontId="0" fillId="12" borderId="4" xfId="0" applyFill="1" applyBorder="1"/>
    <xf numFmtId="0" fontId="0" fillId="15" borderId="0" xfId="0" applyFill="1"/>
    <xf numFmtId="0" fontId="0" fillId="15" borderId="0" xfId="0" applyFill="1" applyAlignment="1">
      <alignment horizontal="center"/>
    </xf>
    <xf numFmtId="0" fontId="4" fillId="15" borderId="0" xfId="0" applyFont="1" applyFill="1"/>
    <xf numFmtId="0" fontId="0" fillId="11" borderId="0" xfId="0" applyFill="1"/>
    <xf numFmtId="0" fontId="0" fillId="17" borderId="0" xfId="0" applyFill="1"/>
    <xf numFmtId="164" fontId="0" fillId="0" borderId="16" xfId="0" applyNumberFormat="1" applyBorder="1"/>
    <xf numFmtId="0" fontId="1" fillId="5" borderId="18" xfId="0" applyFont="1" applyFill="1" applyBorder="1" applyAlignment="1">
      <alignment horizontal="center"/>
    </xf>
    <xf numFmtId="0" fontId="6" fillId="9" borderId="11" xfId="0" applyFont="1" applyFill="1" applyBorder="1" applyAlignment="1">
      <alignment horizontal="center"/>
    </xf>
    <xf numFmtId="0" fontId="0" fillId="8" borderId="12" xfId="0" applyFill="1" applyBorder="1"/>
    <xf numFmtId="0" fontId="0" fillId="8" borderId="0" xfId="0" applyFill="1"/>
    <xf numFmtId="164" fontId="0" fillId="8" borderId="0" xfId="0" applyNumberFormat="1" applyFill="1"/>
    <xf numFmtId="164" fontId="6" fillId="9" borderId="13" xfId="0" applyNumberFormat="1" applyFont="1" applyFill="1" applyBorder="1" applyAlignment="1">
      <alignment horizontal="center"/>
    </xf>
    <xf numFmtId="0" fontId="0" fillId="5" borderId="12" xfId="0" applyFill="1" applyBorder="1" applyAlignment="1">
      <alignment horizontal="right"/>
    </xf>
    <xf numFmtId="0" fontId="2" fillId="0" borderId="13" xfId="0" applyFont="1" applyBorder="1" applyAlignment="1">
      <alignment horizontal="center"/>
    </xf>
    <xf numFmtId="0" fontId="0" fillId="7" borderId="12" xfId="0" applyFill="1" applyBorder="1" applyAlignment="1">
      <alignment horizontal="right"/>
    </xf>
    <xf numFmtId="0" fontId="0" fillId="0" borderId="12" xfId="0" applyBorder="1" applyAlignment="1">
      <alignment horizontal="right"/>
    </xf>
    <xf numFmtId="0" fontId="0" fillId="9" borderId="11" xfId="0" applyFill="1" applyBorder="1" applyAlignment="1">
      <alignment horizontal="center"/>
    </xf>
    <xf numFmtId="164" fontId="0" fillId="9" borderId="13" xfId="0" applyNumberFormat="1" applyFill="1" applyBorder="1" applyAlignment="1">
      <alignment horizontal="center"/>
    </xf>
    <xf numFmtId="0" fontId="0" fillId="0" borderId="13" xfId="0" applyBorder="1" applyAlignment="1">
      <alignment horizontal="center"/>
    </xf>
    <xf numFmtId="0" fontId="0" fillId="18" borderId="9" xfId="0" applyFill="1" applyBorder="1"/>
    <xf numFmtId="0" fontId="0" fillId="18" borderId="10" xfId="0" applyFill="1" applyBorder="1"/>
    <xf numFmtId="0" fontId="0" fillId="0" borderId="15" xfId="0" applyBorder="1" applyAlignment="1">
      <alignment horizontal="right"/>
    </xf>
    <xf numFmtId="0" fontId="0" fillId="19" borderId="4" xfId="0" applyFill="1" applyBorder="1"/>
    <xf numFmtId="0" fontId="0" fillId="14" borderId="4" xfId="0" applyFill="1" applyBorder="1"/>
    <xf numFmtId="0" fontId="0" fillId="0" borderId="19" xfId="0" applyBorder="1"/>
    <xf numFmtId="165" fontId="0" fillId="14" borderId="19" xfId="0" applyNumberFormat="1" applyFill="1" applyBorder="1" applyAlignment="1">
      <alignment horizontal="center"/>
    </xf>
    <xf numFmtId="0" fontId="0" fillId="0" borderId="20" xfId="0" applyBorder="1"/>
    <xf numFmtId="0" fontId="0" fillId="0" borderId="5" xfId="0" applyBorder="1" applyAlignment="1">
      <alignment horizontal="center"/>
    </xf>
    <xf numFmtId="0" fontId="9" fillId="0" borderId="12" xfId="0" applyFont="1" applyBorder="1" applyAlignment="1">
      <alignment horizontal="right"/>
    </xf>
    <xf numFmtId="0" fontId="10" fillId="0" borderId="12" xfId="0" applyFont="1" applyBorder="1" applyAlignment="1">
      <alignment horizontal="right"/>
    </xf>
    <xf numFmtId="0" fontId="11" fillId="0" borderId="12" xfId="0" applyFont="1" applyBorder="1" applyAlignment="1">
      <alignment horizontal="right"/>
    </xf>
    <xf numFmtId="0" fontId="12" fillId="0" borderId="12" xfId="0" applyFont="1" applyBorder="1" applyAlignment="1">
      <alignment horizontal="right"/>
    </xf>
    <xf numFmtId="0" fontId="2" fillId="0" borderId="17" xfId="0" applyFont="1" applyBorder="1" applyAlignment="1">
      <alignment horizontal="center"/>
    </xf>
    <xf numFmtId="164" fontId="2" fillId="0" borderId="13" xfId="0" applyNumberFormat="1" applyFont="1" applyBorder="1" applyAlignment="1">
      <alignment horizontal="center"/>
    </xf>
    <xf numFmtId="0" fontId="0" fillId="0" borderId="21" xfId="0" applyBorder="1"/>
    <xf numFmtId="0" fontId="0" fillId="0" borderId="0" xfId="0" applyBorder="1"/>
    <xf numFmtId="0" fontId="5" fillId="13" borderId="2" xfId="0" applyFont="1" applyFill="1" applyBorder="1"/>
    <xf numFmtId="0" fontId="0" fillId="0" borderId="14" xfId="0" applyBorder="1"/>
    <xf numFmtId="0" fontId="0" fillId="0" borderId="1" xfId="0" applyBorder="1"/>
    <xf numFmtId="165" fontId="0" fillId="9" borderId="4" xfId="0" applyNumberFormat="1" applyFill="1" applyBorder="1" applyAlignment="1">
      <alignment horizontal="center"/>
    </xf>
    <xf numFmtId="165" fontId="0" fillId="15" borderId="4" xfId="0" applyNumberFormat="1" applyFill="1" applyBorder="1" applyAlignment="1">
      <alignment horizontal="center"/>
    </xf>
    <xf numFmtId="0" fontId="4" fillId="10" borderId="9" xfId="0" applyFont="1" applyFill="1" applyBorder="1"/>
    <xf numFmtId="0" fontId="0" fillId="10" borderId="10" xfId="0" applyFill="1" applyBorder="1"/>
    <xf numFmtId="0" fontId="0" fillId="10" borderId="11" xfId="0" applyFill="1" applyBorder="1"/>
    <xf numFmtId="0" fontId="0" fillId="16" borderId="12" xfId="0" applyFill="1" applyBorder="1"/>
    <xf numFmtId="0" fontId="0" fillId="16" borderId="0" xfId="0" applyFill="1" applyBorder="1"/>
    <xf numFmtId="0" fontId="0" fillId="16" borderId="13" xfId="0" applyFill="1" applyBorder="1"/>
    <xf numFmtId="0" fontId="0" fillId="9" borderId="23" xfId="0" applyFill="1" applyBorder="1"/>
    <xf numFmtId="0" fontId="0" fillId="9" borderId="14" xfId="0" applyFill="1" applyBorder="1"/>
    <xf numFmtId="0" fontId="0" fillId="20" borderId="0" xfId="0" applyFill="1" applyBorder="1"/>
    <xf numFmtId="164" fontId="5" fillId="13" borderId="23" xfId="0" applyNumberFormat="1" applyFont="1" applyFill="1" applyBorder="1"/>
    <xf numFmtId="0" fontId="5" fillId="13" borderId="24" xfId="0" applyFont="1" applyFill="1" applyBorder="1" applyAlignment="1">
      <alignment horizontal="right"/>
    </xf>
    <xf numFmtId="166" fontId="0" fillId="20" borderId="0" xfId="0" applyNumberFormat="1" applyFont="1" applyFill="1" applyBorder="1"/>
    <xf numFmtId="46" fontId="0" fillId="20" borderId="0" xfId="0" applyNumberFormat="1" applyFont="1" applyFill="1" applyBorder="1"/>
    <xf numFmtId="164" fontId="0" fillId="20" borderId="16" xfId="0" applyNumberFormat="1" applyFont="1" applyFill="1" applyBorder="1" applyAlignment="1">
      <alignment horizontal="right"/>
    </xf>
    <xf numFmtId="166" fontId="0" fillId="17" borderId="0" xfId="0" applyNumberFormat="1" applyFill="1" applyAlignment="1">
      <alignment horizontal="center"/>
    </xf>
    <xf numFmtId="165" fontId="0" fillId="15" borderId="19" xfId="0" applyNumberFormat="1" applyFill="1" applyBorder="1" applyAlignment="1">
      <alignment horizontal="center"/>
    </xf>
    <xf numFmtId="164" fontId="0" fillId="21" borderId="0" xfId="0" applyNumberFormat="1" applyFill="1" applyAlignment="1">
      <alignment horizontal="center"/>
    </xf>
    <xf numFmtId="0" fontId="4" fillId="10" borderId="4" xfId="0" applyFont="1" applyFill="1" applyBorder="1"/>
    <xf numFmtId="0" fontId="0" fillId="0" borderId="0" xfId="0" applyAlignment="1">
      <alignment horizontal="right"/>
    </xf>
    <xf numFmtId="164" fontId="0" fillId="0" borderId="0" xfId="0" applyNumberFormat="1" applyAlignment="1">
      <alignment horizontal="right"/>
    </xf>
    <xf numFmtId="0" fontId="0" fillId="22" borderId="9" xfId="0" applyFill="1" applyBorder="1"/>
    <xf numFmtId="0" fontId="0" fillId="22" borderId="10" xfId="0" applyFill="1" applyBorder="1"/>
    <xf numFmtId="166" fontId="0" fillId="9" borderId="0" xfId="0" applyNumberFormat="1" applyFill="1" applyAlignment="1">
      <alignment horizontal="center"/>
    </xf>
    <xf numFmtId="0" fontId="0" fillId="9" borderId="0" xfId="0" applyFill="1"/>
    <xf numFmtId="164" fontId="0" fillId="23" borderId="0" xfId="0" applyNumberFormat="1" applyFill="1" applyAlignment="1">
      <alignment horizontal="center"/>
    </xf>
    <xf numFmtId="0" fontId="9" fillId="20" borderId="12" xfId="0" applyFont="1" applyFill="1" applyBorder="1" applyAlignment="1">
      <alignment horizontal="right"/>
    </xf>
    <xf numFmtId="0" fontId="0" fillId="20" borderId="0" xfId="0" applyFill="1"/>
    <xf numFmtId="164" fontId="0" fillId="20" borderId="0" xfId="0" applyNumberFormat="1" applyFill="1"/>
    <xf numFmtId="0" fontId="2" fillId="20" borderId="13" xfId="0" applyFont="1" applyFill="1" applyBorder="1" applyAlignment="1">
      <alignment horizontal="center"/>
    </xf>
    <xf numFmtId="0" fontId="13" fillId="0" borderId="6" xfId="0" applyFont="1" applyBorder="1"/>
    <xf numFmtId="0" fontId="4" fillId="0" borderId="22" xfId="0" applyFont="1" applyBorder="1"/>
    <xf numFmtId="0" fontId="0" fillId="0" borderId="0" xfId="0" applyAlignment="1">
      <alignment horizontal="left"/>
    </xf>
    <xf numFmtId="0" fontId="0" fillId="6" borderId="24" xfId="0" applyFill="1" applyBorder="1" applyAlignment="1">
      <alignment horizontal="right"/>
    </xf>
    <xf numFmtId="0" fontId="2" fillId="0" borderId="21" xfId="0" applyFont="1" applyBorder="1" applyAlignment="1">
      <alignment horizontal="center"/>
    </xf>
    <xf numFmtId="0" fontId="0" fillId="0" borderId="21" xfId="0" applyBorder="1" applyAlignment="1">
      <alignment horizontal="center"/>
    </xf>
  </cellXfs>
  <cellStyles count="1">
    <cellStyle name="Normal" xfId="0" builtinId="0"/>
  </cellStyles>
  <dxfs count="12">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
      <font>
        <b val="0"/>
        <i val="0"/>
        <sz val="10"/>
        <color rgb="FF996600"/>
      </font>
      <fill>
        <patternFill>
          <bgColor rgb="FFFFFFCC"/>
        </patternFill>
      </fill>
    </dxf>
    <dxf>
      <font>
        <b val="0"/>
        <i val="0"/>
        <sz val="10"/>
        <color rgb="FFCC0000"/>
      </font>
      <fill>
        <patternFill>
          <bgColor rgb="FFFFCCCC"/>
        </patternFill>
      </fill>
    </dxf>
    <dxf>
      <font>
        <b val="0"/>
        <i val="0"/>
        <sz val="10"/>
        <color rgb="FF006600"/>
      </font>
      <fill>
        <patternFill>
          <bgColor rgb="FFCCFFCC"/>
        </patternFill>
      </fill>
    </dxf>
  </dxfs>
  <tableStyles count="0" defaultTableStyle="TableStyleMedium2" defaultPivotStyle="PivotStyleLight16"/>
  <colors>
    <indexedColors>
      <rgbColor rgb="FF000000"/>
      <rgbColor rgb="FFFFFFD7"/>
      <rgbColor rgb="FFCC0000"/>
      <rgbColor rgb="FF00FF00"/>
      <rgbColor rgb="FF0000FF"/>
      <rgbColor rgb="FFFFFF00"/>
      <rgbColor rgb="FFFF00FF"/>
      <rgbColor rgb="FF00FFFF"/>
      <rgbColor rgb="FF800000"/>
      <rgbColor rgb="FF006600"/>
      <rgbColor rgb="FF000080"/>
      <rgbColor rgb="FF996600"/>
      <rgbColor rgb="FF800080"/>
      <rgbColor rgb="FF008080"/>
      <rgbColor rgb="FFB3CAC7"/>
      <rgbColor rgb="FFDDDDDD"/>
      <rgbColor rgb="FF729FCF"/>
      <rgbColor rgb="FF993366"/>
      <rgbColor rgb="FFFFFFCC"/>
      <rgbColor rgb="FFDEE6EF"/>
      <rgbColor rgb="FF660066"/>
      <rgbColor rgb="FFFFCCCC"/>
      <rgbColor rgb="FF0066CC"/>
      <rgbColor rgb="FFCCCCCC"/>
      <rgbColor rgb="FF000080"/>
      <rgbColor rgb="FFFF00FF"/>
      <rgbColor rgb="FFFFFF38"/>
      <rgbColor rgb="FF00FFFF"/>
      <rgbColor rgb="FF800080"/>
      <rgbColor rgb="FF800000"/>
      <rgbColor rgb="FF008080"/>
      <rgbColor rgb="FF0000FF"/>
      <rgbColor rgb="FF00CCFF"/>
      <rgbColor rgb="FFEEEEEE"/>
      <rgbColor rgb="FFCCFFCC"/>
      <rgbColor rgb="FFE8F2A1"/>
      <rgbColor rgb="FFB4C7DC"/>
      <rgbColor rgb="FFFFA6A6"/>
      <rgbColor rgb="FFE0C2CD"/>
      <rgbColor rgb="FFFFDBB6"/>
      <rgbColor rgb="FF3366FF"/>
      <rgbColor rgb="FFF6F9D4"/>
      <rgbColor rgb="FFDDE8CB"/>
      <rgbColor rgb="FFF7D1D5"/>
      <rgbColor rgb="FFFFD7D7"/>
      <rgbColor rgb="FFFFF5CE"/>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E82D2"/>
      <color rgb="FFF12B3E"/>
      <color rgb="FFFF505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4"/>
  <sheetViews>
    <sheetView zoomScale="120" zoomScaleNormal="120" workbookViewId="0">
      <selection activeCell="M33" sqref="M33"/>
    </sheetView>
  </sheetViews>
  <sheetFormatPr defaultColWidth="11.5703125" defaultRowHeight="12.75"/>
  <cols>
    <col min="1" max="1" width="3.5703125" customWidth="1"/>
    <col min="2" max="2" width="26.7109375" customWidth="1"/>
    <col min="3" max="4" width="7.85546875" customWidth="1"/>
    <col min="5" max="5" width="9.5703125" customWidth="1"/>
    <col min="6" max="6" width="13.85546875" style="1" customWidth="1"/>
    <col min="7" max="7" width="4.42578125" customWidth="1"/>
    <col min="8" max="8" width="19.85546875" customWidth="1"/>
    <col min="9" max="9" width="8.5703125" customWidth="1"/>
    <col min="10" max="10" width="11.42578125" customWidth="1"/>
    <col min="11" max="11" width="10.42578125" customWidth="1"/>
    <col min="12" max="12" width="17.7109375" customWidth="1"/>
    <col min="13" max="13" width="9.5703125" customWidth="1"/>
    <col min="14" max="14" width="11.5703125" customWidth="1"/>
    <col min="15" max="15" width="10.5703125" customWidth="1"/>
    <col min="16" max="16" width="13.5703125" customWidth="1"/>
    <col min="17" max="17" width="6" customWidth="1"/>
    <col min="18" max="18" width="14.140625" customWidth="1"/>
    <col min="19" max="19" width="11.140625" customWidth="1"/>
    <col min="20" max="20" width="13.85546875" customWidth="1"/>
    <col min="21" max="21" width="13.140625" customWidth="1"/>
    <col min="23" max="23" width="11.140625" customWidth="1"/>
    <col min="24" max="24" width="6.85546875" customWidth="1"/>
    <col min="25" max="25" width="13.140625" customWidth="1"/>
  </cols>
  <sheetData>
    <row r="1" spans="1:17">
      <c r="A1" s="32"/>
      <c r="B1" s="32"/>
      <c r="C1" s="34" t="s">
        <v>0</v>
      </c>
      <c r="D1" s="32"/>
      <c r="E1" s="32"/>
      <c r="F1" s="33"/>
      <c r="G1" s="32"/>
      <c r="H1" s="90" t="s">
        <v>39</v>
      </c>
      <c r="I1" s="27"/>
      <c r="J1" s="27"/>
      <c r="K1" s="27"/>
      <c r="L1" s="73" t="s">
        <v>1</v>
      </c>
      <c r="M1" s="74"/>
      <c r="N1" s="74"/>
      <c r="O1" s="74"/>
      <c r="P1" s="74"/>
      <c r="Q1" s="75"/>
    </row>
    <row r="2" spans="1:17">
      <c r="A2" s="5"/>
      <c r="B2" t="s">
        <v>85</v>
      </c>
      <c r="C2">
        <v>60</v>
      </c>
      <c r="D2">
        <v>1</v>
      </c>
      <c r="E2" s="89">
        <f>SUMPRODUCT(C2,D2)/1440</f>
        <v>4.1666666666666664E-2</v>
      </c>
      <c r="H2" s="102" t="s">
        <v>75</v>
      </c>
      <c r="L2" s="76" t="s">
        <v>2</v>
      </c>
      <c r="M2" s="77"/>
      <c r="N2" s="77"/>
      <c r="O2" s="77"/>
      <c r="P2" s="77"/>
      <c r="Q2" s="78"/>
    </row>
    <row r="3" spans="1:17">
      <c r="H3" s="6" t="s">
        <v>3</v>
      </c>
      <c r="I3" s="7"/>
      <c r="J3" s="8"/>
      <c r="K3" s="70"/>
      <c r="L3" s="79" t="s">
        <v>57</v>
      </c>
      <c r="M3" s="20"/>
      <c r="N3" s="20"/>
      <c r="O3" s="20"/>
      <c r="P3" s="20"/>
      <c r="Q3" s="80"/>
    </row>
    <row r="4" spans="1:17">
      <c r="A4" s="28"/>
      <c r="B4" s="28" t="s">
        <v>56</v>
      </c>
      <c r="C4" s="28" t="s">
        <v>4</v>
      </c>
      <c r="D4" s="28" t="s">
        <v>5</v>
      </c>
      <c r="E4" s="29" t="s">
        <v>6</v>
      </c>
      <c r="F4" s="28"/>
      <c r="H4" s="9" t="s">
        <v>7</v>
      </c>
      <c r="I4" t="s">
        <v>4</v>
      </c>
      <c r="J4" s="59" t="s">
        <v>5</v>
      </c>
      <c r="K4" s="14"/>
      <c r="L4" s="21" t="s">
        <v>8</v>
      </c>
      <c r="M4" s="67" t="s">
        <v>9</v>
      </c>
      <c r="N4" s="67" t="s">
        <v>10</v>
      </c>
      <c r="O4" s="81"/>
      <c r="P4" s="67"/>
      <c r="Q4" s="22"/>
    </row>
    <row r="5" spans="1:17">
      <c r="A5" s="35"/>
      <c r="B5" t="s">
        <v>42</v>
      </c>
      <c r="C5">
        <v>45</v>
      </c>
      <c r="D5">
        <v>1</v>
      </c>
      <c r="E5" s="89">
        <f>SUMPRODUCT(C5:C22,D5:D22)/1440</f>
        <v>0.36805555555555558</v>
      </c>
      <c r="F5" s="3"/>
      <c r="H5" s="11" t="s">
        <v>11</v>
      </c>
      <c r="I5">
        <v>90</v>
      </c>
      <c r="J5" s="59">
        <v>1</v>
      </c>
      <c r="K5" s="71">
        <f t="shared" ref="K5:K10" si="0">SUMPRODUCT(I5,J5)/SUMPRODUCT($I$5:$I$10,$J$5:$J$10)</f>
        <v>0.14634146341463414</v>
      </c>
      <c r="L5" s="26"/>
      <c r="M5" s="67"/>
      <c r="N5" s="67"/>
      <c r="O5" s="67"/>
      <c r="P5" s="67"/>
      <c r="Q5" s="22"/>
    </row>
    <row r="6" spans="1:17">
      <c r="B6" t="s">
        <v>41</v>
      </c>
      <c r="C6">
        <v>5</v>
      </c>
      <c r="D6">
        <v>1</v>
      </c>
      <c r="E6" s="1"/>
      <c r="F6"/>
      <c r="H6" s="11" t="s">
        <v>12</v>
      </c>
      <c r="I6">
        <v>60</v>
      </c>
      <c r="J6" s="59">
        <v>2</v>
      </c>
      <c r="K6" s="71">
        <f t="shared" si="0"/>
        <v>0.1951219512195122</v>
      </c>
      <c r="L6" s="82">
        <f>M6*N6*60/1440</f>
        <v>68.75</v>
      </c>
      <c r="M6" s="103">
        <v>37.5</v>
      </c>
      <c r="N6" s="68">
        <v>44</v>
      </c>
      <c r="O6" s="7" t="s">
        <v>32</v>
      </c>
      <c r="P6" s="7"/>
      <c r="Q6" s="69"/>
    </row>
    <row r="7" spans="1:17">
      <c r="E7" s="95">
        <f>(SUMPRODUCT(C8,D8))/SUMPRODUCT(C5:C21,D5:D21)</f>
        <v>0.33962264150943394</v>
      </c>
      <c r="F7" s="96" t="s">
        <v>54</v>
      </c>
      <c r="H7" s="11" t="s">
        <v>13</v>
      </c>
      <c r="I7">
        <v>90</v>
      </c>
      <c r="J7" s="59">
        <v>1</v>
      </c>
      <c r="K7" s="71">
        <f t="shared" si="0"/>
        <v>0.14634146341463414</v>
      </c>
      <c r="L7" s="83" t="s">
        <v>16</v>
      </c>
      <c r="M7" s="19"/>
      <c r="N7" s="19"/>
      <c r="O7" s="19" t="s">
        <v>17</v>
      </c>
      <c r="P7" s="19"/>
      <c r="Q7" s="66"/>
    </row>
    <row r="8" spans="1:17">
      <c r="B8" t="s">
        <v>43</v>
      </c>
      <c r="C8">
        <v>60</v>
      </c>
      <c r="D8">
        <v>3</v>
      </c>
      <c r="E8" s="1"/>
      <c r="F8" s="97">
        <f>(SUMPRODUCT(C8,D8)/1440)</f>
        <v>0.125</v>
      </c>
      <c r="H8" s="11" t="s">
        <v>14</v>
      </c>
      <c r="I8">
        <v>90</v>
      </c>
      <c r="J8" s="59">
        <v>2</v>
      </c>
      <c r="K8" s="71">
        <f t="shared" si="0"/>
        <v>0.29268292682926828</v>
      </c>
      <c r="L8" s="21" t="s">
        <v>33</v>
      </c>
      <c r="M8" s="67"/>
      <c r="N8" s="67"/>
      <c r="O8" s="67"/>
      <c r="P8" s="67"/>
      <c r="Q8" s="22"/>
    </row>
    <row r="9" spans="1:17">
      <c r="B9" t="s">
        <v>44</v>
      </c>
      <c r="C9">
        <v>5</v>
      </c>
      <c r="D9">
        <v>1</v>
      </c>
      <c r="E9" s="87">
        <f>(SUMPRODUCT(C6,D6)+SUMPRODUCT(C9:C19,D9:D19))/SUMPRODUCT(C5:C21,D5:D21)</f>
        <v>0.17924528301886791</v>
      </c>
      <c r="F9" s="36" t="s">
        <v>55</v>
      </c>
      <c r="H9" s="11" t="s">
        <v>15</v>
      </c>
      <c r="I9">
        <v>15</v>
      </c>
      <c r="J9" s="59">
        <v>5</v>
      </c>
      <c r="K9" s="71">
        <f t="shared" si="0"/>
        <v>0.12195121951219512</v>
      </c>
      <c r="L9" s="21" t="s">
        <v>20</v>
      </c>
      <c r="M9" s="67"/>
      <c r="N9" s="67"/>
      <c r="O9" s="67"/>
      <c r="P9" s="67"/>
      <c r="Q9" s="22"/>
    </row>
    <row r="10" spans="1:17">
      <c r="B10" t="s">
        <v>45</v>
      </c>
      <c r="C10">
        <v>5</v>
      </c>
      <c r="D10">
        <v>1</v>
      </c>
      <c r="E10" s="1"/>
      <c r="F10" s="2">
        <f>(SUMPRODUCT(C6,D6)+SUMPRODUCT(C9:C19,D9:D19))/1440</f>
        <v>6.5972222222222224E-2</v>
      </c>
      <c r="H10" s="11" t="s">
        <v>18</v>
      </c>
      <c r="I10">
        <v>60</v>
      </c>
      <c r="J10" s="59">
        <v>1</v>
      </c>
      <c r="K10" s="71">
        <f t="shared" si="0"/>
        <v>9.7560975609756101E-2</v>
      </c>
      <c r="L10" s="21" t="s">
        <v>34</v>
      </c>
      <c r="M10" s="67"/>
      <c r="N10" s="67"/>
      <c r="O10" s="67"/>
      <c r="P10" s="84">
        <v>2E-3</v>
      </c>
      <c r="Q10" s="22"/>
    </row>
    <row r="11" spans="1:17">
      <c r="B11" t="s">
        <v>46</v>
      </c>
      <c r="C11">
        <v>10</v>
      </c>
      <c r="D11">
        <v>1</v>
      </c>
      <c r="E11" s="87">
        <f>(SUMPRODUCT(C5,D5)+SUMPRODUCT(C8,D8)+SUMPRODUCT(C20:C21,D20:D21))/SUMPRODUCT(C5:C21,D5:D21)</f>
        <v>0.82075471698113212</v>
      </c>
      <c r="F11" s="36" t="s">
        <v>86</v>
      </c>
      <c r="H11" s="54" t="s">
        <v>19</v>
      </c>
      <c r="I11">
        <v>60</v>
      </c>
      <c r="J11" s="59">
        <v>2</v>
      </c>
      <c r="K11" s="72">
        <f>SUMPRODUCT(I11,J11)/SUMPRODUCT($I$11:$I$13,$J$11:$J$13)</f>
        <v>0.30769230769230771</v>
      </c>
      <c r="L11" s="21" t="s">
        <v>35</v>
      </c>
      <c r="M11" s="67"/>
      <c r="N11" s="67"/>
      <c r="O11" s="67"/>
      <c r="P11" s="85">
        <f>availableHours*0.002</f>
        <v>0.13750000000000001</v>
      </c>
      <c r="Q11" s="22"/>
    </row>
    <row r="12" spans="1:17" ht="13.5" thickBot="1">
      <c r="B12" t="s">
        <v>47</v>
      </c>
      <c r="C12">
        <v>5</v>
      </c>
      <c r="D12">
        <v>1</v>
      </c>
      <c r="E12" s="1"/>
      <c r="F12" s="2">
        <f>(SUMPRODUCT(C5,D5)+SUMPRODUCT(C8,D8)+SUMPRODUCT(C20:C21,D20:D21))/1440</f>
        <v>0.30208333333333331</v>
      </c>
      <c r="H12" s="54" t="s">
        <v>21</v>
      </c>
      <c r="I12">
        <v>30</v>
      </c>
      <c r="J12" s="59">
        <v>5</v>
      </c>
      <c r="K12" s="72">
        <f>SUMPRODUCT(I12,J12)/SUMPRODUCT($I$11:$I$13,$J$11:$J$13)</f>
        <v>0.38461538461538464</v>
      </c>
      <c r="L12" s="23">
        <f>60*7.5</f>
        <v>450</v>
      </c>
      <c r="M12" s="24" t="s">
        <v>37</v>
      </c>
      <c r="N12" s="24"/>
      <c r="O12" s="37"/>
      <c r="P12" s="86" t="s">
        <v>38</v>
      </c>
      <c r="Q12" s="25"/>
    </row>
    <row r="13" spans="1:17">
      <c r="B13" t="s">
        <v>48</v>
      </c>
      <c r="C13">
        <v>15</v>
      </c>
      <c r="D13">
        <v>1</v>
      </c>
      <c r="E13" s="1"/>
      <c r="F13"/>
      <c r="H13" s="31" t="s">
        <v>36</v>
      </c>
      <c r="I13">
        <v>60</v>
      </c>
      <c r="J13" s="59">
        <v>2</v>
      </c>
      <c r="K13" s="88">
        <f>SUMPRODUCT(I13,J13)/SUMPRODUCT($I$11:$I$13,$J$11:$J$13)</f>
        <v>0.30769230769230771</v>
      </c>
    </row>
    <row r="14" spans="1:17">
      <c r="B14" t="s">
        <v>50</v>
      </c>
      <c r="C14">
        <v>5</v>
      </c>
      <c r="D14">
        <v>1</v>
      </c>
      <c r="F14"/>
      <c r="H14" s="13" t="s">
        <v>22</v>
      </c>
      <c r="I14">
        <v>60</v>
      </c>
      <c r="J14" s="59">
        <v>1</v>
      </c>
      <c r="K14" s="57">
        <f>SUMPRODUCT(I14,J14)/SUMPRODUCT($I$14:$I$16,$J$14:$J$16)</f>
        <v>0.46073298429319376</v>
      </c>
    </row>
    <row r="15" spans="1:17">
      <c r="B15" t="s">
        <v>51</v>
      </c>
      <c r="C15">
        <v>20</v>
      </c>
      <c r="D15">
        <v>1</v>
      </c>
      <c r="E15" s="1"/>
      <c r="F15"/>
      <c r="H15" s="13" t="s">
        <v>23</v>
      </c>
      <c r="I15">
        <v>60</v>
      </c>
      <c r="J15" s="59">
        <v>1</v>
      </c>
      <c r="K15" s="57">
        <f>SUMPRODUCT(I15,J15)/SUMPRODUCT($I$14:$I$15,$J$14:$J$15)</f>
        <v>0.5</v>
      </c>
      <c r="L15" s="91" t="s">
        <v>65</v>
      </c>
      <c r="M15" t="s">
        <v>58</v>
      </c>
    </row>
    <row r="16" spans="1:17">
      <c r="B16" t="s">
        <v>49</v>
      </c>
      <c r="C16">
        <v>5</v>
      </c>
      <c r="D16">
        <v>1</v>
      </c>
      <c r="E16" s="1"/>
      <c r="F16"/>
      <c r="H16" s="55" t="s">
        <v>24</v>
      </c>
      <c r="I16" s="30">
        <f>60*7.5/availableWeeks</f>
        <v>10.227272727272727</v>
      </c>
      <c r="J16" s="59">
        <v>1</v>
      </c>
      <c r="K16" s="57">
        <f>SUMPRODUCT(I16,J16)/SUMPRODUCT($I$14:$I$15,$J$14:$J$15)</f>
        <v>8.5227272727272721E-2</v>
      </c>
      <c r="L16" s="91"/>
      <c r="M16" t="s">
        <v>82</v>
      </c>
    </row>
    <row r="17" spans="1:19">
      <c r="B17" t="s">
        <v>50</v>
      </c>
      <c r="C17">
        <v>5</v>
      </c>
      <c r="D17">
        <v>1</v>
      </c>
      <c r="F17"/>
      <c r="H17" s="14" t="s">
        <v>40</v>
      </c>
      <c r="J17" s="10"/>
      <c r="K17" s="56"/>
      <c r="M17" t="s">
        <v>83</v>
      </c>
    </row>
    <row r="18" spans="1:19">
      <c r="B18" t="s">
        <v>102</v>
      </c>
      <c r="C18">
        <v>15</v>
      </c>
      <c r="D18">
        <v>1</v>
      </c>
      <c r="H18" s="11" t="s">
        <v>25</v>
      </c>
      <c r="I18" s="15">
        <f>SUMPRODUCT(I5:I10,J5:J10)/1440</f>
        <v>0.42708333333333331</v>
      </c>
      <c r="J18" s="10"/>
      <c r="K18" s="56"/>
      <c r="L18" s="92" t="s">
        <v>66</v>
      </c>
      <c r="M18" t="s">
        <v>61</v>
      </c>
    </row>
    <row r="19" spans="1:19">
      <c r="B19" t="s">
        <v>91</v>
      </c>
      <c r="C19">
        <v>60</v>
      </c>
      <c r="D19">
        <v>0</v>
      </c>
      <c r="F19"/>
      <c r="H19" s="12" t="s">
        <v>26</v>
      </c>
      <c r="I19" s="4">
        <f>SUMPRODUCT(I11:I13,J11:J13)/1440</f>
        <v>0.27083333333333331</v>
      </c>
      <c r="J19" s="10"/>
      <c r="K19" s="56"/>
      <c r="M19" t="s">
        <v>81</v>
      </c>
    </row>
    <row r="20" spans="1:19">
      <c r="B20" t="s">
        <v>52</v>
      </c>
      <c r="C20">
        <v>30</v>
      </c>
      <c r="D20">
        <v>3</v>
      </c>
      <c r="F20"/>
      <c r="H20" s="16" t="s">
        <v>27</v>
      </c>
      <c r="I20" s="17">
        <f>SUMPRODUCT(I14:I16,J14:J16)/1440</f>
        <v>9.043560606060605E-2</v>
      </c>
      <c r="J20" s="18" t="s">
        <v>28</v>
      </c>
      <c r="K20" s="58"/>
      <c r="L20" s="92" t="s">
        <v>67</v>
      </c>
      <c r="M20" t="s">
        <v>59</v>
      </c>
    </row>
    <row r="21" spans="1:19">
      <c r="B21" t="s">
        <v>53</v>
      </c>
      <c r="C21">
        <v>60</v>
      </c>
      <c r="D21">
        <v>2</v>
      </c>
      <c r="E21" s="1"/>
      <c r="F21"/>
      <c r="I21" s="4"/>
      <c r="L21" s="91"/>
      <c r="M21" t="s">
        <v>71</v>
      </c>
    </row>
    <row r="22" spans="1:19">
      <c r="L22" s="91"/>
      <c r="M22" t="s">
        <v>60</v>
      </c>
    </row>
    <row r="23" spans="1:19">
      <c r="N23" t="s">
        <v>72</v>
      </c>
    </row>
    <row r="24" spans="1:19">
      <c r="A24" s="91" t="s">
        <v>84</v>
      </c>
      <c r="B24" s="104" t="s">
        <v>79</v>
      </c>
      <c r="M24" t="s">
        <v>70</v>
      </c>
    </row>
    <row r="25" spans="1:19">
      <c r="B25" s="104" t="s">
        <v>78</v>
      </c>
      <c r="M25" t="s">
        <v>76</v>
      </c>
      <c r="S25" s="4"/>
    </row>
    <row r="26" spans="1:19">
      <c r="H26" t="s">
        <v>68</v>
      </c>
    </row>
    <row r="27" spans="1:19">
      <c r="H27" t="s">
        <v>69</v>
      </c>
      <c r="M27" t="s">
        <v>77</v>
      </c>
    </row>
    <row r="28" spans="1:19" ht="13.5" thickBot="1"/>
    <row r="29" spans="1:19">
      <c r="H29" s="51" t="s">
        <v>62</v>
      </c>
      <c r="I29" s="52"/>
      <c r="J29" s="38">
        <v>1</v>
      </c>
      <c r="K29" s="39">
        <v>1</v>
      </c>
      <c r="L29" s="93" t="s">
        <v>64</v>
      </c>
      <c r="M29" s="94"/>
      <c r="N29" s="38">
        <v>1</v>
      </c>
      <c r="O29" s="48">
        <v>1</v>
      </c>
    </row>
    <row r="30" spans="1:19">
      <c r="H30" s="40" t="s">
        <v>63</v>
      </c>
      <c r="I30" s="41"/>
      <c r="J30" s="42">
        <f>SUM(J31:J51)</f>
        <v>68.816666666666663</v>
      </c>
      <c r="K30" s="43">
        <f>availableHours*K29</f>
        <v>68.75</v>
      </c>
      <c r="L30" s="40" t="s">
        <v>63</v>
      </c>
      <c r="M30" s="41"/>
      <c r="N30" s="42">
        <f>SUM(N31:N52)</f>
        <v>1.5640151515151515</v>
      </c>
      <c r="O30" s="49">
        <f>availableHours*O29/availableWeeks</f>
        <v>1.5625</v>
      </c>
    </row>
    <row r="31" spans="1:19">
      <c r="H31" s="44" t="s">
        <v>29</v>
      </c>
      <c r="I31">
        <f>M31</f>
        <v>0.4</v>
      </c>
      <c r="J31" s="4">
        <f>I31*weeklyMeetingsPD*availableWeeks</f>
        <v>7.5166666666666666</v>
      </c>
      <c r="K31" s="65">
        <f>IF(J30-K30&lt;0,0,J30-K30)</f>
        <v>6.6666666666662877E-2</v>
      </c>
      <c r="L31" s="44" t="s">
        <v>29</v>
      </c>
      <c r="M31">
        <v>0.4</v>
      </c>
      <c r="N31" s="4">
        <f>M31*weeklyMeetingsPD</f>
        <v>0.17083333333333334</v>
      </c>
      <c r="O31" s="65">
        <f>IF(N30-O30&lt;0,0,N30-O30)</f>
        <v>1.5151515151514694E-3</v>
      </c>
    </row>
    <row r="32" spans="1:19">
      <c r="H32" s="46" t="s">
        <v>30</v>
      </c>
      <c r="I32">
        <f>M32</f>
        <v>0.8</v>
      </c>
      <c r="J32" s="4">
        <f>I32*weeklyOngoingPD*availableWeeks</f>
        <v>9.5333333333333332</v>
      </c>
      <c r="K32" s="45"/>
      <c r="L32" s="46" t="s">
        <v>30</v>
      </c>
      <c r="M32">
        <v>0.8</v>
      </c>
      <c r="N32" s="4">
        <f>M32*weeklyOngoingPD</f>
        <v>0.21666666666666667</v>
      </c>
      <c r="O32" s="50"/>
    </row>
    <row r="33" spans="8:15">
      <c r="H33" s="105" t="s">
        <v>31</v>
      </c>
      <c r="I33" s="19">
        <f>M33</f>
        <v>0.8</v>
      </c>
      <c r="J33" s="17">
        <f>I33*weeklyDevelopmentPD*availableWeeks</f>
        <v>3.1833333333333331</v>
      </c>
      <c r="K33" s="106"/>
      <c r="L33" s="105" t="s">
        <v>31</v>
      </c>
      <c r="M33" s="19">
        <v>0.8</v>
      </c>
      <c r="N33" s="17">
        <f>M33*weeklyDevelopmentPD</f>
        <v>7.2348484848484843E-2</v>
      </c>
      <c r="O33" s="107"/>
    </row>
    <row r="34" spans="8:15">
      <c r="H34" s="98" t="s">
        <v>73</v>
      </c>
      <c r="I34" s="99">
        <f>M34*availableWeeks</f>
        <v>0</v>
      </c>
      <c r="J34" s="100">
        <f>I34*otherWork_H</f>
        <v>0</v>
      </c>
      <c r="K34" s="101"/>
      <c r="L34" s="98" t="s">
        <v>74</v>
      </c>
      <c r="M34" s="99">
        <v>0</v>
      </c>
      <c r="N34" s="100">
        <f>M34*otherWork_H</f>
        <v>0</v>
      </c>
      <c r="O34" s="101"/>
    </row>
    <row r="35" spans="8:15">
      <c r="H35" s="60" t="s">
        <v>80</v>
      </c>
      <c r="I35">
        <f>M35*availableWeeks</f>
        <v>132</v>
      </c>
      <c r="J35" s="4">
        <f>I35*clkStopPD_E</f>
        <v>48.583333333333336</v>
      </c>
      <c r="K35" s="45">
        <f>I35*$J$29</f>
        <v>132</v>
      </c>
      <c r="L35" s="60" t="s">
        <v>80</v>
      </c>
      <c r="M35">
        <v>3</v>
      </c>
      <c r="N35" s="4">
        <f>M35*clkStopPD_E</f>
        <v>1.1041666666666667</v>
      </c>
      <c r="O35" s="45">
        <f>M35*$N$29</f>
        <v>3</v>
      </c>
    </row>
    <row r="36" spans="8:15">
      <c r="H36" s="61"/>
      <c r="J36" s="4"/>
      <c r="K36" s="45"/>
      <c r="L36" s="61"/>
      <c r="N36" s="4"/>
      <c r="O36" s="45"/>
    </row>
    <row r="37" spans="8:15">
      <c r="H37" s="60"/>
      <c r="J37" s="4"/>
      <c r="K37" s="45"/>
      <c r="L37" s="60"/>
      <c r="N37" s="4"/>
      <c r="O37" s="45"/>
    </row>
    <row r="38" spans="8:15">
      <c r="H38" s="60"/>
      <c r="J38" s="4"/>
      <c r="K38" s="45"/>
      <c r="L38" s="60"/>
      <c r="N38" s="4"/>
      <c r="O38" s="45"/>
    </row>
    <row r="39" spans="8:15">
      <c r="H39" s="62"/>
      <c r="J39" s="4"/>
      <c r="K39" s="45"/>
      <c r="L39" s="62"/>
      <c r="N39" s="4"/>
      <c r="O39" s="45"/>
    </row>
    <row r="40" spans="8:15">
      <c r="H40" s="62"/>
      <c r="J40" s="4"/>
      <c r="K40" s="45"/>
      <c r="L40" s="62"/>
      <c r="N40" s="4"/>
      <c r="O40" s="45"/>
    </row>
    <row r="41" spans="8:15">
      <c r="H41" s="63"/>
      <c r="J41" s="4"/>
      <c r="K41" s="45"/>
      <c r="L41" s="63"/>
      <c r="N41" s="4"/>
      <c r="O41" s="45"/>
    </row>
    <row r="42" spans="8:15">
      <c r="H42" s="60"/>
      <c r="J42" s="4"/>
      <c r="K42" s="45"/>
      <c r="L42" s="60"/>
      <c r="N42" s="4"/>
      <c r="O42" s="45"/>
    </row>
    <row r="43" spans="8:15">
      <c r="H43" s="47"/>
      <c r="J43" s="4"/>
      <c r="K43" s="45"/>
      <c r="L43" s="47"/>
      <c r="N43" s="4"/>
      <c r="O43" s="45"/>
    </row>
    <row r="44" spans="8:15">
      <c r="H44" s="47"/>
      <c r="J44" s="4"/>
      <c r="K44" s="45"/>
      <c r="L44" s="47"/>
      <c r="N44" s="4"/>
      <c r="O44" s="45"/>
    </row>
    <row r="45" spans="8:15">
      <c r="H45" s="47"/>
      <c r="J45" s="4"/>
      <c r="K45" s="45"/>
      <c r="L45" s="47"/>
      <c r="N45" s="4"/>
      <c r="O45" s="45"/>
    </row>
    <row r="46" spans="8:15">
      <c r="H46" s="47"/>
      <c r="J46" s="4"/>
      <c r="K46" s="45"/>
      <c r="L46" s="47"/>
      <c r="N46" s="4"/>
      <c r="O46" s="45"/>
    </row>
    <row r="47" spans="8:15">
      <c r="H47" s="47"/>
      <c r="J47" s="4"/>
      <c r="K47" s="45"/>
      <c r="L47" s="47"/>
      <c r="N47" s="4"/>
      <c r="O47" s="45"/>
    </row>
    <row r="48" spans="8:15">
      <c r="H48" s="47"/>
      <c r="J48" s="4"/>
      <c r="K48" s="45"/>
      <c r="L48" s="21"/>
      <c r="N48" s="4"/>
      <c r="O48" s="45"/>
    </row>
    <row r="49" spans="8:20">
      <c r="H49" s="47"/>
      <c r="J49" s="4"/>
      <c r="K49" s="45"/>
      <c r="L49" s="47"/>
      <c r="N49" s="4"/>
      <c r="O49" s="45"/>
      <c r="T49" s="1"/>
    </row>
    <row r="50" spans="8:20">
      <c r="H50" s="47"/>
      <c r="J50" s="4"/>
      <c r="K50" s="45"/>
      <c r="L50" s="47"/>
      <c r="N50" s="4"/>
      <c r="O50" s="45"/>
      <c r="T50" s="1"/>
    </row>
    <row r="51" spans="8:20">
      <c r="H51" s="47"/>
      <c r="K51" s="45"/>
      <c r="L51" s="47"/>
      <c r="N51" s="4"/>
      <c r="O51" s="45"/>
      <c r="T51" s="1"/>
    </row>
    <row r="52" spans="8:20" ht="13.5" thickBot="1">
      <c r="H52" s="53"/>
      <c r="I52" s="24"/>
      <c r="J52" s="37"/>
      <c r="K52" s="64"/>
      <c r="L52" s="53"/>
      <c r="M52" s="24"/>
      <c r="N52" s="37"/>
      <c r="O52" s="64"/>
    </row>
    <row r="84" spans="8:11">
      <c r="H84" s="4"/>
      <c r="K84" s="4"/>
    </row>
  </sheetData>
  <conditionalFormatting sqref="J30 N30">
    <cfRule type="cellIs" dxfId="11" priority="75" stopIfTrue="1" operator="between">
      <formula>availableHours*0.998*K29</formula>
      <formula>availableHours*1.002*K29</formula>
    </cfRule>
    <cfRule type="cellIs" dxfId="10" priority="76" operator="greaterThan">
      <formula>availableHours*1.002*K29</formula>
    </cfRule>
    <cfRule type="cellIs" dxfId="9" priority="77" operator="lessThan">
      <formula>availableHours*0.998*K29</formula>
    </cfRule>
  </conditionalFormatting>
  <pageMargins left="0.78749999999999998" right="0.78749999999999998" top="1.05277777777778" bottom="1.05277777777778" header="0.78749999999999998" footer="0.78749999999999998"/>
  <pageSetup paperSize="8" scale="70" orientation="landscape" useFirstPageNumber="1" horizontalDpi="300" verticalDpi="300" r:id="rId1"/>
  <headerFooter>
    <oddHeader>&amp;C&amp;"Nimbus Roman,Regular"&amp;12&amp;A</oddHeader>
    <oddFooter>&amp;C&amp;"Nimbus Roman,Regular"&amp;12Page &amp;P</oddFooter>
  </headerFooter>
  <ignoredErrors>
    <ignoredError sqref="I18:I20 F10" formulaRange="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B2F41-6240-4357-ABA1-4D6F57A1D570}">
  <dimension ref="A1:T84"/>
  <sheetViews>
    <sheetView zoomScale="120" zoomScaleNormal="120" workbookViewId="0">
      <selection activeCell="M33" sqref="M33"/>
    </sheetView>
  </sheetViews>
  <sheetFormatPr defaultColWidth="11.5703125" defaultRowHeight="12.75"/>
  <cols>
    <col min="1" max="1" width="3.5703125" customWidth="1"/>
    <col min="2" max="2" width="25.5703125" customWidth="1"/>
    <col min="3" max="4" width="7.85546875" customWidth="1"/>
    <col min="5" max="5" width="9.5703125" customWidth="1"/>
    <col min="6" max="6" width="13.85546875" style="1" customWidth="1"/>
    <col min="7" max="7" width="4.42578125" customWidth="1"/>
    <col min="8" max="8" width="19.85546875" customWidth="1"/>
    <col min="9" max="9" width="8.5703125" customWidth="1"/>
    <col min="10" max="10" width="11.42578125" customWidth="1"/>
    <col min="11" max="11" width="10.42578125" customWidth="1"/>
    <col min="12" max="12" width="17.7109375" customWidth="1"/>
    <col min="13" max="13" width="9.5703125" customWidth="1"/>
    <col min="14" max="14" width="11.5703125" customWidth="1"/>
    <col min="15" max="15" width="10.5703125" customWidth="1"/>
    <col min="16" max="16" width="13.5703125" customWidth="1"/>
    <col min="17" max="17" width="6" customWidth="1"/>
    <col min="18" max="18" width="14.140625" customWidth="1"/>
    <col min="19" max="19" width="11.140625" customWidth="1"/>
    <col min="20" max="20" width="13.85546875" customWidth="1"/>
    <col min="21" max="21" width="13.140625" customWidth="1"/>
    <col min="23" max="23" width="11.140625" customWidth="1"/>
    <col min="24" max="24" width="6.85546875" customWidth="1"/>
    <col min="25" max="25" width="13.140625" customWidth="1"/>
  </cols>
  <sheetData>
    <row r="1" spans="1:17">
      <c r="A1" s="32"/>
      <c r="B1" s="32"/>
      <c r="C1" s="34" t="s">
        <v>0</v>
      </c>
      <c r="D1" s="32"/>
      <c r="E1" s="32"/>
      <c r="F1" s="33"/>
      <c r="G1" s="32"/>
      <c r="H1" s="90" t="s">
        <v>39</v>
      </c>
      <c r="I1" s="27"/>
      <c r="J1" s="27"/>
      <c r="K1" s="27"/>
      <c r="L1" s="73" t="s">
        <v>1</v>
      </c>
      <c r="M1" s="74"/>
      <c r="N1" s="74"/>
      <c r="O1" s="74"/>
      <c r="P1" s="74"/>
      <c r="Q1" s="75"/>
    </row>
    <row r="2" spans="1:17">
      <c r="A2" s="5"/>
      <c r="B2" t="s">
        <v>85</v>
      </c>
      <c r="C2">
        <v>60</v>
      </c>
      <c r="D2">
        <v>1</v>
      </c>
      <c r="E2" s="89">
        <f>otherWork_H</f>
        <v>4.1666666666666664E-2</v>
      </c>
      <c r="H2" s="102" t="s">
        <v>75</v>
      </c>
      <c r="L2" s="76" t="s">
        <v>2</v>
      </c>
      <c r="M2" s="77"/>
      <c r="N2" s="77"/>
      <c r="O2" s="77"/>
      <c r="P2" s="77"/>
      <c r="Q2" s="78"/>
    </row>
    <row r="3" spans="1:17">
      <c r="H3" s="6" t="s">
        <v>3</v>
      </c>
      <c r="I3" s="7"/>
      <c r="J3" s="8"/>
      <c r="K3" s="70"/>
      <c r="L3" s="79" t="s">
        <v>57</v>
      </c>
      <c r="M3" s="20"/>
      <c r="N3" s="20"/>
      <c r="O3" s="20"/>
      <c r="P3" s="20"/>
      <c r="Q3" s="80"/>
    </row>
    <row r="4" spans="1:17">
      <c r="A4" s="28"/>
      <c r="B4" s="28" t="s">
        <v>111</v>
      </c>
      <c r="C4" s="28" t="s">
        <v>4</v>
      </c>
      <c r="D4" s="28" t="s">
        <v>5</v>
      </c>
      <c r="E4" s="29" t="s">
        <v>6</v>
      </c>
      <c r="F4" s="28"/>
      <c r="H4" s="9" t="s">
        <v>7</v>
      </c>
      <c r="I4" t="s">
        <v>4</v>
      </c>
      <c r="J4" s="59" t="s">
        <v>5</v>
      </c>
      <c r="K4" s="14"/>
      <c r="L4" s="21" t="s">
        <v>8</v>
      </c>
      <c r="M4" s="67" t="s">
        <v>9</v>
      </c>
      <c r="N4" s="67" t="s">
        <v>10</v>
      </c>
      <c r="O4" s="81"/>
      <c r="P4" s="67"/>
      <c r="Q4" s="22"/>
    </row>
    <row r="5" spans="1:17">
      <c r="A5" s="35"/>
      <c r="B5" t="s">
        <v>42</v>
      </c>
      <c r="C5">
        <v>45</v>
      </c>
      <c r="D5">
        <v>1</v>
      </c>
      <c r="E5" s="89">
        <f>SUMPRODUCT(C5:C21,D5:D21)/1440</f>
        <v>0.29166666666666669</v>
      </c>
      <c r="F5" s="3"/>
      <c r="H5" s="11" t="s">
        <v>99</v>
      </c>
      <c r="I5">
        <v>90</v>
      </c>
      <c r="J5" s="59">
        <v>1</v>
      </c>
      <c r="K5" s="71">
        <f t="shared" ref="K5:K10" si="0">SUMPRODUCT(I5,J5)/SUMPRODUCT($I$5:$I$10,$J$5:$J$10)</f>
        <v>0.54545454545454541</v>
      </c>
      <c r="L5" s="26"/>
      <c r="M5" s="67"/>
      <c r="N5" s="67"/>
      <c r="O5" s="67"/>
      <c r="P5" s="67"/>
      <c r="Q5" s="22"/>
    </row>
    <row r="6" spans="1:17">
      <c r="B6" t="s">
        <v>41</v>
      </c>
      <c r="C6">
        <v>5</v>
      </c>
      <c r="D6">
        <v>1</v>
      </c>
      <c r="E6" s="1"/>
      <c r="F6"/>
      <c r="H6" s="11" t="s">
        <v>113</v>
      </c>
      <c r="I6">
        <v>90</v>
      </c>
      <c r="J6" s="59">
        <v>0.5</v>
      </c>
      <c r="K6" s="71">
        <f t="shared" si="0"/>
        <v>0.27272727272727271</v>
      </c>
      <c r="L6" s="82">
        <f>availableHours</f>
        <v>68.75</v>
      </c>
      <c r="M6" s="103">
        <f>availableHoursWeekly</f>
        <v>37.5</v>
      </c>
      <c r="N6" s="68">
        <f>availableWeeks</f>
        <v>44</v>
      </c>
      <c r="O6" s="7" t="s">
        <v>32</v>
      </c>
      <c r="P6" s="7"/>
      <c r="Q6" s="69"/>
    </row>
    <row r="7" spans="1:17">
      <c r="E7" s="95">
        <f>(SUMPRODUCT(C8,D8))/SUMPRODUCT(C5:C21,D5:D21)</f>
        <v>0.2857142857142857</v>
      </c>
      <c r="F7" s="96" t="s">
        <v>54</v>
      </c>
      <c r="H7" s="11" t="s">
        <v>100</v>
      </c>
      <c r="I7">
        <v>60</v>
      </c>
      <c r="J7" s="59">
        <v>0.25</v>
      </c>
      <c r="K7" s="71">
        <f t="shared" si="0"/>
        <v>9.0909090909090912E-2</v>
      </c>
      <c r="L7" s="83" t="s">
        <v>16</v>
      </c>
      <c r="M7" s="19"/>
      <c r="N7" s="19"/>
      <c r="O7" s="19" t="s">
        <v>17</v>
      </c>
      <c r="P7" s="19"/>
      <c r="Q7" s="66"/>
    </row>
    <row r="8" spans="1:17">
      <c r="B8" t="s">
        <v>43</v>
      </c>
      <c r="C8">
        <v>60</v>
      </c>
      <c r="D8">
        <v>2</v>
      </c>
      <c r="E8" s="1"/>
      <c r="F8" s="97">
        <f>(SUMPRODUCT(C8,D8)/1440)</f>
        <v>8.3333333333333329E-2</v>
      </c>
      <c r="H8" s="11" t="s">
        <v>101</v>
      </c>
      <c r="I8">
        <v>60</v>
      </c>
      <c r="J8" s="59">
        <v>0.25</v>
      </c>
      <c r="K8" s="71">
        <f t="shared" si="0"/>
        <v>9.0909090909090912E-2</v>
      </c>
      <c r="L8" s="21" t="s">
        <v>33</v>
      </c>
      <c r="M8" s="67"/>
      <c r="N8" s="67"/>
      <c r="O8" s="67"/>
      <c r="P8" s="67"/>
      <c r="Q8" s="22"/>
    </row>
    <row r="9" spans="1:17">
      <c r="B9" t="s">
        <v>44</v>
      </c>
      <c r="C9">
        <v>5</v>
      </c>
      <c r="D9">
        <v>1</v>
      </c>
      <c r="E9" s="87">
        <f>(SUMPRODUCT(C6,D6)+SUMPRODUCT(C9:C19,D9:D19))/SUMPRODUCT(C5:C21,D5:D21)</f>
        <v>0.22619047619047619</v>
      </c>
      <c r="F9" s="36" t="s">
        <v>55</v>
      </c>
      <c r="H9" s="11"/>
      <c r="I9">
        <v>0</v>
      </c>
      <c r="J9" s="59">
        <v>0</v>
      </c>
      <c r="K9" s="71">
        <f t="shared" si="0"/>
        <v>0</v>
      </c>
      <c r="L9" s="21" t="s">
        <v>20</v>
      </c>
      <c r="M9" s="67"/>
      <c r="N9" s="67"/>
      <c r="O9" s="67"/>
      <c r="P9" s="67"/>
      <c r="Q9" s="22"/>
    </row>
    <row r="10" spans="1:17">
      <c r="B10" t="s">
        <v>45</v>
      </c>
      <c r="C10">
        <v>5</v>
      </c>
      <c r="D10">
        <v>1</v>
      </c>
      <c r="E10" s="1"/>
      <c r="F10" s="2">
        <f>(SUMPRODUCT(C6,D6)+SUMPRODUCT(C9:C19,D9:D19))/1440</f>
        <v>6.5972222222222224E-2</v>
      </c>
      <c r="H10" s="11"/>
      <c r="I10">
        <v>0</v>
      </c>
      <c r="J10" s="59">
        <v>0</v>
      </c>
      <c r="K10" s="71">
        <f t="shared" si="0"/>
        <v>0</v>
      </c>
      <c r="L10" s="21" t="s">
        <v>34</v>
      </c>
      <c r="M10" s="67"/>
      <c r="N10" s="67"/>
      <c r="O10" s="67"/>
      <c r="P10" s="84">
        <v>2E-3</v>
      </c>
      <c r="Q10" s="22"/>
    </row>
    <row r="11" spans="1:17">
      <c r="B11" t="s">
        <v>46</v>
      </c>
      <c r="C11">
        <v>10</v>
      </c>
      <c r="D11">
        <v>1</v>
      </c>
      <c r="E11" s="87">
        <f>(SUMPRODUCT(C5,D5)+SUMPRODUCT(C8,D8)+SUMPRODUCT(C20:C21,D20:D21))/SUMPRODUCT(C5:C21,D5:D21)</f>
        <v>0.77380952380952384</v>
      </c>
      <c r="F11" s="36" t="s">
        <v>86</v>
      </c>
      <c r="H11" s="54" t="s">
        <v>19</v>
      </c>
      <c r="I11">
        <v>60</v>
      </c>
      <c r="J11" s="59">
        <v>0.5</v>
      </c>
      <c r="K11" s="72">
        <f>SUMPRODUCT(I11,J11)/SUMPRODUCT($I$11:$I$13,$J$11:$J$13)</f>
        <v>7.6923076923076927E-2</v>
      </c>
      <c r="L11" s="21" t="s">
        <v>35</v>
      </c>
      <c r="M11" s="67"/>
      <c r="N11" s="67"/>
      <c r="O11" s="67"/>
      <c r="P11" s="85">
        <f>availableHours*0.002</f>
        <v>0.13750000000000001</v>
      </c>
      <c r="Q11" s="22"/>
    </row>
    <row r="12" spans="1:17" ht="13.5" thickBot="1">
      <c r="B12" t="s">
        <v>47</v>
      </c>
      <c r="C12">
        <v>5</v>
      </c>
      <c r="D12">
        <v>1</v>
      </c>
      <c r="E12" s="1"/>
      <c r="F12" s="2">
        <f>(SUMPRODUCT(C5,D5)+SUMPRODUCT(C8,D8)+SUMPRODUCT(C20:C21,D20:D21))/1440</f>
        <v>0.22569444444444445</v>
      </c>
      <c r="H12" s="54" t="s">
        <v>21</v>
      </c>
      <c r="I12">
        <v>60</v>
      </c>
      <c r="J12" s="59">
        <v>5</v>
      </c>
      <c r="K12" s="72">
        <f>SUMPRODUCT(I12,J12)/SUMPRODUCT($I$11:$I$13,$J$11:$J$13)</f>
        <v>0.76923076923076927</v>
      </c>
      <c r="L12" s="23">
        <f>60*7.5</f>
        <v>450</v>
      </c>
      <c r="M12" s="24" t="s">
        <v>37</v>
      </c>
      <c r="N12" s="24"/>
      <c r="O12" s="37"/>
      <c r="P12" s="86" t="s">
        <v>38</v>
      </c>
      <c r="Q12" s="25"/>
    </row>
    <row r="13" spans="1:17">
      <c r="B13" t="s">
        <v>48</v>
      </c>
      <c r="C13">
        <v>15</v>
      </c>
      <c r="D13">
        <v>1</v>
      </c>
      <c r="E13" s="1"/>
      <c r="F13"/>
      <c r="H13" s="31" t="s">
        <v>112</v>
      </c>
      <c r="I13">
        <v>60</v>
      </c>
      <c r="J13" s="59">
        <v>1</v>
      </c>
      <c r="K13" s="88">
        <f>SUMPRODUCT(I13,J13)/SUMPRODUCT($I$11:$I$13,$J$11:$J$13)</f>
        <v>0.15384615384615385</v>
      </c>
    </row>
    <row r="14" spans="1:17">
      <c r="B14" t="s">
        <v>50</v>
      </c>
      <c r="C14">
        <v>5</v>
      </c>
      <c r="D14">
        <v>1</v>
      </c>
      <c r="F14"/>
      <c r="H14" s="13" t="s">
        <v>22</v>
      </c>
      <c r="I14">
        <v>90</v>
      </c>
      <c r="J14" s="59">
        <v>0.25</v>
      </c>
      <c r="K14" s="57">
        <f>SUMPRODUCT(I14,J14)/SUMPRODUCT($I$14:$I$16,$J$14:$J$16)</f>
        <v>0.47142857142857142</v>
      </c>
    </row>
    <row r="15" spans="1:17">
      <c r="B15" t="s">
        <v>51</v>
      </c>
      <c r="C15">
        <v>20</v>
      </c>
      <c r="D15">
        <v>1</v>
      </c>
      <c r="E15" s="1"/>
      <c r="F15"/>
      <c r="H15" s="13" t="s">
        <v>23</v>
      </c>
      <c r="I15">
        <v>60</v>
      </c>
      <c r="J15" s="59">
        <v>0.25</v>
      </c>
      <c r="K15" s="57">
        <f>SUMPRODUCT(I15,J15)/SUMPRODUCT($I$14:$I$15,$J$14:$J$15)</f>
        <v>0.4</v>
      </c>
      <c r="L15" s="91" t="s">
        <v>65</v>
      </c>
      <c r="M15" t="s">
        <v>58</v>
      </c>
    </row>
    <row r="16" spans="1:17">
      <c r="B16" t="s">
        <v>49</v>
      </c>
      <c r="C16">
        <v>5</v>
      </c>
      <c r="D16">
        <v>1</v>
      </c>
      <c r="E16" s="1"/>
      <c r="F16"/>
      <c r="H16" s="55" t="s">
        <v>24</v>
      </c>
      <c r="I16" s="30">
        <f>60*7.5/availableWeeks</f>
        <v>10.227272727272727</v>
      </c>
      <c r="J16" s="59">
        <v>1</v>
      </c>
      <c r="K16" s="57">
        <f>SUMPRODUCT(I16,J16)/SUMPRODUCT($I$14:$I$15,$J$14:$J$15)</f>
        <v>0.27272727272727271</v>
      </c>
      <c r="L16" s="91"/>
      <c r="M16" t="s">
        <v>82</v>
      </c>
    </row>
    <row r="17" spans="1:19">
      <c r="B17" t="s">
        <v>50</v>
      </c>
      <c r="C17">
        <v>5</v>
      </c>
      <c r="D17">
        <v>1</v>
      </c>
      <c r="F17"/>
      <c r="H17" s="14" t="s">
        <v>40</v>
      </c>
      <c r="J17" s="10"/>
      <c r="K17" s="56"/>
      <c r="M17" t="s">
        <v>83</v>
      </c>
    </row>
    <row r="18" spans="1:19">
      <c r="B18" t="s">
        <v>102</v>
      </c>
      <c r="C18">
        <v>15</v>
      </c>
      <c r="D18">
        <v>1</v>
      </c>
      <c r="H18" s="11" t="s">
        <v>25</v>
      </c>
      <c r="I18" s="15">
        <f>SUMPRODUCT(I5:I10,J5:J10)/1440</f>
        <v>0.11458333333333333</v>
      </c>
      <c r="J18" s="10"/>
      <c r="K18" s="56"/>
      <c r="L18" s="92" t="s">
        <v>66</v>
      </c>
      <c r="M18" t="s">
        <v>61</v>
      </c>
    </row>
    <row r="19" spans="1:19">
      <c r="B19" t="s">
        <v>91</v>
      </c>
      <c r="C19">
        <v>60</v>
      </c>
      <c r="D19">
        <v>0</v>
      </c>
      <c r="F19"/>
      <c r="H19" s="12" t="s">
        <v>26</v>
      </c>
      <c r="I19" s="4">
        <f>SUMPRODUCT(I11:I13,J11:J13)/1440</f>
        <v>0.27083333333333331</v>
      </c>
      <c r="J19" s="10"/>
      <c r="K19" s="56"/>
      <c r="M19" t="s">
        <v>81</v>
      </c>
    </row>
    <row r="20" spans="1:19">
      <c r="B20" t="s">
        <v>52</v>
      </c>
      <c r="C20">
        <v>20</v>
      </c>
      <c r="D20">
        <v>2</v>
      </c>
      <c r="F20"/>
      <c r="H20" s="16" t="s">
        <v>27</v>
      </c>
      <c r="I20" s="17">
        <f>SUMPRODUCT(I14:I16,J14:J16)/1440</f>
        <v>3.3143939393939392E-2</v>
      </c>
      <c r="J20" s="18" t="s">
        <v>28</v>
      </c>
      <c r="K20" s="58"/>
      <c r="L20" s="92" t="s">
        <v>67</v>
      </c>
      <c r="M20" t="s">
        <v>59</v>
      </c>
    </row>
    <row r="21" spans="1:19">
      <c r="B21" t="s">
        <v>53</v>
      </c>
      <c r="C21">
        <v>60</v>
      </c>
      <c r="D21">
        <v>2</v>
      </c>
      <c r="E21" s="1"/>
      <c r="F21"/>
      <c r="I21" s="4"/>
      <c r="L21" s="91"/>
      <c r="M21" t="s">
        <v>71</v>
      </c>
    </row>
    <row r="22" spans="1:19">
      <c r="L22" s="91"/>
      <c r="M22" t="s">
        <v>60</v>
      </c>
    </row>
    <row r="23" spans="1:19">
      <c r="A23" s="91" t="s">
        <v>84</v>
      </c>
      <c r="B23" s="104" t="s">
        <v>79</v>
      </c>
      <c r="N23" t="s">
        <v>72</v>
      </c>
    </row>
    <row r="24" spans="1:19">
      <c r="B24" s="104" t="s">
        <v>78</v>
      </c>
      <c r="M24" t="s">
        <v>70</v>
      </c>
    </row>
    <row r="25" spans="1:19">
      <c r="M25" t="s">
        <v>76</v>
      </c>
      <c r="S25" s="4"/>
    </row>
    <row r="26" spans="1:19">
      <c r="H26" t="s">
        <v>68</v>
      </c>
    </row>
    <row r="27" spans="1:19">
      <c r="H27" t="s">
        <v>69</v>
      </c>
      <c r="M27" t="s">
        <v>77</v>
      </c>
    </row>
    <row r="28" spans="1:19" ht="13.5" thickBot="1"/>
    <row r="29" spans="1:19">
      <c r="H29" s="51" t="s">
        <v>62</v>
      </c>
      <c r="I29" s="52"/>
      <c r="J29" s="38">
        <v>1</v>
      </c>
      <c r="K29" s="39">
        <v>1</v>
      </c>
      <c r="L29" s="93" t="s">
        <v>64</v>
      </c>
      <c r="M29" s="94"/>
      <c r="N29" s="38">
        <v>1</v>
      </c>
      <c r="O29" s="48">
        <v>1</v>
      </c>
    </row>
    <row r="30" spans="1:19">
      <c r="H30" s="40" t="s">
        <v>63</v>
      </c>
      <c r="I30" s="41"/>
      <c r="J30" s="42">
        <f>SUM(J31:J51)</f>
        <v>68.796666666666667</v>
      </c>
      <c r="K30" s="43">
        <f>availableHours*K29</f>
        <v>68.75</v>
      </c>
      <c r="L30" s="40" t="s">
        <v>63</v>
      </c>
      <c r="M30" s="41"/>
      <c r="N30" s="42">
        <f>SUM(N31:N52)</f>
        <v>1.563560606060606</v>
      </c>
      <c r="O30" s="49">
        <f>availableHours*O29/availableWeeks</f>
        <v>1.5625</v>
      </c>
    </row>
    <row r="31" spans="1:19">
      <c r="H31" s="44" t="s">
        <v>29</v>
      </c>
      <c r="I31">
        <f>M31</f>
        <v>1</v>
      </c>
      <c r="J31" s="4">
        <f>I31*weeklyMeetingsPTSD*availableWeeks</f>
        <v>5.0416666666666661</v>
      </c>
      <c r="K31" s="65">
        <f>IF(J30-K30&lt;0,0,J30-K30)</f>
        <v>4.6666666666666856E-2</v>
      </c>
      <c r="L31" s="44" t="s">
        <v>29</v>
      </c>
      <c r="M31">
        <v>1</v>
      </c>
      <c r="N31" s="4">
        <f>M31*weeklyMeetingsPTSD</f>
        <v>0.11458333333333333</v>
      </c>
      <c r="O31" s="65">
        <f>IF(N30-O30&lt;0,0,N30-O30)</f>
        <v>1.0606060606059842E-3</v>
      </c>
    </row>
    <row r="32" spans="1:19">
      <c r="H32" s="46" t="s">
        <v>30</v>
      </c>
      <c r="I32">
        <f>M32</f>
        <v>0.92</v>
      </c>
      <c r="J32" s="4">
        <f>I32*weeklyOngoingPTSD*availableWeeks</f>
        <v>10.963333333333333</v>
      </c>
      <c r="K32" s="45"/>
      <c r="L32" s="46" t="s">
        <v>30</v>
      </c>
      <c r="M32">
        <v>0.92</v>
      </c>
      <c r="N32" s="4">
        <f>M32*weeklyOngoingPTSD</f>
        <v>0.24916666666666665</v>
      </c>
      <c r="O32" s="50"/>
    </row>
    <row r="33" spans="8:15">
      <c r="H33" s="105" t="s">
        <v>31</v>
      </c>
      <c r="I33" s="19">
        <f>M33</f>
        <v>1</v>
      </c>
      <c r="J33" s="17">
        <f>I33*weeklyDevelopmentPTSD*availableWeeks</f>
        <v>1.4583333333333333</v>
      </c>
      <c r="K33" s="106"/>
      <c r="L33" s="105" t="s">
        <v>31</v>
      </c>
      <c r="M33" s="19">
        <v>1</v>
      </c>
      <c r="N33" s="17">
        <f>M33*weeklyDevelopmentPTSD</f>
        <v>3.3143939393939392E-2</v>
      </c>
      <c r="O33" s="107"/>
    </row>
    <row r="34" spans="8:15">
      <c r="H34" s="98" t="s">
        <v>73</v>
      </c>
      <c r="I34" s="99">
        <f>M34*availableWeeks</f>
        <v>0</v>
      </c>
      <c r="J34" s="100">
        <f>I34*otherWork_H</f>
        <v>0</v>
      </c>
      <c r="K34" s="101"/>
      <c r="L34" s="98" t="s">
        <v>74</v>
      </c>
      <c r="M34" s="99">
        <v>0</v>
      </c>
      <c r="N34" s="100">
        <f>M34*otherWork_H</f>
        <v>0</v>
      </c>
      <c r="O34" s="101"/>
    </row>
    <row r="35" spans="8:15">
      <c r="H35" s="60" t="s">
        <v>80</v>
      </c>
      <c r="I35">
        <f>M35*availableWeeks</f>
        <v>176</v>
      </c>
      <c r="J35" s="4">
        <f>I35*clkStopPTSD_E</f>
        <v>51.333333333333336</v>
      </c>
      <c r="K35" s="45">
        <f>I35*$J$29</f>
        <v>176</v>
      </c>
      <c r="L35" s="60" t="s">
        <v>80</v>
      </c>
      <c r="M35">
        <v>4</v>
      </c>
      <c r="N35" s="4">
        <f>M35*clkStopPTSD_E</f>
        <v>1.1666666666666667</v>
      </c>
      <c r="O35" s="45">
        <f>M35*$N$29</f>
        <v>4</v>
      </c>
    </row>
    <row r="36" spans="8:15">
      <c r="H36" s="61"/>
      <c r="J36" s="4"/>
      <c r="K36" s="45"/>
      <c r="L36" s="61"/>
      <c r="N36" s="4"/>
      <c r="O36" s="45"/>
    </row>
    <row r="37" spans="8:15">
      <c r="H37" s="60"/>
      <c r="J37" s="4"/>
      <c r="K37" s="45"/>
      <c r="L37" s="60"/>
      <c r="N37" s="4"/>
      <c r="O37" s="45"/>
    </row>
    <row r="38" spans="8:15">
      <c r="H38" s="60"/>
      <c r="J38" s="4"/>
      <c r="K38" s="45"/>
      <c r="L38" s="60"/>
      <c r="N38" s="4"/>
      <c r="O38" s="45"/>
    </row>
    <row r="39" spans="8:15">
      <c r="H39" s="62"/>
      <c r="J39" s="4"/>
      <c r="K39" s="45"/>
      <c r="L39" s="62"/>
      <c r="N39" s="4"/>
      <c r="O39" s="45"/>
    </row>
    <row r="40" spans="8:15">
      <c r="H40" s="62"/>
      <c r="J40" s="4"/>
      <c r="K40" s="45"/>
      <c r="L40" s="62"/>
      <c r="N40" s="4"/>
      <c r="O40" s="45"/>
    </row>
    <row r="41" spans="8:15">
      <c r="H41" s="63"/>
      <c r="J41" s="4"/>
      <c r="K41" s="45"/>
      <c r="L41" s="63"/>
      <c r="N41" s="4"/>
      <c r="O41" s="45"/>
    </row>
    <row r="42" spans="8:15">
      <c r="H42" s="60"/>
      <c r="J42" s="4"/>
      <c r="K42" s="45"/>
      <c r="L42" s="60"/>
      <c r="N42" s="4"/>
      <c r="O42" s="45"/>
    </row>
    <row r="43" spans="8:15">
      <c r="H43" s="47"/>
      <c r="J43" s="4"/>
      <c r="K43" s="45"/>
      <c r="L43" s="47"/>
      <c r="N43" s="4"/>
      <c r="O43" s="45"/>
    </row>
    <row r="44" spans="8:15">
      <c r="H44" s="47"/>
      <c r="J44" s="4"/>
      <c r="K44" s="45"/>
      <c r="L44" s="47"/>
      <c r="N44" s="4"/>
      <c r="O44" s="45"/>
    </row>
    <row r="45" spans="8:15">
      <c r="H45" s="47"/>
      <c r="J45" s="4"/>
      <c r="K45" s="45"/>
      <c r="L45" s="47"/>
      <c r="N45" s="4"/>
      <c r="O45" s="45"/>
    </row>
    <row r="46" spans="8:15">
      <c r="H46" s="47"/>
      <c r="J46" s="4"/>
      <c r="K46" s="45"/>
      <c r="L46" s="47"/>
      <c r="N46" s="4"/>
      <c r="O46" s="45"/>
    </row>
    <row r="47" spans="8:15">
      <c r="H47" s="47"/>
      <c r="J47" s="4"/>
      <c r="K47" s="45"/>
      <c r="L47" s="47"/>
      <c r="N47" s="4"/>
      <c r="O47" s="45"/>
    </row>
    <row r="48" spans="8:15">
      <c r="H48" s="47"/>
      <c r="J48" s="4"/>
      <c r="K48" s="45"/>
      <c r="L48" s="21"/>
      <c r="N48" s="4"/>
      <c r="O48" s="45"/>
    </row>
    <row r="49" spans="8:20">
      <c r="H49" s="47"/>
      <c r="J49" s="4"/>
      <c r="K49" s="45"/>
      <c r="L49" s="47"/>
      <c r="N49" s="4"/>
      <c r="O49" s="45"/>
      <c r="T49" s="1"/>
    </row>
    <row r="50" spans="8:20">
      <c r="H50" s="47"/>
      <c r="J50" s="4"/>
      <c r="K50" s="45"/>
      <c r="L50" s="47"/>
      <c r="N50" s="4"/>
      <c r="O50" s="45"/>
      <c r="T50" s="1"/>
    </row>
    <row r="51" spans="8:20">
      <c r="H51" s="47"/>
      <c r="K51" s="45"/>
      <c r="L51" s="47"/>
      <c r="N51" s="4"/>
      <c r="O51" s="45"/>
      <c r="T51" s="1"/>
    </row>
    <row r="52" spans="8:20" ht="13.5" thickBot="1">
      <c r="H52" s="53"/>
      <c r="I52" s="24"/>
      <c r="J52" s="37"/>
      <c r="K52" s="64"/>
      <c r="L52" s="53"/>
      <c r="M52" s="24"/>
      <c r="N52" s="37"/>
      <c r="O52" s="64"/>
    </row>
    <row r="84" spans="8:11">
      <c r="H84" s="4"/>
      <c r="K84" s="4"/>
    </row>
  </sheetData>
  <conditionalFormatting sqref="J30 N30">
    <cfRule type="cellIs" dxfId="8" priority="1" stopIfTrue="1" operator="between">
      <formula>availableHours*0.998*K29</formula>
      <formula>availableHours*1.002*K29</formula>
    </cfRule>
    <cfRule type="cellIs" dxfId="7" priority="2" operator="greaterThan">
      <formula>availableHours*1.002*K29</formula>
    </cfRule>
    <cfRule type="cellIs" dxfId="6" priority="3" operator="lessThan">
      <formula>availableHours*0.998*K29</formula>
    </cfRule>
  </conditionalFormatting>
  <pageMargins left="0.78749999999999998" right="0.78749999999999998" top="1.05277777777778" bottom="1.05277777777778" header="0.78749999999999998" footer="0.78749999999999998"/>
  <pageSetup paperSize="8" scale="70" orientation="landscape" useFirstPageNumber="1" horizontalDpi="300" verticalDpi="300" r:id="rId1"/>
  <headerFooter>
    <oddHeader>&amp;C&amp;"Nimbus Roman,Regular"&amp;12&amp;A</oddHeader>
    <oddFooter>&amp;C&amp;"Nimbus Roman,Regular"&amp;12Page &amp;P</oddFooter>
  </headerFooter>
  <ignoredErrors>
    <ignoredError sqref="I18:I20 F10" formulaRange="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0D50-7B63-478B-A84F-F00B345D52C5}">
  <dimension ref="A1:T84"/>
  <sheetViews>
    <sheetView zoomScale="120" zoomScaleNormal="120" workbookViewId="0">
      <selection activeCell="M35" sqref="M35"/>
    </sheetView>
  </sheetViews>
  <sheetFormatPr defaultColWidth="11.5703125" defaultRowHeight="12.75"/>
  <cols>
    <col min="1" max="1" width="3.5703125" customWidth="1"/>
    <col min="2" max="2" width="25.5703125" customWidth="1"/>
    <col min="3" max="4" width="7.85546875" customWidth="1"/>
    <col min="5" max="5" width="9.5703125" customWidth="1"/>
    <col min="6" max="6" width="13.85546875" style="1" customWidth="1"/>
    <col min="7" max="7" width="4.42578125" customWidth="1"/>
    <col min="8" max="8" width="19.85546875" customWidth="1"/>
    <col min="9" max="9" width="8.5703125" customWidth="1"/>
    <col min="10" max="10" width="11.42578125" customWidth="1"/>
    <col min="11" max="11" width="11" bestFit="1" customWidth="1"/>
    <col min="12" max="12" width="17.7109375" customWidth="1"/>
    <col min="13" max="13" width="9.5703125" customWidth="1"/>
    <col min="14" max="14" width="11.5703125" customWidth="1"/>
    <col min="15" max="15" width="10.5703125" customWidth="1"/>
    <col min="16" max="16" width="13.5703125" customWidth="1"/>
    <col min="17" max="17" width="6" customWidth="1"/>
    <col min="18" max="18" width="14.140625" customWidth="1"/>
    <col min="19" max="19" width="11.140625" customWidth="1"/>
    <col min="20" max="20" width="13.85546875" customWidth="1"/>
    <col min="21" max="21" width="13.140625" customWidth="1"/>
    <col min="23" max="23" width="11.140625" customWidth="1"/>
    <col min="24" max="24" width="6.85546875" customWidth="1"/>
    <col min="25" max="25" width="13.140625" customWidth="1"/>
  </cols>
  <sheetData>
    <row r="1" spans="1:17">
      <c r="A1" s="32"/>
      <c r="B1" s="32"/>
      <c r="C1" s="34" t="s">
        <v>0</v>
      </c>
      <c r="D1" s="32"/>
      <c r="E1" s="32"/>
      <c r="F1" s="33"/>
      <c r="G1" s="32"/>
      <c r="H1" s="90" t="s">
        <v>39</v>
      </c>
      <c r="I1" s="27"/>
      <c r="J1" s="27"/>
      <c r="K1" s="27"/>
      <c r="L1" s="73" t="s">
        <v>1</v>
      </c>
      <c r="M1" s="74"/>
      <c r="N1" s="74"/>
      <c r="O1" s="74"/>
      <c r="P1" s="74"/>
      <c r="Q1" s="75"/>
    </row>
    <row r="2" spans="1:17">
      <c r="A2" s="5"/>
      <c r="B2" t="s">
        <v>85</v>
      </c>
      <c r="C2">
        <v>60</v>
      </c>
      <c r="D2">
        <v>1</v>
      </c>
      <c r="E2" s="89">
        <f>otherWork_H</f>
        <v>4.1666666666666664E-2</v>
      </c>
      <c r="H2" s="102" t="s">
        <v>75</v>
      </c>
      <c r="L2" s="76" t="s">
        <v>2</v>
      </c>
      <c r="M2" s="77"/>
      <c r="N2" s="77"/>
      <c r="O2" s="77"/>
      <c r="P2" s="77"/>
      <c r="Q2" s="78"/>
    </row>
    <row r="3" spans="1:17">
      <c r="H3" s="6" t="s">
        <v>3</v>
      </c>
      <c r="I3" s="7"/>
      <c r="J3" s="8"/>
      <c r="K3" s="70"/>
      <c r="L3" s="79" t="s">
        <v>57</v>
      </c>
      <c r="M3" s="20"/>
      <c r="N3" s="20"/>
      <c r="O3" s="20"/>
      <c r="P3" s="20"/>
      <c r="Q3" s="80"/>
    </row>
    <row r="4" spans="1:17">
      <c r="A4" s="28"/>
      <c r="B4" s="28" t="s">
        <v>110</v>
      </c>
      <c r="C4" s="28" t="s">
        <v>4</v>
      </c>
      <c r="D4" s="28" t="s">
        <v>5</v>
      </c>
      <c r="E4" s="29" t="s">
        <v>6</v>
      </c>
      <c r="F4" s="28"/>
      <c r="H4" s="9" t="s">
        <v>7</v>
      </c>
      <c r="I4" t="s">
        <v>4</v>
      </c>
      <c r="J4" s="59" t="s">
        <v>5</v>
      </c>
      <c r="K4" s="14"/>
      <c r="L4" s="21" t="s">
        <v>8</v>
      </c>
      <c r="M4" s="67" t="s">
        <v>9</v>
      </c>
      <c r="N4" s="67" t="s">
        <v>10</v>
      </c>
      <c r="O4" s="81"/>
      <c r="P4" s="67"/>
      <c r="Q4" s="22"/>
    </row>
    <row r="5" spans="1:17">
      <c r="A5" s="35"/>
      <c r="B5" t="s">
        <v>42</v>
      </c>
      <c r="C5">
        <v>35</v>
      </c>
      <c r="D5">
        <v>1</v>
      </c>
      <c r="E5" s="89">
        <f>SUMPRODUCT(C5:C22,D5:D22)/1440</f>
        <v>0.3298611111111111</v>
      </c>
      <c r="F5" s="3"/>
      <c r="H5" s="11" t="s">
        <v>92</v>
      </c>
      <c r="I5">
        <v>60</v>
      </c>
      <c r="J5" s="59">
        <v>1</v>
      </c>
      <c r="K5" s="71">
        <f t="shared" ref="K5:K10" si="0">SUMPRODUCT(I5,J5)/SUMPRODUCT($I$5:$I$10,$J$5:$J$10)</f>
        <v>0.2608695652173913</v>
      </c>
      <c r="L5" s="26"/>
      <c r="M5" s="67"/>
      <c r="N5" s="67"/>
      <c r="O5" s="67"/>
      <c r="P5" s="67"/>
      <c r="Q5" s="22"/>
    </row>
    <row r="6" spans="1:17">
      <c r="B6" t="s">
        <v>41</v>
      </c>
      <c r="C6">
        <v>5</v>
      </c>
      <c r="D6">
        <v>1</v>
      </c>
      <c r="E6" s="1"/>
      <c r="F6"/>
      <c r="H6" s="11" t="s">
        <v>12</v>
      </c>
      <c r="I6">
        <v>50</v>
      </c>
      <c r="J6" s="59">
        <v>1</v>
      </c>
      <c r="K6" s="71">
        <f t="shared" si="0"/>
        <v>0.21739130434782608</v>
      </c>
      <c r="L6" s="82">
        <f>availableHours</f>
        <v>68.75</v>
      </c>
      <c r="M6" s="103">
        <f>availableHoursWeekly</f>
        <v>37.5</v>
      </c>
      <c r="N6" s="68">
        <f>availableWeeks</f>
        <v>44</v>
      </c>
      <c r="O6" s="7" t="s">
        <v>32</v>
      </c>
      <c r="P6" s="7"/>
      <c r="Q6" s="69"/>
    </row>
    <row r="7" spans="1:17">
      <c r="E7" s="95">
        <f>(SUMPRODUCT(C8,D8))/SUMPRODUCT(C5:C21,D5:D21)</f>
        <v>0.28421052631578947</v>
      </c>
      <c r="F7" s="96" t="s">
        <v>54</v>
      </c>
      <c r="H7" s="11" t="s">
        <v>13</v>
      </c>
      <c r="I7">
        <v>90</v>
      </c>
      <c r="J7" s="59">
        <v>1</v>
      </c>
      <c r="K7" s="71">
        <f t="shared" si="0"/>
        <v>0.39130434782608697</v>
      </c>
      <c r="L7" s="83" t="s">
        <v>16</v>
      </c>
      <c r="M7" s="19"/>
      <c r="N7" s="19"/>
      <c r="O7" s="19" t="s">
        <v>17</v>
      </c>
      <c r="P7" s="19"/>
      <c r="Q7" s="66"/>
    </row>
    <row r="8" spans="1:17">
      <c r="B8" t="s">
        <v>43</v>
      </c>
      <c r="C8">
        <v>90</v>
      </c>
      <c r="D8">
        <v>1.5</v>
      </c>
      <c r="E8" s="1"/>
      <c r="F8" s="97">
        <f>(SUMPRODUCT(C8,D8)/1440)</f>
        <v>9.375E-2</v>
      </c>
      <c r="H8" s="11" t="s">
        <v>93</v>
      </c>
      <c r="I8">
        <v>90</v>
      </c>
      <c r="J8" s="59">
        <v>0</v>
      </c>
      <c r="K8" s="71">
        <f t="shared" si="0"/>
        <v>0</v>
      </c>
      <c r="L8" s="21" t="s">
        <v>33</v>
      </c>
      <c r="M8" s="67"/>
      <c r="N8" s="67"/>
      <c r="O8" s="67"/>
      <c r="P8" s="67"/>
      <c r="Q8" s="22"/>
    </row>
    <row r="9" spans="1:17">
      <c r="B9" t="s">
        <v>44</v>
      </c>
      <c r="C9">
        <v>5</v>
      </c>
      <c r="D9">
        <v>1</v>
      </c>
      <c r="E9" s="87">
        <f>(SUMPRODUCT(C6,D6)+SUMPRODUCT(C9:C19,D9:D19))/SUMPRODUCT(C5:C21,D5:D21)</f>
        <v>0.2</v>
      </c>
      <c r="F9" s="36" t="s">
        <v>55</v>
      </c>
      <c r="H9" s="11"/>
      <c r="I9">
        <v>0</v>
      </c>
      <c r="J9" s="59">
        <v>0</v>
      </c>
      <c r="K9" s="71">
        <f t="shared" si="0"/>
        <v>0</v>
      </c>
      <c r="L9" s="21" t="s">
        <v>20</v>
      </c>
      <c r="M9" s="67"/>
      <c r="N9" s="67"/>
      <c r="O9" s="67"/>
      <c r="P9" s="67"/>
      <c r="Q9" s="22"/>
    </row>
    <row r="10" spans="1:17">
      <c r="B10" t="s">
        <v>45</v>
      </c>
      <c r="C10">
        <v>5</v>
      </c>
      <c r="D10">
        <v>1</v>
      </c>
      <c r="E10" s="1"/>
      <c r="F10" s="2">
        <f>(SUMPRODUCT(C6,D6)+SUMPRODUCT(C9:C19,D9:D19))/1440</f>
        <v>6.5972222222222224E-2</v>
      </c>
      <c r="H10" s="11" t="s">
        <v>18</v>
      </c>
      <c r="I10">
        <v>60</v>
      </c>
      <c r="J10" s="59">
        <v>0.5</v>
      </c>
      <c r="K10" s="71">
        <f t="shared" si="0"/>
        <v>0.13043478260869565</v>
      </c>
      <c r="L10" s="21" t="s">
        <v>34</v>
      </c>
      <c r="M10" s="67"/>
      <c r="N10" s="67"/>
      <c r="O10" s="67"/>
      <c r="P10" s="84">
        <v>2E-3</v>
      </c>
      <c r="Q10" s="22"/>
    </row>
    <row r="11" spans="1:17">
      <c r="B11" t="s">
        <v>46</v>
      </c>
      <c r="C11">
        <v>10</v>
      </c>
      <c r="D11">
        <v>1</v>
      </c>
      <c r="E11" s="87">
        <f>(SUMPRODUCT(C5,D5)+SUMPRODUCT(C8,D8)+SUMPRODUCT(C20:C21,D20:D21))/SUMPRODUCT(C5:C21,D5:D21)</f>
        <v>0.8</v>
      </c>
      <c r="F11" s="36" t="s">
        <v>86</v>
      </c>
      <c r="H11" s="54" t="s">
        <v>19</v>
      </c>
      <c r="I11">
        <v>60</v>
      </c>
      <c r="J11" s="59">
        <v>2</v>
      </c>
      <c r="K11" s="72">
        <f>SUMPRODUCT(I11,J11)/SUMPRODUCT($I$11:$I$13,$J$11:$J$13)</f>
        <v>0.30769230769230771</v>
      </c>
      <c r="L11" s="21" t="s">
        <v>35</v>
      </c>
      <c r="M11" s="67"/>
      <c r="N11" s="67"/>
      <c r="O11" s="67"/>
      <c r="P11" s="85">
        <f>availableHours*0.002</f>
        <v>0.13750000000000001</v>
      </c>
      <c r="Q11" s="22"/>
    </row>
    <row r="12" spans="1:17" ht="13.5" thickBot="1">
      <c r="B12" t="s">
        <v>47</v>
      </c>
      <c r="C12">
        <v>5</v>
      </c>
      <c r="D12">
        <v>1</v>
      </c>
      <c r="E12" s="1"/>
      <c r="F12" s="2">
        <f>(SUMPRODUCT(C5,D5)+SUMPRODUCT(C8,D8)+SUMPRODUCT(C20:C21,D20:D21))/1440</f>
        <v>0.2638888888888889</v>
      </c>
      <c r="H12" s="54" t="s">
        <v>21</v>
      </c>
      <c r="I12">
        <v>30</v>
      </c>
      <c r="J12" s="59">
        <v>5</v>
      </c>
      <c r="K12" s="72">
        <f>SUMPRODUCT(I12,J12)/SUMPRODUCT($I$11:$I$13,$J$11:$J$13)</f>
        <v>0.38461538461538464</v>
      </c>
      <c r="L12" s="23">
        <f>60*7.5</f>
        <v>450</v>
      </c>
      <c r="M12" s="24" t="s">
        <v>37</v>
      </c>
      <c r="N12" s="24"/>
      <c r="O12" s="37"/>
      <c r="P12" s="86" t="s">
        <v>38</v>
      </c>
      <c r="Q12" s="25"/>
    </row>
    <row r="13" spans="1:17">
      <c r="B13" t="s">
        <v>48</v>
      </c>
      <c r="C13">
        <v>15</v>
      </c>
      <c r="D13">
        <v>1</v>
      </c>
      <c r="E13" s="1"/>
      <c r="F13"/>
      <c r="H13" s="31" t="s">
        <v>36</v>
      </c>
      <c r="I13">
        <v>60</v>
      </c>
      <c r="J13" s="59">
        <v>2</v>
      </c>
      <c r="K13" s="88">
        <f>SUMPRODUCT(I13,J13)/SUMPRODUCT($I$11:$I$13,$J$11:$J$13)</f>
        <v>0.30769230769230771</v>
      </c>
    </row>
    <row r="14" spans="1:17">
      <c r="B14" t="s">
        <v>50</v>
      </c>
      <c r="C14">
        <v>5</v>
      </c>
      <c r="D14">
        <v>1</v>
      </c>
      <c r="F14"/>
      <c r="H14" s="13" t="s">
        <v>22</v>
      </c>
      <c r="I14">
        <v>60</v>
      </c>
      <c r="J14" s="59">
        <v>1</v>
      </c>
      <c r="K14" s="57">
        <f>SUMPRODUCT(I14,J14)/SUMPRODUCT($I$14:$I$16,$J$14:$J$16)</f>
        <v>0.46073298429319376</v>
      </c>
    </row>
    <row r="15" spans="1:17">
      <c r="B15" t="s">
        <v>51</v>
      </c>
      <c r="C15">
        <v>20</v>
      </c>
      <c r="D15">
        <v>1</v>
      </c>
      <c r="E15" s="1"/>
      <c r="F15"/>
      <c r="H15" s="13" t="s">
        <v>23</v>
      </c>
      <c r="I15">
        <v>60</v>
      </c>
      <c r="J15" s="59">
        <v>1</v>
      </c>
      <c r="K15" s="57">
        <f>SUMPRODUCT(I15,J15)/SUMPRODUCT($I$14:$I$15,$J$14:$J$15)</f>
        <v>0.5</v>
      </c>
      <c r="L15" s="91" t="s">
        <v>65</v>
      </c>
      <c r="M15" t="s">
        <v>58</v>
      </c>
    </row>
    <row r="16" spans="1:17">
      <c r="B16" t="s">
        <v>49</v>
      </c>
      <c r="C16">
        <v>5</v>
      </c>
      <c r="D16">
        <v>1</v>
      </c>
      <c r="E16" s="1"/>
      <c r="F16"/>
      <c r="H16" s="55" t="s">
        <v>24</v>
      </c>
      <c r="I16" s="30">
        <f>60*7.5/availableWeeks</f>
        <v>10.227272727272727</v>
      </c>
      <c r="J16" s="59">
        <v>1</v>
      </c>
      <c r="K16" s="57">
        <f>SUMPRODUCT(I16,J16)/SUMPRODUCT($I$14:$I$15,$J$14:$J$15)</f>
        <v>8.5227272727272721E-2</v>
      </c>
      <c r="L16" s="91"/>
      <c r="M16" t="s">
        <v>82</v>
      </c>
    </row>
    <row r="17" spans="1:19">
      <c r="B17" t="s">
        <v>50</v>
      </c>
      <c r="C17">
        <v>5</v>
      </c>
      <c r="D17">
        <v>1</v>
      </c>
      <c r="F17"/>
      <c r="H17" s="14" t="s">
        <v>40</v>
      </c>
      <c r="J17" s="10"/>
      <c r="K17" s="56"/>
      <c r="M17" t="s">
        <v>83</v>
      </c>
    </row>
    <row r="18" spans="1:19">
      <c r="B18" t="s">
        <v>102</v>
      </c>
      <c r="C18">
        <v>15</v>
      </c>
      <c r="D18">
        <v>1</v>
      </c>
      <c r="H18" s="11" t="s">
        <v>25</v>
      </c>
      <c r="I18" s="15">
        <f>SUMPRODUCT(I5:I10,J5:J10)/1440</f>
        <v>0.15972222222222221</v>
      </c>
      <c r="J18" s="10"/>
      <c r="K18" s="56"/>
      <c r="L18" s="92" t="s">
        <v>66</v>
      </c>
      <c r="M18" t="s">
        <v>61</v>
      </c>
    </row>
    <row r="19" spans="1:19">
      <c r="B19" t="s">
        <v>91</v>
      </c>
      <c r="C19">
        <v>60</v>
      </c>
      <c r="D19">
        <v>0</v>
      </c>
      <c r="F19"/>
      <c r="H19" s="12" t="s">
        <v>26</v>
      </c>
      <c r="I19" s="4">
        <f>SUMPRODUCT(I11:I13,J11:J13)/1440</f>
        <v>0.27083333333333331</v>
      </c>
      <c r="J19" s="10"/>
      <c r="K19" s="56"/>
      <c r="M19" t="s">
        <v>81</v>
      </c>
    </row>
    <row r="20" spans="1:19">
      <c r="B20" t="s">
        <v>52</v>
      </c>
      <c r="C20">
        <v>60</v>
      </c>
      <c r="D20">
        <v>1.5</v>
      </c>
      <c r="F20"/>
      <c r="H20" s="16" t="s">
        <v>27</v>
      </c>
      <c r="I20" s="17">
        <f>SUMPRODUCT(I14:I16,J14:J16)/1440</f>
        <v>9.043560606060605E-2</v>
      </c>
      <c r="J20" s="18" t="s">
        <v>28</v>
      </c>
      <c r="K20" s="58"/>
      <c r="L20" s="92" t="s">
        <v>67</v>
      </c>
      <c r="M20" t="s">
        <v>59</v>
      </c>
    </row>
    <row r="21" spans="1:19">
      <c r="B21" t="s">
        <v>53</v>
      </c>
      <c r="C21">
        <v>60</v>
      </c>
      <c r="D21">
        <v>2</v>
      </c>
      <c r="E21" s="1"/>
      <c r="F21"/>
      <c r="I21" s="4"/>
      <c r="L21" s="91"/>
      <c r="M21" t="s">
        <v>71</v>
      </c>
    </row>
    <row r="22" spans="1:19">
      <c r="L22" s="91"/>
      <c r="M22" t="s">
        <v>60</v>
      </c>
    </row>
    <row r="23" spans="1:19">
      <c r="N23" t="s">
        <v>72</v>
      </c>
    </row>
    <row r="24" spans="1:19">
      <c r="A24" s="91" t="s">
        <v>84</v>
      </c>
      <c r="B24" s="104" t="s">
        <v>79</v>
      </c>
      <c r="M24" t="s">
        <v>70</v>
      </c>
    </row>
    <row r="25" spans="1:19">
      <c r="B25" s="104" t="s">
        <v>78</v>
      </c>
      <c r="M25" t="s">
        <v>76</v>
      </c>
      <c r="S25" s="4"/>
    </row>
    <row r="26" spans="1:19">
      <c r="H26" t="s">
        <v>68</v>
      </c>
    </row>
    <row r="27" spans="1:19">
      <c r="H27" t="s">
        <v>69</v>
      </c>
      <c r="M27" t="s">
        <v>77</v>
      </c>
    </row>
    <row r="28" spans="1:19" ht="13.5" thickBot="1"/>
    <row r="29" spans="1:19">
      <c r="H29" s="51" t="s">
        <v>62</v>
      </c>
      <c r="I29" s="52"/>
      <c r="J29" s="38">
        <v>1</v>
      </c>
      <c r="K29" s="39">
        <v>1</v>
      </c>
      <c r="L29" s="93" t="s">
        <v>64</v>
      </c>
      <c r="M29" s="94"/>
      <c r="N29" s="38">
        <v>1</v>
      </c>
      <c r="O29" s="48">
        <v>1</v>
      </c>
    </row>
    <row r="30" spans="1:19">
      <c r="H30" s="40" t="s">
        <v>63</v>
      </c>
      <c r="I30" s="41"/>
      <c r="J30" s="42">
        <f>SUM(J31:J51)</f>
        <v>68.665277777777774</v>
      </c>
      <c r="K30" s="43">
        <f>availableHours*K29</f>
        <v>68.75</v>
      </c>
      <c r="L30" s="40" t="s">
        <v>63</v>
      </c>
      <c r="M30" s="41"/>
      <c r="N30" s="42">
        <f>SUM(N31:N52)</f>
        <v>1.5605744949494949</v>
      </c>
      <c r="O30" s="49">
        <f>availableHours*O29/availableWeeks</f>
        <v>1.5625</v>
      </c>
    </row>
    <row r="31" spans="1:19">
      <c r="H31" s="44" t="s">
        <v>29</v>
      </c>
      <c r="I31">
        <f>M31</f>
        <v>1</v>
      </c>
      <c r="J31" s="4">
        <f>I31*weeklyMeetingsMAP*availableWeeks</f>
        <v>7.0277777777777768</v>
      </c>
      <c r="K31" s="65">
        <f>IF(J30-K30&lt;0,0,J30-K30)</f>
        <v>0</v>
      </c>
      <c r="L31" s="44" t="s">
        <v>29</v>
      </c>
      <c r="M31">
        <v>1</v>
      </c>
      <c r="N31" s="4">
        <f>M31*weeklyMeetingsMAP</f>
        <v>0.15972222222222221</v>
      </c>
      <c r="O31" s="65">
        <f>IF(N30-O30&lt;0,0,N30-O30)</f>
        <v>0</v>
      </c>
    </row>
    <row r="32" spans="1:19">
      <c r="H32" s="46" t="s">
        <v>30</v>
      </c>
      <c r="I32">
        <f>M32</f>
        <v>1</v>
      </c>
      <c r="J32" s="4">
        <f>I32*weeklyOngoingMAP*availableWeeks</f>
        <v>11.916666666666666</v>
      </c>
      <c r="K32" s="45"/>
      <c r="L32" s="46" t="s">
        <v>30</v>
      </c>
      <c r="M32">
        <v>1</v>
      </c>
      <c r="N32" s="4">
        <f>M32*weeklyOngoingMAP</f>
        <v>0.27083333333333331</v>
      </c>
      <c r="O32" s="50"/>
    </row>
    <row r="33" spans="8:15">
      <c r="H33" s="105" t="s">
        <v>31</v>
      </c>
      <c r="I33" s="19">
        <f>M33</f>
        <v>1</v>
      </c>
      <c r="J33" s="17">
        <f>I33*weeklyDevelopmentMAP*availableWeeks</f>
        <v>3.9791666666666661</v>
      </c>
      <c r="K33" s="106"/>
      <c r="L33" s="105" t="s">
        <v>31</v>
      </c>
      <c r="M33" s="19">
        <v>1</v>
      </c>
      <c r="N33" s="17">
        <f>M33*weeklyDevelopmentMAP</f>
        <v>9.043560606060605E-2</v>
      </c>
      <c r="O33" s="107"/>
    </row>
    <row r="34" spans="8:15">
      <c r="H34" s="98" t="s">
        <v>73</v>
      </c>
      <c r="I34" s="99">
        <f>M34*availableWeeks</f>
        <v>52.8</v>
      </c>
      <c r="J34" s="100">
        <f>I34*otherWork_H</f>
        <v>2.1999999999999997</v>
      </c>
      <c r="K34" s="101"/>
      <c r="L34" s="98" t="s">
        <v>74</v>
      </c>
      <c r="M34" s="99">
        <v>1.2</v>
      </c>
      <c r="N34" s="100">
        <f>M34*otherWork_H</f>
        <v>4.9999999999999996E-2</v>
      </c>
      <c r="O34" s="101"/>
    </row>
    <row r="35" spans="8:15">
      <c r="H35" s="60" t="s">
        <v>80</v>
      </c>
      <c r="I35">
        <f>M35*availableWeeks</f>
        <v>132</v>
      </c>
      <c r="J35" s="4">
        <f>I35*clkStopMAP_E</f>
        <v>43.541666666666664</v>
      </c>
      <c r="K35" s="45">
        <f>I35*$J$29</f>
        <v>132</v>
      </c>
      <c r="L35" s="60" t="s">
        <v>80</v>
      </c>
      <c r="M35">
        <v>3</v>
      </c>
      <c r="N35" s="4">
        <f>M35*clkStopMAP_E</f>
        <v>0.98958333333333326</v>
      </c>
      <c r="O35" s="45">
        <f>M35*$N$29</f>
        <v>3</v>
      </c>
    </row>
    <row r="36" spans="8:15">
      <c r="H36" s="61"/>
      <c r="J36" s="4"/>
      <c r="K36" s="45"/>
      <c r="L36" s="61"/>
      <c r="N36" s="4"/>
      <c r="O36" s="45"/>
    </row>
    <row r="37" spans="8:15">
      <c r="H37" s="60"/>
      <c r="J37" s="4"/>
      <c r="K37" s="45"/>
      <c r="L37" s="60"/>
      <c r="N37" s="4"/>
      <c r="O37" s="45"/>
    </row>
    <row r="38" spans="8:15">
      <c r="H38" s="60"/>
      <c r="J38" s="4"/>
      <c r="K38" s="45"/>
      <c r="L38" s="60"/>
      <c r="N38" s="4"/>
      <c r="O38" s="45"/>
    </row>
    <row r="39" spans="8:15">
      <c r="H39" s="62"/>
      <c r="J39" s="4"/>
      <c r="K39" s="45"/>
      <c r="L39" s="62"/>
      <c r="N39" s="4"/>
      <c r="O39" s="45"/>
    </row>
    <row r="40" spans="8:15">
      <c r="H40" s="62"/>
      <c r="J40" s="4"/>
      <c r="K40" s="45"/>
      <c r="L40" s="62"/>
      <c r="N40" s="4"/>
      <c r="O40" s="45"/>
    </row>
    <row r="41" spans="8:15">
      <c r="H41" s="63"/>
      <c r="J41" s="4"/>
      <c r="K41" s="45"/>
      <c r="L41" s="63"/>
      <c r="N41" s="4"/>
      <c r="O41" s="45"/>
    </row>
    <row r="42" spans="8:15">
      <c r="H42" s="60"/>
      <c r="J42" s="4"/>
      <c r="K42" s="45"/>
      <c r="L42" s="60"/>
      <c r="N42" s="4"/>
      <c r="O42" s="45"/>
    </row>
    <row r="43" spans="8:15">
      <c r="H43" s="47"/>
      <c r="J43" s="4"/>
      <c r="K43" s="45"/>
      <c r="L43" s="47"/>
      <c r="N43" s="4"/>
      <c r="O43" s="45"/>
    </row>
    <row r="44" spans="8:15">
      <c r="H44" s="47"/>
      <c r="J44" s="4"/>
      <c r="K44" s="45"/>
      <c r="L44" s="47"/>
      <c r="N44" s="4"/>
      <c r="O44" s="45"/>
    </row>
    <row r="45" spans="8:15">
      <c r="H45" s="47"/>
      <c r="J45" s="4"/>
      <c r="K45" s="45"/>
      <c r="L45" s="47"/>
      <c r="N45" s="4"/>
      <c r="O45" s="45"/>
    </row>
    <row r="46" spans="8:15">
      <c r="H46" s="47"/>
      <c r="J46" s="4"/>
      <c r="K46" s="45"/>
      <c r="L46" s="47"/>
      <c r="N46" s="4"/>
      <c r="O46" s="45"/>
    </row>
    <row r="47" spans="8:15">
      <c r="H47" s="47"/>
      <c r="J47" s="4"/>
      <c r="K47" s="45"/>
      <c r="L47" s="47"/>
      <c r="N47" s="4"/>
      <c r="O47" s="45"/>
    </row>
    <row r="48" spans="8:15">
      <c r="H48" s="47"/>
      <c r="J48" s="4"/>
      <c r="K48" s="45"/>
      <c r="L48" s="21"/>
      <c r="N48" s="4"/>
      <c r="O48" s="45"/>
    </row>
    <row r="49" spans="8:20">
      <c r="H49" s="47"/>
      <c r="J49" s="4"/>
      <c r="K49" s="45"/>
      <c r="L49" s="47"/>
      <c r="N49" s="4"/>
      <c r="O49" s="45"/>
      <c r="T49" s="1"/>
    </row>
    <row r="50" spans="8:20">
      <c r="H50" s="47"/>
      <c r="J50" s="4"/>
      <c r="K50" s="45"/>
      <c r="L50" s="47"/>
      <c r="N50" s="4"/>
      <c r="O50" s="45"/>
      <c r="T50" s="1"/>
    </row>
    <row r="51" spans="8:20">
      <c r="H51" s="47"/>
      <c r="K51" s="45"/>
      <c r="L51" s="47"/>
      <c r="N51" s="4"/>
      <c r="O51" s="45"/>
      <c r="T51" s="1"/>
    </row>
    <row r="52" spans="8:20" ht="13.5" thickBot="1">
      <c r="H52" s="53"/>
      <c r="I52" s="24"/>
      <c r="J52" s="37"/>
      <c r="K52" s="64"/>
      <c r="L52" s="53"/>
      <c r="M52" s="24"/>
      <c r="N52" s="37"/>
      <c r="O52" s="64"/>
    </row>
    <row r="84" spans="8:11">
      <c r="H84" s="4"/>
      <c r="K84" s="4"/>
    </row>
  </sheetData>
  <conditionalFormatting sqref="J30 N30">
    <cfRule type="cellIs" dxfId="5" priority="1" stopIfTrue="1" operator="between">
      <formula>availableHours*0.998*K29</formula>
      <formula>availableHours*1.002*K29</formula>
    </cfRule>
    <cfRule type="cellIs" dxfId="4" priority="2" operator="greaterThan">
      <formula>availableHours*1.002*K29</formula>
    </cfRule>
    <cfRule type="cellIs" dxfId="3" priority="3" operator="lessThan">
      <formula>availableHours*0.998*K29</formula>
    </cfRule>
  </conditionalFormatting>
  <pageMargins left="0.78749999999999998" right="0.78749999999999998" top="1.05277777777778" bottom="1.05277777777778" header="0.78749999999999998" footer="0.78749999999999998"/>
  <pageSetup paperSize="8" scale="70" orientation="landscape" useFirstPageNumber="1" horizontalDpi="300" verticalDpi="300" r:id="rId1"/>
  <headerFooter>
    <oddHeader>&amp;C&amp;"Nimbus Roman,Regular"&amp;12&amp;A</oddHeader>
    <oddFooter>&amp;C&amp;"Nimbus Roman,Regular"&amp;12Page &amp;P</oddFooter>
  </headerFooter>
  <ignoredErrors>
    <ignoredError sqref="I18:I20 F10" formulaRange="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E95ED-CFB2-4579-A900-3F33DE0E1D41}">
  <dimension ref="A1:T84"/>
  <sheetViews>
    <sheetView tabSelected="1" zoomScale="120" zoomScaleNormal="120" workbookViewId="0">
      <selection activeCell="K30" sqref="K30"/>
    </sheetView>
  </sheetViews>
  <sheetFormatPr defaultColWidth="11.5703125" defaultRowHeight="12.75"/>
  <cols>
    <col min="1" max="1" width="3.5703125" customWidth="1"/>
    <col min="2" max="2" width="25.5703125" customWidth="1"/>
    <col min="3" max="4" width="7.85546875" customWidth="1"/>
    <col min="5" max="5" width="9.5703125" customWidth="1"/>
    <col min="6" max="6" width="13.85546875" style="1" customWidth="1"/>
    <col min="7" max="7" width="4.42578125" customWidth="1"/>
    <col min="8" max="8" width="19.85546875" customWidth="1"/>
    <col min="9" max="9" width="8.5703125" customWidth="1"/>
    <col min="10" max="10" width="11.42578125" customWidth="1"/>
    <col min="11" max="11" width="10.42578125" customWidth="1"/>
    <col min="12" max="12" width="17.7109375" customWidth="1"/>
    <col min="13" max="13" width="9.5703125" customWidth="1"/>
    <col min="14" max="14" width="11.5703125" customWidth="1"/>
    <col min="15" max="15" width="10.5703125" customWidth="1"/>
    <col min="16" max="16" width="13.5703125" customWidth="1"/>
    <col min="17" max="17" width="6" customWidth="1"/>
    <col min="18" max="18" width="14.140625" customWidth="1"/>
    <col min="19" max="19" width="11.140625" customWidth="1"/>
    <col min="20" max="20" width="13.85546875" customWidth="1"/>
    <col min="21" max="21" width="13.140625" customWidth="1"/>
    <col min="23" max="23" width="11.140625" customWidth="1"/>
    <col min="24" max="24" width="6.85546875" customWidth="1"/>
    <col min="25" max="25" width="13.140625" customWidth="1"/>
  </cols>
  <sheetData>
    <row r="1" spans="1:17">
      <c r="A1" s="32"/>
      <c r="B1" s="32"/>
      <c r="C1" s="34" t="s">
        <v>0</v>
      </c>
      <c r="D1" s="32"/>
      <c r="E1" s="32"/>
      <c r="F1" s="33"/>
      <c r="G1" s="32"/>
      <c r="H1" s="90" t="s">
        <v>39</v>
      </c>
      <c r="I1" s="27"/>
      <c r="J1" s="27"/>
      <c r="K1" s="27"/>
      <c r="L1" s="73" t="s">
        <v>1</v>
      </c>
      <c r="M1" s="74"/>
      <c r="N1" s="74"/>
      <c r="O1" s="74"/>
      <c r="P1" s="74"/>
      <c r="Q1" s="75"/>
    </row>
    <row r="2" spans="1:17">
      <c r="A2" s="5"/>
      <c r="B2" t="s">
        <v>85</v>
      </c>
      <c r="C2">
        <v>60</v>
      </c>
      <c r="D2">
        <v>1</v>
      </c>
      <c r="E2" s="89">
        <f>otherWork_H</f>
        <v>4.1666666666666664E-2</v>
      </c>
      <c r="H2" s="102" t="s">
        <v>75</v>
      </c>
      <c r="L2" s="76" t="s">
        <v>2</v>
      </c>
      <c r="M2" s="77"/>
      <c r="N2" s="77"/>
      <c r="O2" s="77"/>
      <c r="P2" s="77"/>
      <c r="Q2" s="78"/>
    </row>
    <row r="3" spans="1:17">
      <c r="H3" s="6" t="s">
        <v>3</v>
      </c>
      <c r="I3" s="7"/>
      <c r="J3" s="8"/>
      <c r="K3" s="70"/>
      <c r="L3" s="79" t="s">
        <v>57</v>
      </c>
      <c r="M3" s="20"/>
      <c r="N3" s="20"/>
      <c r="O3" s="20"/>
      <c r="P3" s="20"/>
      <c r="Q3" s="80"/>
    </row>
    <row r="4" spans="1:17">
      <c r="A4" s="28"/>
      <c r="B4" s="28" t="s">
        <v>109</v>
      </c>
      <c r="C4" s="28" t="s">
        <v>4</v>
      </c>
      <c r="D4" s="28" t="s">
        <v>5</v>
      </c>
      <c r="E4" s="29" t="s">
        <v>6</v>
      </c>
      <c r="F4" s="28"/>
      <c r="H4" s="9" t="s">
        <v>7</v>
      </c>
      <c r="I4" t="s">
        <v>4</v>
      </c>
      <c r="J4" s="59" t="s">
        <v>5</v>
      </c>
      <c r="K4" s="14"/>
      <c r="L4" s="21" t="s">
        <v>8</v>
      </c>
      <c r="M4" s="67" t="s">
        <v>9</v>
      </c>
      <c r="N4" s="67" t="s">
        <v>10</v>
      </c>
      <c r="O4" s="81"/>
      <c r="P4" s="67"/>
      <c r="Q4" s="22"/>
    </row>
    <row r="5" spans="1:17">
      <c r="A5" s="35"/>
      <c r="B5" t="s">
        <v>42</v>
      </c>
      <c r="C5">
        <f>AVERAGE(10,20,15,60)</f>
        <v>26.25</v>
      </c>
      <c r="D5">
        <v>1</v>
      </c>
      <c r="E5" s="89">
        <f>SUMPRODUCT(C5:C22,D5:D22)/1440</f>
        <v>0.1779513888888889</v>
      </c>
      <c r="F5" s="3"/>
      <c r="H5" s="11" t="s">
        <v>103</v>
      </c>
      <c r="I5">
        <v>60</v>
      </c>
      <c r="J5" s="59">
        <v>2</v>
      </c>
      <c r="K5" s="71">
        <f t="shared" ref="K5:K10" si="0">SUMPRODUCT(I5,J5)/SUMPRODUCT($I$5:$I$10,$J$5:$J$10)</f>
        <v>0.29268292682926828</v>
      </c>
      <c r="L5" s="26"/>
      <c r="M5" s="67"/>
      <c r="N5" s="67"/>
      <c r="O5" s="67"/>
      <c r="P5" s="67"/>
      <c r="Q5" s="22"/>
    </row>
    <row r="6" spans="1:17">
      <c r="B6" t="s">
        <v>41</v>
      </c>
      <c r="C6">
        <v>5</v>
      </c>
      <c r="D6">
        <v>1</v>
      </c>
      <c r="E6" s="1"/>
      <c r="F6"/>
      <c r="H6" s="11" t="s">
        <v>87</v>
      </c>
      <c r="I6">
        <v>60</v>
      </c>
      <c r="J6" s="59">
        <v>2</v>
      </c>
      <c r="K6" s="71">
        <f t="shared" si="0"/>
        <v>0.29268292682926828</v>
      </c>
      <c r="L6" s="82">
        <f>availableHours</f>
        <v>68.75</v>
      </c>
      <c r="M6" s="103">
        <f>availableHoursWeekly</f>
        <v>37.5</v>
      </c>
      <c r="N6" s="68">
        <f>availableWeeks</f>
        <v>44</v>
      </c>
      <c r="O6" s="7" t="s">
        <v>32</v>
      </c>
      <c r="P6" s="7"/>
      <c r="Q6" s="69"/>
    </row>
    <row r="7" spans="1:17">
      <c r="E7" s="95">
        <f>(SUMPRODUCT(C8,D8))/SUMPRODUCT(C5:C21,D5:D21)</f>
        <v>0.23414634146341465</v>
      </c>
      <c r="F7" s="96" t="s">
        <v>54</v>
      </c>
      <c r="H7" s="11" t="s">
        <v>104</v>
      </c>
      <c r="I7">
        <v>90</v>
      </c>
      <c r="J7" s="59">
        <v>1</v>
      </c>
      <c r="K7" s="71">
        <f t="shared" si="0"/>
        <v>0.21951219512195122</v>
      </c>
      <c r="L7" s="83" t="s">
        <v>16</v>
      </c>
      <c r="M7" s="19"/>
      <c r="N7" s="19"/>
      <c r="O7" s="19" t="s">
        <v>17</v>
      </c>
      <c r="P7" s="19"/>
      <c r="Q7" s="66"/>
    </row>
    <row r="8" spans="1:17">
      <c r="B8" t="s">
        <v>43</v>
      </c>
      <c r="C8">
        <v>60</v>
      </c>
      <c r="D8">
        <v>1</v>
      </c>
      <c r="E8" s="1"/>
      <c r="F8" s="97">
        <f>(SUMPRODUCT(C8,D8)/1440)</f>
        <v>4.1666666666666664E-2</v>
      </c>
      <c r="H8" s="11" t="s">
        <v>105</v>
      </c>
      <c r="I8">
        <v>60</v>
      </c>
      <c r="J8" s="59">
        <v>0.5</v>
      </c>
      <c r="K8" s="71">
        <f t="shared" si="0"/>
        <v>7.3170731707317069E-2</v>
      </c>
      <c r="L8" s="21" t="s">
        <v>33</v>
      </c>
      <c r="M8" s="67"/>
      <c r="N8" s="67"/>
      <c r="O8" s="67"/>
      <c r="P8" s="67"/>
      <c r="Q8" s="22"/>
    </row>
    <row r="9" spans="1:17">
      <c r="B9" t="s">
        <v>44</v>
      </c>
      <c r="C9">
        <v>5</v>
      </c>
      <c r="D9">
        <v>1</v>
      </c>
      <c r="E9" s="87">
        <f>(SUMPRODUCT(C6,D6)+SUMPRODUCT(C9:C19,D9:D19))/SUMPRODUCT(C5:C21,D5:D21)</f>
        <v>0.37073170731707317</v>
      </c>
      <c r="F9" s="36" t="s">
        <v>55</v>
      </c>
      <c r="H9" s="11" t="s">
        <v>106</v>
      </c>
      <c r="I9">
        <v>50</v>
      </c>
      <c r="J9" s="59">
        <v>1</v>
      </c>
      <c r="K9" s="71">
        <f t="shared" si="0"/>
        <v>0.12195121951219512</v>
      </c>
      <c r="L9" s="21" t="s">
        <v>20</v>
      </c>
      <c r="M9" s="67"/>
      <c r="N9" s="67"/>
      <c r="O9" s="67"/>
      <c r="P9" s="67"/>
      <c r="Q9" s="22"/>
    </row>
    <row r="10" spans="1:17">
      <c r="B10" t="s">
        <v>45</v>
      </c>
      <c r="C10">
        <v>5</v>
      </c>
      <c r="D10">
        <v>1</v>
      </c>
      <c r="E10" s="1"/>
      <c r="F10" s="2">
        <f>(SUMPRODUCT(C6,D6)+SUMPRODUCT(C9:C19,D9:D19))/1440</f>
        <v>6.5972222222222224E-2</v>
      </c>
      <c r="H10" s="11"/>
      <c r="I10">
        <v>0</v>
      </c>
      <c r="J10" s="59">
        <v>0</v>
      </c>
      <c r="K10" s="71">
        <f t="shared" si="0"/>
        <v>0</v>
      </c>
      <c r="L10" s="21" t="s">
        <v>34</v>
      </c>
      <c r="M10" s="67"/>
      <c r="N10" s="67"/>
      <c r="O10" s="67"/>
      <c r="P10" s="84">
        <v>2E-3</v>
      </c>
      <c r="Q10" s="22"/>
    </row>
    <row r="11" spans="1:17">
      <c r="B11" t="s">
        <v>46</v>
      </c>
      <c r="C11">
        <v>10</v>
      </c>
      <c r="D11">
        <v>1</v>
      </c>
      <c r="E11" s="87">
        <f>(SUMPRODUCT(C5,D5)+SUMPRODUCT(C8,D8)+SUMPRODUCT(C20:C21,D20:D21))/SUMPRODUCT(C5:C21,D5:D21)</f>
        <v>0.62926829268292683</v>
      </c>
      <c r="F11" s="36" t="s">
        <v>86</v>
      </c>
      <c r="H11" s="54" t="s">
        <v>19</v>
      </c>
      <c r="I11">
        <v>60</v>
      </c>
      <c r="J11" s="59">
        <v>2</v>
      </c>
      <c r="K11" s="72">
        <f>SUMPRODUCT(I11,J11)/SUMPRODUCT($I$11:$I$13,$J$11:$J$13)</f>
        <v>0.19047619047619047</v>
      </c>
      <c r="L11" s="21" t="s">
        <v>35</v>
      </c>
      <c r="M11" s="67"/>
      <c r="N11" s="67"/>
      <c r="O11" s="67"/>
      <c r="P11" s="85">
        <f>availableHours*0.002</f>
        <v>0.13750000000000001</v>
      </c>
      <c r="Q11" s="22"/>
    </row>
    <row r="12" spans="1:17" ht="13.5" thickBot="1">
      <c r="B12" t="s">
        <v>47</v>
      </c>
      <c r="C12">
        <v>5</v>
      </c>
      <c r="D12">
        <v>1</v>
      </c>
      <c r="E12" s="1"/>
      <c r="F12" s="2">
        <f>(SUMPRODUCT(C5,D5)+SUMPRODUCT(C8,D8)+SUMPRODUCT(C20:C21,D20:D21))/1440</f>
        <v>0.11197916666666667</v>
      </c>
      <c r="H12" s="54" t="s">
        <v>21</v>
      </c>
      <c r="I12">
        <v>30</v>
      </c>
      <c r="J12" s="59">
        <v>5</v>
      </c>
      <c r="K12" s="72">
        <f>SUMPRODUCT(I12,J12)/SUMPRODUCT($I$11:$I$13,$J$11:$J$13)</f>
        <v>0.23809523809523808</v>
      </c>
      <c r="L12" s="23">
        <f>60*7.5</f>
        <v>450</v>
      </c>
      <c r="M12" s="24" t="s">
        <v>37</v>
      </c>
      <c r="N12" s="24"/>
      <c r="O12" s="37"/>
      <c r="P12" s="86" t="s">
        <v>38</v>
      </c>
      <c r="Q12" s="25"/>
    </row>
    <row r="13" spans="1:17">
      <c r="B13" t="s">
        <v>48</v>
      </c>
      <c r="C13">
        <v>15</v>
      </c>
      <c r="D13">
        <v>1</v>
      </c>
      <c r="E13" s="1"/>
      <c r="F13"/>
      <c r="H13" s="31" t="s">
        <v>107</v>
      </c>
      <c r="I13">
        <v>45</v>
      </c>
      <c r="J13" s="59">
        <v>8</v>
      </c>
      <c r="K13" s="88">
        <f>SUMPRODUCT(I13,J13)/SUMPRODUCT($I$11:$I$13,$J$11:$J$13)</f>
        <v>0.5714285714285714</v>
      </c>
    </row>
    <row r="14" spans="1:17">
      <c r="B14" t="s">
        <v>50</v>
      </c>
      <c r="C14">
        <v>5</v>
      </c>
      <c r="D14">
        <v>1</v>
      </c>
      <c r="F14"/>
      <c r="H14" s="13" t="s">
        <v>88</v>
      </c>
      <c r="I14">
        <v>60</v>
      </c>
      <c r="J14" s="59">
        <v>1</v>
      </c>
      <c r="K14" s="57">
        <f>SUMPRODUCT(I14,J14)/SUMPRODUCT($I$14:$I$16,$J$14:$J$16)</f>
        <v>0.35246995994659547</v>
      </c>
    </row>
    <row r="15" spans="1:17">
      <c r="B15" t="s">
        <v>51</v>
      </c>
      <c r="C15">
        <v>20</v>
      </c>
      <c r="D15">
        <v>1</v>
      </c>
      <c r="E15" s="1"/>
      <c r="F15"/>
      <c r="H15" s="13" t="s">
        <v>108</v>
      </c>
      <c r="I15">
        <v>20</v>
      </c>
      <c r="J15" s="59">
        <v>5</v>
      </c>
      <c r="K15" s="57">
        <f>SUMPRODUCT(I15,J15)/SUMPRODUCT($I$14:$I$15,$J$14:$J$15)</f>
        <v>0.625</v>
      </c>
      <c r="L15" s="91" t="s">
        <v>65</v>
      </c>
      <c r="M15" t="s">
        <v>58</v>
      </c>
    </row>
    <row r="16" spans="1:17">
      <c r="B16" t="s">
        <v>49</v>
      </c>
      <c r="C16">
        <v>5</v>
      </c>
      <c r="D16">
        <v>1</v>
      </c>
      <c r="E16" s="1"/>
      <c r="F16"/>
      <c r="H16" s="55" t="s">
        <v>24</v>
      </c>
      <c r="I16" s="30">
        <f>60*7.5/availableWeeks</f>
        <v>10.227272727272727</v>
      </c>
      <c r="J16" s="59">
        <v>1</v>
      </c>
      <c r="K16" s="57">
        <f>SUMPRODUCT(I16,J16)/SUMPRODUCT($I$14:$I$15,$J$14:$J$15)</f>
        <v>6.3920454545454544E-2</v>
      </c>
      <c r="L16" s="91"/>
      <c r="M16" t="s">
        <v>82</v>
      </c>
    </row>
    <row r="17" spans="1:19">
      <c r="B17" t="s">
        <v>50</v>
      </c>
      <c r="C17">
        <v>5</v>
      </c>
      <c r="D17">
        <v>1</v>
      </c>
      <c r="F17"/>
      <c r="H17" s="14" t="s">
        <v>40</v>
      </c>
      <c r="J17" s="10"/>
      <c r="K17" s="56"/>
      <c r="M17" t="s">
        <v>83</v>
      </c>
    </row>
    <row r="18" spans="1:19">
      <c r="B18" t="s">
        <v>102</v>
      </c>
      <c r="C18">
        <v>15</v>
      </c>
      <c r="D18">
        <v>1</v>
      </c>
      <c r="H18" s="11" t="s">
        <v>25</v>
      </c>
      <c r="I18" s="15">
        <f>SUMPRODUCT(I5:I10,J5:J10)/1440</f>
        <v>0.28472222222222221</v>
      </c>
      <c r="J18" s="10"/>
      <c r="K18" s="56"/>
      <c r="L18" s="92" t="s">
        <v>66</v>
      </c>
      <c r="M18" t="s">
        <v>61</v>
      </c>
    </row>
    <row r="19" spans="1:19">
      <c r="B19" t="s">
        <v>91</v>
      </c>
      <c r="C19">
        <v>60</v>
      </c>
      <c r="D19">
        <v>0</v>
      </c>
      <c r="F19"/>
      <c r="H19" s="12" t="s">
        <v>26</v>
      </c>
      <c r="I19" s="4">
        <f>SUMPRODUCT(I11:I13,J11:J13)/1440</f>
        <v>0.4375</v>
      </c>
      <c r="J19" s="10"/>
      <c r="K19" s="56"/>
      <c r="M19" t="s">
        <v>81</v>
      </c>
    </row>
    <row r="20" spans="1:19">
      <c r="B20" t="s">
        <v>52</v>
      </c>
      <c r="C20">
        <v>15</v>
      </c>
      <c r="D20">
        <v>1</v>
      </c>
      <c r="F20"/>
      <c r="H20" s="16" t="s">
        <v>27</v>
      </c>
      <c r="I20" s="17">
        <f>SUMPRODUCT(I14:I16,J14:J16)/1440</f>
        <v>0.11821338383838384</v>
      </c>
      <c r="J20" s="18" t="s">
        <v>28</v>
      </c>
      <c r="K20" s="58"/>
      <c r="L20" s="92" t="s">
        <v>67</v>
      </c>
      <c r="M20" t="s">
        <v>59</v>
      </c>
    </row>
    <row r="21" spans="1:19">
      <c r="B21" t="s">
        <v>53</v>
      </c>
      <c r="C21">
        <v>60</v>
      </c>
      <c r="D21">
        <v>1</v>
      </c>
      <c r="E21" s="1"/>
      <c r="F21"/>
      <c r="I21" s="4"/>
      <c r="L21" s="91"/>
      <c r="M21" t="s">
        <v>71</v>
      </c>
    </row>
    <row r="22" spans="1:19">
      <c r="L22" s="91"/>
      <c r="M22" t="s">
        <v>60</v>
      </c>
    </row>
    <row r="23" spans="1:19">
      <c r="N23" t="s">
        <v>72</v>
      </c>
    </row>
    <row r="24" spans="1:19">
      <c r="A24" s="91" t="s">
        <v>84</v>
      </c>
      <c r="B24" s="104" t="s">
        <v>79</v>
      </c>
      <c r="M24" t="s">
        <v>70</v>
      </c>
    </row>
    <row r="25" spans="1:19">
      <c r="B25" s="104" t="s">
        <v>98</v>
      </c>
      <c r="M25" t="s">
        <v>76</v>
      </c>
      <c r="S25" s="4"/>
    </row>
    <row r="26" spans="1:19">
      <c r="H26" t="s">
        <v>68</v>
      </c>
    </row>
    <row r="27" spans="1:19">
      <c r="B27" t="s">
        <v>94</v>
      </c>
      <c r="H27" t="s">
        <v>69</v>
      </c>
      <c r="M27" t="s">
        <v>77</v>
      </c>
    </row>
    <row r="28" spans="1:19" ht="13.5" thickBot="1">
      <c r="B28" t="s">
        <v>90</v>
      </c>
    </row>
    <row r="29" spans="1:19">
      <c r="B29" t="s">
        <v>95</v>
      </c>
      <c r="H29" s="51" t="s">
        <v>62</v>
      </c>
      <c r="I29" s="52"/>
      <c r="J29" s="38">
        <v>1</v>
      </c>
      <c r="K29" s="39">
        <v>1</v>
      </c>
      <c r="L29" s="93" t="s">
        <v>64</v>
      </c>
      <c r="M29" s="94"/>
      <c r="N29" s="38">
        <v>1</v>
      </c>
      <c r="O29" s="48">
        <v>1</v>
      </c>
    </row>
    <row r="30" spans="1:19">
      <c r="B30" t="s">
        <v>96</v>
      </c>
      <c r="H30" s="40" t="s">
        <v>63</v>
      </c>
      <c r="I30" s="41"/>
      <c r="J30" s="42">
        <f>SUM(J31:J51)</f>
        <v>68.848611111111111</v>
      </c>
      <c r="K30" s="43">
        <f>availableHours*K29</f>
        <v>68.75</v>
      </c>
      <c r="L30" s="40" t="s">
        <v>63</v>
      </c>
      <c r="M30" s="41"/>
      <c r="N30" s="42">
        <f>SUM(N31:N52)</f>
        <v>1.5647411616161615</v>
      </c>
      <c r="O30" s="49">
        <f>availableHours*O29/availableWeeks</f>
        <v>1.5625</v>
      </c>
    </row>
    <row r="31" spans="1:19">
      <c r="B31" t="s">
        <v>97</v>
      </c>
      <c r="H31" s="44" t="s">
        <v>29</v>
      </c>
      <c r="I31">
        <f>M31</f>
        <v>1</v>
      </c>
      <c r="J31" s="4">
        <f>I31*weeklyMeetingsCORE*availableWeeks</f>
        <v>12.527777777777777</v>
      </c>
      <c r="K31" s="65">
        <f>IF(J30-K30&lt;0,0,J30-K30)</f>
        <v>9.8611111111111427E-2</v>
      </c>
      <c r="L31" s="44" t="s">
        <v>29</v>
      </c>
      <c r="M31">
        <v>1</v>
      </c>
      <c r="N31" s="4">
        <f>M31*weeklyMeetingsCORE</f>
        <v>0.28472222222222221</v>
      </c>
      <c r="O31" s="65">
        <f>IF(N30-O30&lt;0,0,N30-O30)</f>
        <v>2.2411616161615022E-3</v>
      </c>
    </row>
    <row r="32" spans="1:19">
      <c r="H32" s="46" t="s">
        <v>30</v>
      </c>
      <c r="I32">
        <f>M32</f>
        <v>1</v>
      </c>
      <c r="J32" s="4">
        <f>I32*weeklyOngoingCORE*availableWeeks</f>
        <v>19.25</v>
      </c>
      <c r="K32" s="45"/>
      <c r="L32" s="46" t="s">
        <v>30</v>
      </c>
      <c r="M32">
        <v>1</v>
      </c>
      <c r="N32" s="4">
        <f>M32*weeklyOngoingCORE</f>
        <v>0.4375</v>
      </c>
      <c r="O32" s="50"/>
    </row>
    <row r="33" spans="8:17">
      <c r="H33" s="105" t="s">
        <v>31</v>
      </c>
      <c r="I33" s="19">
        <f>M33</f>
        <v>1</v>
      </c>
      <c r="J33" s="17">
        <f>I33*weeklyDevelopmentCORE*availableWeeks</f>
        <v>5.2013888888888893</v>
      </c>
      <c r="K33" s="106"/>
      <c r="L33" s="105" t="s">
        <v>31</v>
      </c>
      <c r="M33" s="19">
        <v>1</v>
      </c>
      <c r="N33" s="17">
        <f>M33*weeklyDevelopmentCORE</f>
        <v>0.11821338383838384</v>
      </c>
      <c r="O33" s="107"/>
    </row>
    <row r="34" spans="8:17">
      <c r="H34" s="98" t="s">
        <v>73</v>
      </c>
      <c r="I34" s="99">
        <f>M34*availableWeeks</f>
        <v>13.2</v>
      </c>
      <c r="J34" s="100">
        <f>I34*otherWork_H</f>
        <v>0.54999999999999993</v>
      </c>
      <c r="K34" s="101"/>
      <c r="L34" s="98" t="s">
        <v>74</v>
      </c>
      <c r="M34" s="99">
        <v>0.3</v>
      </c>
      <c r="N34" s="100">
        <f>M34*otherWork_H</f>
        <v>1.2499999999999999E-2</v>
      </c>
      <c r="O34" s="101"/>
      <c r="Q34" t="s">
        <v>89</v>
      </c>
    </row>
    <row r="35" spans="8:17">
      <c r="H35" s="60" t="s">
        <v>80</v>
      </c>
      <c r="I35">
        <f>M35*availableWeeks</f>
        <v>176</v>
      </c>
      <c r="J35" s="4">
        <f>I35*clkStopCORE_E</f>
        <v>31.319444444444446</v>
      </c>
      <c r="K35" s="45">
        <f>I35*$J$29</f>
        <v>176</v>
      </c>
      <c r="L35" s="60" t="s">
        <v>80</v>
      </c>
      <c r="M35">
        <v>4</v>
      </c>
      <c r="N35" s="4">
        <f>M35*clkStopCORE_E</f>
        <v>0.71180555555555558</v>
      </c>
      <c r="O35" s="45">
        <f>M35*$N$29</f>
        <v>4</v>
      </c>
    </row>
    <row r="36" spans="8:17">
      <c r="H36" s="61"/>
      <c r="J36" s="4"/>
      <c r="K36" s="45"/>
      <c r="L36" s="61"/>
      <c r="N36" s="4"/>
      <c r="O36" s="45"/>
    </row>
    <row r="37" spans="8:17">
      <c r="H37" s="60"/>
      <c r="J37" s="4"/>
      <c r="K37" s="45"/>
      <c r="L37" s="60"/>
      <c r="N37" s="4"/>
      <c r="O37" s="45"/>
    </row>
    <row r="38" spans="8:17">
      <c r="H38" s="60"/>
      <c r="J38" s="4"/>
      <c r="K38" s="45"/>
      <c r="L38" s="60"/>
      <c r="N38" s="4"/>
      <c r="O38" s="45"/>
    </row>
    <row r="39" spans="8:17">
      <c r="H39" s="62"/>
      <c r="J39" s="4"/>
      <c r="K39" s="45"/>
      <c r="L39" s="62"/>
      <c r="N39" s="4"/>
      <c r="O39" s="45"/>
    </row>
    <row r="40" spans="8:17">
      <c r="H40" s="62"/>
      <c r="J40" s="4"/>
      <c r="K40" s="45"/>
      <c r="L40" s="62"/>
      <c r="N40" s="4"/>
      <c r="O40" s="45"/>
    </row>
    <row r="41" spans="8:17">
      <c r="H41" s="63"/>
      <c r="J41" s="4"/>
      <c r="K41" s="45"/>
      <c r="L41" s="63"/>
      <c r="N41" s="4"/>
      <c r="O41" s="45"/>
    </row>
    <row r="42" spans="8:17">
      <c r="H42" s="60"/>
      <c r="J42" s="4"/>
      <c r="K42" s="45"/>
      <c r="L42" s="60"/>
      <c r="N42" s="4"/>
      <c r="O42" s="45"/>
    </row>
    <row r="43" spans="8:17">
      <c r="H43" s="47"/>
      <c r="J43" s="4"/>
      <c r="K43" s="45"/>
      <c r="L43" s="47"/>
      <c r="N43" s="4"/>
      <c r="O43" s="45"/>
    </row>
    <row r="44" spans="8:17">
      <c r="H44" s="47"/>
      <c r="J44" s="4"/>
      <c r="K44" s="45"/>
      <c r="L44" s="47"/>
      <c r="N44" s="4"/>
      <c r="O44" s="45"/>
    </row>
    <row r="45" spans="8:17">
      <c r="H45" s="47"/>
      <c r="J45" s="4"/>
      <c r="K45" s="45"/>
      <c r="L45" s="47"/>
      <c r="N45" s="4"/>
      <c r="O45" s="45"/>
    </row>
    <row r="46" spans="8:17">
      <c r="H46" s="47"/>
      <c r="J46" s="4"/>
      <c r="K46" s="45"/>
      <c r="L46" s="47"/>
      <c r="N46" s="4"/>
      <c r="O46" s="45"/>
    </row>
    <row r="47" spans="8:17">
      <c r="H47" s="47"/>
      <c r="J47" s="4"/>
      <c r="K47" s="45"/>
      <c r="L47" s="47"/>
      <c r="N47" s="4"/>
      <c r="O47" s="45"/>
    </row>
    <row r="48" spans="8:17">
      <c r="H48" s="47"/>
      <c r="J48" s="4"/>
      <c r="K48" s="45"/>
      <c r="L48" s="21"/>
      <c r="N48" s="4"/>
      <c r="O48" s="45"/>
    </row>
    <row r="49" spans="8:20">
      <c r="H49" s="47"/>
      <c r="J49" s="4"/>
      <c r="K49" s="45"/>
      <c r="L49" s="47"/>
      <c r="N49" s="4"/>
      <c r="O49" s="45"/>
      <c r="T49" s="1"/>
    </row>
    <row r="50" spans="8:20">
      <c r="H50" s="47"/>
      <c r="J50" s="4"/>
      <c r="K50" s="45"/>
      <c r="L50" s="47"/>
      <c r="N50" s="4"/>
      <c r="O50" s="45"/>
      <c r="T50" s="1"/>
    </row>
    <row r="51" spans="8:20">
      <c r="H51" s="47"/>
      <c r="K51" s="45"/>
      <c r="L51" s="47"/>
      <c r="N51" s="4"/>
      <c r="O51" s="45"/>
      <c r="T51" s="1"/>
    </row>
    <row r="52" spans="8:20" ht="13.5" thickBot="1">
      <c r="H52" s="53"/>
      <c r="I52" s="24"/>
      <c r="J52" s="37"/>
      <c r="K52" s="64"/>
      <c r="L52" s="53"/>
      <c r="M52" s="24"/>
      <c r="N52" s="37"/>
      <c r="O52" s="64"/>
    </row>
    <row r="84" spans="8:11">
      <c r="H84" s="4"/>
      <c r="K84" s="4"/>
    </row>
  </sheetData>
  <conditionalFormatting sqref="J30 N30">
    <cfRule type="cellIs" dxfId="2" priority="1" stopIfTrue="1" operator="between">
      <formula>availableHours*0.998*K29</formula>
      <formula>availableHours*1.002*K29</formula>
    </cfRule>
    <cfRule type="cellIs" dxfId="1" priority="2" operator="greaterThan">
      <formula>availableHours*1.002*K29</formula>
    </cfRule>
    <cfRule type="cellIs" dxfId="0" priority="3" operator="lessThan">
      <formula>availableHours*0.998*K29</formula>
    </cfRule>
  </conditionalFormatting>
  <pageMargins left="0.78749999999999998" right="0.78749999999999998" top="1.05277777777778" bottom="1.05277777777778" header="0.78749999999999998" footer="0.78749999999999998"/>
  <pageSetup paperSize="8" scale="70" orientation="landscape" useFirstPageNumber="1" horizontalDpi="300" verticalDpi="300" r:id="rId1"/>
  <headerFooter>
    <oddHeader>&amp;C&amp;"Nimbus Roman,Regular"&amp;12&amp;A</oddHeader>
    <oddFooter>&amp;C&amp;"Nimbus Roman,Regular"&amp;12Page &amp;P</oddFooter>
  </headerFooter>
  <ignoredErrors>
    <ignoredError sqref="I18:I20 F10" formulaRange="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40</vt:i4>
      </vt:variant>
    </vt:vector>
  </HeadingPairs>
  <TitlesOfParts>
    <vt:vector size="44" baseType="lpstr">
      <vt:lpstr>Stop-PD</vt:lpstr>
      <vt:lpstr>Stop-PTSD</vt:lpstr>
      <vt:lpstr>Stop-MAP</vt:lpstr>
      <vt:lpstr>Stop-CORE</vt:lpstr>
      <vt:lpstr>availableHours</vt:lpstr>
      <vt:lpstr>availableHoursWeekly</vt:lpstr>
      <vt:lpstr>availableWeeks</vt:lpstr>
      <vt:lpstr>clkStopCORE_E</vt:lpstr>
      <vt:lpstr>clkStopMAP_E</vt:lpstr>
      <vt:lpstr>clkStopPD_E</vt:lpstr>
      <vt:lpstr>'Stop-PTSD'!clkStopPTSD_E</vt:lpstr>
      <vt:lpstr>'Stop-CORE'!existAbsWTE</vt:lpstr>
      <vt:lpstr>'Stop-MAP'!existAbsWTE</vt:lpstr>
      <vt:lpstr>'Stop-PTSD'!existAbsWTE</vt:lpstr>
      <vt:lpstr>existAbsWTE</vt:lpstr>
      <vt:lpstr>'Stop-CORE'!existClinWTE</vt:lpstr>
      <vt:lpstr>'Stop-MAP'!existClinWTE</vt:lpstr>
      <vt:lpstr>'Stop-PTSD'!existClinWTE</vt:lpstr>
      <vt:lpstr>existClinWTE</vt:lpstr>
      <vt:lpstr>'Stop-CORE'!indFctSCM</vt:lpstr>
      <vt:lpstr>'Stop-MAP'!indFctSCM</vt:lpstr>
      <vt:lpstr>'Stop-PTSD'!indFctSCM</vt:lpstr>
      <vt:lpstr>indFctSCM</vt:lpstr>
      <vt:lpstr>'Stop-CORE'!nrTH1</vt:lpstr>
      <vt:lpstr>'Stop-MAP'!nrTH1</vt:lpstr>
      <vt:lpstr>'Stop-PTSD'!nrTH1</vt:lpstr>
      <vt:lpstr>nrTH1</vt:lpstr>
      <vt:lpstr>'Stop-CORE'!nrTH2</vt:lpstr>
      <vt:lpstr>'Stop-MAP'!nrTH2</vt:lpstr>
      <vt:lpstr>'Stop-PTSD'!nrTH2</vt:lpstr>
      <vt:lpstr>nrTH2</vt:lpstr>
      <vt:lpstr>otherWork_H</vt:lpstr>
      <vt:lpstr>weeklyDevelopmentCORE</vt:lpstr>
      <vt:lpstr>weeklyDevelopmentMAP</vt:lpstr>
      <vt:lpstr>weeklyDevelopmentPD</vt:lpstr>
      <vt:lpstr>weeklyDevelopmentPTSD</vt:lpstr>
      <vt:lpstr>weeklyMeetingsCORE</vt:lpstr>
      <vt:lpstr>weeklyMeetingsMAP</vt:lpstr>
      <vt:lpstr>weeklyMeetingsPD</vt:lpstr>
      <vt:lpstr>weeklyMeetingsPTSD</vt:lpstr>
      <vt:lpstr>weeklyOngoingCORE</vt:lpstr>
      <vt:lpstr>weeklyOngoingMAP</vt:lpstr>
      <vt:lpstr>weeklyOngoingPD</vt:lpstr>
      <vt:lpstr>weeklyOngoingPTSD</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Time Model NHS Psychotherapy</dc:title>
  <dc:subject>PD service capacity planning</dc:subject>
  <dc:creator>Roberts.Klotins</dc:creator>
  <cp:keywords/>
  <dc:description>This version of the model tries to keep all the people employed in GREEN.</dc:description>
  <cp:lastModifiedBy>Roberts.Klotins</cp:lastModifiedBy>
  <cp:revision>8</cp:revision>
  <cp:lastPrinted>2022-05-03T08:27:19Z</cp:lastPrinted>
  <dcterms:created xsi:type="dcterms:W3CDTF">2021-02-08T12:19:45Z</dcterms:created>
  <dcterms:modified xsi:type="dcterms:W3CDTF">2022-05-11T14:46:12Z</dcterms:modified>
  <cp:category>PD</cp:category>
  <cp:contentStatus>version 0.5</cp:contentStatus>
</cp:coreProperties>
</file>