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66925"/>
  <mc:AlternateContent xmlns:mc="http://schemas.openxmlformats.org/markup-compatibility/2006">
    <mc:Choice Requires="x15">
      <x15ac:absPath xmlns:x15ac="http://schemas.microsoft.com/office/spreadsheetml/2010/11/ac" url="C:\tmp\src\work-time-model-psy\"/>
    </mc:Choice>
  </mc:AlternateContent>
  <xr:revisionPtr revIDLastSave="0" documentId="13_ncr:1_{C68C8C14-700C-4660-9CF7-029748A6A85E}" xr6:coauthVersionLast="45" xr6:coauthVersionMax="45" xr10:uidLastSave="{00000000-0000-0000-0000-000000000000}"/>
  <bookViews>
    <workbookView xWindow="-120" yWindow="-120" windowWidth="29040" windowHeight="15840" tabRatio="466" xr2:uid="{00000000-000D-0000-FFFF-FFFF00000000}"/>
  </bookViews>
  <sheets>
    <sheet name="Work-Time" sheetId="1" r:id="rId1"/>
    <sheet name="Res-Demand" sheetId="2" r:id="rId2"/>
    <sheet name="tmp" sheetId="3" r:id="rId3"/>
    <sheet name="Comments" sheetId="4" r:id="rId4"/>
  </sheets>
  <definedNames>
    <definedName name="availableFTE">'Res-Demand'!$E$24</definedName>
    <definedName name="availableHours">'Work-Time'!$L$8</definedName>
    <definedName name="availableWeeks">'Work-Time'!$N$8</definedName>
    <definedName name="avgUKHours">'Work-Time'!$L$7</definedName>
    <definedName name="clinCONSgrp">'Work-Time'!$X$12</definedName>
    <definedName name="clinMBTgrp">'Work-Time'!$X$8</definedName>
    <definedName name="clinMBTIgrp">'Work-Time'!$X$11</definedName>
    <definedName name="clinSCMgrp">'Work-Time'!$X$16</definedName>
    <definedName name="clinWAITLgrp">'Work-Time'!$X$13</definedName>
    <definedName name="contractFTE">'Res-Demand'!$C$24</definedName>
    <definedName name="demASSMT">'Res-Demand'!$C$5</definedName>
    <definedName name="demASSMT_SCID">'Res-Demand'!$C$6</definedName>
    <definedName name="demASSMTTot">'Res-Demand'!$A$5</definedName>
    <definedName name="demCC">'Res-Demand'!$C$17</definedName>
    <definedName name="demCONS_GRP">'Res-Demand'!$C$14</definedName>
    <definedName name="demKClin_IND">'Res-Demand'!$C$16</definedName>
    <definedName name="demLIAISON">'Res-Demand'!$C$12</definedName>
    <definedName name="demMBT">'Res-Demand'!$C$9</definedName>
    <definedName name="demMBTi">'Res-Demand'!$C$10</definedName>
    <definedName name="demMEDRV">'Res-Demand'!$C$13</definedName>
    <definedName name="demMedRvMBT">'Res-Demand'!$C$11</definedName>
    <definedName name="demSCM_GRP">'Res-Demand'!$C$7</definedName>
    <definedName name="demSCM_IND">'Res-Demand'!$C$8</definedName>
    <definedName name="demSCREENING">'Res-Demand'!$C$4</definedName>
    <definedName name="demWAITL_GRP">'Res-Demand'!$C$15</definedName>
    <definedName name="existAbsWTE">'Work-Time'!$N$19</definedName>
    <definedName name="existClinWTE">'Work-Time'!$O$18</definedName>
    <definedName name="f2f_ASSMT">'Work-Time'!$E$21</definedName>
    <definedName name="f2f_ASSMTSCID">'Work-Time'!$E$30</definedName>
    <definedName name="f2f_CC">'Work-Time'!$E$133</definedName>
    <definedName name="f2f_grpCONS">'Work-Time'!$E$107</definedName>
    <definedName name="f2f_grpMBT">'Work-Time'!$E$54</definedName>
    <definedName name="f2f_grpMBTI">'Work-Time'!$E$77</definedName>
    <definedName name="f2f_grpSCM">'Work-Time'!$E$45</definedName>
    <definedName name="f2f_grpWAITL">'Work-Time'!$E$96</definedName>
    <definedName name="f2f_grpWLIST">'Work-Time'!$E$96</definedName>
    <definedName name="f2f_indMBT">'Work-Time'!$E$65</definedName>
    <definedName name="f2f_indSCM">'Work-Time'!$E$7</definedName>
    <definedName name="f2f_LIAISON">'Work-Time'!$E$118</definedName>
    <definedName name="f2f_MBT_GRP">'Work-Time'!$E$54</definedName>
    <definedName name="f2f_MEDRV">'Work-Time'!$E$39</definedName>
    <definedName name="f2f_MEDRVMBT">'Work-Time'!$E$89</definedName>
    <definedName name="f2f_SCREENING">'Work-Time'!$E$140</definedName>
    <definedName name="grpClinFctCONS">'Work-Time'!$A$106</definedName>
    <definedName name="grpClinFctMBT">'Work-Time'!$A$53</definedName>
    <definedName name="grpClinFctMBTI">'Work-Time'!$A$76</definedName>
    <definedName name="grpClinFctSCM">'Work-Time'!$A$44</definedName>
    <definedName name="grpClinFctWAITLIST">'Work-Time'!$A$95</definedName>
    <definedName name="grpCONS_Y">'Work-Time'!$E$105</definedName>
    <definedName name="grpCONSsize">'Work-Time'!$T$12</definedName>
    <definedName name="grpFctCONS">'Work-Time'!$A$105</definedName>
    <definedName name="grpFctMBT">'Work-Time'!$A$52</definedName>
    <definedName name="grpFctMBTI">'Work-Time'!$A$75</definedName>
    <definedName name="grpFctSCM">'Work-Time'!$A$43</definedName>
    <definedName name="grpFctWAITLIST">'Work-Time'!$A$94</definedName>
    <definedName name="grpMBT_Y">'Work-Time'!$E$52</definedName>
    <definedName name="grpMBTI_E">'Work-Time'!$E$75</definedName>
    <definedName name="grpMBTIsize">'Work-Time'!$T$11</definedName>
    <definedName name="grpMBTsize">'Work-Time'!$T$8</definedName>
    <definedName name="grpSCM_Y">'Work-Time'!$E$43</definedName>
    <definedName name="grpSCMsize">'Work-Time'!$T$16</definedName>
    <definedName name="grpWAITL_Y">'Work-Time'!$E$94</definedName>
    <definedName name="grpWAITsize">'Work-Time'!$T$13</definedName>
    <definedName name="indASSMT_E">'Work-Time'!$E$19</definedName>
    <definedName name="indASSMTSCID_E">'Work-Time'!$E$28</definedName>
    <definedName name="indCCOORD_E">'Work-Time'!$E$131</definedName>
    <definedName name="indFct_SCREENING">'Work-Time'!$A$138</definedName>
    <definedName name="indFctASSMT">'Work-Time'!$A$19</definedName>
    <definedName name="indFctASSMT_SCID">'Work-Time'!$A$28</definedName>
    <definedName name="indFctCCOORD">'Work-Time'!$A$131</definedName>
    <definedName name="indFctKEYCLIN">'Work-Time'!$A$124</definedName>
    <definedName name="indFctLIAISON">'Work-Time'!$A$116</definedName>
    <definedName name="indFctMBT">'Work-Time'!$A$63</definedName>
    <definedName name="indFctMEDRV">'Work-Time'!$A$37</definedName>
    <definedName name="indFctMEDRV_MBT">'Work-Time'!$A$87</definedName>
    <definedName name="indFctSCM">'Work-Time'!$A$5</definedName>
    <definedName name="indKEYCLIN_E">'Work-Time'!$E$124</definedName>
    <definedName name="indLIAISON_E">'Work-Time'!$E$116</definedName>
    <definedName name="indMBT_E">'Work-Time'!$E$63</definedName>
    <definedName name="indMEDRV_E">'Work-Time'!$E$37</definedName>
    <definedName name="indMEDRVMBT_E">'Work-Time'!$E$87</definedName>
    <definedName name="indSCM_E">'Work-Time'!$E$5</definedName>
    <definedName name="indScreening">'Work-Time'!$E$138</definedName>
    <definedName name="nrTH1">'Work-Time'!$J$29</definedName>
    <definedName name="nrTH2">'Work-Time'!$N$29</definedName>
    <definedName name="nrTH3">'Work-Time'!$R$29</definedName>
    <definedName name="nrTH4">'Work-Time'!$V$29</definedName>
    <definedName name="prodContH">'Work-Time'!$Z$2</definedName>
    <definedName name="rng_Matt">'Work-Time'!$E$8</definedName>
    <definedName name="weeklyDevelopment">'Work-Time'!$I$20</definedName>
    <definedName name="weeklyMeetings">'Work-Time'!$I$18</definedName>
    <definedName name="weeklyOngoing">'Work-Time'!$I$19</definedName>
  </definedNames>
  <calcPr calcId="191028"/>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74" i="1" l="1"/>
  <c r="N17" i="1"/>
  <c r="C24" i="2"/>
  <c r="E24" i="2"/>
  <c r="J74" i="1"/>
  <c r="L5" i="1"/>
  <c r="AA81" i="1" l="1"/>
  <c r="AA80" i="1" l="1"/>
  <c r="AA79" i="1"/>
  <c r="AA78" i="1"/>
  <c r="V79" i="1"/>
  <c r="V80" i="1"/>
  <c r="V78" i="1"/>
  <c r="Q30" i="2" l="1"/>
  <c r="C4" i="2"/>
  <c r="E133" i="1"/>
  <c r="E131" i="1"/>
  <c r="R49" i="1"/>
  <c r="A38" i="2"/>
  <c r="A39" i="2" s="1"/>
  <c r="C11" i="1" l="1"/>
  <c r="D84" i="1" l="1"/>
  <c r="E77" i="1" s="1"/>
  <c r="E65" i="1"/>
  <c r="D57" i="1"/>
  <c r="E54" i="1" s="1"/>
  <c r="E140" i="1"/>
  <c r="E105" i="1"/>
  <c r="E89" i="1"/>
  <c r="E87" i="1"/>
  <c r="E30" i="1"/>
  <c r="E107" i="1"/>
  <c r="E96" i="1"/>
  <c r="E94" i="1"/>
  <c r="E75" i="1"/>
  <c r="E63" i="1"/>
  <c r="E45" i="1"/>
  <c r="E43" i="1"/>
  <c r="E39" i="1"/>
  <c r="E21" i="1"/>
  <c r="E7" i="1"/>
  <c r="K22" i="3" l="1"/>
  <c r="K19" i="3"/>
  <c r="K15" i="3"/>
  <c r="K12" i="3"/>
  <c r="K10" i="3"/>
  <c r="L28" i="2"/>
  <c r="K30" i="2"/>
  <c r="K31" i="2"/>
  <c r="N41" i="2" l="1"/>
  <c r="M37" i="2"/>
  <c r="N19" i="1"/>
  <c r="T13" i="1"/>
  <c r="T17" i="1"/>
  <c r="T14" i="1"/>
  <c r="T11" i="1"/>
  <c r="T16" i="1"/>
  <c r="X21" i="1"/>
  <c r="X20" i="1"/>
  <c r="X19" i="1"/>
  <c r="X18" i="1"/>
  <c r="X17" i="1"/>
  <c r="X16" i="1"/>
  <c r="X15" i="1"/>
  <c r="X14" i="1"/>
  <c r="X13" i="1"/>
  <c r="X11" i="1"/>
  <c r="X12" i="1"/>
  <c r="X10" i="1"/>
  <c r="X9" i="1"/>
  <c r="X8" i="1"/>
  <c r="X7" i="1"/>
  <c r="V21" i="1"/>
  <c r="V20" i="1"/>
  <c r="V19" i="1"/>
  <c r="V18" i="1"/>
  <c r="V17" i="1"/>
  <c r="V16" i="1"/>
  <c r="V15" i="1"/>
  <c r="V14" i="1"/>
  <c r="V13" i="1"/>
  <c r="V12" i="1"/>
  <c r="V11" i="1"/>
  <c r="V10" i="1"/>
  <c r="V9" i="1"/>
  <c r="W118" i="1"/>
  <c r="W119" i="1"/>
  <c r="W120" i="1"/>
  <c r="W121" i="1"/>
  <c r="W122" i="1"/>
  <c r="W123" i="1"/>
  <c r="W124" i="1"/>
  <c r="W125" i="1"/>
  <c r="W126" i="1"/>
  <c r="W127" i="1"/>
  <c r="W128" i="1"/>
  <c r="W129" i="1"/>
  <c r="W117" i="1"/>
  <c r="S118" i="1"/>
  <c r="S119" i="1"/>
  <c r="S120" i="1"/>
  <c r="S121" i="1"/>
  <c r="S122" i="1"/>
  <c r="S123" i="1"/>
  <c r="S124" i="1"/>
  <c r="S125" i="1"/>
  <c r="S126" i="1"/>
  <c r="S127" i="1"/>
  <c r="S128" i="1"/>
  <c r="S129" i="1"/>
  <c r="S117" i="1"/>
  <c r="O118" i="1"/>
  <c r="O119" i="1"/>
  <c r="O120" i="1"/>
  <c r="O121" i="1"/>
  <c r="O122" i="1"/>
  <c r="O123" i="1"/>
  <c r="O124" i="1"/>
  <c r="O125" i="1"/>
  <c r="O126" i="1"/>
  <c r="O127" i="1"/>
  <c r="O128" i="1"/>
  <c r="O129" i="1"/>
  <c r="O117" i="1"/>
  <c r="K118" i="1"/>
  <c r="K119" i="1"/>
  <c r="K120" i="1"/>
  <c r="K121" i="1"/>
  <c r="K122" i="1"/>
  <c r="K123" i="1"/>
  <c r="K124" i="1"/>
  <c r="K125" i="1"/>
  <c r="K126" i="1"/>
  <c r="K127" i="1"/>
  <c r="K128" i="1"/>
  <c r="K129" i="1"/>
  <c r="K117" i="1"/>
  <c r="W92" i="1"/>
  <c r="W93" i="1"/>
  <c r="W94" i="1"/>
  <c r="W95" i="1"/>
  <c r="W96" i="1"/>
  <c r="W97" i="1"/>
  <c r="W98" i="1"/>
  <c r="W99" i="1"/>
  <c r="W100" i="1"/>
  <c r="W101" i="1"/>
  <c r="W102" i="1"/>
  <c r="W103" i="1"/>
  <c r="W91" i="1"/>
  <c r="S92" i="1"/>
  <c r="S93" i="1"/>
  <c r="S94" i="1"/>
  <c r="S95" i="1"/>
  <c r="S96" i="1"/>
  <c r="S97" i="1"/>
  <c r="S98" i="1"/>
  <c r="S99" i="1"/>
  <c r="S100" i="1"/>
  <c r="S101" i="1"/>
  <c r="S102" i="1"/>
  <c r="S103" i="1"/>
  <c r="S91" i="1"/>
  <c r="O92" i="1"/>
  <c r="O93" i="1"/>
  <c r="O94" i="1"/>
  <c r="O95" i="1"/>
  <c r="O96" i="1"/>
  <c r="O97" i="1"/>
  <c r="O98" i="1"/>
  <c r="O99" i="1"/>
  <c r="O100" i="1"/>
  <c r="O101" i="1"/>
  <c r="O102" i="1"/>
  <c r="O103" i="1"/>
  <c r="O91" i="1"/>
  <c r="K92" i="1"/>
  <c r="K93" i="1"/>
  <c r="K94" i="1"/>
  <c r="K95" i="1"/>
  <c r="K96" i="1"/>
  <c r="K97" i="1"/>
  <c r="K98" i="1"/>
  <c r="K99" i="1"/>
  <c r="K100" i="1"/>
  <c r="K101" i="1"/>
  <c r="K102" i="1"/>
  <c r="K103" i="1"/>
  <c r="K91" i="1"/>
  <c r="AB61" i="1"/>
  <c r="AB62" i="1"/>
  <c r="AB63" i="1"/>
  <c r="AB64" i="1"/>
  <c r="AB65" i="1"/>
  <c r="AB66" i="1"/>
  <c r="AB67" i="1"/>
  <c r="AB68" i="1"/>
  <c r="AB69" i="1"/>
  <c r="AB70" i="1"/>
  <c r="AB71" i="1"/>
  <c r="AB72" i="1"/>
  <c r="AB73" i="1"/>
  <c r="AB74" i="1"/>
  <c r="AB60" i="1"/>
  <c r="W61" i="1"/>
  <c r="W62" i="1"/>
  <c r="W63" i="1"/>
  <c r="W64" i="1"/>
  <c r="W65" i="1"/>
  <c r="W66" i="1"/>
  <c r="W67" i="1"/>
  <c r="W68" i="1"/>
  <c r="W69" i="1"/>
  <c r="W70" i="1"/>
  <c r="W71" i="1"/>
  <c r="W72" i="1"/>
  <c r="W73" i="1"/>
  <c r="W74" i="1"/>
  <c r="W60" i="1"/>
  <c r="K61" i="1"/>
  <c r="K62" i="1"/>
  <c r="K63" i="1"/>
  <c r="K64" i="1"/>
  <c r="K65" i="1"/>
  <c r="K66" i="1"/>
  <c r="K67" i="1"/>
  <c r="K68" i="1"/>
  <c r="K69" i="1"/>
  <c r="K70" i="1"/>
  <c r="K71" i="1"/>
  <c r="K72" i="1"/>
  <c r="K60" i="1"/>
  <c r="S61" i="1"/>
  <c r="S62" i="1"/>
  <c r="S63" i="1"/>
  <c r="S64" i="1"/>
  <c r="S65" i="1"/>
  <c r="S66" i="1"/>
  <c r="S67" i="1"/>
  <c r="S68" i="1"/>
  <c r="S69" i="1"/>
  <c r="S70" i="1"/>
  <c r="S71" i="1"/>
  <c r="S72" i="1"/>
  <c r="S73" i="1"/>
  <c r="S74" i="1"/>
  <c r="S60" i="1"/>
  <c r="O61" i="1"/>
  <c r="O62" i="1"/>
  <c r="O63" i="1"/>
  <c r="O64" i="1"/>
  <c r="O65" i="1"/>
  <c r="O66" i="1"/>
  <c r="O67" i="1"/>
  <c r="O68" i="1"/>
  <c r="O69" i="1"/>
  <c r="O70" i="1"/>
  <c r="O71" i="1"/>
  <c r="O72" i="1"/>
  <c r="O60" i="1"/>
  <c r="N78" i="1"/>
  <c r="N77" i="1"/>
  <c r="N76" i="1"/>
  <c r="N75" i="1"/>
  <c r="J78" i="1"/>
  <c r="J77" i="1"/>
  <c r="J75" i="1"/>
  <c r="R81" i="1"/>
  <c r="R80" i="1"/>
  <c r="J76" i="1"/>
  <c r="R79" i="1"/>
  <c r="R75" i="1"/>
  <c r="R78" i="1"/>
  <c r="R77" i="1"/>
  <c r="R76" i="1"/>
  <c r="K50" i="1"/>
  <c r="K51" i="1"/>
  <c r="K52" i="1"/>
  <c r="K34" i="1"/>
  <c r="I16" i="1"/>
  <c r="K14" i="1" s="1"/>
  <c r="L14" i="1"/>
  <c r="K15" i="1"/>
  <c r="K12" i="1"/>
  <c r="K13" i="1"/>
  <c r="K11" i="1"/>
  <c r="K6" i="1"/>
  <c r="K7" i="1"/>
  <c r="K8" i="1"/>
  <c r="K9" i="1"/>
  <c r="K10" i="1"/>
  <c r="K5" i="1"/>
  <c r="W52" i="1"/>
  <c r="S52" i="1"/>
  <c r="O52" i="1"/>
  <c r="W51" i="1"/>
  <c r="S51" i="1"/>
  <c r="O51" i="1"/>
  <c r="W50" i="1"/>
  <c r="S50" i="1"/>
  <c r="O50" i="1"/>
  <c r="W49" i="1"/>
  <c r="S49" i="1"/>
  <c r="O49" i="1"/>
  <c r="W47" i="1"/>
  <c r="S47" i="1"/>
  <c r="O47" i="1"/>
  <c r="K48" i="1"/>
  <c r="W46" i="1"/>
  <c r="S46" i="1"/>
  <c r="O46" i="1"/>
  <c r="K47" i="1"/>
  <c r="K49" i="1"/>
  <c r="O48" i="1"/>
  <c r="S48" i="1"/>
  <c r="W48" i="1"/>
  <c r="W21" i="1" l="1"/>
  <c r="R21" i="1" s="1"/>
  <c r="Z21" i="1" s="1"/>
  <c r="W20" i="1"/>
  <c r="I20" i="1"/>
  <c r="K16" i="1"/>
  <c r="K169" i="1"/>
  <c r="K168" i="1"/>
  <c r="V116" i="1" l="1"/>
  <c r="R116" i="1"/>
  <c r="N116" i="1"/>
  <c r="J116" i="1"/>
  <c r="V90" i="1"/>
  <c r="R90" i="1"/>
  <c r="N90" i="1"/>
  <c r="J90" i="1"/>
  <c r="R59" i="1"/>
  <c r="AA59" i="1"/>
  <c r="V59" i="1"/>
  <c r="N59" i="1"/>
  <c r="J59" i="1"/>
  <c r="R33" i="1"/>
  <c r="V33" i="1"/>
  <c r="N33" i="1"/>
  <c r="K42" i="2"/>
  <c r="K41" i="2"/>
  <c r="I42" i="2"/>
  <c r="K43" i="2" l="1"/>
  <c r="V7" i="1"/>
  <c r="V8" i="1"/>
  <c r="E52" i="1" l="1"/>
  <c r="A27" i="2"/>
  <c r="A28" i="2" s="1"/>
  <c r="A29" i="2" s="1"/>
  <c r="A30" i="2" s="1"/>
  <c r="A31" i="2" s="1"/>
  <c r="A32" i="2" s="1"/>
  <c r="A33" i="2" s="1"/>
  <c r="A34" i="2" s="1"/>
  <c r="A35" i="2" s="1"/>
  <c r="A36" i="2" s="1"/>
  <c r="A37" i="2" s="1"/>
  <c r="E138" i="1" l="1"/>
  <c r="S7" i="1" l="1"/>
  <c r="V117" i="1"/>
  <c r="R117" i="1"/>
  <c r="N117" i="1"/>
  <c r="J117" i="1"/>
  <c r="V91" i="1"/>
  <c r="R91" i="1"/>
  <c r="N91" i="1"/>
  <c r="J91" i="1"/>
  <c r="AA60" i="1"/>
  <c r="V60" i="1"/>
  <c r="R60" i="1"/>
  <c r="N60" i="1"/>
  <c r="J60" i="1"/>
  <c r="J34" i="1"/>
  <c r="N34" i="1"/>
  <c r="V34" i="1"/>
  <c r="R34" i="1"/>
  <c r="E5" i="1"/>
  <c r="S10" i="1" l="1"/>
  <c r="V120" i="1"/>
  <c r="R120" i="1"/>
  <c r="N120" i="1"/>
  <c r="J120" i="1"/>
  <c r="V94" i="1"/>
  <c r="R94" i="1"/>
  <c r="N94" i="1"/>
  <c r="J94" i="1"/>
  <c r="AA63" i="1"/>
  <c r="V63" i="1"/>
  <c r="J63" i="1"/>
  <c r="R63" i="1"/>
  <c r="N63" i="1"/>
  <c r="N37" i="1"/>
  <c r="V37" i="1"/>
  <c r="R37" i="1"/>
  <c r="J25" i="2"/>
  <c r="Q19" i="2"/>
  <c r="G19" i="2"/>
  <c r="F19" i="2"/>
  <c r="W34" i="1" l="1"/>
  <c r="W35" i="1"/>
  <c r="W36" i="1"/>
  <c r="W37" i="1"/>
  <c r="W38" i="1"/>
  <c r="W39" i="1"/>
  <c r="W40" i="1"/>
  <c r="W41" i="1"/>
  <c r="W42" i="1"/>
  <c r="W43" i="1"/>
  <c r="W44" i="1"/>
  <c r="W45" i="1"/>
  <c r="I19" i="1" l="1"/>
  <c r="V115" i="1" l="1"/>
  <c r="R115" i="1"/>
  <c r="N115" i="1"/>
  <c r="J115" i="1"/>
  <c r="V89" i="1"/>
  <c r="R89" i="1"/>
  <c r="N89" i="1"/>
  <c r="J89" i="1"/>
  <c r="AA58" i="1"/>
  <c r="V58" i="1"/>
  <c r="R58" i="1"/>
  <c r="N58" i="1"/>
  <c r="J58" i="1"/>
  <c r="R32" i="1"/>
  <c r="V32" i="1"/>
  <c r="N32" i="1"/>
  <c r="S21" i="1" l="1"/>
  <c r="AA74" i="1"/>
  <c r="V74" i="1"/>
  <c r="R74" i="1"/>
  <c r="Y20" i="1"/>
  <c r="O18" i="1"/>
  <c r="X3" i="1" s="1"/>
  <c r="L7" i="1" l="1"/>
  <c r="L6" i="1"/>
  <c r="E124" i="1"/>
  <c r="E28" i="1"/>
  <c r="S45" i="1"/>
  <c r="O45" i="1"/>
  <c r="K46" i="1"/>
  <c r="W19" i="1" s="1"/>
  <c r="S44" i="1"/>
  <c r="O44" i="1"/>
  <c r="K45" i="1"/>
  <c r="S43" i="1"/>
  <c r="O43" i="1"/>
  <c r="K38" i="1"/>
  <c r="S42" i="1"/>
  <c r="O42" i="1"/>
  <c r="K36" i="1"/>
  <c r="S41" i="1"/>
  <c r="O41" i="1"/>
  <c r="K42" i="1"/>
  <c r="S40" i="1"/>
  <c r="O40" i="1"/>
  <c r="K44" i="1"/>
  <c r="S39" i="1"/>
  <c r="O39" i="1"/>
  <c r="K43" i="1"/>
  <c r="S38" i="1"/>
  <c r="O38" i="1"/>
  <c r="K41" i="1"/>
  <c r="S37" i="1"/>
  <c r="O37" i="1"/>
  <c r="K35" i="1"/>
  <c r="S36" i="1"/>
  <c r="O36" i="1"/>
  <c r="K39" i="1"/>
  <c r="S35" i="1"/>
  <c r="O35" i="1"/>
  <c r="K40" i="1"/>
  <c r="S34" i="1"/>
  <c r="O34" i="1"/>
  <c r="K37" i="1"/>
  <c r="E37" i="1"/>
  <c r="R20" i="1" s="1"/>
  <c r="Z20" i="1" s="1"/>
  <c r="I18" i="1"/>
  <c r="E19" i="1"/>
  <c r="C119" i="1" s="1"/>
  <c r="E116" i="1" s="1"/>
  <c r="L8" i="1"/>
  <c r="R19" i="1" l="1"/>
  <c r="Z19" i="1" s="1"/>
  <c r="W7" i="1"/>
  <c r="R7" i="1" s="1"/>
  <c r="W14" i="1"/>
  <c r="R14" i="1" s="1"/>
  <c r="Z14" i="1" s="1"/>
  <c r="W12" i="1"/>
  <c r="W15" i="1"/>
  <c r="W13" i="1"/>
  <c r="R13" i="1" s="1"/>
  <c r="Z13" i="1" s="1"/>
  <c r="W17" i="1"/>
  <c r="W10" i="1"/>
  <c r="W16" i="1"/>
  <c r="W18" i="1"/>
  <c r="W113" i="1"/>
  <c r="S113" i="1"/>
  <c r="O113" i="1"/>
  <c r="K113" i="1"/>
  <c r="W87" i="1"/>
  <c r="S87" i="1"/>
  <c r="O87" i="1"/>
  <c r="K87" i="1"/>
  <c r="S8" i="1"/>
  <c r="V118" i="1"/>
  <c r="R118" i="1"/>
  <c r="N118" i="1"/>
  <c r="J118" i="1"/>
  <c r="V92" i="1"/>
  <c r="R92" i="1"/>
  <c r="N92" i="1"/>
  <c r="J92" i="1"/>
  <c r="V114" i="1"/>
  <c r="R114" i="1"/>
  <c r="N114" i="1"/>
  <c r="J114" i="1"/>
  <c r="V88" i="1"/>
  <c r="R88" i="1"/>
  <c r="N88" i="1"/>
  <c r="J88" i="1"/>
  <c r="S20" i="1"/>
  <c r="W8" i="1"/>
  <c r="S11" i="1"/>
  <c r="V121" i="1"/>
  <c r="R121" i="1"/>
  <c r="N121" i="1"/>
  <c r="J121" i="1"/>
  <c r="V95" i="1"/>
  <c r="R95" i="1"/>
  <c r="N95" i="1"/>
  <c r="J95" i="1"/>
  <c r="W9" i="1"/>
  <c r="W11" i="1"/>
  <c r="S13" i="1"/>
  <c r="V123" i="1"/>
  <c r="R123" i="1"/>
  <c r="N123" i="1"/>
  <c r="J123" i="1"/>
  <c r="V97" i="1"/>
  <c r="R97" i="1"/>
  <c r="N97" i="1"/>
  <c r="J97" i="1"/>
  <c r="S12" i="1"/>
  <c r="V122" i="1"/>
  <c r="R122" i="1"/>
  <c r="N122" i="1"/>
  <c r="J122" i="1"/>
  <c r="V96" i="1"/>
  <c r="R96" i="1"/>
  <c r="N96" i="1"/>
  <c r="J96" i="1"/>
  <c r="S14" i="1"/>
  <c r="V124" i="1"/>
  <c r="R124" i="1"/>
  <c r="N124" i="1"/>
  <c r="J124" i="1"/>
  <c r="V98" i="1"/>
  <c r="R98" i="1"/>
  <c r="N98" i="1"/>
  <c r="J98" i="1"/>
  <c r="S17" i="1"/>
  <c r="V127" i="1"/>
  <c r="R127" i="1"/>
  <c r="N127" i="1"/>
  <c r="J127" i="1"/>
  <c r="V101" i="1"/>
  <c r="R101" i="1"/>
  <c r="N101" i="1"/>
  <c r="J101" i="1"/>
  <c r="S16" i="1"/>
  <c r="V126" i="1"/>
  <c r="R126" i="1"/>
  <c r="N126" i="1"/>
  <c r="J126" i="1"/>
  <c r="V100" i="1"/>
  <c r="R100" i="1"/>
  <c r="N100" i="1"/>
  <c r="J100" i="1"/>
  <c r="S15" i="1"/>
  <c r="V125" i="1"/>
  <c r="R125" i="1"/>
  <c r="N125" i="1"/>
  <c r="J125" i="1"/>
  <c r="V99" i="1"/>
  <c r="R99" i="1"/>
  <c r="N99" i="1"/>
  <c r="J99" i="1"/>
  <c r="S9" i="1"/>
  <c r="V119" i="1"/>
  <c r="R119" i="1"/>
  <c r="N119" i="1"/>
  <c r="J119" i="1"/>
  <c r="V93" i="1"/>
  <c r="R93" i="1"/>
  <c r="N93" i="1"/>
  <c r="J93" i="1"/>
  <c r="S18" i="1"/>
  <c r="V128" i="1"/>
  <c r="R128" i="1"/>
  <c r="N128" i="1"/>
  <c r="J128" i="1"/>
  <c r="V102" i="1"/>
  <c r="R102" i="1"/>
  <c r="N102" i="1"/>
  <c r="J102" i="1"/>
  <c r="S19" i="1"/>
  <c r="V129" i="1"/>
  <c r="R129" i="1"/>
  <c r="N129" i="1"/>
  <c r="J129" i="1"/>
  <c r="V103" i="1"/>
  <c r="R103" i="1"/>
  <c r="N103" i="1"/>
  <c r="J103" i="1"/>
  <c r="AA65" i="1"/>
  <c r="V65" i="1"/>
  <c r="V67" i="1"/>
  <c r="AA67" i="1"/>
  <c r="AA70" i="1"/>
  <c r="V70" i="1"/>
  <c r="AA69" i="1"/>
  <c r="V69" i="1"/>
  <c r="V68" i="1"/>
  <c r="AA68" i="1"/>
  <c r="AA62" i="1"/>
  <c r="V62" i="1"/>
  <c r="AA71" i="1"/>
  <c r="V71" i="1"/>
  <c r="AA72" i="1"/>
  <c r="V72" i="1"/>
  <c r="AA61" i="1"/>
  <c r="V61" i="1"/>
  <c r="AA57" i="1"/>
  <c r="V57" i="1"/>
  <c r="AA64" i="1"/>
  <c r="V64" i="1"/>
  <c r="R73" i="1"/>
  <c r="AA73" i="1"/>
  <c r="V73" i="1"/>
  <c r="V66" i="1"/>
  <c r="AA66" i="1"/>
  <c r="AB56" i="1"/>
  <c r="W56" i="1"/>
  <c r="J67" i="1"/>
  <c r="R67" i="1"/>
  <c r="N67" i="1"/>
  <c r="J70" i="1"/>
  <c r="R70" i="1"/>
  <c r="N70" i="1"/>
  <c r="N69" i="1"/>
  <c r="R69" i="1"/>
  <c r="J69" i="1"/>
  <c r="J66" i="1"/>
  <c r="R66" i="1"/>
  <c r="N66" i="1"/>
  <c r="R68" i="1"/>
  <c r="N68" i="1"/>
  <c r="J68" i="1"/>
  <c r="J64" i="1"/>
  <c r="N64" i="1"/>
  <c r="R64" i="1"/>
  <c r="P13" i="1"/>
  <c r="K56" i="1"/>
  <c r="S56" i="1"/>
  <c r="O56" i="1"/>
  <c r="N62" i="1"/>
  <c r="J62" i="1"/>
  <c r="R62" i="1"/>
  <c r="J71" i="1"/>
  <c r="R71" i="1"/>
  <c r="N71" i="1"/>
  <c r="J72" i="1"/>
  <c r="R72" i="1"/>
  <c r="N72" i="1"/>
  <c r="J57" i="1"/>
  <c r="R57" i="1"/>
  <c r="N57" i="1"/>
  <c r="J65" i="1"/>
  <c r="R65" i="1"/>
  <c r="N65" i="1"/>
  <c r="R61" i="1"/>
  <c r="J61" i="1"/>
  <c r="N61" i="1"/>
  <c r="J39" i="1"/>
  <c r="N39" i="1"/>
  <c r="V39" i="1"/>
  <c r="R39" i="1"/>
  <c r="V31" i="1"/>
  <c r="N31" i="1"/>
  <c r="R31" i="1"/>
  <c r="V44" i="1"/>
  <c r="R44" i="1"/>
  <c r="N44" i="1"/>
  <c r="N40" i="1"/>
  <c r="V40" i="1"/>
  <c r="R40" i="1"/>
  <c r="J43" i="1"/>
  <c r="N43" i="1"/>
  <c r="R43" i="1"/>
  <c r="V43" i="1"/>
  <c r="N42" i="1"/>
  <c r="V42" i="1"/>
  <c r="R42" i="1"/>
  <c r="N38" i="1"/>
  <c r="V38" i="1"/>
  <c r="R38" i="1"/>
  <c r="N36" i="1"/>
  <c r="V36" i="1"/>
  <c r="R36" i="1"/>
  <c r="J35" i="1"/>
  <c r="N35" i="1"/>
  <c r="V35" i="1"/>
  <c r="R35" i="1"/>
  <c r="R45" i="1"/>
  <c r="V45" i="1"/>
  <c r="N45" i="1"/>
  <c r="V46" i="1"/>
  <c r="R46" i="1"/>
  <c r="N46" i="1"/>
  <c r="N41" i="1"/>
  <c r="R41" i="1"/>
  <c r="V41" i="1"/>
  <c r="J41" i="1"/>
  <c r="J161" i="1"/>
  <c r="K161" i="1" s="1"/>
  <c r="H167" i="1"/>
  <c r="C161" i="1"/>
  <c r="Y21" i="1"/>
  <c r="J46" i="1"/>
  <c r="Y19" i="1"/>
  <c r="J44" i="1"/>
  <c r="O30" i="1"/>
  <c r="W30" i="1"/>
  <c r="S30" i="1"/>
  <c r="K30" i="1"/>
  <c r="J42" i="1"/>
  <c r="J40" i="1"/>
  <c r="J45" i="1"/>
  <c r="J31" i="1"/>
  <c r="J36" i="1"/>
  <c r="J32" i="1"/>
  <c r="J33" i="1"/>
  <c r="J37" i="1"/>
  <c r="J38" i="1"/>
  <c r="Y13" i="1" l="1"/>
  <c r="Y14" i="1"/>
  <c r="Y7" i="1"/>
  <c r="Y8" i="1"/>
  <c r="R8" i="1"/>
  <c r="Z8" i="1" s="1"/>
  <c r="Y16" i="1"/>
  <c r="R16" i="1"/>
  <c r="Z16" i="1" s="1"/>
  <c r="Y15" i="1"/>
  <c r="R15" i="1"/>
  <c r="Z15" i="1" s="1"/>
  <c r="Y11" i="1"/>
  <c r="R11" i="1"/>
  <c r="Z11" i="1" s="1"/>
  <c r="Y10" i="1"/>
  <c r="R10" i="1"/>
  <c r="Z10" i="1" s="1"/>
  <c r="Y12" i="1"/>
  <c r="R12" i="1"/>
  <c r="Z12" i="1" s="1"/>
  <c r="Y9" i="1"/>
  <c r="R9" i="1"/>
  <c r="Z9" i="1" s="1"/>
  <c r="Y17" i="1"/>
  <c r="R17" i="1"/>
  <c r="Z17" i="1" s="1"/>
  <c r="Y18" i="1"/>
  <c r="R18" i="1"/>
  <c r="Z18" i="1" s="1"/>
  <c r="Z7" i="1"/>
  <c r="J87" i="1"/>
  <c r="K88" i="1" s="1"/>
  <c r="N87" i="1"/>
  <c r="O88" i="1" s="1"/>
  <c r="R87" i="1"/>
  <c r="S88" i="1" s="1"/>
  <c r="V87" i="1"/>
  <c r="W88" i="1" s="1"/>
  <c r="J113" i="1"/>
  <c r="K114" i="1" s="1"/>
  <c r="N113" i="1"/>
  <c r="O114" i="1" s="1"/>
  <c r="R113" i="1"/>
  <c r="S114" i="1" s="1"/>
  <c r="V113" i="1"/>
  <c r="W114" i="1" s="1"/>
  <c r="V56" i="1"/>
  <c r="W57" i="1" s="1"/>
  <c r="AA56" i="1"/>
  <c r="AB57" i="1" s="1"/>
  <c r="J56" i="1"/>
  <c r="K57" i="1" s="1"/>
  <c r="N56" i="1"/>
  <c r="O57" i="1" s="1"/>
  <c r="R56" i="1"/>
  <c r="S57" i="1" s="1"/>
  <c r="E158" i="1"/>
  <c r="H165" i="1" s="1"/>
  <c r="C171" i="1"/>
  <c r="J30" i="1"/>
  <c r="K31" i="1" s="1"/>
  <c r="N30" i="1"/>
  <c r="O31" i="1" s="1"/>
  <c r="R30" i="1"/>
  <c r="S31" i="1" s="1"/>
  <c r="V30" i="1"/>
  <c r="W31" i="1" s="1"/>
  <c r="Z2" i="1" l="1"/>
  <c r="X5" i="1" s="1"/>
  <c r="R2" i="1"/>
  <c r="X2" i="1" l="1"/>
  <c r="X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Roberts Klotins</author>
    <author>Roberts.Klotins</author>
    <author>r0bis</author>
  </authors>
  <commentList>
    <comment ref="W2" authorId="0" shapeId="0" xr:uid="{317B80B7-6BBE-4D48-999F-AADF9A9F4B69}">
      <text>
        <r>
          <rPr>
            <b/>
            <sz val="9"/>
            <color indexed="81"/>
            <rFont val="Tahoma"/>
            <charset val="1"/>
          </rPr>
          <t>Roberts Klotins:</t>
        </r>
        <r>
          <rPr>
            <sz val="9"/>
            <color indexed="81"/>
            <rFont val="Tahoma"/>
            <charset val="1"/>
          </rPr>
          <t xml:space="preserve">
Percentage of contact versus all activity time</t>
        </r>
      </text>
    </comment>
    <comment ref="E3" authorId="0" shapeId="0" xr:uid="{E3E7FA75-A56E-4DA9-839C-CDE4EBE5991E}">
      <text>
        <r>
          <rPr>
            <b/>
            <sz val="9"/>
            <color indexed="81"/>
            <rFont val="Tahoma"/>
            <charset val="1"/>
          </rPr>
          <t>Roberts Klotins:</t>
        </r>
        <r>
          <rPr>
            <sz val="9"/>
            <color indexed="81"/>
            <rFont val="Tahoma"/>
            <charset val="1"/>
          </rPr>
          <t xml:space="preserve">
This column contains yellowish cells that sum up all the time per activity that is to be spent by ONE clinician. 
The percentage cell tells how much of the activity is seeing the patient face to face or over the phone (Contact and Phone)</t>
        </r>
      </text>
    </comment>
    <comment ref="H3" authorId="0" shapeId="0" xr:uid="{74E1D275-F8D2-4F9F-B5C9-5FAB3CCB1CBA}">
      <text>
        <r>
          <rPr>
            <b/>
            <sz val="9"/>
            <color indexed="81"/>
            <rFont val="Tahoma"/>
            <family val="2"/>
          </rPr>
          <t>Roberts Klotins:</t>
        </r>
        <r>
          <rPr>
            <sz val="9"/>
            <color indexed="81"/>
            <rFont val="Tahoma"/>
            <family val="2"/>
          </rPr>
          <t xml:space="preserve">
This box with sums on the bottom reflects time spent on generic activities. &lt;number&gt; field here means how many times this amount of minutes is spent per week.</t>
        </r>
      </text>
    </comment>
    <comment ref="W3" authorId="0" shapeId="0" xr:uid="{613FE6FE-4EDC-427C-921F-C905A7D1FD2E}">
      <text>
        <r>
          <rPr>
            <b/>
            <sz val="9"/>
            <color indexed="81"/>
            <rFont val="Tahoma"/>
            <charset val="1"/>
          </rPr>
          <t>Roberts Klotins:</t>
        </r>
        <r>
          <rPr>
            <sz val="9"/>
            <color indexed="81"/>
            <rFont val="Tahoma"/>
            <charset val="1"/>
          </rPr>
          <t xml:space="preserve">
We subtract Clinical WTE from ABS WTE and find percentage of that.
E.g. (11-7.7)/11</t>
        </r>
      </text>
    </comment>
    <comment ref="A4" authorId="0" shapeId="0" xr:uid="{69DFD835-0CB4-4315-B5EB-D7802FFF2909}">
      <text>
        <r>
          <rPr>
            <b/>
            <sz val="9"/>
            <color indexed="81"/>
            <rFont val="Tahoma"/>
            <charset val="1"/>
          </rPr>
          <t>Roberts Klotins:</t>
        </r>
        <r>
          <rPr>
            <sz val="9"/>
            <color indexed="81"/>
            <rFont val="Tahoma"/>
            <charset val="1"/>
          </rPr>
          <t xml:space="preserve">
This column tells how many patients are doing this activity (1 for individual and 7 to 12 for groups)
For groups there is clinician factor (tells how many clinicians are simultaneously involved in the activity). For groups that is 2 and the activity time is calculated from assumption that clinicians will share the work between themselves.
This means that if we ever use 3 or more clinicans, then the 3rd is supernumerary.
This also gives the thought to reviews of patients (e.g. MBT groups - is the review shared between 3 clinicans)</t>
        </r>
      </text>
    </comment>
    <comment ref="W4" authorId="0" shapeId="0" xr:uid="{3E247DC0-A123-47D8-BE41-186C666F33F8}">
      <text>
        <r>
          <rPr>
            <b/>
            <sz val="9"/>
            <color indexed="81"/>
            <rFont val="Tahoma"/>
            <charset val="1"/>
          </rPr>
          <t>Roberts Klotins:
AVG-TEAM-CONTACT</t>
        </r>
        <r>
          <rPr>
            <sz val="9"/>
            <color indexed="81"/>
            <rFont val="Tahoma"/>
            <charset val="1"/>
          </rPr>
          <t xml:space="preserve">
We find percentage of total Contact hours against hours available multiplied by ABS WTE</t>
        </r>
      </text>
    </comment>
    <comment ref="B5" authorId="0" shapeId="0" xr:uid="{99D9D997-624C-45E7-850F-BEDF2CCB6101}">
      <text>
        <r>
          <rPr>
            <b/>
            <sz val="9"/>
            <color indexed="81"/>
            <rFont val="Tahoma"/>
            <family val="2"/>
          </rPr>
          <t>Roberts Klotins:</t>
        </r>
        <r>
          <rPr>
            <sz val="9"/>
            <color indexed="81"/>
            <rFont val="Tahoma"/>
            <family val="2"/>
          </rPr>
          <t xml:space="preserve">
50 minutes
but decompression time - to protect you for other patients. Perhaps need to add 15 minutes to that? [group suggestion]
* In general we think of SCM as short-term intervention; it is risky due to patient SH/suic. 1 episode should be followed by a timely review and possibly another episode of SCM.
- on average we should say a person would require 2 SCM episodes per year. Some will have 3, some will go to dual diagnosis, to MBTi or MBT, or be discharged - which may mean they only have 1 SCM episode. Average 2 seems a good estimate for now and that means we will need to divide the number of available episodes with 2 to see how many patients per year we can work with SCM.</t>
        </r>
      </text>
    </comment>
    <comment ref="H5" authorId="1" shapeId="0" xr:uid="{E1D1B5F7-5DC1-40CB-8544-AFB18F8F4DFA}">
      <text>
        <r>
          <rPr>
            <b/>
            <sz val="9"/>
            <color indexed="81"/>
            <rFont val="Tahoma"/>
            <charset val="1"/>
          </rPr>
          <t>Roberts.Klotins:</t>
        </r>
        <r>
          <rPr>
            <sz val="9"/>
            <color indexed="81"/>
            <rFont val="Tahoma"/>
            <charset val="1"/>
          </rPr>
          <t xml:space="preserve">
Once a week team supervision for SCM pathway. Among the most important meetings of the week - SCM is relatively hard and unpredictable, time to repair and work on TR is limited.
- usually 2 slots of 30 minutes each and 4 more patients discussed ad-hoc. </t>
        </r>
      </text>
    </comment>
    <comment ref="W5" authorId="0" shapeId="0" xr:uid="{D258C8D3-A4EE-432E-A234-0AB2B4610864}">
      <text>
        <r>
          <rPr>
            <b/>
            <sz val="9"/>
            <color indexed="81"/>
            <rFont val="Tahoma"/>
            <charset val="1"/>
          </rPr>
          <t>Roberts Klotins:</t>
        </r>
        <r>
          <rPr>
            <sz val="9"/>
            <color indexed="81"/>
            <rFont val="Tahoma"/>
            <charset val="1"/>
          </rPr>
          <t xml:space="preserve">
We find percentage of total Contact hours against hours available multiplied by CLIN WTE</t>
        </r>
      </text>
    </comment>
    <comment ref="B6" authorId="0" shapeId="0" xr:uid="{77581CB1-828C-4540-83C9-D6A3F3D2DC47}">
      <text>
        <r>
          <rPr>
            <b/>
            <sz val="9"/>
            <color indexed="81"/>
            <rFont val="Tahoma"/>
            <family val="2"/>
          </rPr>
          <t>Roberts Klotins:</t>
        </r>
        <r>
          <rPr>
            <sz val="9"/>
            <color indexed="81"/>
            <rFont val="Tahoma"/>
            <family val="2"/>
          </rPr>
          <t xml:space="preserve">
Research idea - Christina</t>
        </r>
      </text>
    </comment>
    <comment ref="H6" authorId="2" shapeId="0" xr:uid="{B9762AE6-1142-4661-819D-B8BEE84C9CD9}">
      <text>
        <r>
          <rPr>
            <b/>
            <sz val="9"/>
            <color indexed="81"/>
            <rFont val="Tahoma"/>
            <family val="2"/>
          </rPr>
          <t>r0bis:</t>
        </r>
        <r>
          <rPr>
            <sz val="9"/>
            <color indexed="81"/>
            <rFont val="Tahoma"/>
            <family val="2"/>
          </rPr>
          <t xml:space="preserve">
Is it strictly 1 hour?</t>
        </r>
      </text>
    </comment>
    <comment ref="R6" authorId="0" shapeId="0" xr:uid="{AD1F7CD3-E18F-4EBA-A458-7A7FF181BEF0}">
      <text>
        <r>
          <rPr>
            <b/>
            <sz val="9"/>
            <color indexed="81"/>
            <rFont val="Tahoma"/>
            <family val="2"/>
          </rPr>
          <t>Roberts Klotins:</t>
        </r>
        <r>
          <rPr>
            <sz val="9"/>
            <color indexed="81"/>
            <rFont val="Tahoma"/>
            <family val="2"/>
          </rPr>
          <t xml:space="preserve">
These numbers say - with this demand we will spend this number of total clinical time per year. Piechart on the right reflects these numbers in percentage. If you change demand on the &lt;Demand&gt; sheet - these numbers will change and so will the piechart.</t>
        </r>
      </text>
    </comment>
    <comment ref="S6" authorId="2" shapeId="0" xr:uid="{E3EE128E-7FD6-4E1A-A9EB-7C502DD8D943}">
      <text>
        <r>
          <rPr>
            <b/>
            <sz val="9"/>
            <color indexed="81"/>
            <rFont val="Tahoma"/>
            <family val="2"/>
          </rPr>
          <t>r0bis:</t>
        </r>
        <r>
          <rPr>
            <sz val="9"/>
            <color indexed="81"/>
            <rFont val="Tahoma"/>
            <family val="2"/>
          </rPr>
          <t xml:space="preserve">
Time required for one piece of work in this modality (for one clinician)</t>
        </r>
      </text>
    </comment>
    <comment ref="Z6" authorId="0" shapeId="0" xr:uid="{59A54AB6-E9F2-42AB-8183-5016CD1557E4}">
      <text>
        <r>
          <rPr>
            <b/>
            <sz val="9"/>
            <color indexed="81"/>
            <rFont val="Tahoma"/>
            <family val="2"/>
          </rPr>
          <t>Roberts Klotins:</t>
        </r>
        <r>
          <rPr>
            <sz val="9"/>
            <color indexed="81"/>
            <rFont val="Tahoma"/>
            <family val="2"/>
          </rPr>
          <t xml:space="preserve">
Produced contact hours per year counted through multiplying number of interventions by the f2f time factor per intervention. In case of group interventions the contact hours are divided by the group-clinician factor (ColX) - since the produced contact time has to be split between 2.
Essentially the time is counted as what one WTW individually is spending f2f with patients.
If we thought that we need to count patient time, we would also multiply by the group factor (ie. patients per group)
</t>
        </r>
      </text>
    </comment>
    <comment ref="B7" authorId="0" shapeId="0" xr:uid="{9D2569AF-1D2C-49B6-823B-FAC93CF03F90}">
      <text>
        <r>
          <rPr>
            <b/>
            <sz val="9"/>
            <color indexed="81"/>
            <rFont val="Tahoma"/>
            <family val="2"/>
          </rPr>
          <t>Roberts Klotins:</t>
        </r>
        <r>
          <rPr>
            <sz val="9"/>
            <color indexed="81"/>
            <rFont val="Tahoma"/>
            <family val="2"/>
          </rPr>
          <t xml:space="preserve">
Research idea - Christina</t>
        </r>
      </text>
    </comment>
    <comment ref="H7" authorId="1" shapeId="0" xr:uid="{D46CCC78-BCFE-442E-ACDF-27F0EED6D66A}">
      <text>
        <r>
          <rPr>
            <b/>
            <sz val="9"/>
            <color indexed="81"/>
            <rFont val="Tahoma"/>
            <charset val="1"/>
          </rPr>
          <t>Roberts.Klotins:</t>
        </r>
        <r>
          <rPr>
            <sz val="9"/>
            <color indexed="81"/>
            <rFont val="Tahoma"/>
            <charset val="1"/>
          </rPr>
          <t xml:space="preserve">
Main clinical meeting of the week. Various patients discussed, risk board and liaison board looked at and some cases discussed in more detail.</t>
        </r>
      </text>
    </comment>
    <comment ref="B8" authorId="0" shapeId="0" xr:uid="{1FE8A0A7-E43A-4BFD-8081-DD2505B00DE1}">
      <text>
        <r>
          <rPr>
            <b/>
            <sz val="9"/>
            <color indexed="81"/>
            <rFont val="Tahoma"/>
            <family val="2"/>
          </rPr>
          <t>Roberts Klotins:</t>
        </r>
        <r>
          <rPr>
            <sz val="9"/>
            <color indexed="81"/>
            <rFont val="Tahoma"/>
            <family val="2"/>
          </rPr>
          <t xml:space="preserve">
Link with Risk Assessment
Continuity importance</t>
        </r>
      </text>
    </comment>
    <comment ref="H8" authorId="2" shapeId="0" xr:uid="{708CD26B-5206-4613-8123-A523CADE69EB}">
      <text>
        <r>
          <rPr>
            <b/>
            <sz val="9"/>
            <color indexed="81"/>
            <rFont val="Tahoma"/>
            <family val="2"/>
          </rPr>
          <t>r0bis:</t>
        </r>
        <r>
          <rPr>
            <sz val="9"/>
            <color indexed="81"/>
            <rFont val="Tahoma"/>
            <family val="2"/>
          </rPr>
          <t xml:space="preserve">
1.5 hour long meetings discussing patients on basis of video material. At best 2 patients discussed thoroughly.</t>
        </r>
      </text>
    </comment>
    <comment ref="H9" authorId="1" shapeId="0" xr:uid="{DFD794B9-3D1F-4AB2-B2C8-B024E18C1AA8}">
      <text>
        <r>
          <rPr>
            <b/>
            <sz val="9"/>
            <color indexed="81"/>
            <rFont val="Tahoma"/>
            <charset val="1"/>
          </rPr>
          <t>Roberts.Klotins:</t>
        </r>
        <r>
          <rPr>
            <sz val="9"/>
            <color indexed="81"/>
            <rFont val="Tahoma"/>
            <charset val="1"/>
          </rPr>
          <t xml:space="preserve">
First thing in the morning. Ideally 15 minutes or less. People say where they work, who they see, - kind of a list of all the jobs per day, but it is incomplete. Ritualistic. Ideally people would only mention those they see together with someone else (to check that joint meetings will go OK) and bring up a difficulty with which they may need help. </t>
        </r>
      </text>
    </comment>
    <comment ref="B10" authorId="0" shapeId="0" xr:uid="{075995D2-644D-4C3B-BA69-63A1C7B1FCE7}">
      <text>
        <r>
          <rPr>
            <b/>
            <sz val="9"/>
            <color indexed="81"/>
            <rFont val="Tahoma"/>
            <family val="2"/>
          </rPr>
          <t>Roberts Klotins:</t>
        </r>
        <r>
          <rPr>
            <sz val="9"/>
            <color indexed="81"/>
            <rFont val="Tahoma"/>
            <family val="2"/>
          </rPr>
          <t xml:space="preserve">
IT glitches would add time;
And talk to someone in the team</t>
        </r>
      </text>
    </comment>
    <comment ref="B11" authorId="0" shapeId="0" xr:uid="{730131D3-8EC4-42A3-A1B7-44DF03124B63}">
      <text>
        <r>
          <rPr>
            <b/>
            <sz val="9"/>
            <color indexed="81"/>
            <rFont val="Tahoma"/>
            <family val="2"/>
          </rPr>
          <t>Roberts Klotins:</t>
        </r>
        <r>
          <rPr>
            <sz val="9"/>
            <color indexed="81"/>
            <rFont val="Tahoma"/>
            <family val="2"/>
          </rPr>
          <t xml:space="preserve">
There is some time needed to outline before the supervision. After 
supervision the outcome of it should be recorded RiO! It is the intellectual work of the team.
</t>
        </r>
      </text>
    </comment>
    <comment ref="H11" authorId="1" shapeId="0" xr:uid="{231BF092-3ABC-4BCF-871F-0FF16CC920CE}">
      <text>
        <r>
          <rPr>
            <b/>
            <sz val="9"/>
            <color indexed="81"/>
            <rFont val="Tahoma"/>
            <charset val="1"/>
          </rPr>
          <t>Roberts.Klotins:</t>
        </r>
        <r>
          <rPr>
            <sz val="9"/>
            <color indexed="81"/>
            <rFont val="Tahoma"/>
            <charset val="1"/>
          </rPr>
          <t xml:space="preserve">
This is work done ad hoc, responding to emergencies (suicidality, sudden disruptions, etc)</t>
        </r>
      </text>
    </comment>
    <comment ref="B12" authorId="0" shapeId="0" xr:uid="{F529AC78-F9B5-4679-9795-8D6246875BE4}">
      <text>
        <r>
          <rPr>
            <b/>
            <sz val="9"/>
            <color indexed="81"/>
            <rFont val="Tahoma"/>
            <family val="2"/>
          </rPr>
          <t>Roberts Klotins:</t>
        </r>
        <r>
          <rPr>
            <sz val="9"/>
            <color indexed="81"/>
            <rFont val="Tahoma"/>
            <family val="2"/>
          </rPr>
          <t xml:space="preserve">
Factoring in pre-time and writing up
Review should not be 50 minutes, it should be 30 to max 40 minutes</t>
        </r>
      </text>
    </comment>
    <comment ref="B13" authorId="0" shapeId="0" xr:uid="{F5763703-8A86-4AD1-8B3C-700C6DAEBB18}">
      <text>
        <r>
          <rPr>
            <b/>
            <sz val="9"/>
            <color indexed="81"/>
            <rFont val="Tahoma"/>
            <family val="2"/>
          </rPr>
          <t>Roberts Klotins:</t>
        </r>
        <r>
          <rPr>
            <sz val="9"/>
            <color indexed="81"/>
            <rFont val="Tahoma"/>
            <family val="2"/>
          </rPr>
          <t xml:space="preserve">
Include Crisis plan? Is it included in the SCM session. "My Crisis Plan" is to be done in the session and put on RiO</t>
        </r>
      </text>
    </comment>
    <comment ref="H13" authorId="0" shapeId="0" xr:uid="{00000000-0006-0000-0000-000001000000}">
      <text>
        <r>
          <rPr>
            <b/>
            <sz val="9"/>
            <color indexed="81"/>
            <rFont val="Tahoma"/>
            <family val="2"/>
          </rPr>
          <t>Roberts Klotins:</t>
        </r>
        <r>
          <rPr>
            <sz val="9"/>
            <color indexed="81"/>
            <rFont val="Tahoma"/>
            <family val="2"/>
          </rPr>
          <t xml:space="preserve">
Availability to other clinicians for SCM reviews, joint reviews and joint assessments.
MBT reviews included in the treating clinician's clincal work bits already. But we need to be available for reviews with others.
Can supervision go here? People receive regular supervision from seniors and likewise the seniors receive supervision from their managers. 
Duty work can be quite unpredictable, but generally patients are still seen. Main work is emptying of inbox and picking up phone messages and speaking to relevant clinicians.
Duty frequency is about once every 2 weeks - a frequent occurrence and we need to see if the amount of hours here reflects the time right. If we had data about duty work, that would be good; we could make a duty questionnaire where people quantify their work done for duty at the end of their duty day. </t>
        </r>
      </text>
    </comment>
    <comment ref="P13" authorId="1" shapeId="0" xr:uid="{9CCF77A3-9CFE-4438-BC09-2EEB5AB4593F}">
      <text>
        <r>
          <rPr>
            <b/>
            <sz val="9"/>
            <color indexed="81"/>
            <rFont val="Tahoma"/>
            <charset val="1"/>
          </rPr>
          <t>Roberts.Klotins:</t>
        </r>
        <r>
          <rPr>
            <sz val="9"/>
            <color indexed="81"/>
            <rFont val="Tahoma"/>
            <charset val="1"/>
          </rPr>
          <t xml:space="preserve">
0.2% of available hours per year. 
Our error threshold. </t>
        </r>
      </text>
    </comment>
    <comment ref="B14" authorId="0" shapeId="0" xr:uid="{CE0A423A-CC26-402C-8B8C-00248F332200}">
      <text>
        <r>
          <rPr>
            <b/>
            <sz val="9"/>
            <color indexed="81"/>
            <rFont val="Tahoma"/>
            <family val="2"/>
          </rPr>
          <t>Roberts Klotins:</t>
        </r>
        <r>
          <rPr>
            <sz val="9"/>
            <color indexed="81"/>
            <rFont val="Tahoma"/>
            <family val="2"/>
          </rPr>
          <t xml:space="preserve">
Letters - initial to P-T and GP
Phone call
Move waiting lists to treatment and then after SCM
Housing etc letters in SCM pulse
Closing letter to GP
withAdmin= 45 withoutAdmin= 90
* Admin – includes letters to patient, to GP, to other parties, moving patient from one TWL to other, arranging appointments</t>
        </r>
      </text>
    </comment>
    <comment ref="H14" authorId="0" shapeId="0" xr:uid="{00000000-0006-0000-0000-000002000000}">
      <text>
        <r>
          <rPr>
            <b/>
            <sz val="9"/>
            <color indexed="81"/>
            <rFont val="Tahoma"/>
            <family val="2"/>
          </rPr>
          <t>Roberts Klotins:</t>
        </r>
        <r>
          <rPr>
            <sz val="9"/>
            <color indexed="81"/>
            <rFont val="Tahoma"/>
            <family val="2"/>
          </rPr>
          <t xml:space="preserve">
Training, reading, mandatory training,
-supervision receiving?</t>
        </r>
      </text>
    </comment>
    <comment ref="H15" authorId="0" shapeId="0" xr:uid="{00000000-0006-0000-0000-000003000000}">
      <text>
        <r>
          <rPr>
            <b/>
            <sz val="9"/>
            <color indexed="81"/>
            <rFont val="Tahoma"/>
            <family val="2"/>
          </rPr>
          <t>Roberts Klotins:</t>
        </r>
        <r>
          <rPr>
            <sz val="9"/>
            <color indexed="81"/>
            <rFont val="Tahoma"/>
            <family val="2"/>
          </rPr>
          <t xml:space="preserve">
audits and outcome data collection related tasks</t>
        </r>
      </text>
    </comment>
    <comment ref="H16" authorId="2" shapeId="0" xr:uid="{F60BDCB8-77EB-4381-9D1C-A04371AAD059}">
      <text>
        <r>
          <rPr>
            <b/>
            <sz val="9"/>
            <color indexed="81"/>
            <rFont val="Tahoma"/>
            <family val="2"/>
          </rPr>
          <t>r0bis:</t>
        </r>
        <r>
          <rPr>
            <sz val="9"/>
            <color indexed="81"/>
            <rFont val="Tahoma"/>
            <family val="2"/>
          </rPr>
          <t xml:space="preserve">
1 full day = 60*7.5
weeks per year 44
450/44 = minutes to budget for x awaydays per year</t>
        </r>
      </text>
    </comment>
    <comment ref="B19" authorId="0" shapeId="0" xr:uid="{70CB7B0B-2DED-4CBB-8AA6-AD173DAF38FF}">
      <text>
        <r>
          <rPr>
            <b/>
            <sz val="9"/>
            <color indexed="81"/>
            <rFont val="Tahoma"/>
            <family val="2"/>
          </rPr>
          <t>Roberts Klotins:</t>
        </r>
        <r>
          <rPr>
            <sz val="9"/>
            <color indexed="81"/>
            <rFont val="Tahoma"/>
            <family val="2"/>
          </rPr>
          <t xml:space="preserve">
Emotional side of the story - assessments are most taxing. Biggest hassle factor.
- LIAISING with professionals</t>
        </r>
      </text>
    </comment>
    <comment ref="B20" authorId="0" shapeId="0" xr:uid="{BB910954-33DB-4D9A-8E5C-01E13975435F}">
      <text>
        <r>
          <rPr>
            <b/>
            <sz val="9"/>
            <color indexed="81"/>
            <rFont val="Tahoma"/>
            <family val="2"/>
          </rPr>
          <t>Roberts Klotins:</t>
        </r>
        <r>
          <rPr>
            <sz val="9"/>
            <color indexed="81"/>
            <rFont val="Tahoma"/>
            <family val="2"/>
          </rPr>
          <t xml:space="preserve">
Issue of complexity and previous material available. Probably also if need to contact previous service. Also the pre-assessment questionnaires are here. Previous important psychiatric reports. Patients also expect us to have read all the available information.</t>
        </r>
      </text>
    </comment>
    <comment ref="B22" authorId="0" shapeId="0" xr:uid="{ED3DFF40-73B8-4EB0-B0D2-CD58E96F4580}">
      <text>
        <r>
          <rPr>
            <b/>
            <sz val="9"/>
            <color indexed="81"/>
            <rFont val="Tahoma"/>
            <family val="2"/>
          </rPr>
          <t>Roberts Klotins:</t>
        </r>
        <r>
          <rPr>
            <sz val="9"/>
            <color indexed="81"/>
            <rFont val="Tahoma"/>
            <family val="2"/>
          </rPr>
          <t xml:space="preserve">
Not less than 2 hours.
Query of uninterrupted time for writing. YES
Who really needs our good assessment.  Maybe we are constructing something too beautiful.
## Importance of headings</t>
        </r>
      </text>
    </comment>
    <comment ref="B23" authorId="0" shapeId="0" xr:uid="{4687A209-D5E5-42C4-BBC2-647F4EE75BC9}">
      <text>
        <r>
          <rPr>
            <b/>
            <sz val="9"/>
            <color indexed="81"/>
            <rFont val="Tahoma"/>
            <family val="2"/>
          </rPr>
          <t>Roberts Klotins:</t>
        </r>
        <r>
          <rPr>
            <sz val="9"/>
            <color indexed="81"/>
            <rFont val="Tahoma"/>
            <family val="2"/>
          </rPr>
          <t xml:space="preserve">
Copy paste into the RA form from assessment report</t>
        </r>
      </text>
    </comment>
    <comment ref="B24" authorId="0" shapeId="0" xr:uid="{E31AE058-9E94-4A07-8F5F-4BEB531A1244}">
      <text>
        <r>
          <rPr>
            <b/>
            <sz val="9"/>
            <color indexed="81"/>
            <rFont val="Tahoma"/>
            <family val="2"/>
          </rPr>
          <t>Roberts Klotins:</t>
        </r>
        <r>
          <rPr>
            <sz val="9"/>
            <color indexed="81"/>
            <rFont val="Tahoma"/>
            <family val="2"/>
          </rPr>
          <t xml:space="preserve">
Check demographic data
Alc drug smoking data
clustering
one line in care plan
employment and social circumstances
clinical coding -&gt; diagnosis  including removing those which are not relevant
LETTERS: to arrange assessment</t>
        </r>
      </text>
    </comment>
    <comment ref="B25" authorId="0" shapeId="0" xr:uid="{CBE4D0F3-A426-4224-A072-162392D4C471}">
      <text>
        <r>
          <rPr>
            <b/>
            <sz val="9"/>
            <color indexed="81"/>
            <rFont val="Tahoma"/>
            <family val="2"/>
          </rPr>
          <t>Roberts Klotins:</t>
        </r>
        <r>
          <rPr>
            <sz val="9"/>
            <color indexed="81"/>
            <rFont val="Tahoma"/>
            <family val="2"/>
          </rPr>
          <t xml:space="preserve">
It is interesting really. It affects also how many people we take in.</t>
        </r>
      </text>
    </comment>
    <comment ref="J29" authorId="0" shapeId="0" xr:uid="{BE62E5CC-4A57-4131-9FF9-346CAB2F4575}">
      <text>
        <r>
          <rPr>
            <b/>
            <sz val="9"/>
            <color indexed="81"/>
            <rFont val="Tahoma"/>
            <family val="2"/>
          </rPr>
          <t xml:space="preserve">Roberts Klotins: NR of Clinicians
default = 1
Nr of GENERIC Clinicians
</t>
        </r>
        <r>
          <rPr>
            <sz val="9"/>
            <color indexed="81"/>
            <rFont val="Tahoma"/>
            <family val="2"/>
          </rPr>
          <t>-&gt; If we plan for individual (e.g. Christina) this number will always be 1
This field is number of times we employ a generic clinician. It is useful if we had let's say 5 clinician boxes instead of 16. We could plan for a general clinican with particular workload and put number 3 there - which means we will employ 3 such clinicans. The last column in the clincian box (the one with grey numbers) shows output we get from 1 or more clinicians - depending on the number in this cell.
NB: It would not make much sense to make this number less than one. It is better then to have several boxes and enter part time WTEs</t>
        </r>
      </text>
    </comment>
    <comment ref="K29" authorId="0" shapeId="0" xr:uid="{B710E203-FF7D-43A3-852C-2CDCA58E6E4C}">
      <text>
        <r>
          <rPr>
            <b/>
            <sz val="9"/>
            <color indexed="81"/>
            <rFont val="Tahoma"/>
            <family val="2"/>
          </rPr>
          <t xml:space="preserve">Roberts Klotins:  EMPLOYED WTE
default = 1
</t>
        </r>
        <r>
          <rPr>
            <sz val="9"/>
            <color indexed="81"/>
            <rFont val="Tahoma"/>
            <family val="2"/>
          </rPr>
          <t xml:space="preserve">
This number means WTE (same as FTE) 
   1 = full time (1 WTE)
   0.8 is 4 days a week (= 8 sessions),
   0.5 is 2.5 days a week (5 sessions) - e.t.c.
It is used in adjusting the hours planned colour thresholds. It is also used to account accurately how many WTEs we have as a team. It still may not reflect fully the clinical time available - a clinician may be employed at 1 but only have about 0.3 of that time available for clinical work.
</t>
        </r>
      </text>
    </comment>
    <comment ref="J30" authorId="0" shapeId="0" xr:uid="{FC997877-B63E-4DE5-8FE5-3C9C07E29E0B}">
      <text>
        <r>
          <rPr>
            <b/>
            <sz val="9"/>
            <color indexed="81"/>
            <rFont val="Tahoma"/>
            <family val="2"/>
          </rPr>
          <t xml:space="preserve">Roberts Klotins:  Time Planned
sum of hours in this clinician box
</t>
        </r>
        <r>
          <rPr>
            <sz val="9"/>
            <color indexed="81"/>
            <rFont val="Tahoma"/>
            <family val="2"/>
          </rPr>
          <t xml:space="preserve">
This number is sum of time required for this clinican to perform the planned number of activities per year. </t>
        </r>
        <r>
          <rPr>
            <b/>
            <sz val="9"/>
            <color indexed="81"/>
            <rFont val="Tahoma"/>
            <family val="2"/>
          </rPr>
          <t>Green</t>
        </r>
        <r>
          <rPr>
            <sz val="9"/>
            <color indexed="81"/>
            <rFont val="Tahoma"/>
            <family val="2"/>
          </rPr>
          <t xml:space="preserve"> is if very close to optimal range, otherwise </t>
        </r>
        <r>
          <rPr>
            <b/>
            <sz val="9"/>
            <color indexed="81"/>
            <rFont val="Tahoma"/>
            <family val="2"/>
          </rPr>
          <t>yellow</t>
        </r>
        <r>
          <rPr>
            <sz val="9"/>
            <color indexed="81"/>
            <rFont val="Tahoma"/>
            <family val="2"/>
          </rPr>
          <t xml:space="preserve"> (it means has hours available), if overshoots by 0.2% then </t>
        </r>
        <r>
          <rPr>
            <b/>
            <sz val="9"/>
            <color indexed="81"/>
            <rFont val="Tahoma"/>
            <family val="2"/>
          </rPr>
          <t>red</t>
        </r>
        <r>
          <rPr>
            <sz val="9"/>
            <color indexed="81"/>
            <rFont val="Tahoma"/>
            <family val="2"/>
          </rPr>
          <t>. 
Red means we are planning to overwork this clinician for more than the contracted hours.</t>
        </r>
      </text>
    </comment>
    <comment ref="K30" authorId="2" shapeId="0" xr:uid="{0BF97C1D-25EB-4E01-BBC6-373F872D248D}">
      <text>
        <r>
          <rPr>
            <b/>
            <sz val="9"/>
            <color indexed="81"/>
            <rFont val="Tahoma"/>
            <family val="2"/>
          </rPr>
          <t>r0bis: Hours available at WTE</t>
        </r>
        <r>
          <rPr>
            <sz val="9"/>
            <color indexed="81"/>
            <rFont val="Tahoma"/>
            <family val="2"/>
          </rPr>
          <t xml:space="preserve">
This is just for comparison with the value to the left. If the value to the left (Time Planned) is red - we can then easily see why it is red. We can also see by how many hours we have to reduce our plans to make it green.</t>
        </r>
      </text>
    </comment>
    <comment ref="H31" authorId="2" shapeId="0" xr:uid="{F14175EC-CED9-48DB-87FE-645BD7B2E3AB}">
      <text>
        <r>
          <rPr>
            <b/>
            <sz val="9"/>
            <color indexed="81"/>
            <rFont val="Tahoma"/>
            <charset val="1"/>
          </rPr>
          <t>r0bis:</t>
        </r>
        <r>
          <rPr>
            <sz val="9"/>
            <color indexed="81"/>
            <rFont val="Tahoma"/>
            <charset val="1"/>
          </rPr>
          <t xml:space="preserve">
Justyna does not go to all meetings. Goes to Main(0.2), Busi/RP(0.1), MBT-SVx2(0.2), Check-In(0.1), AssessmentWKS(0.2)
So all in all she does 0.8 meetings because she skips only SCM.
</t>
        </r>
      </text>
    </comment>
    <comment ref="J31" authorId="1" shapeId="0" xr:uid="{1CDF30FF-541D-4FFC-A7BC-C10DD160ABE2}">
      <text>
        <r>
          <rPr>
            <b/>
            <sz val="9"/>
            <color indexed="81"/>
            <rFont val="Tahoma"/>
            <charset val="1"/>
          </rPr>
          <t>Roberts.Klotins:</t>
        </r>
        <r>
          <rPr>
            <sz val="9"/>
            <color indexed="81"/>
            <rFont val="Tahoma"/>
            <charset val="1"/>
          </rPr>
          <t xml:space="preserve">
</t>
        </r>
      </text>
    </comment>
    <comment ref="B33" authorId="0" shapeId="0" xr:uid="{311729E7-8DFE-4416-A889-C5F6043C4876}">
      <text>
        <r>
          <rPr>
            <b/>
            <sz val="9"/>
            <color indexed="81"/>
            <rFont val="Tahoma"/>
            <family val="2"/>
          </rPr>
          <t>Roberts Klotins:</t>
        </r>
        <r>
          <rPr>
            <sz val="9"/>
            <color indexed="81"/>
            <rFont val="Tahoma"/>
            <family val="2"/>
          </rPr>
          <t xml:space="preserve">
Check demographic data
Alc drug smoking data
clustering
one line in care plan
employment and social circumstances
clinical coding -&gt; diagnosis  including removing those which are not relevant
LETTERS: to arrange assessment</t>
        </r>
      </text>
    </comment>
    <comment ref="B34" authorId="0" shapeId="0" xr:uid="{B556451B-8656-453D-A93A-5C918015FCB3}">
      <text>
        <r>
          <rPr>
            <b/>
            <sz val="9"/>
            <color indexed="81"/>
            <rFont val="Tahoma"/>
            <family val="2"/>
          </rPr>
          <t>Roberts Klotins:</t>
        </r>
        <r>
          <rPr>
            <sz val="9"/>
            <color indexed="81"/>
            <rFont val="Tahoma"/>
            <family val="2"/>
          </rPr>
          <t xml:space="preserve">
It is interesting really. It affects also how many people we take in.</t>
        </r>
      </text>
    </comment>
    <comment ref="B44" authorId="0" shapeId="0" xr:uid="{4798BEFA-74EB-4C22-B50B-19F6CE371368}">
      <text>
        <r>
          <rPr>
            <b/>
            <sz val="9"/>
            <color indexed="81"/>
            <rFont val="Tahoma"/>
            <charset val="1"/>
          </rPr>
          <t>Roberts Klotins:</t>
        </r>
        <r>
          <rPr>
            <sz val="9"/>
            <color indexed="81"/>
            <rFont val="Tahoma"/>
            <charset val="1"/>
          </rPr>
          <t xml:space="preserve">
10 minute debrief after group and then one person writes a note about the group</t>
        </r>
      </text>
    </comment>
    <comment ref="H45" authorId="2" shapeId="0" xr:uid="{8B98D090-6583-4575-8FF4-79FECA350241}">
      <text>
        <r>
          <rPr>
            <b/>
            <sz val="9"/>
            <color indexed="81"/>
            <rFont val="Tahoma"/>
            <family val="2"/>
          </rPr>
          <t>r0bis:</t>
        </r>
        <r>
          <rPr>
            <sz val="9"/>
            <color indexed="81"/>
            <rFont val="Tahoma"/>
            <family val="2"/>
          </rPr>
          <t xml:space="preserve">
We really need to define what being key-clinician will mean - especially in the light of the drive for each patient to have one.</t>
        </r>
      </text>
    </comment>
    <comment ref="B46" authorId="0" shapeId="0" xr:uid="{126E49B1-6E87-45F1-8C51-8F75AB1D7019}">
      <text>
        <r>
          <rPr>
            <b/>
            <sz val="9"/>
            <color indexed="81"/>
            <rFont val="Tahoma"/>
            <charset val="1"/>
          </rPr>
          <t>Roberts Klotins:</t>
        </r>
        <r>
          <rPr>
            <sz val="9"/>
            <color indexed="81"/>
            <rFont val="Tahoma"/>
            <charset val="1"/>
          </rPr>
          <t xml:space="preserve">
10 session group, RA and Summary split in half between the 2 clinicans
</t>
        </r>
      </text>
    </comment>
    <comment ref="P49" authorId="1" shapeId="0" xr:uid="{7709AFE4-7713-4EA8-BB3A-B319DF3F985B}">
      <text>
        <r>
          <rPr>
            <b/>
            <sz val="9"/>
            <color indexed="81"/>
            <rFont val="Tahoma"/>
            <charset val="1"/>
          </rPr>
          <t>Roberts.Klotins:</t>
        </r>
        <r>
          <rPr>
            <sz val="9"/>
            <color indexed="81"/>
            <rFont val="Tahoma"/>
            <charset val="1"/>
          </rPr>
          <t xml:space="preserve">
Supervision that is provided to transformation workers</t>
        </r>
      </text>
    </comment>
    <comment ref="B53" authorId="0" shapeId="0" xr:uid="{AB49B05B-9DE5-4D9B-806D-3CBCE95A0E77}">
      <text>
        <r>
          <rPr>
            <b/>
            <sz val="9"/>
            <color indexed="81"/>
            <rFont val="Tahoma"/>
            <family val="2"/>
          </rPr>
          <t>Roberts Klotins:</t>
        </r>
        <r>
          <rPr>
            <sz val="9"/>
            <color indexed="81"/>
            <rFont val="Tahoma"/>
            <family val="2"/>
          </rPr>
          <t xml:space="preserve">
But right now we are running groups 1 person.
Also it is a way of communicating to individual therapist
Cath will do a test run tomorrow :)
</t>
        </r>
      </text>
    </comment>
    <comment ref="K55" authorId="1" shapeId="0" xr:uid="{0A1F7B80-4A9F-4206-A92E-9A261717FDF1}">
      <text>
        <r>
          <rPr>
            <b/>
            <sz val="9"/>
            <color indexed="81"/>
            <rFont val="Tahoma"/>
            <charset val="1"/>
          </rPr>
          <t>Roberts.Klotins:</t>
        </r>
        <r>
          <rPr>
            <sz val="9"/>
            <color indexed="81"/>
            <rFont val="Tahoma"/>
            <charset val="1"/>
          </rPr>
          <t xml:space="preserve">
We write clinical WTE which we estimate at 0.4, but Lead is employed at FT (1). 1 will work if we achieve correct estimates below </t>
        </r>
      </text>
    </comment>
    <comment ref="B57" authorId="0" shapeId="0" xr:uid="{B87F6A4C-63B0-44C8-84B8-5A91AE7BD083}">
      <text>
        <r>
          <rPr>
            <b/>
            <sz val="9"/>
            <color indexed="81"/>
            <rFont val="Tahoma"/>
            <family val="2"/>
          </rPr>
          <t>Roberts Klotins:
1 pre, 2 during treatment</t>
        </r>
        <r>
          <rPr>
            <sz val="9"/>
            <color indexed="81"/>
            <rFont val="Tahoma"/>
            <family val="2"/>
          </rPr>
          <t xml:space="preserve">
Patient time 45 min
Prepare 20 min
Meet before 10 min
There may be some ad-hoc if need be
- plus post treatment review</t>
        </r>
      </text>
    </comment>
    <comment ref="P57" authorId="2" shapeId="0" xr:uid="{45795114-DA8E-4D12-B6AB-9A003BEB3677}">
      <text>
        <r>
          <rPr>
            <b/>
            <sz val="9"/>
            <color indexed="81"/>
            <rFont val="Tahoma"/>
            <family val="2"/>
          </rPr>
          <t>r0bis:</t>
        </r>
        <r>
          <rPr>
            <sz val="9"/>
            <color indexed="81"/>
            <rFont val="Tahoma"/>
            <family val="2"/>
          </rPr>
          <t xml:space="preserve">
Clinical 0.1, MBT 0.1, SCM 0.2, BUSR 0.1 ASS 0.1, CHK 0.1
TOTAL=0.7</t>
        </r>
      </text>
    </comment>
    <comment ref="T57" authorId="2" shapeId="0" xr:uid="{AC115F2F-8D06-4886-B0C8-73B6C04766C4}">
      <text>
        <r>
          <rPr>
            <b/>
            <sz val="9"/>
            <color indexed="81"/>
            <rFont val="Tahoma"/>
            <family val="2"/>
          </rPr>
          <t>r0bis:</t>
        </r>
        <r>
          <rPr>
            <sz val="9"/>
            <color indexed="81"/>
            <rFont val="Tahoma"/>
            <family val="2"/>
          </rPr>
          <t xml:space="preserve">
Clinical 0.2, MBT 0.1, SCM 0.2, BUSR 0.1 ASS 0.1, CHK 0.1
TOTAL=0.8
1 ReflPractice Meeting and 3 Balit groups</t>
        </r>
      </text>
    </comment>
    <comment ref="Y57" authorId="2" shapeId="0" xr:uid="{CBD1A606-4AC6-4E7C-8595-57AC5BC66493}">
      <text>
        <r>
          <rPr>
            <b/>
            <sz val="9"/>
            <color indexed="81"/>
            <rFont val="Tahoma"/>
            <family val="2"/>
          </rPr>
          <t>r0bis:</t>
        </r>
        <r>
          <rPr>
            <sz val="9"/>
            <color indexed="81"/>
            <rFont val="Tahoma"/>
            <family val="2"/>
          </rPr>
          <t xml:space="preserve">
Clinical 0.2, MBT 0.1, SCM 0.2, BUSR 0.1 ASS 0.1, CHK 0.1
TOTAL=0.8</t>
        </r>
      </text>
    </comment>
    <comment ref="B58" authorId="0" shapeId="0" xr:uid="{ECF90AE3-0AA8-4701-B26E-50EEE52A84D3}">
      <text>
        <r>
          <rPr>
            <b/>
            <sz val="9"/>
            <color indexed="81"/>
            <rFont val="Tahoma"/>
            <family val="2"/>
          </rPr>
          <t>Roberts Klotins:</t>
        </r>
        <r>
          <rPr>
            <sz val="9"/>
            <color indexed="81"/>
            <rFont val="Tahoma"/>
            <family val="2"/>
          </rPr>
          <t xml:space="preserve">
Teams invite, Meeting other professionals</t>
        </r>
      </text>
    </comment>
    <comment ref="Y59" authorId="1" shapeId="0" xr:uid="{77087582-4EE2-4682-9855-3DD0CB63B8DC}">
      <text>
        <r>
          <rPr>
            <b/>
            <sz val="9"/>
            <color indexed="81"/>
            <rFont val="Tahoma"/>
            <charset val="1"/>
          </rPr>
          <t>Roberts.Klotins:</t>
        </r>
        <r>
          <rPr>
            <sz val="9"/>
            <color indexed="81"/>
            <rFont val="Tahoma"/>
            <charset val="1"/>
          </rPr>
          <t xml:space="preserve">
for 2 hours a week to work on data or QI projects to gain experience in clinical governance relevant to their training</t>
        </r>
      </text>
    </comment>
    <comment ref="B64" authorId="0" shapeId="0" xr:uid="{B75E3E5A-A568-4177-947F-EBC9E0098511}">
      <text>
        <r>
          <rPr>
            <b/>
            <sz val="9"/>
            <color indexed="81"/>
            <rFont val="Tahoma"/>
            <family val="2"/>
          </rPr>
          <t>Roberts Klotins:</t>
        </r>
        <r>
          <rPr>
            <sz val="9"/>
            <color indexed="81"/>
            <rFont val="Tahoma"/>
            <family val="2"/>
          </rPr>
          <t xml:space="preserve">
</t>
        </r>
        <r>
          <rPr>
            <b/>
            <sz val="9"/>
            <color indexed="81"/>
            <rFont val="Tahoma"/>
            <family val="2"/>
          </rPr>
          <t>RiO note</t>
        </r>
        <r>
          <rPr>
            <sz val="9"/>
            <color indexed="81"/>
            <rFont val="Tahoma"/>
            <family val="2"/>
          </rPr>
          <t xml:space="preserve"> is short bulletpoint like. 
and process </t>
        </r>
        <r>
          <rPr>
            <b/>
            <sz val="9"/>
            <color indexed="81"/>
            <rFont val="Tahoma"/>
            <family val="2"/>
          </rPr>
          <t>note-log</t>
        </r>
        <r>
          <rPr>
            <sz val="9"/>
            <color indexed="81"/>
            <rFont val="Tahoma"/>
            <family val="2"/>
          </rPr>
          <t xml:space="preserve"> - to keep patient in mind over time (personal log).</t>
        </r>
      </text>
    </comment>
    <comment ref="B65" authorId="0" shapeId="0" xr:uid="{CC1D860C-59B1-4367-89DD-F7235BCA2073}">
      <text>
        <r>
          <rPr>
            <b/>
            <sz val="9"/>
            <color indexed="81"/>
            <rFont val="Tahoma"/>
            <family val="2"/>
          </rPr>
          <t>Roberts Klotins:</t>
        </r>
        <r>
          <rPr>
            <sz val="9"/>
            <color indexed="81"/>
            <rFont val="Tahoma"/>
            <family val="2"/>
          </rPr>
          <t xml:space="preserve">
Ideally this should be more frequent than every 2 months</t>
        </r>
      </text>
    </comment>
    <comment ref="B66" authorId="0" shapeId="0" xr:uid="{F86CB520-1E7D-43EF-8B59-8689FF5AD988}">
      <text>
        <r>
          <rPr>
            <b/>
            <sz val="9"/>
            <color indexed="81"/>
            <rFont val="Tahoma"/>
            <family val="2"/>
          </rPr>
          <t>Roberts Klotins:</t>
        </r>
        <r>
          <rPr>
            <sz val="9"/>
            <color indexed="81"/>
            <rFont val="Tahoma"/>
            <family val="2"/>
          </rPr>
          <t xml:space="preserve">
Ongoing evolving formulation
According to the model
and short letter to GP</t>
        </r>
      </text>
    </comment>
    <comment ref="B67" authorId="0" shapeId="0" xr:uid="{7020EBC5-5D85-456D-9106-DF0007EE09E7}">
      <text>
        <r>
          <rPr>
            <b/>
            <sz val="9"/>
            <color indexed="81"/>
            <rFont val="Tahoma"/>
            <family val="2"/>
          </rPr>
          <t>Roberts Klotins:</t>
        </r>
        <r>
          <rPr>
            <sz val="9"/>
            <color indexed="81"/>
            <rFont val="Tahoma"/>
            <family val="2"/>
          </rPr>
          <t xml:space="preserve">
Letters for the patient, telephone calls, liaising, phone calls to resolve ad-hoc problem
- letter to GP 3 x per tx
- returning patient phone calls
- letters for the patient
- KPIs
- if patient admitted
- if child protection conference 
* at the moment calculated as 15 every month</t>
        </r>
      </text>
    </comment>
    <comment ref="B69" authorId="0" shapeId="0" xr:uid="{2D8CCB32-0C90-409F-A2E5-BB1E140D13EA}">
      <text>
        <r>
          <rPr>
            <b/>
            <sz val="9"/>
            <color indexed="81"/>
            <rFont val="Tahoma"/>
            <family val="2"/>
          </rPr>
          <t>Roberts Klotins:
- update Risk assessment after review</t>
        </r>
        <r>
          <rPr>
            <sz val="9"/>
            <color indexed="81"/>
            <rFont val="Tahoma"/>
            <family val="2"/>
          </rPr>
          <t xml:space="preserve">
- formulation
- crisis plan (with the patient at the beginning of the therapy; in context of getting to know the patient; "My Crisis Plan")
- als trust risk assessment up to date - we can copy/paste our formulation and plan in there.
formulation and crisis plan should be done prior to group starting, ideally.</t>
        </r>
      </text>
    </comment>
    <comment ref="P76" authorId="0" shapeId="0" xr:uid="{00000000-0006-0000-0000-000006000000}">
      <text>
        <r>
          <rPr>
            <b/>
            <sz val="9"/>
            <color indexed="81"/>
            <rFont val="Tahoma"/>
            <family val="2"/>
          </rPr>
          <t xml:space="preserve">Roberts Klotins:
</t>
        </r>
        <r>
          <rPr>
            <sz val="9"/>
            <color indexed="81"/>
            <rFont val="Tahoma"/>
            <family val="2"/>
          </rPr>
          <t xml:space="preserve">Overall 2 sessions per week: 
that would be 7.5*60 * 4 *11
so per month (7.5*60*4)/1440
* 2 SHO Therapy group supervisions per week+admin (3.5 hrs/week), =3.5 * 4
* 1 Consultant Balint group per month (1 hr/mo), =1
* Teaching - 1 month every 6 months (4.5 hr delivery, 4 hour preparation - times 2 per year divided by 11 gives time per month); =(((4.5+4) * 2)/10)
* development of informational resources for trainees (4 hours a month) =4
* meeting other tutors inside trust (1 hour a month + action) =1 * 2
* meeting LFG - Tavi (1 hr every 2 months) =0.5
* Liaison with RCPsych faculty (1 hr a month  + action) =1.5
* overseeing short cases 0.5 hrs per week =0.5 * 4
* planning 1 hre per week =1
* CPD clinical =1 * 4
in hours per month time formatted then multiplied by months - actual time:
```
=((3.5*4)+1+(((4.5+4)*2)/10)+4+2+0.5+1.5+(0.5*4)+1+(1*4))*60/1440*Q70
```
in hours per week:
```
=((3.5*4)+1+(((4.5+4)*2)/10)+4+2+0.5+1.5+(0.5*4)+1+(1*4))/4
```
</t>
        </r>
      </text>
    </comment>
    <comment ref="H77" authorId="2" shapeId="0" xr:uid="{2BF317AE-9307-4E8F-8FDF-1D6AB79005F7}">
      <text>
        <r>
          <rPr>
            <b/>
            <sz val="9"/>
            <color indexed="81"/>
            <rFont val="Tahoma"/>
            <family val="2"/>
          </rPr>
          <t>r0bis:</t>
        </r>
        <r>
          <rPr>
            <sz val="9"/>
            <color indexed="81"/>
            <rFont val="Tahoma"/>
            <family val="2"/>
          </rPr>
          <t xml:space="preserve">
Meeting at 1 per week</t>
        </r>
      </text>
    </comment>
    <comment ref="P77" authorId="0" shapeId="0" xr:uid="{AD604084-3AF8-49E6-B53B-FD3EAE9A7EBE}">
      <text>
        <r>
          <rPr>
            <b/>
            <sz val="9"/>
            <color indexed="81"/>
            <rFont val="Tahoma"/>
            <family val="2"/>
          </rPr>
          <t xml:space="preserve">Roberts Klotins:
</t>
        </r>
        <r>
          <rPr>
            <sz val="9"/>
            <color indexed="81"/>
            <rFont val="Tahoma"/>
            <family val="2"/>
          </rPr>
          <t>Doctor supervision
2 trainees SpR and SHO each 1 supervision hour per week; 1 Staff-grade doctor supervision 1 hour every 2 weeks. Assessment Doctor Supervision 1 hour fortnightly:
```
=(1*4*2+2+2)*60/1440*Q62
=10*60/1440*Q62
```</t>
        </r>
      </text>
    </comment>
    <comment ref="P78" authorId="0" shapeId="0" xr:uid="{00000000-0006-0000-0000-000004000000}">
      <text>
        <r>
          <rPr>
            <b/>
            <sz val="9"/>
            <color indexed="81"/>
            <rFont val="Tahoma"/>
            <family val="2"/>
          </rPr>
          <t>Roberts Klotins:</t>
        </r>
        <r>
          <rPr>
            <sz val="9"/>
            <color indexed="81"/>
            <rFont val="Tahoma"/>
            <family val="2"/>
          </rPr>
          <t xml:space="preserve">
Roberts Klotins:
1 clinic a month (4 hours) + 1 meeting a week at 40 minutes.
=(4*60+4*40)/1440*Q59</t>
        </r>
      </text>
    </comment>
    <comment ref="T78" authorId="1" shapeId="0" xr:uid="{5342084B-E9E6-4DC7-A811-9840F43A965A}">
      <text>
        <r>
          <rPr>
            <b/>
            <sz val="9"/>
            <color indexed="81"/>
            <rFont val="Tahoma"/>
            <charset val="1"/>
          </rPr>
          <t>Roberts.Klotins:</t>
        </r>
        <r>
          <rPr>
            <sz val="9"/>
            <color indexed="81"/>
            <rFont val="Tahoma"/>
            <charset val="1"/>
          </rPr>
          <t xml:space="preserve">
36 days = 262.5 hours
</t>
        </r>
      </text>
    </comment>
    <comment ref="B79" authorId="0" shapeId="0" xr:uid="{8FF4C775-90D8-4737-9BBA-69DE1E2E0DAF}">
      <text>
        <r>
          <rPr>
            <b/>
            <sz val="9"/>
            <color indexed="81"/>
            <rFont val="Tahoma"/>
            <charset val="1"/>
          </rPr>
          <t>Roberts Klotins:</t>
        </r>
        <r>
          <rPr>
            <sz val="9"/>
            <color indexed="81"/>
            <rFont val="Tahoma"/>
            <charset val="1"/>
          </rPr>
          <t xml:space="preserve">
Every patient needs to be met prior to group starting</t>
        </r>
      </text>
    </comment>
    <comment ref="P79" authorId="0" shapeId="0" xr:uid="{00000000-0006-0000-0000-000005000000}">
      <text>
        <r>
          <rPr>
            <sz val="9"/>
            <color indexed="81"/>
            <rFont val="Tahoma"/>
            <family val="2"/>
          </rPr>
          <t>Roberts Klotins:
1 session a week
4h - that includes 1 40 minute meeting. So on average 3 hours clinical input a week</t>
        </r>
      </text>
    </comment>
    <comment ref="T79" authorId="1" shapeId="0" xr:uid="{B85741BE-4DE9-4313-9973-7A7650F5100F}">
      <text>
        <r>
          <rPr>
            <b/>
            <sz val="9"/>
            <color indexed="81"/>
            <rFont val="Tahoma"/>
            <charset val="1"/>
          </rPr>
          <t>Roberts.Klotins:</t>
        </r>
        <r>
          <rPr>
            <sz val="9"/>
            <color indexed="81"/>
            <rFont val="Tahoma"/>
            <charset val="1"/>
          </rPr>
          <t xml:space="preserve">
Thursdays (Sp-int) 
Mandatory</t>
        </r>
      </text>
    </comment>
    <comment ref="P80" authorId="2" shapeId="0" xr:uid="{6EC94BC5-0E15-4354-9946-1A2C616A0291}">
      <text>
        <r>
          <rPr>
            <b/>
            <sz val="9"/>
            <color indexed="81"/>
            <rFont val="Tahoma"/>
            <family val="2"/>
          </rPr>
          <t>r0bis:</t>
        </r>
        <r>
          <rPr>
            <sz val="9"/>
            <color indexed="81"/>
            <rFont val="Tahoma"/>
            <family val="2"/>
          </rPr>
          <t xml:space="preserve">
About 2 requests per year - one full day required per one</t>
        </r>
      </text>
    </comment>
    <comment ref="T80" authorId="1" shapeId="0" xr:uid="{B13BB1F1-5AA2-4B2B-A292-478D5523C5EC}">
      <text>
        <r>
          <rPr>
            <b/>
            <sz val="9"/>
            <color indexed="81"/>
            <rFont val="Tahoma"/>
            <charset val="1"/>
          </rPr>
          <t>Roberts.Klotins:</t>
        </r>
        <r>
          <rPr>
            <sz val="9"/>
            <color indexed="81"/>
            <rFont val="Tahoma"/>
            <charset val="1"/>
          </rPr>
          <t xml:space="preserve">
A/L and B/H already factored out of available hours per year. Therefore only S/L</t>
        </r>
      </text>
    </comment>
    <comment ref="Y81" authorId="1" shapeId="0" xr:uid="{A260246C-2276-499B-ABD4-1B21A86E3F99}">
      <text>
        <r>
          <rPr>
            <b/>
            <sz val="9"/>
            <color indexed="81"/>
            <rFont val="Tahoma"/>
            <charset val="1"/>
          </rPr>
          <t>Roberts.Klotins:</t>
        </r>
        <r>
          <rPr>
            <sz val="9"/>
            <color indexed="81"/>
            <rFont val="Tahoma"/>
            <charset val="1"/>
          </rPr>
          <t xml:space="preserve">
Local Teaching
MRCPsych teaching
Mandatory training (one day)</t>
        </r>
      </text>
    </comment>
    <comment ref="J86" authorId="0" shapeId="0" xr:uid="{3CEA25ED-8C30-4794-A32F-35DA2C24FC7F}">
      <text>
        <r>
          <rPr>
            <b/>
            <sz val="9"/>
            <color indexed="81"/>
            <rFont val="Tahoma"/>
            <family val="2"/>
          </rPr>
          <t xml:space="preserve">Roberts Klotins: NR of Clinicians
default = 1
Nr of GENERIC Clinicians
</t>
        </r>
        <r>
          <rPr>
            <sz val="9"/>
            <color indexed="81"/>
            <rFont val="Tahoma"/>
            <family val="2"/>
          </rPr>
          <t>-&gt; If we plan for individual (e.g. Christina) this number will always be 1
This field is number of times we employ a generic clinician. It is useful if we had let's say 5 clinician boxes instead of 16. We could plan for a general clinican with particular workload and put number 3 there - which means we will employ 3 such clinicans. The last column in the clincian box (the one with grey numbers) shows output we get from 1 or more clinicians - depending on the number in this cell.
NB: It would not make much sense to make this number less than one. It is better then to have several boxes and enter part time WTEs</t>
        </r>
      </text>
    </comment>
    <comment ref="K86" authorId="0" shapeId="0" xr:uid="{311BCAA8-CF48-4136-863F-32C4B43FC5AF}">
      <text>
        <r>
          <rPr>
            <b/>
            <sz val="9"/>
            <color indexed="81"/>
            <rFont val="Tahoma"/>
            <family val="2"/>
          </rPr>
          <t xml:space="preserve">Roberts Klotins:  EMPLOYED WTE
default = 1
</t>
        </r>
        <r>
          <rPr>
            <sz val="9"/>
            <color indexed="81"/>
            <rFont val="Tahoma"/>
            <family val="2"/>
          </rPr>
          <t xml:space="preserve">
This number means WTE (same as FTE) 
   1 = full time (1 WTE)
   0.8 is 4 days a week (= 8 sessions),
   0.5 is 2.5 days a week (5 sessions) - e.t.c.
It is used in adjusting the hours planned colour thresholds. It is also used to account accurately how many WTEs we have as a team. It still may not reflect fully the clinical time available - a clinician may be employed at 1 but only have about 0.3 of that time available for clinical work.
</t>
        </r>
      </text>
    </comment>
    <comment ref="J87" authorId="0" shapeId="0" xr:uid="{750DFCA4-021C-4D66-90FA-9FD61F8526F0}">
      <text>
        <r>
          <rPr>
            <b/>
            <sz val="9"/>
            <color indexed="81"/>
            <rFont val="Tahoma"/>
            <family val="2"/>
          </rPr>
          <t xml:space="preserve">Roberts Klotins:  Time Planned
sum of hours in this clinician box
</t>
        </r>
        <r>
          <rPr>
            <sz val="9"/>
            <color indexed="81"/>
            <rFont val="Tahoma"/>
            <family val="2"/>
          </rPr>
          <t xml:space="preserve">
This number is sum of time required for this clinican to perform the planned number of activities per year. </t>
        </r>
        <r>
          <rPr>
            <b/>
            <sz val="9"/>
            <color indexed="81"/>
            <rFont val="Tahoma"/>
            <family val="2"/>
          </rPr>
          <t>Green</t>
        </r>
        <r>
          <rPr>
            <sz val="9"/>
            <color indexed="81"/>
            <rFont val="Tahoma"/>
            <family val="2"/>
          </rPr>
          <t xml:space="preserve"> is if very close to optimal range, otherwise </t>
        </r>
        <r>
          <rPr>
            <b/>
            <sz val="9"/>
            <color indexed="81"/>
            <rFont val="Tahoma"/>
            <family val="2"/>
          </rPr>
          <t>yellow</t>
        </r>
        <r>
          <rPr>
            <sz val="9"/>
            <color indexed="81"/>
            <rFont val="Tahoma"/>
            <family val="2"/>
          </rPr>
          <t xml:space="preserve"> (it means has hours available), if overshoots by 0.2% then </t>
        </r>
        <r>
          <rPr>
            <b/>
            <sz val="9"/>
            <color indexed="81"/>
            <rFont val="Tahoma"/>
            <family val="2"/>
          </rPr>
          <t>red</t>
        </r>
        <r>
          <rPr>
            <sz val="9"/>
            <color indexed="81"/>
            <rFont val="Tahoma"/>
            <family val="2"/>
          </rPr>
          <t>. 
Red means we are planning to overwork this clinician for more than the contracted hours.</t>
        </r>
      </text>
    </comment>
    <comment ref="K87" authorId="2" shapeId="0" xr:uid="{EB3CF47D-2782-44C9-ADEE-E96F2BFE92DC}">
      <text>
        <r>
          <rPr>
            <b/>
            <sz val="9"/>
            <color indexed="81"/>
            <rFont val="Tahoma"/>
            <family val="2"/>
          </rPr>
          <t>r0bis: Hours available at WTE</t>
        </r>
        <r>
          <rPr>
            <sz val="9"/>
            <color indexed="81"/>
            <rFont val="Tahoma"/>
            <family val="2"/>
          </rPr>
          <t xml:space="preserve">
This is just for comparison with the value to the left. If the value to the left (Time Planned) is red - we can then easily see why it is red. We can also see by how many hours we have to reduce our plans to make it green.</t>
        </r>
      </text>
    </comment>
    <comment ref="H88" authorId="2" shapeId="0" xr:uid="{6397A1C7-3325-49CF-8A2E-61B0E5106389}">
      <text>
        <r>
          <rPr>
            <b/>
            <sz val="9"/>
            <color indexed="81"/>
            <rFont val="Tahoma"/>
            <charset val="1"/>
          </rPr>
          <t>r0bis:</t>
        </r>
        <r>
          <rPr>
            <sz val="9"/>
            <color indexed="81"/>
            <rFont val="Tahoma"/>
            <charset val="1"/>
          </rPr>
          <t xml:space="preserve">
Justyna does not go to all meetings. Goes to Main(0.2), Busi/RP(0.1), MBT-SVx2(0.2), Check-In(0.1), AssessmentWKS(0.2)
So all in all she does 0.8 meetings because she skips only SCM.
</t>
        </r>
      </text>
    </comment>
    <comment ref="M88" authorId="1" shapeId="0" xr:uid="{3703B65C-F120-4EFE-B98D-B23FC760E46B}">
      <text>
        <r>
          <rPr>
            <b/>
            <sz val="9"/>
            <color indexed="81"/>
            <rFont val="Tahoma"/>
            <charset val="1"/>
          </rPr>
          <t>Roberts.Klotins:</t>
        </r>
        <r>
          <rPr>
            <sz val="9"/>
            <color indexed="81"/>
            <rFont val="Tahoma"/>
            <charset val="1"/>
          </rPr>
          <t xml:space="preserve">
SK said she cannot attend all the meetings due to workload
</t>
        </r>
      </text>
    </comment>
    <comment ref="F94" authorId="0" shapeId="0" xr:uid="{D028871D-DD0D-4B10-ACE9-A8B2C9416AB2}">
      <text>
        <r>
          <rPr>
            <b/>
            <sz val="9"/>
            <color indexed="81"/>
            <rFont val="Tahoma"/>
            <charset val="1"/>
          </rPr>
          <t>Roberts Klotins:</t>
        </r>
        <r>
          <rPr>
            <sz val="9"/>
            <color indexed="81"/>
            <rFont val="Tahoma"/>
            <charset val="1"/>
          </rPr>
          <t xml:space="preserve">
Waiting list group is not currently running. 
If it were running it would be along the lines of slow open model - with about 40 sessions provided per year.</t>
        </r>
      </text>
    </comment>
    <comment ref="H102" authorId="2" shapeId="0" xr:uid="{5E60257E-44EA-4BFB-AAFB-111720ACD83A}">
      <text>
        <r>
          <rPr>
            <b/>
            <sz val="9"/>
            <color indexed="81"/>
            <rFont val="Tahoma"/>
            <family val="2"/>
          </rPr>
          <t>r0bis:</t>
        </r>
        <r>
          <rPr>
            <sz val="9"/>
            <color indexed="81"/>
            <rFont val="Tahoma"/>
            <family val="2"/>
          </rPr>
          <t xml:space="preserve">
We really need to define what being key-clinician will mean - especially in the light of the drive for each patient to have one.</t>
        </r>
      </text>
    </comment>
    <comment ref="J112" authorId="0" shapeId="0" xr:uid="{8B77CFF2-90C5-4EAA-8CD5-D41B6F4CA88B}">
      <text>
        <r>
          <rPr>
            <b/>
            <sz val="9"/>
            <color indexed="81"/>
            <rFont val="Tahoma"/>
            <family val="2"/>
          </rPr>
          <t xml:space="preserve">Roberts Klotins: NR of Clinicians
default = 1
Nr of GENERIC Clinicians
</t>
        </r>
        <r>
          <rPr>
            <sz val="9"/>
            <color indexed="81"/>
            <rFont val="Tahoma"/>
            <family val="2"/>
          </rPr>
          <t>-&gt; If we plan for individual (e.g. Christina) this number will always be 1
This field is number of times we employ a generic clinician. It is useful if we had let's say 5 clinician boxes instead of 16. We could plan for a general clinican with particular workload and put number 3 there - which means we will employ 3 such clinicans. The last column in the clincian box (the one with grey numbers) shows output we get from 1 or more clinicians - depending on the number in this cell.
NB: It would not make much sense to make this number less than one. It is better then to have several boxes and enter part time WTEs</t>
        </r>
      </text>
    </comment>
    <comment ref="K112" authorId="0" shapeId="0" xr:uid="{E0FA3861-6531-4AAE-A357-50C22475C66E}">
      <text>
        <r>
          <rPr>
            <b/>
            <sz val="9"/>
            <color indexed="81"/>
            <rFont val="Tahoma"/>
            <family val="2"/>
          </rPr>
          <t xml:space="preserve">Roberts Klotins:  EMPLOYED WTE
default = 1
</t>
        </r>
        <r>
          <rPr>
            <sz val="9"/>
            <color indexed="81"/>
            <rFont val="Tahoma"/>
            <family val="2"/>
          </rPr>
          <t xml:space="preserve">
This number means WTE (same as FTE) 
   1 = full time (1 WTE)
   0.8 is 4 days a week (= 8 sessions),
   0.5 is 2.5 days a week (5 sessions) - e.t.c.
It is used in adjusting the hours planned colour thresholds. It is also used to account accurately how many WTEs we have as a team. It still may not reflect fully the clinical time available - a clinician may be employed at 1 but only have about 0.3 of that time available for clinical work.
</t>
        </r>
      </text>
    </comment>
    <comment ref="J113" authorId="0" shapeId="0" xr:uid="{2E40BDBB-9A6D-41C1-88BD-D7D1405B83A8}">
      <text>
        <r>
          <rPr>
            <b/>
            <sz val="9"/>
            <color indexed="81"/>
            <rFont val="Tahoma"/>
            <family val="2"/>
          </rPr>
          <t xml:space="preserve">Roberts Klotins:  Time Planned
sum of hours in this clinician box
</t>
        </r>
        <r>
          <rPr>
            <sz val="9"/>
            <color indexed="81"/>
            <rFont val="Tahoma"/>
            <family val="2"/>
          </rPr>
          <t xml:space="preserve">
This number is sum of time required for this clinican to perform the planned number of activities per year. </t>
        </r>
        <r>
          <rPr>
            <b/>
            <sz val="9"/>
            <color indexed="81"/>
            <rFont val="Tahoma"/>
            <family val="2"/>
          </rPr>
          <t>Green</t>
        </r>
        <r>
          <rPr>
            <sz val="9"/>
            <color indexed="81"/>
            <rFont val="Tahoma"/>
            <family val="2"/>
          </rPr>
          <t xml:space="preserve"> is if very close to optimal range, otherwise </t>
        </r>
        <r>
          <rPr>
            <b/>
            <sz val="9"/>
            <color indexed="81"/>
            <rFont val="Tahoma"/>
            <family val="2"/>
          </rPr>
          <t>yellow</t>
        </r>
        <r>
          <rPr>
            <sz val="9"/>
            <color indexed="81"/>
            <rFont val="Tahoma"/>
            <family val="2"/>
          </rPr>
          <t xml:space="preserve"> (it means has hours available), if overshoots by 0.2% then </t>
        </r>
        <r>
          <rPr>
            <b/>
            <sz val="9"/>
            <color indexed="81"/>
            <rFont val="Tahoma"/>
            <family val="2"/>
          </rPr>
          <t>red</t>
        </r>
        <r>
          <rPr>
            <sz val="9"/>
            <color indexed="81"/>
            <rFont val="Tahoma"/>
            <family val="2"/>
          </rPr>
          <t>. 
Red means we are planning to overwork this clinician for more than the contracted hours.</t>
        </r>
      </text>
    </comment>
    <comment ref="K113" authorId="2" shapeId="0" xr:uid="{8F2F0A1D-7671-4CAA-A6A9-E7DA9D49FE22}">
      <text>
        <r>
          <rPr>
            <b/>
            <sz val="9"/>
            <color indexed="81"/>
            <rFont val="Tahoma"/>
            <family val="2"/>
          </rPr>
          <t>r0bis: Hours available at WTE</t>
        </r>
        <r>
          <rPr>
            <sz val="9"/>
            <color indexed="81"/>
            <rFont val="Tahoma"/>
            <family val="2"/>
          </rPr>
          <t xml:space="preserve">
This is just for comparison with the value to the left. If the value to the left (Time Planned) is red - we can then easily see why it is red. We can also see by how many hours we have to reduce our plans to make it green.</t>
        </r>
      </text>
    </comment>
    <comment ref="H114" authorId="2" shapeId="0" xr:uid="{7FFA9F5C-B6EB-44EB-AA4A-3E2B5DB579E4}">
      <text>
        <r>
          <rPr>
            <b/>
            <sz val="9"/>
            <color indexed="81"/>
            <rFont val="Tahoma"/>
            <charset val="1"/>
          </rPr>
          <t>r0bis:</t>
        </r>
        <r>
          <rPr>
            <sz val="9"/>
            <color indexed="81"/>
            <rFont val="Tahoma"/>
            <charset val="1"/>
          </rPr>
          <t xml:space="preserve">
Justyna does not go to all meetings. Goes to Main(0.2), Busi/RP(0.1), MBT-SVx2(0.2), Check-In(0.1), AssessmentWKS(0.2)
So all in all she does 0.8 meetings because she skips only SCM.
</t>
        </r>
      </text>
    </comment>
    <comment ref="B116" authorId="0" shapeId="0" xr:uid="{05F14171-8478-4479-B79F-EA8FC3A71DBB}">
      <text>
        <r>
          <rPr>
            <b/>
            <sz val="9"/>
            <color indexed="81"/>
            <rFont val="Tahoma"/>
            <charset val="1"/>
          </rPr>
          <t>Roberts Klotins:</t>
        </r>
        <r>
          <rPr>
            <sz val="9"/>
            <color indexed="81"/>
            <rFont val="Tahoma"/>
            <charset val="1"/>
          </rPr>
          <t xml:space="preserve">
About 70% liaison cases come from CRHTT and 30% from wards
- CRHTT usually is joint visit - which takes travel time and joint assessment time
- ward involves going to the ward
- timeings obtained from SK</t>
        </r>
      </text>
    </comment>
    <comment ref="F116" authorId="0" shapeId="0" xr:uid="{DF7EE46C-46DA-4F30-9115-D6025C564EF6}">
      <text>
        <r>
          <rPr>
            <b/>
            <sz val="9"/>
            <color indexed="81"/>
            <rFont val="Tahoma"/>
            <charset val="1"/>
          </rPr>
          <t>Roberts Klotins:</t>
        </r>
        <r>
          <rPr>
            <sz val="9"/>
            <color indexed="81"/>
            <rFont val="Tahoma"/>
            <charset val="1"/>
          </rPr>
          <t xml:space="preserve">
70% Liaison cases come from CRHTT
30% from Wards
in 55% of a full assessment will be needed (of all Liaison cases)
F2F contact is estimated based on regular assessments and SCID assessments. Should be about right. NB this one is manual estimate F2F</t>
        </r>
      </text>
    </comment>
    <comment ref="B119" authorId="0" shapeId="0" xr:uid="{92B0A18D-CD73-475F-B864-93DA0103B242}">
      <text>
        <r>
          <rPr>
            <b/>
            <sz val="9"/>
            <color indexed="81"/>
            <rFont val="Tahoma"/>
            <charset val="1"/>
          </rPr>
          <t>Roberts Klotins:</t>
        </r>
        <r>
          <rPr>
            <sz val="9"/>
            <color indexed="81"/>
            <rFont val="Tahoma"/>
            <charset val="1"/>
          </rPr>
          <t xml:space="preserve">
55% of liaison cases result in a full assessment - when the case is taken on.
- this is why an assessment episode time is multiplied by 1440 - to obtain minutes suitable for this column. 
- these minutes then are multipolied by 0.55</t>
        </r>
      </text>
    </comment>
    <comment ref="B124" authorId="0" shapeId="0" xr:uid="{D696152C-6283-469E-AB48-08C93308C118}">
      <text>
        <r>
          <rPr>
            <b/>
            <sz val="9"/>
            <color indexed="81"/>
            <rFont val="Tahoma"/>
            <charset val="1"/>
          </rPr>
          <t>Roberts Klotins:</t>
        </r>
        <r>
          <rPr>
            <sz val="9"/>
            <color indexed="81"/>
            <rFont val="Tahoma"/>
            <charset val="1"/>
          </rPr>
          <t xml:space="preserve">
Key clinician does some individual work? What is the new model of key clinician?
At the moment it is just contact every month, writing letters. How does this work, if we want to channel individual work into SCM?</t>
        </r>
      </text>
    </comment>
    <comment ref="H128" authorId="2" shapeId="0" xr:uid="{40ABDD4A-2AFB-4A69-8183-2B31F7F8EFBB}">
      <text>
        <r>
          <rPr>
            <b/>
            <sz val="9"/>
            <color indexed="81"/>
            <rFont val="Tahoma"/>
            <family val="2"/>
          </rPr>
          <t>r0bis:</t>
        </r>
        <r>
          <rPr>
            <sz val="9"/>
            <color indexed="81"/>
            <rFont val="Tahoma"/>
            <family val="2"/>
          </rPr>
          <t xml:space="preserve">
We really need to define what being key-clinician will mean - especially in the light of the drive for each patient to have one.</t>
        </r>
      </text>
    </comment>
    <comment ref="B131" authorId="1" shapeId="0" xr:uid="{81745D1A-B458-45F9-9E7C-647A1A743377}">
      <text>
        <r>
          <rPr>
            <b/>
            <sz val="9"/>
            <color indexed="81"/>
            <rFont val="Tahoma"/>
            <charset val="1"/>
          </rPr>
          <t>Roberts.Klotins:</t>
        </r>
        <r>
          <rPr>
            <sz val="9"/>
            <color indexed="81"/>
            <rFont val="Tahoma"/>
            <charset val="1"/>
          </rPr>
          <t xml:space="preserve">
This is hard to quantify. Maybe there is 
- a meeting with the client at home - at least 2 hours twice a month * 10 months - is about 60 min * 20
- writing up each meeting, taking necessary action about 40 min * 20
</t>
        </r>
      </text>
    </comment>
    <comment ref="B138" authorId="0" shapeId="0" xr:uid="{DE307FF2-8536-46AE-9DD6-66000E28318D}">
      <text>
        <r>
          <rPr>
            <b/>
            <sz val="9"/>
            <color indexed="81"/>
            <rFont val="Tahoma"/>
            <family val="2"/>
          </rPr>
          <t>Roberts Klotins:</t>
        </r>
        <r>
          <rPr>
            <sz val="9"/>
            <color indexed="81"/>
            <rFont val="Tahoma"/>
            <family val="2"/>
          </rPr>
          <t xml:space="preserve">
If more info needed we could ask locality team to contact the patient and provide more information. But this might not work well. Downside - what is the quality of the information.
In doing this you are already getting into something. Which tends to spend time.
Screening is important - it is a perimeter/boundary.
* CRHT - if they decide it is PD, then Locality team decides on basis of CRHT decision. So things are a bit problematic in terms of quality of information. </t>
        </r>
      </text>
    </comment>
    <comment ref="B142" authorId="0" shapeId="0" xr:uid="{F7E2D135-F101-48BE-BB85-1ABAF22B83FF}">
      <text>
        <r>
          <rPr>
            <b/>
            <sz val="9"/>
            <color indexed="81"/>
            <rFont val="Tahoma"/>
            <family val="2"/>
          </rPr>
          <t>Roberts Klotins:</t>
        </r>
        <r>
          <rPr>
            <sz val="9"/>
            <color indexed="81"/>
            <rFont val="Tahoma"/>
            <family val="2"/>
          </rPr>
          <t xml:space="preserve">
Writing what can help the team to possibly discharge the patient, or make a decision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Roberts Klotins</author>
  </authors>
  <commentList>
    <comment ref="E5" authorId="0" shapeId="0" xr:uid="{2D22E294-1F43-4D57-9DBF-A9C7C9F62F0B}">
      <text>
        <r>
          <rPr>
            <b/>
            <sz val="9"/>
            <color indexed="81"/>
            <rFont val="Tahoma"/>
            <charset val="1"/>
          </rPr>
          <t>Roberts Klotins:</t>
        </r>
        <r>
          <rPr>
            <sz val="9"/>
            <color indexed="81"/>
            <rFont val="Tahoma"/>
            <charset val="1"/>
          </rPr>
          <t xml:space="preserve">
Assessment capacity is double edged. If we take all we can become an assessment only service. Perhaps optimal capacity would be 4 assessments per week = 208 assessments per year. At the moment it seems we get roughly 20 per month - i.e. 240 per year.</t>
        </r>
      </text>
    </comment>
  </commentList>
</comments>
</file>

<file path=xl/sharedStrings.xml><?xml version="1.0" encoding="utf-8"?>
<sst xmlns="http://schemas.openxmlformats.org/spreadsheetml/2006/main" count="810" uniqueCount="425">
  <si>
    <t>INTERVENTIONS</t>
  </si>
  <si>
    <t>TIME AVAILABLE PER PERSON PER YEAR</t>
  </si>
  <si>
    <t>DEMAND &amp; SUPPLY OF CLINICAL INTERVENTIONS</t>
  </si>
  <si>
    <t>NHS time = 37.5 h/week with 8 bank holidays and 33 days annual leave</t>
  </si>
  <si>
    <t>SUPPLY - DEMAND</t>
  </si>
  <si>
    <t>* Supervision to be factored in? For staff, individual?</t>
  </si>
  <si>
    <t>Per Person</t>
  </si>
  <si>
    <t>Working time availability for full time workers per year</t>
  </si>
  <si>
    <t>group factor is number of patients in a group</t>
  </si>
  <si>
    <t>PPL</t>
  </si>
  <si>
    <t>Intervention Parts</t>
  </si>
  <si>
    <t>Minutes</t>
  </si>
  <si>
    <t>Number</t>
  </si>
  <si>
    <t>TIME-SUM</t>
  </si>
  <si>
    <t>TYPE</t>
  </si>
  <si>
    <t>Weekly NECESSITIES</t>
  </si>
  <si>
    <t>HOURS / YR</t>
  </si>
  <si>
    <t>HRS/wk</t>
  </si>
  <si>
    <t>WEEKS / YR</t>
  </si>
  <si>
    <t>HOURS</t>
  </si>
  <si>
    <t>clin factor is number of clinicans in a group</t>
  </si>
  <si>
    <t>SCM-IND-Contact</t>
  </si>
  <si>
    <t>ONE-EP</t>
  </si>
  <si>
    <t>SCM-SV</t>
  </si>
  <si>
    <t>SCM-IND-Contact-write</t>
  </si>
  <si>
    <t>ASSMT-wrkshop</t>
  </si>
  <si>
    <t>Min: with all holidays and vacation</t>
  </si>
  <si>
    <t>Time4One</t>
  </si>
  <si>
    <t>GRP-FCT-PT</t>
  </si>
  <si>
    <t>INTERV</t>
  </si>
  <si>
    <t>DEMAND</t>
  </si>
  <si>
    <t>AVAILABLE</t>
  </si>
  <si>
    <t>SCM-IND-Summary</t>
  </si>
  <si>
    <t>MEETING-Clinical</t>
  </si>
  <si>
    <t>Screening-IND</t>
  </si>
  <si>
    <t>SCM-IND-Phone</t>
  </si>
  <si>
    <t>MBT-SV</t>
  </si>
  <si>
    <t>ASSMT</t>
  </si>
  <si>
    <t>SCM-IND-Phone-write</t>
  </si>
  <si>
    <t>Check-In</t>
  </si>
  <si>
    <t>NHS</t>
  </si>
  <si>
    <t>see hour count below</t>
  </si>
  <si>
    <t>ASSMT-SCID</t>
  </si>
  <si>
    <t>SCM-IND-Supervision-write</t>
  </si>
  <si>
    <t>Business/Reflection</t>
  </si>
  <si>
    <t>SCM-IND</t>
  </si>
  <si>
    <t>SCM-IND-Review</t>
  </si>
  <si>
    <t xml:space="preserve">Emergency Work </t>
  </si>
  <si>
    <t>NHS week is 37.5 hours - with five half-hour lunchbreaks</t>
  </si>
  <si>
    <t>SCM-GRP</t>
  </si>
  <si>
    <t>SCM-IND-RiskAssessment</t>
  </si>
  <si>
    <t>E-mail Routine</t>
  </si>
  <si>
    <t>MBT-IND</t>
  </si>
  <si>
    <t>SCM-IND-Admin</t>
  </si>
  <si>
    <t>ONE-EP = discrete episode</t>
  </si>
  <si>
    <t>MBT-GRP</t>
  </si>
  <si>
    <t>?Care Plan/Other RiO</t>
  </si>
  <si>
    <t>ONE-EP-YEAR means single episode in a year (MBT)</t>
  </si>
  <si>
    <t>CPD</t>
  </si>
  <si>
    <t>MBTI-GRP</t>
  </si>
  <si>
    <t>what is included in the Admin?</t>
  </si>
  <si>
    <t>YEARLY = slow open group type work</t>
  </si>
  <si>
    <t>Clinical Governance</t>
  </si>
  <si>
    <t>LIAISON-IND</t>
  </si>
  <si>
    <t>Away Day</t>
  </si>
  <si>
    <t>CONS-GRP</t>
  </si>
  <si>
    <t>persons</t>
  </si>
  <si>
    <t>WAITL-GRP</t>
  </si>
  <si>
    <t>ASSMT-Contact</t>
  </si>
  <si>
    <t>SUM MEETINGS</t>
  </si>
  <si>
    <t>KeyCLIN-IND</t>
  </si>
  <si>
    <t>ASSMT-preRead</t>
  </si>
  <si>
    <t>SUM ONGOING</t>
  </si>
  <si>
    <t>WTEs</t>
  </si>
  <si>
    <t>CareCoord-IND</t>
  </si>
  <si>
    <t>ASSMT-Contact-write</t>
  </si>
  <si>
    <t>SUM DEVELOPMENT</t>
  </si>
  <si>
    <t>.</t>
  </si>
  <si>
    <t>MEDRV</t>
  </si>
  <si>
    <t>ASSMT-Report</t>
  </si>
  <si>
    <t>MEDRVMBT</t>
  </si>
  <si>
    <t>ASSMT- RiskAssessment</t>
  </si>
  <si>
    <t>ASSMT-Admin-ifYES</t>
  </si>
  <si>
    <t>MBT THER</t>
  </si>
  <si>
    <t>CAT THER</t>
  </si>
  <si>
    <t>INDIVIDUAL THER</t>
  </si>
  <si>
    <t>ASSMT-Admin-ifNO</t>
  </si>
  <si>
    <t>Meetings</t>
  </si>
  <si>
    <t>MEDRV-Contact</t>
  </si>
  <si>
    <t>Ongoing Work</t>
  </si>
  <si>
    <t>MEDRV-Contact-write</t>
  </si>
  <si>
    <t>Development</t>
  </si>
  <si>
    <t>MEDRV-Admin</t>
  </si>
  <si>
    <t>MEDRV-Followup</t>
  </si>
  <si>
    <t>SCM-GRP-Contact</t>
  </si>
  <si>
    <t>SCM-GRP-Contact-write</t>
  </si>
  <si>
    <t>SCM-GRP-SV-write</t>
  </si>
  <si>
    <t>SCM-GRP-RiskAssessment</t>
  </si>
  <si>
    <t>SCM-GRP-Summary</t>
  </si>
  <si>
    <t>MBT-GRP-Contact</t>
  </si>
  <si>
    <t>YEARLY</t>
  </si>
  <si>
    <t>MBT-GRP-Contact-write</t>
  </si>
  <si>
    <t>MBT-GRP-SV-write</t>
  </si>
  <si>
    <t>MBT-GRP-Prepare-Pre-Post</t>
  </si>
  <si>
    <t>MBT-GRP-Summary</t>
  </si>
  <si>
    <t>MBT-GRP-Review</t>
  </si>
  <si>
    <t>MBT-GRP-Other</t>
  </si>
  <si>
    <t>MBT-IND-Contact</t>
  </si>
  <si>
    <t>ONE-EP-YEAR</t>
  </si>
  <si>
    <t>MBT-IND-Contact-write</t>
  </si>
  <si>
    <t>MBT-IND-SV-write</t>
  </si>
  <si>
    <t>MBT-IND-Summary-Formulation</t>
  </si>
  <si>
    <t>MBT-IND-Admin</t>
  </si>
  <si>
    <t>MBT-IND-Banked</t>
  </si>
  <si>
    <t>MBT-IND-RiskAssessment</t>
  </si>
  <si>
    <t>MBT-IND-Review</t>
  </si>
  <si>
    <t>MBTI-GRP-Contact</t>
  </si>
  <si>
    <t>MBTI-GRP-Contact-write</t>
  </si>
  <si>
    <t>MBTI-GRP-SV-write</t>
  </si>
  <si>
    <t>MBTI-GRP-Prepare</t>
  </si>
  <si>
    <t>MBTI-GRP-RiskAssessment</t>
  </si>
  <si>
    <t>MBTI-GRP-Admin</t>
  </si>
  <si>
    <t>WAITL-GRP-Contact</t>
  </si>
  <si>
    <t>WAITL-GRP-Contact-write</t>
  </si>
  <si>
    <t>WAITL-GRP-SV-write</t>
  </si>
  <si>
    <t>WAITL-GRP-Prepare</t>
  </si>
  <si>
    <t>WAITL-GRP-Summary</t>
  </si>
  <si>
    <t>IND-SV</t>
  </si>
  <si>
    <t>Consultations</t>
  </si>
  <si>
    <t>WAITL-GRP-RiskAssessment</t>
  </si>
  <si>
    <t>PSYTH-Tutor</t>
  </si>
  <si>
    <t>WAITL-GRP-Admin</t>
  </si>
  <si>
    <t>TRUST-meeting</t>
  </si>
  <si>
    <t>DR-SV-months</t>
  </si>
  <si>
    <t>SUI-Invest</t>
  </si>
  <si>
    <t>PTSD-input</t>
  </si>
  <si>
    <t>On-Call Loss</t>
  </si>
  <si>
    <t>MAP-input</t>
  </si>
  <si>
    <t>CONS-GRP-Contact</t>
  </si>
  <si>
    <t>COR-RPT</t>
  </si>
  <si>
    <t>CONS-GRP-Contact-write</t>
  </si>
  <si>
    <t>CONS-GRP-SV-write</t>
  </si>
  <si>
    <t>CONS-GRP-Prepare</t>
  </si>
  <si>
    <t>CONS-GRP-Summary</t>
  </si>
  <si>
    <t>CONS-GRP-RiskAssessment</t>
  </si>
  <si>
    <t>CONS-GRP-Admin</t>
  </si>
  <si>
    <t>OT IN PD</t>
  </si>
  <si>
    <t>LIAISON PD</t>
  </si>
  <si>
    <t>LIAISON-Admin</t>
  </si>
  <si>
    <t>ASSMT-SCID-Contact</t>
  </si>
  <si>
    <t>ASSMT-SCID-preRead</t>
  </si>
  <si>
    <t>ASSMT-SCID-Contact-write</t>
  </si>
  <si>
    <t>KEYCLIN-IND-Contact</t>
  </si>
  <si>
    <t>KEYCLIN-IND-Contact-write</t>
  </si>
  <si>
    <t>KEYCLIN-IND-Summary</t>
  </si>
  <si>
    <t>KEYCLIN-IND-RiskAssessment</t>
  </si>
  <si>
    <t>KEYCLIN-IND-Admin</t>
  </si>
  <si>
    <t>CCOORD-IND-Contact</t>
  </si>
  <si>
    <t>CCOORD-IND-Contact-write</t>
  </si>
  <si>
    <t>CCORD-IND-Summary</t>
  </si>
  <si>
    <t>CCOORD-IND-RiskAssessment</t>
  </si>
  <si>
    <t>CCOORD-IND-Admin</t>
  </si>
  <si>
    <t xml:space="preserve">Therapist-16: </t>
  </si>
  <si>
    <t>Therapist-17:</t>
  </si>
  <si>
    <t>MEDRV-MBT-Contact</t>
  </si>
  <si>
    <t>MEDRV-MBT-Contact-write</t>
  </si>
  <si>
    <t>MEDRV-MBT-Admin</t>
  </si>
  <si>
    <t>MEDRV-MBT-Followup</t>
  </si>
  <si>
    <t>MEDRV-MBT-Followup-write</t>
  </si>
  <si>
    <t>SCREENING-Contact</t>
  </si>
  <si>
    <t>SCREENING-Contact-write</t>
  </si>
  <si>
    <t>SCREENING-Admin-ifYES</t>
  </si>
  <si>
    <t>SCREENING-Research-Reading</t>
  </si>
  <si>
    <t>SCREENING-Admin-ifNO</t>
  </si>
  <si>
    <t>SCREENING-Contact-Profs</t>
  </si>
  <si>
    <t>Issue of quality of assessment</t>
  </si>
  <si>
    <t>SCREENING-Followup-Profs</t>
  </si>
  <si>
    <t>medications ongoing</t>
  </si>
  <si>
    <t>previous physical health diagnosis</t>
  </si>
  <si>
    <t>people with physical addiction in past</t>
  </si>
  <si>
    <t>serious overdoses or serious self-neglect</t>
  </si>
  <si>
    <t>Coordination of waiting lists</t>
  </si>
  <si>
    <t>LIAISON-INIT-CRHTT</t>
  </si>
  <si>
    <t>LIAISON-INIT-Ward</t>
  </si>
  <si>
    <t>LIAISON-INIT-Read</t>
  </si>
  <si>
    <t>LIAISON- Assessment</t>
  </si>
  <si>
    <t>minutes get converted into hours (to be more precise in hours:minutes:seconds)</t>
  </si>
  <si>
    <t>seconds will usually be 00 unless there is a decimal part to the minutes</t>
  </si>
  <si>
    <t>which makes sense - seconds are part of minutes</t>
  </si>
  <si>
    <t>so 0.2 minutes will come out as 12 seconds</t>
  </si>
  <si>
    <t xml:space="preserve">when we are using intervention name and want to get to number of minutes </t>
  </si>
  <si>
    <t>we need to multiply by 1440 (number of minutes per day)</t>
  </si>
  <si>
    <t>this is to reverse - in time formatting we are dividing by 1440</t>
  </si>
  <si>
    <t>this way weget number of days decimal which then is displayed as time format [hh]:mm:ss</t>
  </si>
  <si>
    <r>
      <t>Demand expressed in</t>
    </r>
    <r>
      <rPr>
        <b/>
        <sz val="10"/>
        <color rgb="FFFF0000"/>
        <rFont val="Nimbus Sans"/>
      </rPr>
      <t xml:space="preserve"> cases per year</t>
    </r>
    <r>
      <rPr>
        <b/>
        <sz val="10"/>
        <rFont val="Nimbus Sans"/>
        <family val="2"/>
      </rPr>
      <t>: how many patients per year we want to provide this intervention  to</t>
    </r>
  </si>
  <si>
    <t>Intervention</t>
  </si>
  <si>
    <t>Notes</t>
  </si>
  <si>
    <t>SCREENING</t>
  </si>
  <si>
    <t>maybe too high a number; need to get data on how many referrals we accepted last eyar (and years before then as well)</t>
  </si>
  <si>
    <t>This is for complex patients where we want full SCID interview</t>
  </si>
  <si>
    <t>2 groups, slow open</t>
  </si>
  <si>
    <t>Another core intervention. Short term, therapeutically informed problem solving approach. Mainly used for patients too unwell to take on SCM, or circumscribed problems, or patients who have not got better subsequent to MBT</t>
  </si>
  <si>
    <t>MBT (IOPP)</t>
  </si>
  <si>
    <t>Core intervention. We have space for 24 patients across 3 groups, so we have to have 24 individual therapy cases as well</t>
  </si>
  <si>
    <t>MBTI</t>
  </si>
  <si>
    <t>Pre-MBT stage – psychoeducation. Considering that about 50% people will enroll in MBT the number is MBTx2</t>
  </si>
  <si>
    <t>LIAISON</t>
  </si>
  <si>
    <t>Liaison cases to be seen per year. Mostly similar to assessments, but often more challenging due to ward pressures</t>
  </si>
  <si>
    <t>Medical reviews per year provided by team doctors. Each of these 48 episodes consists of 1 appointment and up to 3 follow-up appointments.</t>
  </si>
  <si>
    <t>Consolidation group – slow open, 20 patients across 2 groups?</t>
  </si>
  <si>
    <t>Waintg for MBT or MBTi</t>
  </si>
  <si>
    <t>Named key clinican available to patient for contact in absence of other intervention – such as MBT, MBTi or SCM</t>
  </si>
  <si>
    <t>CPA patient – need for interaction with multiple agencies (courts, social services, police, etc) – housing needs by themselves usually not sufficient; for that we can refer to CAB (Marion)</t>
  </si>
  <si>
    <t>Assessments - if we manage to approve 4 per week and count 42 weeks per year</t>
  </si>
  <si>
    <t>If every week there are 3 to 4 assessments that means</t>
  </si>
  <si>
    <t>If 50 weeks per month of assessment workshops</t>
  </si>
  <si>
    <t>Every month we should take between 14 and 16 assessments</t>
  </si>
  <si>
    <t>We need to take about 3 to 4 assessments per week and take less subsequently if we accept 6</t>
  </si>
  <si>
    <t>If there are constatly more referrals coming in then we need to escalate the need</t>
  </si>
  <si>
    <t>Full time availability for actual clinicians</t>
  </si>
  <si>
    <t>WTE</t>
  </si>
  <si>
    <t>CLINICAL WTE</t>
  </si>
  <si>
    <t>This summer 4 months with 2 SHOs</t>
  </si>
  <si>
    <t>SHO</t>
  </si>
  <si>
    <t>assmts per year</t>
  </si>
  <si>
    <t>screenings per year</t>
  </si>
  <si>
    <t>SpR</t>
  </si>
  <si>
    <t>Shortcut to MBT capacity</t>
  </si>
  <si>
    <t>3 groups with 7 patients mean 21 per year</t>
  </si>
  <si>
    <t xml:space="preserve">Shortcut to Assessment capacity </t>
  </si>
  <si>
    <t>1 workshop with 4 spaces per week = 170 to 200 per year</t>
  </si>
  <si>
    <t>SPR - non-rotation - Britain</t>
  </si>
  <si>
    <t>DR-SPR</t>
  </si>
  <si>
    <t>WTE working days per annum</t>
  </si>
  <si>
    <t>basically days per year times percent of workdays minus 8 BHs rounded to nearest 1</t>
  </si>
  <si>
    <t>same as weeks per year times 5 minus 8</t>
  </si>
  <si>
    <t>so working hours per year would be this if there was no A/L</t>
  </si>
  <si>
    <t>average A/L per year set at 35 days</t>
  </si>
  <si>
    <t>average A/L percentage obtained as dividing A/L days with 252 (and formatted as percent)</t>
  </si>
  <si>
    <t xml:space="preserve">So hours per year according to that would be </t>
  </si>
  <si>
    <t xml:space="preserve">Hence estimated even less than in work-time model where it is set to </t>
  </si>
  <si>
    <t>Comment In</t>
  </si>
  <si>
    <t>Comment By</t>
  </si>
  <si>
    <t>Comment</t>
  </si>
  <si>
    <t>$B$10</t>
  </si>
  <si>
    <t>Roberts Klotins</t>
  </si>
  <si>
    <t xml:space="preserve">
Put supervision on RiO as well!
</t>
  </si>
  <si>
    <t>$B$11</t>
  </si>
  <si>
    <t xml:space="preserve">
Factoring in pre-time and writing up
Review should not be 50 minutes, it should be 30 to max 40 minutes</t>
  </si>
  <si>
    <t>$B$114</t>
  </si>
  <si>
    <t xml:space="preserve">
If more info needed we could ask locality team to contact the patient and provide more information. But this might not work well. Downside - what is the quality of the information.
In doing this you are already getting into something. Which tends to spend time.
Screening is important - it is a perimeter/boundary.
* CRHT - if they decide it is PD, then Locality team decides on basis of CRHT decision. So things are a bit problematic in terms of quality of information. </t>
  </si>
  <si>
    <t>$B$118</t>
  </si>
  <si>
    <t xml:space="preserve">
Writing what can help the team to possibly discharge the patient, or make a decision</t>
  </si>
  <si>
    <t>$B$12</t>
  </si>
  <si>
    <t xml:space="preserve">
Include Crisis plan? Is it included in the SCM session. "My Crisis Plan" is to be done in the session and put on RiO</t>
  </si>
  <si>
    <t>$B$13</t>
  </si>
  <si>
    <t xml:space="preserve">
Letters - initial to P-T and GP
Phone call
Move waiting lists to treatment and then after SCM
Housing etc letters in SCM pulse
Closing letter to GP
withAdmin= 45 withoutAdmin= 90</t>
  </si>
  <si>
    <t>$B$18</t>
  </si>
  <si>
    <t xml:space="preserve">
Emotional side of the story - assessments are most taxing. Biggest hassle factor.
- LIAISING with professionals</t>
  </si>
  <si>
    <t>$B$19</t>
  </si>
  <si>
    <t xml:space="preserve">
Issue of complexity and previous material available. Probably also if need to contact previous service. Also the pre-assessment questionnaires are here. Previous important psychiatric reports. Patients also expect us to have read all the available information.</t>
  </si>
  <si>
    <t>$B$21</t>
  </si>
  <si>
    <t xml:space="preserve">
Not less than 2 hours.
Query of uninterrupted time for writing. YES
Who really needs our good assessment.  Maybe we are constructing something too beautiful.
## Importance of headings</t>
  </si>
  <si>
    <t>$B$22</t>
  </si>
  <si>
    <t xml:space="preserve">
Copy paste into the RA form from assessment report</t>
  </si>
  <si>
    <t>$B$23</t>
  </si>
  <si>
    <t xml:space="preserve">
Check demographic data
Alc drug smoking data
clustering
one line in care plan
employment and social circumstances
clinical coding -&gt; diagnosis  including removing those which are not relevant
LETTERS: to arrange assessment</t>
  </si>
  <si>
    <t>$B$24</t>
  </si>
  <si>
    <t xml:space="preserve">
It is interesting really. It affects also how many people we take in.</t>
  </si>
  <si>
    <t>$B$40</t>
  </si>
  <si>
    <t xml:space="preserve">
But right now we are running groups 1 person.
Also it is a way of communicating to individual therapist
Cath will do a test run tomorrow :)
</t>
  </si>
  <si>
    <t>$B$44</t>
  </si>
  <si>
    <t xml:space="preserve">
1 pre, 2 during treatment
Patient time 45 min
Prepare 20 min
Meet before 10 min
There may be some ad-hoc if need be
- plus post treatment review</t>
  </si>
  <si>
    <t>$B$45</t>
  </si>
  <si>
    <t xml:space="preserve">
Teams invite, Meeting other professionals</t>
  </si>
  <si>
    <t>$B$49</t>
  </si>
  <si>
    <t xml:space="preserve">
RiO note is short bulletpoint like. 
and process note-log - to keep patient in mind over time (personal log).</t>
  </si>
  <si>
    <t>$B$5</t>
  </si>
  <si>
    <t xml:space="preserve">
50 minutes
but decompression time - to protect you for other patients. Perhaps need to add 15 minutes to that.
</t>
  </si>
  <si>
    <t>$B$50</t>
  </si>
  <si>
    <t xml:space="preserve">
Ideally this should be more than every 2 months</t>
  </si>
  <si>
    <t>$B$51</t>
  </si>
  <si>
    <t xml:space="preserve">
Ongoing evolving formulation
According to the model
and short letter to GP</t>
  </si>
  <si>
    <t>$B$52</t>
  </si>
  <si>
    <t xml:space="preserve">
Letters for the patient, telephone calls, liaising, phone calls to resolve ad-hoc problem
- letter to GP 3 x per tx
- returning patient phone calls
- letters for the patient
- KPIs
- if patient admitted
- if child protection conference 
* at the moment calculated as 15 every month</t>
  </si>
  <si>
    <t>$B$54</t>
  </si>
  <si>
    <t xml:space="preserve">
- update Risk assessment after review
- formulation
- crisis plan (with the patient at the beginning of the therapy; in context of getting to know the patient; "My Crisis Plan")
- als trust risk assessment up to date - we can copy/paste our formulation and plan in there.
formulation and crisis plan should be done prior to group starting, ideally.</t>
  </si>
  <si>
    <t>$B$6</t>
  </si>
  <si>
    <t xml:space="preserve">
Research idea - Christina</t>
  </si>
  <si>
    <t>$B$7</t>
  </si>
  <si>
    <t xml:space="preserve">
Link with Risk Assessment
Continuity importance</t>
  </si>
  <si>
    <t>$B$9</t>
  </si>
  <si>
    <t xml:space="preserve">
IT glitches would add time;
And talk to someone in the team</t>
  </si>
  <si>
    <t>$H$13</t>
  </si>
  <si>
    <t xml:space="preserve">
Availability to other clinicians for SCM reviews, joint reviews and joint assessments.
MBT reviews included in the respective clincal work bits already.</t>
  </si>
  <si>
    <t>$H$14</t>
  </si>
  <si>
    <t xml:space="preserve">
Training, reading, mandatory training</t>
  </si>
  <si>
    <t>$H$15</t>
  </si>
  <si>
    <t xml:space="preserve">
audits and outcome data collection related tasks</t>
  </si>
  <si>
    <t>$H$16</t>
  </si>
  <si>
    <t>r0bis</t>
  </si>
  <si>
    <t xml:space="preserve">
1 full day = 60*7.5
weeks per year 44
450/44 = minutes to budget for x awaydays per year</t>
  </si>
  <si>
    <t>$H$25</t>
  </si>
  <si>
    <t xml:space="preserve">
Justyna does not go to all meetings. Goes to Main(0.2), Busi/RP(0.1), MBT-SVx2(0.2), Check-In(0.1), AssessmentWKS(0.2)
So all in all she does 0.8 meetings because she skips only SCM.
</t>
  </si>
  <si>
    <t>$H$3</t>
  </si>
  <si>
    <t xml:space="preserve">
This box with sums on the bottom reflects time spent on generic activities. &lt;number&gt; field here means how many times this amount of minutes is spent per week.</t>
  </si>
  <si>
    <t>$H$6</t>
  </si>
  <si>
    <t xml:space="preserve">
Is it strictly 1 hour?</t>
  </si>
  <si>
    <t>$H$8</t>
  </si>
  <si>
    <t xml:space="preserve">
are they 1 hour or 1.5 hour</t>
  </si>
  <si>
    <t>$J$23</t>
  </si>
  <si>
    <t xml:space="preserve">
Nr or GENERIC Clinicians
This field is number of times we employ a generic clinician. It is useful if we had let's say 5 clinician boxes instead of 16. We could plan for a general clinican with particular workload and put number 3 there - which means we will employ 3 such clinicans.</t>
  </si>
  <si>
    <t>$J$24</t>
  </si>
  <si>
    <t xml:space="preserve">
This number is sum of time required for this clinican to perform this number of activities per year. Green is if very close to optimal range, otherwise yellow, if overshoots by 0.2% then red.</t>
  </si>
  <si>
    <t>$K$23</t>
  </si>
  <si>
    <t xml:space="preserve">
This number means FTE. 1 = full time
0.8 is 4 days a week (= 8 sessions),
0.5 is 2.5 days a week (5 sessions)
It is used in adjusting the hours available colour thresholds
</t>
  </si>
  <si>
    <t>$P$67</t>
  </si>
  <si>
    <t xml:space="preserve">
Roberts Klotins:
1 clinic a month (4 hours) + 1 meeting a week at 40 minutes.
=(4*60+4*40)/1440*Q59</t>
  </si>
  <si>
    <t>$P$68</t>
  </si>
  <si>
    <t xml:space="preserve">
1 clinic a month (4 hours) + 1 meeting a week at 40 minutes.
=(4*60+4*40)/1440*Q60
=8*60/1440*Q60</t>
  </si>
  <si>
    <t>$P$69</t>
  </si>
  <si>
    <t xml:space="preserve">
2 SHO Therapy group supervisions per week+admin (2.5 hrs/week), 1 Consultant Balint group per month (1 hr/mo), Teaching - 1 month every 6 months (4.5 hr delivery, 4 hour preparation - times 2 per year divided by 12 gives time per month); development of informational resources for trainees (4 hours a month):
=((2.5*4)+1+(4.5+4)*2/12+4)*60/1440
=4*4*60/1440*Q61 4 hours per month</t>
  </si>
  <si>
    <t>$P$70</t>
  </si>
  <si>
    <t xml:space="preserve">
2 trainees SpR and SHO each 1 supervision hour per week; 1 Staff-grade doctor supervision 1 hour every 2 weeks. Assessment Doctor Supervision 1 hour fortnightly:
=(2*4+2*1+2*1)*60/1440*Q62
=10*60/1440*Q62</t>
  </si>
  <si>
    <t>$P$71</t>
  </si>
  <si>
    <t>$P$72</t>
  </si>
  <si>
    <t>$P$73</t>
  </si>
  <si>
    <t>$R$6</t>
  </si>
  <si>
    <t xml:space="preserve">
These numbers say - with this demand we will spend this number of total clinical time per year. Piechart on the right reflects these numbers in percentage. If you change demand on the &lt;Demand&gt; sheet - these numbers will change and so will the piechart.</t>
  </si>
  <si>
    <t>SCM-IND-Contact-prep</t>
  </si>
  <si>
    <t>SCM-GRP-Phone</t>
  </si>
  <si>
    <t>SCM-GRP-Phone-write</t>
  </si>
  <si>
    <t>MBT-GRP-Phone</t>
  </si>
  <si>
    <t>MBT-GRP-Phone-write</t>
  </si>
  <si>
    <t>MBT-IND-Phone</t>
  </si>
  <si>
    <t>MBT-IND-Phone-write</t>
  </si>
  <si>
    <t>MBTI-GRP-Phone</t>
  </si>
  <si>
    <t>MBTI-GRP-Phone-write</t>
  </si>
  <si>
    <t>WAITL-GRP-Phone</t>
  </si>
  <si>
    <t>WAITL-GRP-Phone-write</t>
  </si>
  <si>
    <t>CONS-GRP-Phone</t>
  </si>
  <si>
    <t>CONS-GRP-Phone-write</t>
  </si>
  <si>
    <t>MBTI-GRP-Pre-IND-Meeting</t>
  </si>
  <si>
    <t>LIAISON-Resulting-Assessment</t>
  </si>
  <si>
    <t>DIFF</t>
  </si>
  <si>
    <t>CL-FCT</t>
  </si>
  <si>
    <t>AV-HRS-YR</t>
  </si>
  <si>
    <t>CONT-H</t>
  </si>
  <si>
    <t>MGMT-OH</t>
  </si>
  <si>
    <t>Clin-WTE</t>
  </si>
  <si>
    <t>Contact time calculated as time spent with patients</t>
  </si>
  <si>
    <t>If that time is shared by n clinicians</t>
  </si>
  <si>
    <t>time is divided by n</t>
  </si>
  <si>
    <t>because while second clinican is seeing the same patients</t>
  </si>
  <si>
    <t>the second clinician cannot see other patients</t>
  </si>
  <si>
    <t>MBTI-GRP-Review</t>
  </si>
  <si>
    <t>%CONT/ACT</t>
  </si>
  <si>
    <t>%All-WTE</t>
  </si>
  <si>
    <t>Available WTEs (Clin)</t>
  </si>
  <si>
    <t>Transformation</t>
  </si>
  <si>
    <t>TRF-IND-SV</t>
  </si>
  <si>
    <t>CPA-ATTEND</t>
  </si>
  <si>
    <t>note of screening in locality meetings</t>
  </si>
  <si>
    <t>Target ~ 1650 hrs per year +/- 3hrs</t>
  </si>
  <si>
    <t>We assume people will work 43.943 weeks of the year (NHS calculation) ~ 44</t>
  </si>
  <si>
    <t xml:space="preserve">NHS leave is 33 work-days per year </t>
  </si>
  <si>
    <t>Bank Holidays is 8 per year during work-days</t>
  </si>
  <si>
    <t>On-Call Nights</t>
  </si>
  <si>
    <t>Psychotherapy</t>
  </si>
  <si>
    <t>Theoretical Training</t>
  </si>
  <si>
    <t>S/L</t>
  </si>
  <si>
    <t>Reviews &amp; Duty</t>
  </si>
  <si>
    <t>Therapist-1: JS</t>
  </si>
  <si>
    <t>Therapist-2: CD</t>
  </si>
  <si>
    <t>Therapist-3: JK</t>
  </si>
  <si>
    <t>Therapist-4: EW</t>
  </si>
  <si>
    <t>LEAD CS - MBT</t>
  </si>
  <si>
    <t>LEAD JD - MBT</t>
  </si>
  <si>
    <t>DR CONS - LEAD - RK</t>
  </si>
  <si>
    <t>DR SpR EW</t>
  </si>
  <si>
    <t>DR SHO AR</t>
  </si>
  <si>
    <t>Therapist-10: KP</t>
  </si>
  <si>
    <t>Therapist-11: SK</t>
  </si>
  <si>
    <t>Therapist-5: CS</t>
  </si>
  <si>
    <t>Therapist-5: JD</t>
  </si>
  <si>
    <t>Therapist-7: RK</t>
  </si>
  <si>
    <t>Therapist-8: EW</t>
  </si>
  <si>
    <t>Therapist-9: AR</t>
  </si>
  <si>
    <t>CS</t>
  </si>
  <si>
    <t>CD</t>
  </si>
  <si>
    <t>EW</t>
  </si>
  <si>
    <t>JD</t>
  </si>
  <si>
    <t>JS</t>
  </si>
  <si>
    <t>RK CONS</t>
  </si>
  <si>
    <t>JK</t>
  </si>
  <si>
    <t>SK</t>
  </si>
  <si>
    <t>KP</t>
  </si>
  <si>
    <t>BS</t>
  </si>
  <si>
    <t>J</t>
  </si>
  <si>
    <t>P</t>
  </si>
  <si>
    <t>ASST-PSY</t>
  </si>
  <si>
    <t>Therapist-12: BS</t>
  </si>
  <si>
    <t>COMM-TRFW</t>
  </si>
  <si>
    <t>Therapist-13: P</t>
  </si>
  <si>
    <t>Therapist-14: J</t>
  </si>
  <si>
    <t>* 0.4 of work time purely off site for community transformation</t>
  </si>
  <si>
    <t>* 0.4 work time audits, data and QI</t>
  </si>
  <si>
    <t>* unknown amount of time to transformation</t>
  </si>
  <si>
    <t>AVG UK LUNCH included</t>
  </si>
  <si>
    <t>S-MAX (work 5 days all weeks)</t>
  </si>
  <si>
    <t>Minutes in a 7.5 hour work day</t>
  </si>
  <si>
    <t>Target error</t>
  </si>
  <si>
    <t>Overhead to be met before work with patients</t>
  </si>
  <si>
    <t xml:space="preserve">TIME PER PERSON PER WEEK </t>
  </si>
  <si>
    <t xml:space="preserve">  </t>
  </si>
  <si>
    <t>Hypothesis - everyone sees 3 patients (and writes up) before doing anything else during the day?</t>
  </si>
  <si>
    <t>DEF: f2f time = time spent in the room or on the phone with clinician</t>
  </si>
  <si>
    <t>Other kind of work e.g.</t>
  </si>
  <si>
    <t>Therapist-15: T</t>
  </si>
  <si>
    <t>T</t>
  </si>
  <si>
    <t>0,2</t>
  </si>
  <si>
    <t>Other work</t>
  </si>
  <si>
    <t>* PROBLEM pretend no other work</t>
  </si>
  <si>
    <t>How many  therapist WTEs employed</t>
  </si>
  <si>
    <t>How many  therapists (persons) employed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</si>
</sst>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h]:mm:ss"/>
    <numFmt numFmtId="165" formatCode="0.0"/>
    <numFmt numFmtId="166" formatCode="0.0%"/>
  </numFmts>
  <fonts count="19">
    <font>
      <sz val="10"/>
      <name val="Nimbus Sans"/>
      <family val="2"/>
    </font>
    <font>
      <b/>
      <sz val="10"/>
      <name val="Nimbus Sans"/>
      <family val="2"/>
    </font>
    <font>
      <sz val="10"/>
      <color rgb="FFCCCCCC"/>
      <name val="Nimbus Sans"/>
      <family val="2"/>
    </font>
    <font>
      <b/>
      <sz val="10"/>
      <color rgb="FFFF0000"/>
      <name val="Nimbus Sans"/>
    </font>
    <font>
      <i/>
      <sz val="10"/>
      <name val="Nimbus Sans"/>
    </font>
    <font>
      <sz val="10"/>
      <color theme="2"/>
      <name val="Nimbus Sans"/>
      <family val="2"/>
    </font>
    <font>
      <b/>
      <sz val="10"/>
      <name val="Nimbus Sans"/>
    </font>
    <font>
      <b/>
      <sz val="10"/>
      <color theme="0"/>
      <name val="Nimbus Sans"/>
    </font>
    <font>
      <sz val="10"/>
      <color theme="6" tint="-0.499984740745262"/>
      <name val="Nimbus Sans"/>
      <family val="2"/>
    </font>
    <font>
      <sz val="9"/>
      <color indexed="81"/>
      <name val="Tahoma"/>
      <family val="2"/>
    </font>
    <font>
      <b/>
      <sz val="9"/>
      <color indexed="81"/>
      <name val="Tahoma"/>
      <family val="2"/>
    </font>
    <font>
      <sz val="9"/>
      <color indexed="81"/>
      <name val="Tahoma"/>
      <charset val="1"/>
    </font>
    <font>
      <b/>
      <sz val="9"/>
      <color indexed="81"/>
      <name val="Tahoma"/>
      <charset val="1"/>
    </font>
    <font>
      <sz val="10"/>
      <color rgb="FFC00000"/>
      <name val="Nimbus Sans"/>
      <family val="2"/>
    </font>
    <font>
      <sz val="10"/>
      <color rgb="FFEE82D2"/>
      <name val="Nimbus Sans"/>
      <family val="2"/>
    </font>
    <font>
      <sz val="10"/>
      <color rgb="FF00B050"/>
      <name val="Nimbus Sans"/>
      <family val="2"/>
    </font>
    <font>
      <sz val="10"/>
      <color theme="9" tint="-0.249977111117893"/>
      <name val="Nimbus Sans"/>
      <family val="2"/>
    </font>
    <font>
      <sz val="10"/>
      <color theme="0" tint="-0.249977111117893"/>
      <name val="Nimbus Sans"/>
      <family val="2"/>
    </font>
    <font>
      <sz val="10"/>
      <name val="Nimbus Sans"/>
    </font>
  </fonts>
  <fills count="30">
    <fill>
      <patternFill patternType="none"/>
    </fill>
    <fill>
      <patternFill patternType="gray125"/>
    </fill>
    <fill>
      <patternFill patternType="solid">
        <fgColor rgb="FFFFFF00"/>
        <bgColor rgb="FFFFFF38"/>
      </patternFill>
    </fill>
    <fill>
      <patternFill patternType="solid">
        <fgColor rgb="FFFFFF38"/>
        <bgColor rgb="FFFFFF00"/>
      </patternFill>
    </fill>
    <fill>
      <patternFill patternType="solid">
        <fgColor rgb="FFFFFFD7"/>
        <bgColor rgb="FFFFFFCC"/>
      </patternFill>
    </fill>
    <fill>
      <patternFill patternType="solid">
        <fgColor rgb="FFDDDDDD"/>
        <bgColor rgb="FFDEE6EF"/>
      </patternFill>
    </fill>
    <fill>
      <patternFill patternType="solid">
        <fgColor rgb="FFDDE8CB"/>
        <bgColor rgb="FFDDDDDD"/>
      </patternFill>
    </fill>
    <fill>
      <patternFill patternType="solid">
        <fgColor rgb="FFFFDBB6"/>
        <bgColor rgb="FFFFD7D7"/>
      </patternFill>
    </fill>
    <fill>
      <patternFill patternType="solid">
        <fgColor rgb="FFFFF5CE"/>
        <bgColor rgb="FFF6F9D4"/>
      </patternFill>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5" tint="0.59999389629810485"/>
        <bgColor rgb="FFDDDDDD"/>
      </patternFill>
    </fill>
    <fill>
      <patternFill patternType="solid">
        <fgColor theme="4" tint="-0.249977111117893"/>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9" tint="0.59999389629810485"/>
        <bgColor rgb="FFB2B2B2"/>
      </patternFill>
    </fill>
    <fill>
      <patternFill patternType="solid">
        <fgColor theme="4" tint="0.79998168889431442"/>
        <bgColor rgb="FFB2B2B2"/>
      </patternFill>
    </fill>
    <fill>
      <patternFill patternType="solid">
        <fgColor theme="7" tint="0.79998168889431442"/>
        <bgColor indexed="64"/>
      </patternFill>
    </fill>
    <fill>
      <patternFill patternType="solid">
        <fgColor theme="5" tint="0.59999389629810485"/>
        <bgColor rgb="FFFFD7D7"/>
      </patternFill>
    </fill>
    <fill>
      <patternFill patternType="solid">
        <fgColor rgb="FFBDD7EE"/>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0" tint="-4.9989318521683403E-2"/>
        <bgColor indexed="64"/>
      </patternFill>
    </fill>
  </fills>
  <borders count="29">
    <border>
      <left/>
      <right/>
      <top/>
      <bottom/>
      <diagonal/>
    </border>
    <border>
      <left style="hair">
        <color auto="1"/>
      </left>
      <right style="hair">
        <color auto="1"/>
      </right>
      <top style="hair">
        <color auto="1"/>
      </top>
      <bottom style="hair">
        <color auto="1"/>
      </bottom>
      <diagonal/>
    </border>
    <border>
      <left/>
      <right/>
      <top/>
      <bottom style="hair">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hair">
        <color auto="1"/>
      </left>
      <right style="hair">
        <color auto="1"/>
      </right>
      <top style="medium">
        <color indexed="64"/>
      </top>
      <bottom style="hair">
        <color auto="1"/>
      </bottom>
      <diagonal/>
    </border>
    <border>
      <left style="medium">
        <color indexed="64"/>
      </left>
      <right/>
      <top/>
      <bottom style="hair">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auto="1"/>
      </left>
      <right/>
      <top style="hair">
        <color auto="1"/>
      </top>
      <bottom/>
      <diagonal/>
    </border>
    <border>
      <left style="thin">
        <color indexed="64"/>
      </left>
      <right style="thin">
        <color indexed="64"/>
      </right>
      <top/>
      <bottom style="medium">
        <color indexed="64"/>
      </bottom>
      <diagonal/>
    </border>
    <border>
      <left/>
      <right style="medium">
        <color indexed="64"/>
      </right>
      <top/>
      <bottom style="thin">
        <color indexed="64"/>
      </bottom>
      <diagonal/>
    </border>
  </borders>
  <cellStyleXfs count="1">
    <xf numFmtId="0" fontId="0" fillId="0" borderId="0"/>
  </cellStyleXfs>
  <cellXfs count="151">
    <xf numFmtId="0" fontId="0" fillId="0" borderId="0" xfId="0"/>
    <xf numFmtId="0" fontId="0" fillId="0" borderId="0" xfId="0" applyAlignment="1">
      <alignment horizontal="center"/>
    </xf>
    <xf numFmtId="164" fontId="0" fillId="4" borderId="0" xfId="0" applyNumberFormat="1" applyFill="1" applyAlignment="1">
      <alignment horizontal="center"/>
    </xf>
    <xf numFmtId="21" fontId="0" fillId="0" borderId="0" xfId="0" applyNumberFormat="1"/>
    <xf numFmtId="164" fontId="0" fillId="0" borderId="0" xfId="0" applyNumberFormat="1"/>
    <xf numFmtId="0" fontId="1" fillId="5" borderId="1" xfId="0" applyFont="1" applyFill="1" applyBorder="1" applyAlignment="1">
      <alignment horizontal="center"/>
    </xf>
    <xf numFmtId="164" fontId="0" fillId="8" borderId="0" xfId="0" applyNumberFormat="1" applyFill="1" applyAlignment="1">
      <alignment horizontal="center"/>
    </xf>
    <xf numFmtId="0" fontId="0" fillId="0" borderId="2" xfId="0" applyBorder="1"/>
    <xf numFmtId="0" fontId="0" fillId="0" borderId="0" xfId="0" applyAlignment="1">
      <alignment horizontal="left"/>
    </xf>
    <xf numFmtId="164" fontId="0" fillId="4" borderId="0" xfId="0" applyNumberFormat="1" applyFill="1"/>
    <xf numFmtId="0" fontId="1" fillId="0" borderId="0" xfId="0" applyFont="1"/>
    <xf numFmtId="0" fontId="4" fillId="0" borderId="0" xfId="0" applyFont="1"/>
    <xf numFmtId="0" fontId="0" fillId="2" borderId="3" xfId="0" applyFill="1" applyBorder="1"/>
    <xf numFmtId="0" fontId="0" fillId="0" borderId="4" xfId="0" applyBorder="1"/>
    <xf numFmtId="0" fontId="0" fillId="0" borderId="5" xfId="0" applyBorder="1"/>
    <xf numFmtId="0" fontId="0" fillId="3" borderId="6" xfId="0" applyFill="1" applyBorder="1"/>
    <xf numFmtId="0" fontId="0" fillId="0" borderId="7" xfId="0" applyBorder="1"/>
    <xf numFmtId="0" fontId="0" fillId="5" borderId="6" xfId="0" applyFill="1" applyBorder="1"/>
    <xf numFmtId="0" fontId="0" fillId="7" borderId="6" xfId="0" applyFill="1" applyBorder="1"/>
    <xf numFmtId="0" fontId="0" fillId="6" borderId="6" xfId="0" applyFill="1" applyBorder="1"/>
    <xf numFmtId="0" fontId="0" fillId="0" borderId="6" xfId="0" applyBorder="1"/>
    <xf numFmtId="46" fontId="0" fillId="0" borderId="0" xfId="0" applyNumberFormat="1"/>
    <xf numFmtId="0" fontId="0" fillId="6" borderId="8" xfId="0" applyFill="1" applyBorder="1"/>
    <xf numFmtId="164" fontId="0" fillId="0" borderId="9" xfId="0" applyNumberFormat="1" applyBorder="1"/>
    <xf numFmtId="0" fontId="0" fillId="0" borderId="10" xfId="0" applyBorder="1"/>
    <xf numFmtId="0" fontId="0" fillId="0" borderId="9" xfId="0" applyBorder="1"/>
    <xf numFmtId="0" fontId="0" fillId="9" borderId="4" xfId="0" applyFill="1" applyBorder="1"/>
    <xf numFmtId="0" fontId="4" fillId="0" borderId="6" xfId="0" applyFont="1" applyBorder="1"/>
    <xf numFmtId="0" fontId="0" fillId="10" borderId="0" xfId="0" applyFill="1"/>
    <xf numFmtId="0" fontId="0" fillId="0" borderId="0" xfId="0" applyAlignment="1">
      <alignment horizontal="right"/>
    </xf>
    <xf numFmtId="0" fontId="0" fillId="11" borderId="0" xfId="0" applyFill="1"/>
    <xf numFmtId="0" fontId="1" fillId="5" borderId="0" xfId="0" applyFont="1" applyFill="1" applyAlignment="1">
      <alignment horizontal="center"/>
    </xf>
    <xf numFmtId="0" fontId="0" fillId="10" borderId="12" xfId="0" applyFill="1" applyBorder="1"/>
    <xf numFmtId="0" fontId="0" fillId="10" borderId="13" xfId="0" applyFill="1"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8" xfId="0" applyBorder="1"/>
    <xf numFmtId="0" fontId="0" fillId="0" borderId="19" xfId="0" applyBorder="1"/>
    <xf numFmtId="0" fontId="0" fillId="0" borderId="20" xfId="0" applyBorder="1"/>
    <xf numFmtId="164" fontId="0" fillId="0" borderId="15" xfId="0" applyNumberFormat="1" applyBorder="1"/>
    <xf numFmtId="0" fontId="0" fillId="0" borderId="2" xfId="0" applyBorder="1" applyAlignment="1">
      <alignment horizontal="right"/>
    </xf>
    <xf numFmtId="0" fontId="5" fillId="0" borderId="2" xfId="0" applyFont="1" applyBorder="1" applyAlignment="1">
      <alignment horizontal="center"/>
    </xf>
    <xf numFmtId="0" fontId="0" fillId="12" borderId="0" xfId="0" applyFill="1"/>
    <xf numFmtId="0" fontId="6" fillId="0" borderId="15" xfId="0" applyFont="1" applyBorder="1"/>
    <xf numFmtId="0" fontId="6" fillId="0" borderId="3" xfId="0" applyFont="1" applyBorder="1"/>
    <xf numFmtId="0" fontId="6" fillId="0" borderId="4" xfId="0" applyFont="1" applyBorder="1"/>
    <xf numFmtId="0" fontId="6" fillId="0" borderId="4" xfId="0" applyFont="1" applyBorder="1" applyAlignment="1">
      <alignment horizontal="center"/>
    </xf>
    <xf numFmtId="0" fontId="6" fillId="0" borderId="17" xfId="0" applyFont="1" applyBorder="1"/>
    <xf numFmtId="0" fontId="6" fillId="13" borderId="0" xfId="0" applyFont="1" applyFill="1"/>
    <xf numFmtId="0" fontId="6" fillId="13" borderId="0" xfId="0" applyFont="1" applyFill="1" applyAlignment="1">
      <alignment horizontal="center"/>
    </xf>
    <xf numFmtId="1" fontId="0" fillId="0" borderId="0" xfId="0" applyNumberFormat="1"/>
    <xf numFmtId="0" fontId="0" fillId="14" borderId="6" xfId="0" applyFill="1" applyBorder="1"/>
    <xf numFmtId="0" fontId="4" fillId="0" borderId="0" xfId="0" applyFont="1" applyAlignment="1">
      <alignment horizontal="right"/>
    </xf>
    <xf numFmtId="0" fontId="0" fillId="16" borderId="0" xfId="0" applyFill="1"/>
    <xf numFmtId="0" fontId="0" fillId="17" borderId="0" xfId="0" applyFill="1"/>
    <xf numFmtId="0" fontId="0" fillId="17" borderId="0" xfId="0" applyFill="1" applyAlignment="1">
      <alignment horizontal="center"/>
    </xf>
    <xf numFmtId="0" fontId="6" fillId="17" borderId="0" xfId="0" applyFont="1" applyFill="1"/>
    <xf numFmtId="0" fontId="6" fillId="12" borderId="0" xfId="0" applyFont="1" applyFill="1"/>
    <xf numFmtId="0" fontId="0" fillId="13" borderId="0" xfId="0" applyFill="1"/>
    <xf numFmtId="0" fontId="0" fillId="18" borderId="0" xfId="0" applyFill="1"/>
    <xf numFmtId="0" fontId="0" fillId="19" borderId="0" xfId="0" applyFill="1"/>
    <xf numFmtId="0" fontId="6" fillId="19" borderId="0" xfId="0" applyFont="1" applyFill="1"/>
    <xf numFmtId="164" fontId="0" fillId="0" borderId="18" xfId="0" applyNumberFormat="1" applyBorder="1"/>
    <xf numFmtId="164" fontId="0" fillId="0" borderId="0" xfId="0" applyNumberFormat="1" applyAlignment="1">
      <alignment horizontal="center"/>
    </xf>
    <xf numFmtId="0" fontId="0" fillId="0" borderId="19" xfId="0" applyBorder="1" applyAlignment="1">
      <alignment horizontal="center"/>
    </xf>
    <xf numFmtId="0" fontId="6" fillId="0" borderId="0" xfId="0" applyFont="1"/>
    <xf numFmtId="164" fontId="0" fillId="0" borderId="19" xfId="0" applyNumberFormat="1" applyBorder="1"/>
    <xf numFmtId="0" fontId="1" fillId="5" borderId="21" xfId="0" applyFont="1" applyFill="1" applyBorder="1" applyAlignment="1">
      <alignment horizontal="center"/>
    </xf>
    <xf numFmtId="0" fontId="8" fillId="9" borderId="14" xfId="0" applyFont="1" applyFill="1" applyBorder="1" applyAlignment="1">
      <alignment horizontal="center"/>
    </xf>
    <xf numFmtId="0" fontId="0" fillId="8" borderId="15" xfId="0" applyFill="1" applyBorder="1"/>
    <xf numFmtId="0" fontId="0" fillId="8" borderId="0" xfId="0" applyFill="1"/>
    <xf numFmtId="164" fontId="0" fillId="8" borderId="0" xfId="0" applyNumberFormat="1" applyFill="1"/>
    <xf numFmtId="164" fontId="8" fillId="9" borderId="16" xfId="0" applyNumberFormat="1" applyFont="1" applyFill="1" applyBorder="1" applyAlignment="1">
      <alignment horizontal="center"/>
    </xf>
    <xf numFmtId="0" fontId="0" fillId="5" borderId="15" xfId="0" applyFill="1" applyBorder="1" applyAlignment="1">
      <alignment horizontal="right"/>
    </xf>
    <xf numFmtId="0" fontId="2" fillId="0" borderId="16" xfId="0" applyFont="1" applyBorder="1" applyAlignment="1">
      <alignment horizontal="center"/>
    </xf>
    <xf numFmtId="0" fontId="0" fillId="6" borderId="15" xfId="0" applyFill="1" applyBorder="1" applyAlignment="1">
      <alignment horizontal="right"/>
    </xf>
    <xf numFmtId="0" fontId="0" fillId="7" borderId="15" xfId="0" applyFill="1" applyBorder="1" applyAlignment="1">
      <alignment horizontal="right"/>
    </xf>
    <xf numFmtId="0" fontId="0" fillId="0" borderId="15" xfId="0" applyBorder="1" applyAlignment="1">
      <alignment horizontal="right"/>
    </xf>
    <xf numFmtId="0" fontId="0" fillId="9" borderId="14" xfId="0" applyFill="1" applyBorder="1" applyAlignment="1">
      <alignment horizontal="center"/>
    </xf>
    <xf numFmtId="164" fontId="0" fillId="9" borderId="16" xfId="0" applyNumberFormat="1" applyFill="1" applyBorder="1" applyAlignment="1">
      <alignment horizontal="center"/>
    </xf>
    <xf numFmtId="0" fontId="0" fillId="0" borderId="16" xfId="0" applyBorder="1" applyAlignment="1">
      <alignment horizontal="center"/>
    </xf>
    <xf numFmtId="2" fontId="0" fillId="0" borderId="16" xfId="0" applyNumberFormat="1" applyBorder="1" applyAlignment="1">
      <alignment horizontal="left"/>
    </xf>
    <xf numFmtId="0" fontId="0" fillId="20" borderId="11" xfId="0" applyFill="1" applyBorder="1"/>
    <xf numFmtId="0" fontId="0" fillId="20" borderId="13" xfId="0" applyFill="1" applyBorder="1"/>
    <xf numFmtId="0" fontId="0" fillId="21" borderId="11" xfId="0" applyFill="1" applyBorder="1"/>
    <xf numFmtId="0" fontId="0" fillId="21" borderId="13" xfId="0" applyFill="1" applyBorder="1"/>
    <xf numFmtId="164" fontId="0" fillId="0" borderId="16" xfId="0" applyNumberFormat="1" applyBorder="1"/>
    <xf numFmtId="0" fontId="0" fillId="0" borderId="22" xfId="0" applyBorder="1" applyAlignment="1">
      <alignment horizontal="right"/>
    </xf>
    <xf numFmtId="0" fontId="6" fillId="9" borderId="0" xfId="0" applyFont="1" applyFill="1" applyAlignment="1">
      <alignment horizontal="center"/>
    </xf>
    <xf numFmtId="0" fontId="0" fillId="0" borderId="18" xfId="0" applyBorder="1" applyAlignment="1">
      <alignment horizontal="right"/>
    </xf>
    <xf numFmtId="0" fontId="6" fillId="22" borderId="4" xfId="0" applyFont="1" applyFill="1" applyBorder="1" applyAlignment="1">
      <alignment horizontal="left"/>
    </xf>
    <xf numFmtId="0" fontId="6" fillId="22" borderId="0" xfId="0" applyFont="1" applyFill="1" applyAlignment="1">
      <alignment horizontal="left"/>
    </xf>
    <xf numFmtId="165" fontId="0" fillId="0" borderId="0" xfId="0" applyNumberFormat="1"/>
    <xf numFmtId="0" fontId="0" fillId="23" borderId="6" xfId="0" applyFill="1" applyBorder="1"/>
    <xf numFmtId="0" fontId="0" fillId="16" borderId="6" xfId="0" applyFill="1" applyBorder="1"/>
    <xf numFmtId="164" fontId="0" fillId="16" borderId="0" xfId="0" applyNumberFormat="1" applyFill="1"/>
    <xf numFmtId="0" fontId="0" fillId="0" borderId="23" xfId="0" applyBorder="1"/>
    <xf numFmtId="0" fontId="0" fillId="0" borderId="24" xfId="0" applyBorder="1"/>
    <xf numFmtId="165" fontId="0" fillId="9" borderId="24" xfId="0" applyNumberFormat="1" applyFill="1" applyBorder="1" applyAlignment="1">
      <alignment horizontal="center"/>
    </xf>
    <xf numFmtId="165" fontId="0" fillId="17" borderId="24" xfId="0" applyNumberFormat="1" applyFill="1" applyBorder="1" applyAlignment="1">
      <alignment horizontal="center"/>
    </xf>
    <xf numFmtId="165" fontId="0" fillId="16" borderId="24" xfId="0" applyNumberFormat="1" applyFill="1" applyBorder="1" applyAlignment="1">
      <alignment horizontal="center"/>
    </xf>
    <xf numFmtId="0" fontId="0" fillId="0" borderId="25" xfId="0" applyBorder="1"/>
    <xf numFmtId="0" fontId="0" fillId="0" borderId="7" xfId="0" applyBorder="1" applyAlignment="1">
      <alignment horizontal="center"/>
    </xf>
    <xf numFmtId="0" fontId="6" fillId="24" borderId="0" xfId="0" applyFont="1" applyFill="1"/>
    <xf numFmtId="0" fontId="0" fillId="0" borderId="0" xfId="0" applyAlignment="1">
      <alignment wrapText="1"/>
    </xf>
    <xf numFmtId="0" fontId="13" fillId="0" borderId="15" xfId="0" applyFont="1" applyBorder="1" applyAlignment="1">
      <alignment horizontal="right"/>
    </xf>
    <xf numFmtId="0" fontId="14" fillId="0" borderId="15" xfId="0" applyFont="1" applyBorder="1" applyAlignment="1">
      <alignment horizontal="right"/>
    </xf>
    <xf numFmtId="0" fontId="15" fillId="0" borderId="15" xfId="0" applyFont="1" applyBorder="1" applyAlignment="1">
      <alignment horizontal="right"/>
    </xf>
    <xf numFmtId="0" fontId="16" fillId="0" borderId="15" xfId="0" applyFont="1" applyBorder="1" applyAlignment="1">
      <alignment horizontal="right"/>
    </xf>
    <xf numFmtId="0" fontId="2" fillId="0" borderId="20" xfId="0" applyFont="1" applyBorder="1" applyAlignment="1">
      <alignment horizontal="center"/>
    </xf>
    <xf numFmtId="0" fontId="0" fillId="0" borderId="26" xfId="0" applyBorder="1" applyAlignment="1">
      <alignment horizontal="right"/>
    </xf>
    <xf numFmtId="0" fontId="0" fillId="0" borderId="19" xfId="0" applyBorder="1" applyAlignment="1">
      <alignment horizontal="right"/>
    </xf>
    <xf numFmtId="0" fontId="6" fillId="22" borderId="19" xfId="0" applyFont="1" applyFill="1" applyBorder="1" applyAlignment="1">
      <alignment horizontal="left"/>
    </xf>
    <xf numFmtId="2" fontId="0" fillId="0" borderId="20" xfId="0" applyNumberFormat="1" applyBorder="1" applyAlignment="1">
      <alignment horizontal="left"/>
    </xf>
    <xf numFmtId="0" fontId="13" fillId="0" borderId="0" xfId="0" applyFont="1" applyAlignment="1">
      <alignment horizontal="right"/>
    </xf>
    <xf numFmtId="0" fontId="14" fillId="0" borderId="0" xfId="0" applyFont="1" applyAlignment="1">
      <alignment horizontal="right"/>
    </xf>
    <xf numFmtId="0" fontId="15" fillId="0" borderId="0" xfId="0" applyFont="1" applyAlignment="1">
      <alignment horizontal="right"/>
    </xf>
    <xf numFmtId="0" fontId="16" fillId="0" borderId="0" xfId="0" applyFont="1" applyAlignment="1">
      <alignment horizontal="right"/>
    </xf>
    <xf numFmtId="0" fontId="0" fillId="0" borderId="24" xfId="0" applyBorder="1" applyAlignment="1">
      <alignment horizontal="center"/>
    </xf>
    <xf numFmtId="0" fontId="0" fillId="0" borderId="27" xfId="0" applyBorder="1" applyAlignment="1">
      <alignment horizontal="center"/>
    </xf>
    <xf numFmtId="1" fontId="0" fillId="0" borderId="0" xfId="0" applyNumberFormat="1" applyAlignment="1">
      <alignment horizontal="center"/>
    </xf>
    <xf numFmtId="1" fontId="0" fillId="0" borderId="19" xfId="0" applyNumberFormat="1" applyBorder="1" applyAlignment="1">
      <alignment horizontal="center"/>
    </xf>
    <xf numFmtId="0" fontId="0" fillId="25" borderId="0" xfId="0" applyFill="1"/>
    <xf numFmtId="164" fontId="2" fillId="0" borderId="16" xfId="0" applyNumberFormat="1" applyFont="1" applyBorder="1" applyAlignment="1">
      <alignment horizontal="center"/>
    </xf>
    <xf numFmtId="164" fontId="17" fillId="0" borderId="16" xfId="0" applyNumberFormat="1" applyFont="1" applyBorder="1" applyAlignment="1">
      <alignment horizontal="center"/>
    </xf>
    <xf numFmtId="166" fontId="0" fillId="0" borderId="0" xfId="0" applyNumberFormat="1"/>
    <xf numFmtId="166" fontId="0" fillId="0" borderId="0" xfId="0" applyNumberFormat="1" applyAlignment="1">
      <alignment horizontal="center"/>
    </xf>
    <xf numFmtId="0" fontId="4" fillId="0" borderId="4" xfId="0" applyFont="1" applyBorder="1"/>
    <xf numFmtId="164" fontId="0" fillId="0" borderId="11" xfId="0" applyNumberFormat="1" applyBorder="1"/>
    <xf numFmtId="166" fontId="6" fillId="26" borderId="13" xfId="0" applyNumberFormat="1" applyFont="1" applyFill="1" applyBorder="1"/>
    <xf numFmtId="0" fontId="6" fillId="27" borderId="0" xfId="0" applyFont="1" applyFill="1"/>
    <xf numFmtId="166" fontId="6" fillId="27" borderId="0" xfId="0" applyNumberFormat="1" applyFont="1" applyFill="1"/>
    <xf numFmtId="0" fontId="6" fillId="27" borderId="13" xfId="0" applyFont="1" applyFill="1" applyBorder="1"/>
    <xf numFmtId="0" fontId="6" fillId="28" borderId="0" xfId="0" applyFont="1" applyFill="1"/>
    <xf numFmtId="166" fontId="6" fillId="28" borderId="0" xfId="0" applyNumberFormat="1" applyFont="1" applyFill="1"/>
    <xf numFmtId="0" fontId="18" fillId="0" borderId="0" xfId="0" applyFont="1"/>
    <xf numFmtId="0" fontId="0" fillId="0" borderId="28" xfId="0" applyBorder="1"/>
    <xf numFmtId="0" fontId="0" fillId="0" borderId="0" xfId="0" applyBorder="1"/>
    <xf numFmtId="164" fontId="7" fillId="15" borderId="3" xfId="0" applyNumberFormat="1" applyFont="1" applyFill="1" applyBorder="1"/>
    <xf numFmtId="0" fontId="7" fillId="15" borderId="4" xfId="0" applyFont="1" applyFill="1" applyBorder="1"/>
    <xf numFmtId="0" fontId="7" fillId="15" borderId="8" xfId="0" applyFont="1" applyFill="1" applyBorder="1" applyAlignment="1">
      <alignment horizontal="right"/>
    </xf>
    <xf numFmtId="0" fontId="0" fillId="0" borderId="17" xfId="0" applyBorder="1"/>
    <xf numFmtId="0" fontId="0" fillId="0" borderId="15" xfId="0" applyBorder="1" applyAlignment="1">
      <alignment horizontal="left"/>
    </xf>
    <xf numFmtId="0" fontId="0" fillId="29" borderId="0" xfId="0" applyFill="1"/>
    <xf numFmtId="46" fontId="0" fillId="29" borderId="0" xfId="0" applyNumberFormat="1" applyFont="1" applyFill="1"/>
    <xf numFmtId="164" fontId="0" fillId="29" borderId="0" xfId="0" applyNumberFormat="1" applyFont="1" applyFill="1" applyAlignment="1">
      <alignment horizontal="right"/>
    </xf>
    <xf numFmtId="166" fontId="0" fillId="29" borderId="0" xfId="0" applyNumberFormat="1" applyFont="1" applyFill="1"/>
    <xf numFmtId="2" fontId="0" fillId="0" borderId="0" xfId="0" applyNumberFormat="1"/>
    <xf numFmtId="0" fontId="0" fillId="0" borderId="0" xfId="0" applyFill="1" applyBorder="1"/>
  </cellXfs>
  <cellStyles count="1">
    <cellStyle name="Normal" xfId="0" builtinId="0"/>
  </cellStyles>
  <dxfs count="27">
    <dxf>
      <font>
        <b val="0"/>
        <i val="0"/>
        <sz val="10"/>
        <color rgb="FF996600"/>
      </font>
      <fill>
        <patternFill>
          <bgColor rgb="FFFFFFCC"/>
        </patternFill>
      </fill>
    </dxf>
    <dxf>
      <font>
        <b val="0"/>
        <i val="0"/>
        <sz val="10"/>
        <color rgb="FFCC0000"/>
      </font>
      <fill>
        <patternFill>
          <bgColor rgb="FFFFCCCC"/>
        </patternFill>
      </fill>
    </dxf>
    <dxf>
      <font>
        <b val="0"/>
        <i val="0"/>
        <sz val="10"/>
        <color rgb="FF006600"/>
      </font>
      <fill>
        <patternFill>
          <bgColor rgb="FFCCFFCC"/>
        </patternFill>
      </fill>
    </dxf>
    <dxf>
      <font>
        <b val="0"/>
        <i val="0"/>
        <sz val="10"/>
        <color rgb="FF996600"/>
      </font>
      <fill>
        <patternFill>
          <bgColor rgb="FFFFFFCC"/>
        </patternFill>
      </fill>
    </dxf>
    <dxf>
      <font>
        <b val="0"/>
        <i val="0"/>
        <sz val="10"/>
        <color rgb="FFCC0000"/>
      </font>
      <fill>
        <patternFill>
          <bgColor rgb="FFFFCCCC"/>
        </patternFill>
      </fill>
    </dxf>
    <dxf>
      <font>
        <b val="0"/>
        <i val="0"/>
        <sz val="10"/>
        <color rgb="FF006600"/>
      </font>
      <fill>
        <patternFill>
          <bgColor rgb="FFCCFFCC"/>
        </patternFill>
      </fill>
    </dxf>
    <dxf>
      <font>
        <b val="0"/>
        <i val="0"/>
        <sz val="10"/>
        <color rgb="FF996600"/>
      </font>
      <fill>
        <patternFill>
          <bgColor rgb="FFFFFFCC"/>
        </patternFill>
      </fill>
    </dxf>
    <dxf>
      <font>
        <b val="0"/>
        <i val="0"/>
        <sz val="10"/>
        <color rgb="FFCC0000"/>
      </font>
      <fill>
        <patternFill>
          <bgColor rgb="FFFFCCCC"/>
        </patternFill>
      </fill>
    </dxf>
    <dxf>
      <font>
        <b val="0"/>
        <i val="0"/>
        <sz val="10"/>
        <color rgb="FF006600"/>
      </font>
      <fill>
        <patternFill>
          <bgColor rgb="FFCCFFCC"/>
        </patternFill>
      </fill>
    </dxf>
    <dxf>
      <font>
        <b val="0"/>
        <i val="0"/>
        <sz val="10"/>
        <color rgb="FF996600"/>
      </font>
      <fill>
        <patternFill>
          <bgColor rgb="FFFFFFCC"/>
        </patternFill>
      </fill>
    </dxf>
    <dxf>
      <font>
        <b val="0"/>
        <i val="0"/>
        <sz val="10"/>
        <color rgb="FFCC0000"/>
      </font>
      <fill>
        <patternFill>
          <bgColor rgb="FFFFCCCC"/>
        </patternFill>
      </fill>
    </dxf>
    <dxf>
      <font>
        <b val="0"/>
        <i val="0"/>
        <sz val="10"/>
        <color rgb="FF006600"/>
      </font>
      <fill>
        <patternFill>
          <bgColor rgb="FFCCFFCC"/>
        </patternFill>
      </fill>
    </dxf>
    <dxf>
      <font>
        <b val="0"/>
        <i val="0"/>
        <sz val="10"/>
        <color rgb="FF996600"/>
      </font>
      <fill>
        <patternFill>
          <bgColor rgb="FFFFFFCC"/>
        </patternFill>
      </fill>
    </dxf>
    <dxf>
      <font>
        <b val="0"/>
        <i val="0"/>
        <sz val="10"/>
        <color rgb="FFCC0000"/>
      </font>
      <fill>
        <patternFill>
          <bgColor rgb="FFFFCCCC"/>
        </patternFill>
      </fill>
    </dxf>
    <dxf>
      <font>
        <b val="0"/>
        <i val="0"/>
        <sz val="10"/>
        <color rgb="FF006600"/>
      </font>
      <fill>
        <patternFill>
          <bgColor rgb="FFCCFFCC"/>
        </patternFill>
      </fill>
    </dxf>
    <dxf>
      <font>
        <b val="0"/>
        <i val="0"/>
        <sz val="10"/>
        <color rgb="FF996600"/>
      </font>
      <fill>
        <patternFill>
          <bgColor rgb="FFFFFFCC"/>
        </patternFill>
      </fill>
    </dxf>
    <dxf>
      <font>
        <b val="0"/>
        <i val="0"/>
        <sz val="10"/>
        <color rgb="FFCC0000"/>
      </font>
      <fill>
        <patternFill>
          <bgColor rgb="FFFFCCCC"/>
        </patternFill>
      </fill>
    </dxf>
    <dxf>
      <font>
        <b val="0"/>
        <i val="0"/>
        <sz val="10"/>
        <color rgb="FF006600"/>
      </font>
      <fill>
        <patternFill>
          <bgColor rgb="FFCCFFCC"/>
        </patternFill>
      </fill>
    </dxf>
    <dxf>
      <font>
        <b val="0"/>
        <i val="0"/>
        <sz val="10"/>
        <color rgb="FF996600"/>
      </font>
      <fill>
        <patternFill>
          <bgColor rgb="FFFFFFCC"/>
        </patternFill>
      </fill>
    </dxf>
    <dxf>
      <font>
        <b val="0"/>
        <i val="0"/>
        <sz val="10"/>
        <color rgb="FFCC0000"/>
      </font>
      <fill>
        <patternFill>
          <bgColor rgb="FFFFCCCC"/>
        </patternFill>
      </fill>
    </dxf>
    <dxf>
      <font>
        <b val="0"/>
        <i val="0"/>
        <sz val="10"/>
        <color rgb="FF006600"/>
      </font>
      <fill>
        <patternFill>
          <bgColor rgb="FFCCFFCC"/>
        </patternFill>
      </fill>
    </dxf>
    <dxf>
      <font>
        <b val="0"/>
        <i val="0"/>
        <sz val="10"/>
        <color rgb="FF996600"/>
      </font>
      <fill>
        <patternFill>
          <bgColor rgb="FFFFFFCC"/>
        </patternFill>
      </fill>
    </dxf>
    <dxf>
      <font>
        <b val="0"/>
        <i val="0"/>
        <sz val="10"/>
        <color rgb="FFCC0000"/>
      </font>
      <fill>
        <patternFill>
          <bgColor rgb="FFFFCCCC"/>
        </patternFill>
      </fill>
    </dxf>
    <dxf>
      <font>
        <b val="0"/>
        <i val="0"/>
        <sz val="10"/>
        <color rgb="FF006600"/>
      </font>
      <fill>
        <patternFill>
          <bgColor rgb="FFCCFFCC"/>
        </patternFill>
      </fill>
    </dxf>
    <dxf>
      <font>
        <b val="0"/>
        <i val="0"/>
        <sz val="10"/>
        <color rgb="FFCC0000"/>
      </font>
      <fill>
        <patternFill>
          <bgColor rgb="FFFFCCCC"/>
        </patternFill>
      </fill>
    </dxf>
    <dxf>
      <font>
        <b val="0"/>
        <i val="0"/>
        <sz val="10"/>
        <color rgb="FF996600"/>
      </font>
      <fill>
        <patternFill>
          <bgColor rgb="FFFFFFCC"/>
        </patternFill>
      </fill>
    </dxf>
    <dxf>
      <font>
        <b val="0"/>
        <i val="0"/>
        <sz val="10"/>
        <color rgb="FF006600"/>
      </font>
      <fill>
        <patternFill>
          <bgColor rgb="FFCCFFCC"/>
        </patternFill>
      </fill>
    </dxf>
  </dxfs>
  <tableStyles count="0" defaultTableStyle="TableStyleMedium2" defaultPivotStyle="PivotStyleLight16"/>
  <colors>
    <indexedColors>
      <rgbColor rgb="FF000000"/>
      <rgbColor rgb="FFFFFFD7"/>
      <rgbColor rgb="FFCC0000"/>
      <rgbColor rgb="FF00FF00"/>
      <rgbColor rgb="FF0000FF"/>
      <rgbColor rgb="FFFFFF00"/>
      <rgbColor rgb="FFFF00FF"/>
      <rgbColor rgb="FF00FFFF"/>
      <rgbColor rgb="FF800000"/>
      <rgbColor rgb="FF006600"/>
      <rgbColor rgb="FF000080"/>
      <rgbColor rgb="FF996600"/>
      <rgbColor rgb="FF800080"/>
      <rgbColor rgb="FF008080"/>
      <rgbColor rgb="FFB3CAC7"/>
      <rgbColor rgb="FFDDDDDD"/>
      <rgbColor rgb="FF729FCF"/>
      <rgbColor rgb="FF993366"/>
      <rgbColor rgb="FFFFFFCC"/>
      <rgbColor rgb="FFDEE6EF"/>
      <rgbColor rgb="FF660066"/>
      <rgbColor rgb="FFFFCCCC"/>
      <rgbColor rgb="FF0066CC"/>
      <rgbColor rgb="FFCCCCCC"/>
      <rgbColor rgb="FF000080"/>
      <rgbColor rgb="FFFF00FF"/>
      <rgbColor rgb="FFFFFF38"/>
      <rgbColor rgb="FF00FFFF"/>
      <rgbColor rgb="FF800080"/>
      <rgbColor rgb="FF800000"/>
      <rgbColor rgb="FF008080"/>
      <rgbColor rgb="FF0000FF"/>
      <rgbColor rgb="FF00CCFF"/>
      <rgbColor rgb="FFEEEEEE"/>
      <rgbColor rgb="FFCCFFCC"/>
      <rgbColor rgb="FFE8F2A1"/>
      <rgbColor rgb="FFB4C7DC"/>
      <rgbColor rgb="FFFFA6A6"/>
      <rgbColor rgb="FFE0C2CD"/>
      <rgbColor rgb="FFFFDBB6"/>
      <rgbColor rgb="FF3366FF"/>
      <rgbColor rgb="FFF6F9D4"/>
      <rgbColor rgb="FFDDE8CB"/>
      <rgbColor rgb="FFF7D1D5"/>
      <rgbColor rgb="FFFFD7D7"/>
      <rgbColor rgb="FFFFF5CE"/>
      <rgbColor rgb="FF666699"/>
      <rgbColor rgb="FFB2B2B2"/>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EE82D2"/>
      <color rgb="FFF12B3E"/>
      <color rgb="FFFF5050"/>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Time</a:t>
            </a:r>
            <a:r>
              <a:rPr lang="en-GB" baseline="0"/>
              <a:t> on Demand per year</a:t>
            </a:r>
            <a:endParaRPr lang="en-GB"/>
          </a:p>
        </c:rich>
      </c:tx>
      <c:overlay val="0"/>
    </c:title>
    <c:autoTitleDeleted val="0"/>
    <c:plotArea>
      <c:layout/>
      <c:pieChart>
        <c:varyColors val="1"/>
        <c:ser>
          <c:idx val="0"/>
          <c:order val="0"/>
          <c:dPt>
            <c:idx val="0"/>
            <c:bubble3D val="0"/>
            <c:spPr>
              <a:solidFill>
                <a:srgbClr val="FF5050"/>
              </a:solidFill>
            </c:spPr>
            <c:extLst>
              <c:ext xmlns:c16="http://schemas.microsoft.com/office/drawing/2014/chart" uri="{C3380CC4-5D6E-409C-BE32-E72D297353CC}">
                <c16:uniqueId val="{00000001-F74F-494E-9574-7993F67722EB}"/>
              </c:ext>
            </c:extLst>
          </c:dPt>
          <c:dPt>
            <c:idx val="1"/>
            <c:bubble3D val="0"/>
            <c:spPr>
              <a:solidFill>
                <a:srgbClr val="FF0000"/>
              </a:solidFill>
            </c:spPr>
            <c:extLst>
              <c:ext xmlns:c16="http://schemas.microsoft.com/office/drawing/2014/chart" uri="{C3380CC4-5D6E-409C-BE32-E72D297353CC}">
                <c16:uniqueId val="{00000003-F74F-494E-9574-7993F67722EB}"/>
              </c:ext>
            </c:extLst>
          </c:dPt>
          <c:dPt>
            <c:idx val="2"/>
            <c:bubble3D val="0"/>
            <c:spPr>
              <a:solidFill>
                <a:schemeClr val="accent6">
                  <a:lumMod val="60000"/>
                  <a:lumOff val="40000"/>
                </a:schemeClr>
              </a:solidFill>
            </c:spPr>
            <c:extLst>
              <c:ext xmlns:c16="http://schemas.microsoft.com/office/drawing/2014/chart" uri="{C3380CC4-5D6E-409C-BE32-E72D297353CC}">
                <c16:uniqueId val="{00000005-F74F-494E-9574-7993F67722EB}"/>
              </c:ext>
            </c:extLst>
          </c:dPt>
          <c:dPt>
            <c:idx val="3"/>
            <c:bubble3D val="0"/>
            <c:spPr>
              <a:solidFill>
                <a:srgbClr val="F12B3E"/>
              </a:solidFill>
            </c:spPr>
            <c:extLst>
              <c:ext xmlns:c16="http://schemas.microsoft.com/office/drawing/2014/chart" uri="{C3380CC4-5D6E-409C-BE32-E72D297353CC}">
                <c16:uniqueId val="{00000007-F74F-494E-9574-7993F67722EB}"/>
              </c:ext>
            </c:extLst>
          </c:dPt>
          <c:dPt>
            <c:idx val="4"/>
            <c:bubble3D val="0"/>
            <c:spPr>
              <a:solidFill>
                <a:schemeClr val="accent2"/>
              </a:solidFill>
            </c:spPr>
            <c:extLst>
              <c:ext xmlns:c16="http://schemas.microsoft.com/office/drawing/2014/chart" uri="{C3380CC4-5D6E-409C-BE32-E72D297353CC}">
                <c16:uniqueId val="{00000009-F74F-494E-9574-7993F67722EB}"/>
              </c:ext>
            </c:extLst>
          </c:dPt>
          <c:dPt>
            <c:idx val="5"/>
            <c:bubble3D val="0"/>
            <c:spPr>
              <a:solidFill>
                <a:srgbClr val="00B050"/>
              </a:solidFill>
            </c:spPr>
            <c:extLst>
              <c:ext xmlns:c16="http://schemas.microsoft.com/office/drawing/2014/chart" uri="{C3380CC4-5D6E-409C-BE32-E72D297353CC}">
                <c16:uniqueId val="{0000000B-F74F-494E-9574-7993F67722EB}"/>
              </c:ext>
            </c:extLst>
          </c:dPt>
          <c:dPt>
            <c:idx val="6"/>
            <c:bubble3D val="0"/>
            <c:spPr>
              <a:solidFill>
                <a:schemeClr val="accent6">
                  <a:lumMod val="40000"/>
                  <a:lumOff val="60000"/>
                </a:schemeClr>
              </a:solidFill>
            </c:spPr>
            <c:extLst>
              <c:ext xmlns:c16="http://schemas.microsoft.com/office/drawing/2014/chart" uri="{C3380CC4-5D6E-409C-BE32-E72D297353CC}">
                <c16:uniqueId val="{0000000D-F74F-494E-9574-7993F67722EB}"/>
              </c:ext>
            </c:extLst>
          </c:dPt>
          <c:dPt>
            <c:idx val="7"/>
            <c:bubble3D val="0"/>
            <c:spPr>
              <a:solidFill>
                <a:schemeClr val="accent6">
                  <a:lumMod val="20000"/>
                  <a:lumOff val="80000"/>
                </a:schemeClr>
              </a:solidFill>
            </c:spPr>
            <c:extLst>
              <c:ext xmlns:c16="http://schemas.microsoft.com/office/drawing/2014/chart" uri="{C3380CC4-5D6E-409C-BE32-E72D297353CC}">
                <c16:uniqueId val="{0000000F-F74F-494E-9574-7993F67722EB}"/>
              </c:ext>
            </c:extLst>
          </c:dPt>
          <c:dPt>
            <c:idx val="8"/>
            <c:bubble3D val="0"/>
            <c:spPr>
              <a:solidFill>
                <a:srgbClr val="EE82D2"/>
              </a:solidFill>
            </c:spPr>
            <c:extLst>
              <c:ext xmlns:c16="http://schemas.microsoft.com/office/drawing/2014/chart" uri="{C3380CC4-5D6E-409C-BE32-E72D297353CC}">
                <c16:uniqueId val="{00000011-F74F-494E-9574-7993F67722EB}"/>
              </c:ext>
            </c:extLst>
          </c:dPt>
          <c:dPt>
            <c:idx val="9"/>
            <c:bubble3D val="0"/>
            <c:spPr>
              <a:solidFill>
                <a:schemeClr val="accent6">
                  <a:lumMod val="60000"/>
                  <a:lumOff val="40000"/>
                </a:schemeClr>
              </a:solidFill>
            </c:spPr>
            <c:extLst>
              <c:ext xmlns:c16="http://schemas.microsoft.com/office/drawing/2014/chart" uri="{C3380CC4-5D6E-409C-BE32-E72D297353CC}">
                <c16:uniqueId val="{00000013-F74F-494E-9574-7993F67722EB}"/>
              </c:ext>
            </c:extLst>
          </c:dPt>
          <c:dPt>
            <c:idx val="10"/>
            <c:bubble3D val="0"/>
            <c:spPr>
              <a:solidFill>
                <a:schemeClr val="accent4">
                  <a:lumMod val="40000"/>
                  <a:lumOff val="60000"/>
                </a:schemeClr>
              </a:solidFill>
            </c:spPr>
            <c:extLst>
              <c:ext xmlns:c16="http://schemas.microsoft.com/office/drawing/2014/chart" uri="{C3380CC4-5D6E-409C-BE32-E72D297353CC}">
                <c16:uniqueId val="{00000015-F74F-494E-9574-7993F67722EB}"/>
              </c:ext>
            </c:extLst>
          </c:dPt>
          <c:dPt>
            <c:idx val="11"/>
            <c:bubble3D val="0"/>
            <c:spPr>
              <a:solidFill>
                <a:srgbClr val="FFFF00"/>
              </a:solidFill>
            </c:spPr>
            <c:extLst>
              <c:ext xmlns:c16="http://schemas.microsoft.com/office/drawing/2014/chart" uri="{C3380CC4-5D6E-409C-BE32-E72D297353CC}">
                <c16:uniqueId val="{00000017-F74F-494E-9574-7993F67722EB}"/>
              </c:ext>
            </c:extLst>
          </c:dPt>
          <c:dPt>
            <c:idx val="12"/>
            <c:bubble3D val="0"/>
            <c:spPr>
              <a:solidFill>
                <a:schemeClr val="accent1">
                  <a:lumMod val="60000"/>
                  <a:lumOff val="40000"/>
                </a:schemeClr>
              </a:solidFill>
              <a:ln>
                <a:solidFill>
                  <a:schemeClr val="bg1"/>
                </a:solidFill>
              </a:ln>
            </c:spPr>
            <c:extLst>
              <c:ext xmlns:c16="http://schemas.microsoft.com/office/drawing/2014/chart" uri="{C3380CC4-5D6E-409C-BE32-E72D297353CC}">
                <c16:uniqueId val="{00000019-F74F-494E-9574-7993F67722EB}"/>
              </c:ext>
            </c:extLst>
          </c:dPt>
          <c:dPt>
            <c:idx val="13"/>
            <c:bubble3D val="0"/>
            <c:spPr>
              <a:solidFill>
                <a:schemeClr val="accent1">
                  <a:lumMod val="75000"/>
                </a:schemeClr>
              </a:solidFill>
            </c:spPr>
            <c:extLst>
              <c:ext xmlns:c16="http://schemas.microsoft.com/office/drawing/2014/chart" uri="{C3380CC4-5D6E-409C-BE32-E72D297353CC}">
                <c16:uniqueId val="{0000001B-F74F-494E-9574-7993F67722EB}"/>
              </c:ext>
            </c:extLst>
          </c:dPt>
          <c:dLbls>
            <c:dLbl>
              <c:idx val="0"/>
              <c:layout>
                <c:manualLayout>
                  <c:x val="4.2628117931457883E-2"/>
                  <c:y val="-9.2121686729729046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74F-494E-9574-7993F67722EB}"/>
                </c:ext>
              </c:extLst>
            </c:dLbl>
            <c:dLbl>
              <c:idx val="1"/>
              <c:layout>
                <c:manualLayout>
                  <c:x val="8.9504551072280822E-2"/>
                  <c:y val="-2.419982523409558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74F-494E-9574-7993F67722EB}"/>
                </c:ext>
              </c:extLst>
            </c:dLbl>
            <c:dLbl>
              <c:idx val="2"/>
              <c:layout>
                <c:manualLayout>
                  <c:x val="6.1455410373801991E-2"/>
                  <c:y val="-2.16612310968709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74F-494E-9574-7993F67722EB}"/>
                </c:ext>
              </c:extLst>
            </c:dLbl>
            <c:dLbl>
              <c:idx val="3"/>
              <c:layout>
                <c:manualLayout>
                  <c:x val="-1.9002421208976786E-2"/>
                  <c:y val="-1.5063334474495036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74F-494E-9574-7993F67722EB}"/>
                </c:ext>
              </c:extLst>
            </c:dLbl>
            <c:dLbl>
              <c:idx val="4"/>
              <c:layout>
                <c:manualLayout>
                  <c:x val="1.6041018128547886E-3"/>
                  <c:y val="-3.0967103038500557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F74F-494E-9574-7993F67722EB}"/>
                </c:ext>
              </c:extLst>
            </c:dLbl>
            <c:dLbl>
              <c:idx val="5"/>
              <c:layout>
                <c:manualLayout>
                  <c:x val="1.1996073165272946E-2"/>
                  <c:y val="2.712429351239070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F74F-494E-9574-7993F67722EB}"/>
                </c:ext>
              </c:extLst>
            </c:dLbl>
            <c:dLbl>
              <c:idx val="6"/>
              <c:layout>
                <c:manualLayout>
                  <c:x val="2.26739099473031E-3"/>
                  <c:y val="-5.4755808898120865E-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F74F-494E-9574-7993F67722EB}"/>
                </c:ext>
              </c:extLst>
            </c:dLbl>
            <c:dLbl>
              <c:idx val="7"/>
              <c:layout>
                <c:manualLayout>
                  <c:x val="7.8973346495557744E-3"/>
                  <c:y val="7.142157260663824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F74F-494E-9574-7993F67722EB}"/>
                </c:ext>
              </c:extLst>
            </c:dLbl>
            <c:dLbl>
              <c:idx val="9"/>
              <c:layout>
                <c:manualLayout>
                  <c:x val="2.9755641009990029E-2"/>
                  <c:y val="-1.58514081445340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F74F-494E-9574-7993F67722EB}"/>
                </c:ext>
              </c:extLst>
            </c:dLbl>
            <c:dLbl>
              <c:idx val="10"/>
              <c:layout>
                <c:manualLayout>
                  <c:x val="-0.10280001710052779"/>
                  <c:y val="2.214255358771481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F74F-494E-9574-7993F67722EB}"/>
                </c:ext>
              </c:extLst>
            </c:dLbl>
            <c:dLbl>
              <c:idx val="11"/>
              <c:layout>
                <c:manualLayout>
                  <c:x val="-9.5845446207180662E-2"/>
                  <c:y val="5.9756569240245819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7-F74F-494E-9574-7993F67722EB}"/>
                </c:ext>
              </c:extLst>
            </c:dLbl>
            <c:dLbl>
              <c:idx val="12"/>
              <c:layout>
                <c:manualLayout>
                  <c:x val="-0.23149237083271798"/>
                  <c:y val="-5.365122264507719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9-F74F-494E-9574-7993F67722EB}"/>
                </c:ext>
              </c:extLst>
            </c:dLbl>
            <c:dLbl>
              <c:idx val="13"/>
              <c:layout>
                <c:manualLayout>
                  <c:x val="-2.1635665482584669E-2"/>
                  <c:y val="1.016793761907716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B-F74F-494E-9574-7993F67722EB}"/>
                </c:ext>
              </c:extLst>
            </c:dLbl>
            <c:dLbl>
              <c:idx val="14"/>
              <c:layout>
                <c:manualLayout>
                  <c:x val="-0.11263962192287662"/>
                  <c:y val="-1.495728740396231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D-DBFC-47FD-9B7D-C858CB82907F}"/>
                </c:ext>
              </c:extLst>
            </c:dLbl>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'Work-Time'!$U$7:$U$21</c:f>
              <c:strCache>
                <c:ptCount val="15"/>
                <c:pt idx="0">
                  <c:v>Screening-IND</c:v>
                </c:pt>
                <c:pt idx="1">
                  <c:v>ASSMT</c:v>
                </c:pt>
                <c:pt idx="2">
                  <c:v>ASSMT-SCID</c:v>
                </c:pt>
                <c:pt idx="3">
                  <c:v>SCM-IND</c:v>
                </c:pt>
                <c:pt idx="4">
                  <c:v>SCM-GRP</c:v>
                </c:pt>
                <c:pt idx="5">
                  <c:v>MBT-IND</c:v>
                </c:pt>
                <c:pt idx="6">
                  <c:v>MBT-GRP</c:v>
                </c:pt>
                <c:pt idx="7">
                  <c:v>MBTI-GRP</c:v>
                </c:pt>
                <c:pt idx="8">
                  <c:v>LIAISON-IND</c:v>
                </c:pt>
                <c:pt idx="9">
                  <c:v>CONS-GRP</c:v>
                </c:pt>
                <c:pt idx="10">
                  <c:v>WAITL-GRP</c:v>
                </c:pt>
                <c:pt idx="11">
                  <c:v>KeyCLIN-IND</c:v>
                </c:pt>
                <c:pt idx="12">
                  <c:v>CareCoord-IND</c:v>
                </c:pt>
                <c:pt idx="13">
                  <c:v>MEDRV</c:v>
                </c:pt>
                <c:pt idx="14">
                  <c:v>MEDRVMBT</c:v>
                </c:pt>
              </c:strCache>
            </c:strRef>
          </c:cat>
          <c:val>
            <c:numRef>
              <c:f>'Work-Time'!$R$7:$R$21</c:f>
              <c:numCache>
                <c:formatCode>[hh]:mm:ss</c:formatCode>
                <c:ptCount val="15"/>
                <c:pt idx="0">
                  <c:v>15.416666666666664</c:v>
                </c:pt>
                <c:pt idx="1">
                  <c:v>52.15</c:v>
                </c:pt>
                <c:pt idx="2">
                  <c:v>5.2750000000000004</c:v>
                </c:pt>
                <c:pt idx="3">
                  <c:v>95.46875</c:v>
                </c:pt>
                <c:pt idx="4">
                  <c:v>0</c:v>
                </c:pt>
                <c:pt idx="5">
                  <c:v>63.012152777777779</c:v>
                </c:pt>
                <c:pt idx="6">
                  <c:v>119.14583333333333</c:v>
                </c:pt>
                <c:pt idx="7">
                  <c:v>45.566666666666663</c:v>
                </c:pt>
                <c:pt idx="8">
                  <c:v>15.517638888888889</c:v>
                </c:pt>
                <c:pt idx="9">
                  <c:v>0</c:v>
                </c:pt>
                <c:pt idx="10">
                  <c:v>0</c:v>
                </c:pt>
                <c:pt idx="11">
                  <c:v>0</c:v>
                </c:pt>
                <c:pt idx="12">
                  <c:v>3.625</c:v>
                </c:pt>
                <c:pt idx="13">
                  <c:v>3.1875</c:v>
                </c:pt>
                <c:pt idx="14">
                  <c:v>3.0347222222222223</c:v>
                </c:pt>
              </c:numCache>
            </c:numRef>
          </c:val>
          <c:extLst>
            <c:ext xmlns:c16="http://schemas.microsoft.com/office/drawing/2014/chart" uri="{C3380CC4-5D6E-409C-BE32-E72D297353CC}">
              <c16:uniqueId val="{0000001C-F74F-494E-9574-7993F67722EB}"/>
            </c:ext>
          </c:extLst>
        </c:ser>
        <c:ser>
          <c:idx val="1"/>
          <c:order val="1"/>
          <c:cat>
            <c:strRef>
              <c:f>'Work-Time'!$U$7:$U$21</c:f>
              <c:strCache>
                <c:ptCount val="15"/>
                <c:pt idx="0">
                  <c:v>Screening-IND</c:v>
                </c:pt>
                <c:pt idx="1">
                  <c:v>ASSMT</c:v>
                </c:pt>
                <c:pt idx="2">
                  <c:v>ASSMT-SCID</c:v>
                </c:pt>
                <c:pt idx="3">
                  <c:v>SCM-IND</c:v>
                </c:pt>
                <c:pt idx="4">
                  <c:v>SCM-GRP</c:v>
                </c:pt>
                <c:pt idx="5">
                  <c:v>MBT-IND</c:v>
                </c:pt>
                <c:pt idx="6">
                  <c:v>MBT-GRP</c:v>
                </c:pt>
                <c:pt idx="7">
                  <c:v>MBTI-GRP</c:v>
                </c:pt>
                <c:pt idx="8">
                  <c:v>LIAISON-IND</c:v>
                </c:pt>
                <c:pt idx="9">
                  <c:v>CONS-GRP</c:v>
                </c:pt>
                <c:pt idx="10">
                  <c:v>WAITL-GRP</c:v>
                </c:pt>
                <c:pt idx="11">
                  <c:v>KeyCLIN-IND</c:v>
                </c:pt>
                <c:pt idx="12">
                  <c:v>CareCoord-IND</c:v>
                </c:pt>
                <c:pt idx="13">
                  <c:v>MEDRV</c:v>
                </c:pt>
                <c:pt idx="14">
                  <c:v>MEDRVMBT</c:v>
                </c:pt>
              </c:strCache>
            </c:strRef>
          </c:cat>
          <c:val>
            <c:numRef>
              <c:f>'Work-Time'!$U$7:$U$20</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1D-F74F-494E-9574-7993F67722EB}"/>
            </c:ext>
          </c:extLst>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25</xdr:col>
      <xdr:colOff>85990</xdr:colOff>
      <xdr:row>25</xdr:row>
      <xdr:rowOff>39687</xdr:rowOff>
    </xdr:from>
    <xdr:to>
      <xdr:col>31</xdr:col>
      <xdr:colOff>166158</xdr:colOff>
      <xdr:row>53</xdr:row>
      <xdr:rowOff>87577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D180"/>
  <sheetViews>
    <sheetView tabSelected="1" zoomScaleNormal="100" workbookViewId="0">
      <selection activeCell="N21" sqref="N21"/>
    </sheetView>
  </sheetViews>
  <sheetFormatPr defaultColWidth="11.5703125" defaultRowHeight="12.75"/>
  <cols>
    <col min="1" max="1" width="3.5703125" customWidth="1"/>
    <col min="2" max="2" width="25.5703125" customWidth="1"/>
    <col min="3" max="4" width="7.85546875" customWidth="1"/>
    <col min="5" max="5" width="9.5703125" customWidth="1"/>
    <col min="6" max="6" width="13.85546875" style="1" customWidth="1"/>
    <col min="7" max="7" width="4.42578125" customWidth="1"/>
    <col min="8" max="8" width="19.85546875" customWidth="1"/>
    <col min="9" max="9" width="8.5703125" customWidth="1"/>
    <col min="10" max="10" width="11.42578125" customWidth="1"/>
    <col min="11" max="11" width="10.42578125" customWidth="1"/>
    <col min="12" max="12" width="14" customWidth="1"/>
    <col min="13" max="13" width="9.5703125" customWidth="1"/>
    <col min="14" max="14" width="11.5703125" customWidth="1"/>
    <col min="15" max="15" width="10.5703125" customWidth="1"/>
    <col min="16" max="16" width="13.5703125" customWidth="1"/>
    <col min="17" max="17" width="6" customWidth="1"/>
    <col min="18" max="18" width="14.140625" customWidth="1"/>
    <col min="19" max="19" width="11.140625" customWidth="1"/>
    <col min="20" max="20" width="13.85546875" customWidth="1"/>
    <col min="21" max="21" width="13.140625" customWidth="1"/>
    <col min="23" max="23" width="11.140625" customWidth="1"/>
    <col min="24" max="24" width="6.85546875" customWidth="1"/>
    <col min="25" max="25" width="13.140625" customWidth="1"/>
  </cols>
  <sheetData>
    <row r="1" spans="1:28" ht="13.5" thickBot="1">
      <c r="A1" s="56"/>
      <c r="B1" s="56"/>
      <c r="C1" s="58" t="s">
        <v>0</v>
      </c>
      <c r="D1" s="56"/>
      <c r="E1" s="56"/>
      <c r="F1" s="57"/>
      <c r="G1" s="56"/>
      <c r="H1" s="59" t="s">
        <v>413</v>
      </c>
      <c r="I1" s="44"/>
      <c r="J1" s="44"/>
      <c r="K1" s="44"/>
      <c r="L1" s="59" t="s">
        <v>1</v>
      </c>
      <c r="M1" s="44"/>
      <c r="N1" s="44"/>
      <c r="O1" s="44"/>
      <c r="P1" s="44"/>
      <c r="Q1" s="44"/>
      <c r="R1" s="62"/>
      <c r="S1" s="63" t="s">
        <v>2</v>
      </c>
      <c r="T1" s="62"/>
      <c r="U1" s="62"/>
      <c r="V1" s="62"/>
      <c r="W1" s="62"/>
      <c r="X1" s="62"/>
      <c r="Y1" s="62"/>
    </row>
    <row r="2" spans="1:28">
      <c r="A2" s="11"/>
      <c r="H2" t="s">
        <v>412</v>
      </c>
      <c r="L2" s="61" t="s">
        <v>3</v>
      </c>
      <c r="M2" s="61"/>
      <c r="N2" s="61"/>
      <c r="O2" s="61"/>
      <c r="P2" s="61"/>
      <c r="Q2" s="61"/>
      <c r="R2" s="130">
        <f>SUM(R7:R25)</f>
        <v>421.39993055555556</v>
      </c>
      <c r="S2" s="34"/>
      <c r="T2" s="32" t="s">
        <v>4</v>
      </c>
      <c r="U2" s="33"/>
      <c r="V2" s="34"/>
      <c r="W2" s="134" t="s">
        <v>356</v>
      </c>
      <c r="X2" s="131">
        <f>Z2/R2</f>
        <v>0.38151248838403867</v>
      </c>
      <c r="Y2" s="35"/>
      <c r="Z2" s="4">
        <f>SUM(Z7:Z24)</f>
        <v>160.7693361111111</v>
      </c>
    </row>
    <row r="3" spans="1:28">
      <c r="H3" s="12" t="s">
        <v>6</v>
      </c>
      <c r="I3" s="13"/>
      <c r="J3" s="14"/>
      <c r="K3" s="98"/>
      <c r="L3" s="26" t="s">
        <v>7</v>
      </c>
      <c r="M3" s="26"/>
      <c r="N3" s="26"/>
      <c r="O3" s="26"/>
      <c r="P3" s="26"/>
      <c r="Q3" s="26"/>
      <c r="R3" s="36"/>
      <c r="T3" s="27" t="s">
        <v>8</v>
      </c>
      <c r="W3" s="132" t="s">
        <v>348</v>
      </c>
      <c r="X3" s="133">
        <f>(existAbsWTE-existClinWTE)/existAbsWTE</f>
        <v>0.33582089552238809</v>
      </c>
      <c r="Y3" s="37"/>
    </row>
    <row r="4" spans="1:28">
      <c r="A4" s="50" t="s">
        <v>9</v>
      </c>
      <c r="B4" s="50" t="s">
        <v>10</v>
      </c>
      <c r="C4" s="50" t="s">
        <v>11</v>
      </c>
      <c r="D4" s="50" t="s">
        <v>12</v>
      </c>
      <c r="E4" s="51" t="s">
        <v>13</v>
      </c>
      <c r="F4" s="50" t="s">
        <v>14</v>
      </c>
      <c r="H4" s="15" t="s">
        <v>15</v>
      </c>
      <c r="I4" t="s">
        <v>11</v>
      </c>
      <c r="J4" s="104" t="s">
        <v>12</v>
      </c>
      <c r="K4" s="99"/>
      <c r="L4" t="s">
        <v>16</v>
      </c>
      <c r="M4" t="s">
        <v>17</v>
      </c>
      <c r="N4" t="s">
        <v>18</v>
      </c>
      <c r="O4" s="145" t="s">
        <v>19</v>
      </c>
      <c r="R4" s="36"/>
      <c r="T4" s="27" t="s">
        <v>20</v>
      </c>
      <c r="W4" s="135" t="s">
        <v>357</v>
      </c>
      <c r="X4" s="136">
        <f>prodContH/(availableHours*existAbsWTE)</f>
        <v>0.17451216945575157</v>
      </c>
      <c r="Y4" s="37"/>
    </row>
    <row r="5" spans="1:28">
      <c r="A5" s="60">
        <v>1</v>
      </c>
      <c r="B5" t="s">
        <v>21</v>
      </c>
      <c r="C5">
        <v>60</v>
      </c>
      <c r="D5">
        <v>7</v>
      </c>
      <c r="E5" s="2">
        <f>SUMPRODUCT(C5:C15,D5:D15)/1440</f>
        <v>0.81597222222222221</v>
      </c>
      <c r="F5" s="3" t="s">
        <v>22</v>
      </c>
      <c r="H5" s="17" t="s">
        <v>23</v>
      </c>
      <c r="I5">
        <v>90</v>
      </c>
      <c r="J5" s="104">
        <v>1</v>
      </c>
      <c r="K5" s="100">
        <f t="shared" ref="K5:K10" si="0">SUMPRODUCT(I5,J5)/SUMPRODUCT($I$5:$I$10,$J$5:$J$10)</f>
        <v>0.14634146341463414</v>
      </c>
      <c r="L5" s="4">
        <f>M5*N5*60/1440</f>
        <v>86.666666666666671</v>
      </c>
      <c r="M5">
        <v>40</v>
      </c>
      <c r="N5">
        <v>52</v>
      </c>
      <c r="O5" t="s">
        <v>409</v>
      </c>
      <c r="R5" s="36"/>
      <c r="T5" s="20"/>
      <c r="W5" t="s">
        <v>349</v>
      </c>
      <c r="X5" s="133">
        <f>prodContH/(availableHours*existClinWTE)</f>
        <v>0.26274865963000799</v>
      </c>
      <c r="Y5" s="37"/>
    </row>
    <row r="6" spans="1:28">
      <c r="B6" t="s">
        <v>329</v>
      </c>
      <c r="C6">
        <v>15</v>
      </c>
      <c r="D6">
        <v>7</v>
      </c>
      <c r="E6" s="1"/>
      <c r="F6"/>
      <c r="H6" s="17" t="s">
        <v>25</v>
      </c>
      <c r="I6">
        <v>60</v>
      </c>
      <c r="J6" s="104">
        <v>2</v>
      </c>
      <c r="K6" s="100">
        <f t="shared" si="0"/>
        <v>0.1951219512195122</v>
      </c>
      <c r="L6" s="4">
        <f>1520*60/1440</f>
        <v>63.333333333333336</v>
      </c>
      <c r="O6" t="s">
        <v>26</v>
      </c>
      <c r="R6" s="45" t="s">
        <v>346</v>
      </c>
      <c r="S6" s="67" t="s">
        <v>27</v>
      </c>
      <c r="T6" s="46" t="s">
        <v>28</v>
      </c>
      <c r="U6" s="47" t="s">
        <v>29</v>
      </c>
      <c r="V6" s="92" t="s">
        <v>30</v>
      </c>
      <c r="W6" s="48" t="s">
        <v>31</v>
      </c>
      <c r="X6" s="129" t="s">
        <v>345</v>
      </c>
      <c r="Y6" s="49" t="s">
        <v>344</v>
      </c>
      <c r="Z6" s="67" t="s">
        <v>347</v>
      </c>
      <c r="AB6" t="s">
        <v>350</v>
      </c>
    </row>
    <row r="7" spans="1:28">
      <c r="B7" t="s">
        <v>24</v>
      </c>
      <c r="C7">
        <v>30</v>
      </c>
      <c r="D7">
        <v>7</v>
      </c>
      <c r="E7" s="128">
        <f>(SUMPRODUCT(C5,D5)+SUMPRODUCT(C9,D9))/SUMPRODUCT(C5:C14,D5:D14)</f>
        <v>0.42127659574468085</v>
      </c>
      <c r="F7"/>
      <c r="H7" s="17" t="s">
        <v>33</v>
      </c>
      <c r="I7">
        <v>90</v>
      </c>
      <c r="J7" s="104">
        <v>1</v>
      </c>
      <c r="K7" s="100">
        <f t="shared" si="0"/>
        <v>0.14634146341463414</v>
      </c>
      <c r="L7" s="97">
        <f>1670*60/1440</f>
        <v>69.583333333333329</v>
      </c>
      <c r="O7" s="55" t="s">
        <v>408</v>
      </c>
      <c r="R7" s="41">
        <f>W7*indScreening</f>
        <v>15.416666666666664</v>
      </c>
      <c r="S7" s="4">
        <f>indScreening</f>
        <v>3.2118055555555552E-2</v>
      </c>
      <c r="T7" s="120">
        <v>1</v>
      </c>
      <c r="U7" s="116" t="s">
        <v>34</v>
      </c>
      <c r="V7" s="93">
        <f>demSCREENING</f>
        <v>450</v>
      </c>
      <c r="W7" s="122">
        <f t="shared" ref="W7:W19" si="1">SUM(K34,O34,S34,W34,K60,O60,S60,W60,AB60,K91,O91,S91,W91,K117,O117,S117,W117)/X7*T7</f>
        <v>480</v>
      </c>
      <c r="X7" s="1">
        <f>indFct_SCREENING</f>
        <v>1</v>
      </c>
      <c r="Y7" s="83">
        <f>W7-V7</f>
        <v>30</v>
      </c>
      <c r="Z7" s="4">
        <f>R7*f2f_SCREENING/X7</f>
        <v>0.99999999999999989</v>
      </c>
      <c r="AB7" t="s">
        <v>351</v>
      </c>
    </row>
    <row r="8" spans="1:28">
      <c r="B8" t="s">
        <v>32</v>
      </c>
      <c r="C8">
        <v>90</v>
      </c>
      <c r="D8">
        <v>1</v>
      </c>
      <c r="E8" s="1"/>
      <c r="F8"/>
      <c r="H8" s="17" t="s">
        <v>36</v>
      </c>
      <c r="I8">
        <v>90</v>
      </c>
      <c r="J8" s="104">
        <v>2</v>
      </c>
      <c r="K8" s="100">
        <f t="shared" si="0"/>
        <v>0.29268292682926828</v>
      </c>
      <c r="L8" s="140">
        <f>M8*N8*60/1440</f>
        <v>68.75</v>
      </c>
      <c r="M8" s="13">
        <v>37.5</v>
      </c>
      <c r="N8" s="141">
        <v>44</v>
      </c>
      <c r="O8" s="13" t="s">
        <v>363</v>
      </c>
      <c r="P8" s="13"/>
      <c r="Q8" s="143"/>
      <c r="R8" s="41">
        <f>W8*indASSMT_E</f>
        <v>52.15</v>
      </c>
      <c r="S8" s="4">
        <f>indASSMT_E</f>
        <v>0.31041666666666667</v>
      </c>
      <c r="T8" s="120">
        <v>1</v>
      </c>
      <c r="U8" s="116" t="s">
        <v>37</v>
      </c>
      <c r="V8" s="93">
        <f>demASSMT</f>
        <v>280</v>
      </c>
      <c r="W8" s="122">
        <f t="shared" si="1"/>
        <v>168</v>
      </c>
      <c r="X8" s="1">
        <f>indFctASSMT</f>
        <v>1</v>
      </c>
      <c r="Y8" s="83">
        <f t="shared" ref="Y8:Y21" si="2">W8-V8</f>
        <v>-112</v>
      </c>
      <c r="Z8" s="4">
        <f>R8*f2f_ASSMT/X8</f>
        <v>18.2</v>
      </c>
      <c r="AB8" t="s">
        <v>352</v>
      </c>
    </row>
    <row r="9" spans="1:28">
      <c r="B9" t="s">
        <v>35</v>
      </c>
      <c r="C9">
        <v>15</v>
      </c>
      <c r="D9">
        <v>5</v>
      </c>
      <c r="E9" s="1"/>
      <c r="F9"/>
      <c r="H9" s="17" t="s">
        <v>39</v>
      </c>
      <c r="I9">
        <v>15</v>
      </c>
      <c r="J9" s="104">
        <v>5</v>
      </c>
      <c r="K9" s="100">
        <f t="shared" si="0"/>
        <v>0.12195121951219512</v>
      </c>
      <c r="L9" s="142" t="s">
        <v>40</v>
      </c>
      <c r="M9" s="25"/>
      <c r="N9" s="25"/>
      <c r="O9" s="25" t="s">
        <v>41</v>
      </c>
      <c r="P9" s="25"/>
      <c r="Q9" s="138"/>
      <c r="R9" s="41">
        <f>W9*indASSMTSCID_E</f>
        <v>5.2750000000000004</v>
      </c>
      <c r="S9" s="4">
        <f>indASSMTSCID_E</f>
        <v>0.43958333333333333</v>
      </c>
      <c r="T9" s="120">
        <v>1</v>
      </c>
      <c r="U9" s="117" t="s">
        <v>42</v>
      </c>
      <c r="V9" s="93">
        <f>demASSMT_SCID</f>
        <v>20</v>
      </c>
      <c r="W9" s="122">
        <f t="shared" si="1"/>
        <v>12</v>
      </c>
      <c r="X9" s="1">
        <f>indFctASSMT_SCID</f>
        <v>1</v>
      </c>
      <c r="Y9" s="83">
        <f t="shared" si="2"/>
        <v>-8</v>
      </c>
      <c r="Z9" s="4">
        <f>R9*f2f_ASSMTSCID/X9</f>
        <v>2</v>
      </c>
      <c r="AB9" t="s">
        <v>353</v>
      </c>
    </row>
    <row r="10" spans="1:28">
      <c r="B10" t="s">
        <v>38</v>
      </c>
      <c r="C10">
        <v>10</v>
      </c>
      <c r="D10">
        <v>5</v>
      </c>
      <c r="E10" s="1"/>
      <c r="F10"/>
      <c r="H10" s="17" t="s">
        <v>44</v>
      </c>
      <c r="I10">
        <v>60</v>
      </c>
      <c r="J10" s="104">
        <v>1</v>
      </c>
      <c r="K10" s="100">
        <f t="shared" si="0"/>
        <v>9.7560975609756101E-2</v>
      </c>
      <c r="L10" s="20" t="s">
        <v>364</v>
      </c>
      <c r="M10" s="139"/>
      <c r="N10" s="139"/>
      <c r="O10" s="139"/>
      <c r="P10" s="139"/>
      <c r="Q10" s="37"/>
      <c r="R10" s="41">
        <f>W10*indSCM_E</f>
        <v>95.46875</v>
      </c>
      <c r="S10" s="4">
        <f>indSCM_E</f>
        <v>0.81597222222222221</v>
      </c>
      <c r="T10" s="120">
        <v>1</v>
      </c>
      <c r="U10" s="116" t="s">
        <v>45</v>
      </c>
      <c r="V10" s="93">
        <f>demSCM_IND</f>
        <v>165</v>
      </c>
      <c r="W10" s="122">
        <f t="shared" si="1"/>
        <v>117</v>
      </c>
      <c r="X10" s="1">
        <f>indFctSCM</f>
        <v>1</v>
      </c>
      <c r="Y10" s="83">
        <f t="shared" si="2"/>
        <v>-48</v>
      </c>
      <c r="Z10" s="4">
        <f>R10*f2f_indSCM/X10</f>
        <v>40.21875</v>
      </c>
      <c r="AB10" t="s">
        <v>354</v>
      </c>
    </row>
    <row r="11" spans="1:28">
      <c r="B11" t="s">
        <v>43</v>
      </c>
      <c r="C11">
        <f>10+20</f>
        <v>30</v>
      </c>
      <c r="D11">
        <v>1</v>
      </c>
      <c r="E11" s="1"/>
      <c r="F11"/>
      <c r="H11" s="95" t="s">
        <v>47</v>
      </c>
      <c r="I11">
        <v>60</v>
      </c>
      <c r="J11" s="104">
        <v>2</v>
      </c>
      <c r="K11" s="101">
        <f>SUMPRODUCT(I11,J11)/SUMPRODUCT($I$11:$I$13,$J$11:$J$13)</f>
        <v>0.30769230769230771</v>
      </c>
      <c r="L11" t="s">
        <v>48</v>
      </c>
      <c r="R11" s="41">
        <f>W11*grpSCM_Y</f>
        <v>0</v>
      </c>
      <c r="S11" s="4">
        <f>grpSCM_Y</f>
        <v>1.1701388888888888</v>
      </c>
      <c r="T11" s="120">
        <f>grpFctSCM</f>
        <v>8</v>
      </c>
      <c r="U11" s="116" t="s">
        <v>49</v>
      </c>
      <c r="V11" s="93">
        <f>demSCM_GRP</f>
        <v>0</v>
      </c>
      <c r="W11" s="122">
        <f t="shared" si="1"/>
        <v>0</v>
      </c>
      <c r="X11" s="1">
        <f>grpClinFctSCM</f>
        <v>2</v>
      </c>
      <c r="Y11" s="83">
        <f t="shared" si="2"/>
        <v>0</v>
      </c>
      <c r="Z11" s="4">
        <f>R11*f2f_grpSCM/X11</f>
        <v>0</v>
      </c>
    </row>
    <row r="12" spans="1:28">
      <c r="B12" t="s">
        <v>46</v>
      </c>
      <c r="C12">
        <v>60</v>
      </c>
      <c r="D12">
        <v>1</v>
      </c>
      <c r="E12" s="1"/>
      <c r="F12"/>
      <c r="H12" s="95" t="s">
        <v>51</v>
      </c>
      <c r="I12">
        <v>30</v>
      </c>
      <c r="J12" s="104">
        <v>5</v>
      </c>
      <c r="K12" s="101">
        <f>SUMPRODUCT(I12,J12)/SUMPRODUCT($I$11:$I$13,$J$11:$J$13)</f>
        <v>0.38461538461538464</v>
      </c>
      <c r="L12" t="s">
        <v>365</v>
      </c>
      <c r="P12" s="148">
        <v>2E-3</v>
      </c>
      <c r="R12" s="41">
        <f>W12*indMBT_E</f>
        <v>63.012152777777779</v>
      </c>
      <c r="S12" s="4">
        <f>indMBT_E</f>
        <v>3.7065972222222223</v>
      </c>
      <c r="T12" s="120">
        <v>1</v>
      </c>
      <c r="U12" s="118" t="s">
        <v>52</v>
      </c>
      <c r="V12" s="93">
        <f>demMBT</f>
        <v>15</v>
      </c>
      <c r="W12" s="122">
        <f t="shared" si="1"/>
        <v>17</v>
      </c>
      <c r="X12" s="1">
        <f>indFctMBT</f>
        <v>1</v>
      </c>
      <c r="Y12" s="83">
        <f t="shared" si="2"/>
        <v>2</v>
      </c>
      <c r="Z12" s="4">
        <f>R12*f2f_indMBT/X12</f>
        <v>36.331597222222221</v>
      </c>
    </row>
    <row r="13" spans="1:28">
      <c r="B13" t="s">
        <v>50</v>
      </c>
      <c r="C13">
        <v>45</v>
      </c>
      <c r="D13">
        <v>1</v>
      </c>
      <c r="E13" s="1"/>
      <c r="F13"/>
      <c r="H13" s="53" t="s">
        <v>371</v>
      </c>
      <c r="I13">
        <v>60</v>
      </c>
      <c r="J13" s="104">
        <v>2</v>
      </c>
      <c r="K13" s="101">
        <f>SUMPRODUCT(I13,J13)/SUMPRODUCT($I$11:$I$13,$J$11:$J$13)</f>
        <v>0.30769230769230771</v>
      </c>
      <c r="L13" t="s">
        <v>366</v>
      </c>
      <c r="P13" s="146">
        <f>availableHours*0.002</f>
        <v>0.13750000000000001</v>
      </c>
      <c r="R13" s="41">
        <f>W13*grpMBT_Y</f>
        <v>119.14583333333333</v>
      </c>
      <c r="S13" s="4">
        <f>grpMBT_Y</f>
        <v>5.6736111111111107</v>
      </c>
      <c r="T13" s="120">
        <f>grpFctMBT</f>
        <v>7</v>
      </c>
      <c r="U13" s="118" t="s">
        <v>55</v>
      </c>
      <c r="V13" s="93">
        <f>demMBT</f>
        <v>15</v>
      </c>
      <c r="W13" s="122">
        <f t="shared" si="1"/>
        <v>21</v>
      </c>
      <c r="X13" s="1">
        <f>grpClinFctMBT</f>
        <v>2</v>
      </c>
      <c r="Y13" s="83">
        <f t="shared" si="2"/>
        <v>6</v>
      </c>
      <c r="Z13" s="4">
        <f>R13*f2f_grpMBT/X13</f>
        <v>40.031249999999993</v>
      </c>
    </row>
    <row r="14" spans="1:28">
      <c r="B14" t="s">
        <v>53</v>
      </c>
      <c r="C14">
        <v>90</v>
      </c>
      <c r="D14">
        <v>1</v>
      </c>
      <c r="F14"/>
      <c r="H14" s="19" t="s">
        <v>58</v>
      </c>
      <c r="I14">
        <v>60</v>
      </c>
      <c r="J14" s="104">
        <v>1</v>
      </c>
      <c r="K14" s="102">
        <f>SUMPRODUCT(I14,J14)/SUMPRODUCT($I$14:$I$16,$J$14:$J$16)</f>
        <v>0.46073298429319376</v>
      </c>
      <c r="L14">
        <f>60*7.5</f>
        <v>450</v>
      </c>
      <c r="M14" t="s">
        <v>410</v>
      </c>
      <c r="O14" s="4"/>
      <c r="P14" s="147" t="s">
        <v>411</v>
      </c>
      <c r="R14" s="41">
        <f>W14*grpMBTI_E</f>
        <v>45.566666666666663</v>
      </c>
      <c r="S14" s="4">
        <f>grpMBTI_E</f>
        <v>1.898611111111111</v>
      </c>
      <c r="T14" s="120">
        <f>grpFctMBTI</f>
        <v>12</v>
      </c>
      <c r="U14" s="119" t="s">
        <v>59</v>
      </c>
      <c r="V14" s="93">
        <f>demMBTi</f>
        <v>36</v>
      </c>
      <c r="W14" s="122">
        <f t="shared" si="1"/>
        <v>24</v>
      </c>
      <c r="X14" s="1">
        <f>grpClinFctMBTI</f>
        <v>2</v>
      </c>
      <c r="Y14" s="83">
        <f t="shared" si="2"/>
        <v>-12</v>
      </c>
      <c r="Z14" s="4">
        <f>R14*f2f_grpMBTI/X14</f>
        <v>13.616666666666665</v>
      </c>
    </row>
    <row r="15" spans="1:28">
      <c r="B15" s="54" t="s">
        <v>56</v>
      </c>
      <c r="E15" s="11" t="s">
        <v>54</v>
      </c>
      <c r="F15"/>
      <c r="H15" s="19" t="s">
        <v>62</v>
      </c>
      <c r="I15">
        <v>60</v>
      </c>
      <c r="J15" s="104">
        <v>1</v>
      </c>
      <c r="K15" s="102">
        <f>SUMPRODUCT(I15,J15)/SUMPRODUCT($I$14:$I$15,$J$14:$J$15)</f>
        <v>0.5</v>
      </c>
      <c r="R15" s="41">
        <f>W15*indLIAISON_E</f>
        <v>15.517638888888889</v>
      </c>
      <c r="S15" s="4">
        <f>indLIAISON_E</f>
        <v>0.35267361111111112</v>
      </c>
      <c r="T15" s="120">
        <v>1</v>
      </c>
      <c r="U15" s="116" t="s">
        <v>63</v>
      </c>
      <c r="V15" s="93">
        <f>demLIAISON</f>
        <v>58</v>
      </c>
      <c r="W15" s="122">
        <f t="shared" si="1"/>
        <v>44</v>
      </c>
      <c r="X15" s="1">
        <f>indFctLIAISON</f>
        <v>1</v>
      </c>
      <c r="Y15" s="83">
        <f t="shared" si="2"/>
        <v>-14</v>
      </c>
      <c r="Z15" s="4">
        <f>R15*f2f_LIAISON/X15</f>
        <v>5.5863500000000004</v>
      </c>
    </row>
    <row r="16" spans="1:28">
      <c r="B16" s="54" t="s">
        <v>60</v>
      </c>
      <c r="E16" s="11" t="s">
        <v>57</v>
      </c>
      <c r="F16"/>
      <c r="H16" s="96" t="s">
        <v>64</v>
      </c>
      <c r="I16" s="52">
        <f>60*7.5/availableWeeks</f>
        <v>10.227272727272727</v>
      </c>
      <c r="J16" s="104">
        <v>1</v>
      </c>
      <c r="K16" s="102">
        <f>SUMPRODUCT(I16,J16)/SUMPRODUCT($I$14:$I$15,$J$14:$J$15)</f>
        <v>8.5227272727272721E-2</v>
      </c>
      <c r="N16" s="28" t="s">
        <v>424</v>
      </c>
      <c r="O16" s="28"/>
      <c r="P16" s="28"/>
      <c r="R16" s="41">
        <f>W16*grpCONS_Y</f>
        <v>0</v>
      </c>
      <c r="S16" s="4">
        <f>grpCONS_Y</f>
        <v>4.541666666666667</v>
      </c>
      <c r="T16" s="120">
        <f>grpFctCONS</f>
        <v>12</v>
      </c>
      <c r="U16" s="29" t="s">
        <v>65</v>
      </c>
      <c r="V16" s="93">
        <f>demCONS_GRP</f>
        <v>0</v>
      </c>
      <c r="W16" s="122">
        <f t="shared" si="1"/>
        <v>0</v>
      </c>
      <c r="X16" s="1">
        <f>grpClinFctCONS</f>
        <v>2</v>
      </c>
      <c r="Y16" s="83">
        <f t="shared" si="2"/>
        <v>0</v>
      </c>
      <c r="Z16" s="4">
        <f>R16*f2f_grpCONS/X16</f>
        <v>0</v>
      </c>
    </row>
    <row r="17" spans="1:26">
      <c r="B17" s="11" t="s">
        <v>5</v>
      </c>
      <c r="E17" s="11" t="s">
        <v>61</v>
      </c>
      <c r="F17"/>
      <c r="H17" s="20" t="s">
        <v>414</v>
      </c>
      <c r="J17" s="16"/>
      <c r="K17" s="99"/>
      <c r="N17" s="5">
        <f>SUM(J29,N29,R29,V29,J55,N55,R55,V55,AA55,J86,N86,R86,V86,J112,N112,R112,V112)</f>
        <v>15</v>
      </c>
      <c r="O17" t="s">
        <v>66</v>
      </c>
      <c r="R17" s="41">
        <f>W17*grpWAITL_Y</f>
        <v>0</v>
      </c>
      <c r="S17" s="4">
        <f>grpWAITL_Y</f>
        <v>4.5763888888888893</v>
      </c>
      <c r="T17" s="120">
        <f>grpFctWAITLIST</f>
        <v>12</v>
      </c>
      <c r="U17" s="29" t="s">
        <v>67</v>
      </c>
      <c r="V17" s="93">
        <f>demWAITL_GRP</f>
        <v>0</v>
      </c>
      <c r="W17" s="122">
        <f t="shared" si="1"/>
        <v>0</v>
      </c>
      <c r="X17" s="1">
        <f>grpClinFctWAITLIST</f>
        <v>2</v>
      </c>
      <c r="Y17" s="83">
        <f t="shared" si="2"/>
        <v>0</v>
      </c>
      <c r="Z17" s="4">
        <f>R17*f2f_grpWAITL/X17</f>
        <v>0</v>
      </c>
    </row>
    <row r="18" spans="1:26">
      <c r="E18" s="1"/>
      <c r="F18"/>
      <c r="H18" s="17" t="s">
        <v>69</v>
      </c>
      <c r="I18" s="21">
        <f>SUMPRODUCT(I5:I10,J5:J10)/1440</f>
        <v>0.42708333333333331</v>
      </c>
      <c r="J18" s="16"/>
      <c r="K18" s="99"/>
      <c r="L18" s="4"/>
      <c r="N18" s="31"/>
      <c r="O18" s="30">
        <f>availableFTE</f>
        <v>8.8999999999999986</v>
      </c>
      <c r="P18" s="28" t="s">
        <v>358</v>
      </c>
      <c r="Q18" s="28"/>
      <c r="R18" s="41">
        <f>W18*indKEYCLIN_E</f>
        <v>0</v>
      </c>
      <c r="S18" s="4">
        <f>indKEYCLIN_E</f>
        <v>1.09375</v>
      </c>
      <c r="T18" s="120">
        <v>1</v>
      </c>
      <c r="U18" s="29" t="s">
        <v>70</v>
      </c>
      <c r="V18" s="93">
        <f>demKClin_IND</f>
        <v>0</v>
      </c>
      <c r="W18" s="122">
        <f t="shared" si="1"/>
        <v>0</v>
      </c>
      <c r="X18" s="1">
        <f>indFctKEYCLIN</f>
        <v>1</v>
      </c>
      <c r="Y18" s="83">
        <f t="shared" si="2"/>
        <v>0</v>
      </c>
      <c r="Z18" s="4">
        <f>R18*f2f_CC/X18</f>
        <v>0</v>
      </c>
    </row>
    <row r="19" spans="1:26">
      <c r="A19" s="60">
        <v>1</v>
      </c>
      <c r="B19" t="s">
        <v>68</v>
      </c>
      <c r="C19">
        <v>60</v>
      </c>
      <c r="D19">
        <v>2.6</v>
      </c>
      <c r="E19" s="2">
        <f>SUMPRODUCT(C19:C25,D19:D25)/1440</f>
        <v>0.31041666666666667</v>
      </c>
      <c r="F19" s="3" t="s">
        <v>22</v>
      </c>
      <c r="H19" s="18" t="s">
        <v>72</v>
      </c>
      <c r="I19" s="4">
        <f>SUMPRODUCT(I11:I13,J11:J13)/1440</f>
        <v>0.27083333333333331</v>
      </c>
      <c r="J19" s="16"/>
      <c r="K19" s="99"/>
      <c r="L19" s="4"/>
      <c r="N19" s="90">
        <f>SUM(K29,O29,S29,W29,K55,O55,S55,W55,AB55,K86,O86,S86,W86,K112,O112,S112,W112)</f>
        <v>13.399999999999999</v>
      </c>
      <c r="O19" t="s">
        <v>73</v>
      </c>
      <c r="R19" s="41">
        <f>W19*indCCOORD_E</f>
        <v>3.625</v>
      </c>
      <c r="S19" s="4">
        <f>indCCOORD_E</f>
        <v>1.2083333333333333</v>
      </c>
      <c r="T19" s="120">
        <v>1</v>
      </c>
      <c r="U19" s="29" t="s">
        <v>74</v>
      </c>
      <c r="V19" s="93">
        <f>demCC</f>
        <v>15</v>
      </c>
      <c r="W19" s="122">
        <f t="shared" si="1"/>
        <v>3</v>
      </c>
      <c r="X19" s="1">
        <f>indFctCCOORD</f>
        <v>1</v>
      </c>
      <c r="Y19" s="83">
        <f t="shared" si="2"/>
        <v>-12</v>
      </c>
      <c r="Z19" s="4">
        <f>R19*f2f_CC/X19</f>
        <v>1.25</v>
      </c>
    </row>
    <row r="20" spans="1:26">
      <c r="B20" t="s">
        <v>71</v>
      </c>
      <c r="C20">
        <v>45</v>
      </c>
      <c r="D20">
        <v>1</v>
      </c>
      <c r="E20" s="65"/>
      <c r="F20" s="3"/>
      <c r="H20" s="22" t="s">
        <v>76</v>
      </c>
      <c r="I20" s="23">
        <f>SUMPRODUCT(I14:I16,J14:J16)/1440</f>
        <v>9.043560606060605E-2</v>
      </c>
      <c r="J20" s="24" t="s">
        <v>77</v>
      </c>
      <c r="K20" s="103"/>
      <c r="N20" s="28" t="s">
        <v>423</v>
      </c>
      <c r="O20" s="28"/>
      <c r="P20" s="28"/>
      <c r="R20" s="41">
        <f>W20*indMEDRV_E</f>
        <v>3.1875</v>
      </c>
      <c r="S20" s="4">
        <f>indMEDRV_E</f>
        <v>0.1875</v>
      </c>
      <c r="T20" s="120">
        <v>1</v>
      </c>
      <c r="U20" s="29" t="s">
        <v>78</v>
      </c>
      <c r="V20" s="93">
        <f>demMEDRV</f>
        <v>48</v>
      </c>
      <c r="W20" s="122">
        <f>SUM(S73,W73,AB73)/X20*T20</f>
        <v>17</v>
      </c>
      <c r="X20" s="1">
        <f>indFctMEDRV</f>
        <v>1</v>
      </c>
      <c r="Y20" s="83">
        <f t="shared" si="2"/>
        <v>-31</v>
      </c>
      <c r="Z20" s="4">
        <f>R20*f2f_MEDRV/X20</f>
        <v>1.4166666666666665</v>
      </c>
    </row>
    <row r="21" spans="1:26" ht="13.5" thickBot="1">
      <c r="B21" t="s">
        <v>75</v>
      </c>
      <c r="C21">
        <v>30</v>
      </c>
      <c r="D21">
        <v>2.6</v>
      </c>
      <c r="E21" s="128">
        <f>SUMPRODUCT(C19,D19)/SUMPRODUCT(C19:C25,D19:D25)</f>
        <v>0.34899328859060402</v>
      </c>
      <c r="F21"/>
      <c r="I21" s="4"/>
      <c r="R21" s="64">
        <f>W21*indMEDRVMBT_E</f>
        <v>3.0347222222222223</v>
      </c>
      <c r="S21" s="68">
        <f>indMEDRVMBT_E</f>
        <v>0.13194444444444445</v>
      </c>
      <c r="T21" s="121">
        <v>1</v>
      </c>
      <c r="U21" s="113" t="s">
        <v>80</v>
      </c>
      <c r="V21" s="114">
        <f>demMedRvMBT</f>
        <v>15</v>
      </c>
      <c r="W21" s="123">
        <f>SUM(S74,W74,AB74)/X21*T21</f>
        <v>23</v>
      </c>
      <c r="X21" s="66">
        <f>indFctMEDRV_MBT</f>
        <v>1</v>
      </c>
      <c r="Y21" s="115">
        <f t="shared" si="2"/>
        <v>8</v>
      </c>
      <c r="Z21" s="4">
        <f>R21*f2f_MEDRVMBT/X21</f>
        <v>1.1180555555555556</v>
      </c>
    </row>
    <row r="22" spans="1:26">
      <c r="B22" t="s">
        <v>79</v>
      </c>
      <c r="C22">
        <v>120</v>
      </c>
      <c r="D22">
        <v>1</v>
      </c>
      <c r="E22" s="1"/>
      <c r="F22"/>
      <c r="H22" t="s">
        <v>416</v>
      </c>
    </row>
    <row r="23" spans="1:26">
      <c r="B23" t="s">
        <v>81</v>
      </c>
      <c r="C23">
        <v>15</v>
      </c>
      <c r="D23">
        <v>1</v>
      </c>
      <c r="E23" s="1"/>
      <c r="F23"/>
    </row>
    <row r="24" spans="1:26">
      <c r="B24" t="s">
        <v>82</v>
      </c>
      <c r="C24">
        <v>25</v>
      </c>
      <c r="D24">
        <v>0.6</v>
      </c>
      <c r="E24" s="1"/>
      <c r="F24"/>
      <c r="H24" t="s">
        <v>415</v>
      </c>
    </row>
    <row r="25" spans="1:26">
      <c r="B25" t="s">
        <v>86</v>
      </c>
      <c r="C25">
        <v>45</v>
      </c>
      <c r="D25">
        <v>0.4</v>
      </c>
      <c r="E25" s="1"/>
      <c r="F25"/>
      <c r="S25" s="4"/>
    </row>
    <row r="26" spans="1:26">
      <c r="E26" s="1"/>
      <c r="F26"/>
    </row>
    <row r="27" spans="1:26">
      <c r="E27" s="1"/>
      <c r="F27"/>
    </row>
    <row r="28" spans="1:26" ht="13.5" thickBot="1">
      <c r="A28" s="60">
        <v>1</v>
      </c>
      <c r="B28" t="s">
        <v>149</v>
      </c>
      <c r="C28">
        <v>60</v>
      </c>
      <c r="D28">
        <v>4</v>
      </c>
      <c r="E28" s="2">
        <f>SUMPRODUCT(C28:C35,D28:D35)/1440</f>
        <v>0.43958333333333333</v>
      </c>
      <c r="F28" s="3" t="s">
        <v>22</v>
      </c>
    </row>
    <row r="29" spans="1:26">
      <c r="B29" t="s">
        <v>150</v>
      </c>
      <c r="C29">
        <v>90</v>
      </c>
      <c r="D29">
        <v>1</v>
      </c>
      <c r="E29" s="1"/>
      <c r="F29" s="3"/>
      <c r="H29" s="84" t="s">
        <v>83</v>
      </c>
      <c r="I29" s="85"/>
      <c r="J29" s="69">
        <v>1</v>
      </c>
      <c r="K29" s="70">
        <v>0.8</v>
      </c>
      <c r="L29" s="84" t="s">
        <v>83</v>
      </c>
      <c r="M29" s="85"/>
      <c r="N29" s="69">
        <v>1</v>
      </c>
      <c r="O29" s="80">
        <v>0.8</v>
      </c>
      <c r="P29" s="84" t="s">
        <v>84</v>
      </c>
      <c r="Q29" s="85"/>
      <c r="R29" s="69">
        <v>1</v>
      </c>
      <c r="S29" s="80">
        <v>1</v>
      </c>
      <c r="T29" s="84" t="s">
        <v>85</v>
      </c>
      <c r="U29" s="85"/>
      <c r="V29" s="69">
        <v>1</v>
      </c>
      <c r="W29" s="80">
        <v>0.6</v>
      </c>
    </row>
    <row r="30" spans="1:26">
      <c r="B30" t="s">
        <v>151</v>
      </c>
      <c r="C30">
        <v>30</v>
      </c>
      <c r="D30">
        <v>4</v>
      </c>
      <c r="E30" s="128">
        <f>SUMPRODUCT(C28,D28)/SUMPRODUCT(C28:C34,D28:D34)</f>
        <v>0.37914691943127959</v>
      </c>
      <c r="F30" s="8"/>
      <c r="H30" s="71" t="s">
        <v>372</v>
      </c>
      <c r="I30" s="72"/>
      <c r="J30" s="73">
        <f>SUM(J31:J51)</f>
        <v>55.08368055555556</v>
      </c>
      <c r="K30" s="74">
        <f>availableHours*K29</f>
        <v>55</v>
      </c>
      <c r="L30" s="71" t="s">
        <v>373</v>
      </c>
      <c r="M30" s="72"/>
      <c r="N30" s="73">
        <f>SUM(N31:N52)</f>
        <v>55.10104166666666</v>
      </c>
      <c r="O30" s="81">
        <f>availableHours*O29</f>
        <v>55</v>
      </c>
      <c r="P30" s="71" t="s">
        <v>374</v>
      </c>
      <c r="Q30" s="72"/>
      <c r="R30" s="73">
        <f>SUM(R31:R52)</f>
        <v>60.28576388888888</v>
      </c>
      <c r="S30" s="81">
        <f>availableHours*S29</f>
        <v>68.75</v>
      </c>
      <c r="T30" s="71" t="s">
        <v>375</v>
      </c>
      <c r="U30" s="72"/>
      <c r="V30" s="73">
        <f>SUM(V31:V52)</f>
        <v>41.261805555555554</v>
      </c>
      <c r="W30" s="81">
        <f>availableHours*W29</f>
        <v>41.25</v>
      </c>
    </row>
    <row r="31" spans="1:26">
      <c r="B31" t="s">
        <v>79</v>
      </c>
      <c r="C31">
        <v>120</v>
      </c>
      <c r="D31">
        <v>1</v>
      </c>
      <c r="E31" s="1"/>
      <c r="F31" s="8"/>
      <c r="H31" s="75" t="s">
        <v>87</v>
      </c>
      <c r="I31">
        <v>0.6</v>
      </c>
      <c r="J31" s="4">
        <f>I31*weeklyMeetings*availableWeeks</f>
        <v>11.274999999999999</v>
      </c>
      <c r="K31" s="125">
        <f>IF(J30-K30&lt;0,0,J30-K30)</f>
        <v>8.3680555555559977E-2</v>
      </c>
      <c r="L31" s="75" t="s">
        <v>87</v>
      </c>
      <c r="M31">
        <v>0.8</v>
      </c>
      <c r="N31" s="4">
        <f>M31*weeklyMeetings*availableWeeks</f>
        <v>15.033333333333333</v>
      </c>
      <c r="O31" s="125">
        <f>IF(N30-O30&lt;0,0,N30-O30)</f>
        <v>0.10104166666666003</v>
      </c>
      <c r="P31" s="75" t="s">
        <v>87</v>
      </c>
      <c r="Q31">
        <v>1</v>
      </c>
      <c r="R31" s="4">
        <f>Q31*weeklyMeetings*availableWeeks</f>
        <v>18.791666666666664</v>
      </c>
      <c r="S31" s="126">
        <f>IF(R30-S30&lt;0,0,R30-S30)</f>
        <v>0</v>
      </c>
      <c r="T31" s="75" t="s">
        <v>87</v>
      </c>
      <c r="U31">
        <v>0.6</v>
      </c>
      <c r="V31" s="4">
        <f>U31*weeklyMeetings*availableWeeks</f>
        <v>11.274999999999999</v>
      </c>
      <c r="W31" s="126">
        <f>IF(V30-W30&lt;0,0,V30-W30)</f>
        <v>1.1805555555554292E-2</v>
      </c>
    </row>
    <row r="32" spans="1:26">
      <c r="B32" t="s">
        <v>81</v>
      </c>
      <c r="C32">
        <v>30</v>
      </c>
      <c r="D32">
        <v>1</v>
      </c>
      <c r="E32" s="1"/>
      <c r="F32" s="8"/>
      <c r="H32" s="78" t="s">
        <v>89</v>
      </c>
      <c r="I32">
        <v>0.8</v>
      </c>
      <c r="J32" s="4">
        <f>I32*weeklyOngoing*availableWeeks</f>
        <v>9.5333333333333332</v>
      </c>
      <c r="K32" s="76"/>
      <c r="L32" s="78" t="s">
        <v>89</v>
      </c>
      <c r="M32">
        <v>0.8</v>
      </c>
      <c r="N32" s="4">
        <f>M32*weeklyOngoing*availableWeeks</f>
        <v>9.5333333333333332</v>
      </c>
      <c r="O32" s="82"/>
      <c r="P32" s="78" t="s">
        <v>89</v>
      </c>
      <c r="Q32">
        <v>1</v>
      </c>
      <c r="R32" s="4">
        <f>Q32*weeklyOngoing*availableWeeks</f>
        <v>11.916666666666666</v>
      </c>
      <c r="S32" s="82"/>
      <c r="T32" s="78" t="s">
        <v>89</v>
      </c>
      <c r="U32">
        <v>0.6</v>
      </c>
      <c r="V32" s="4">
        <f>U32*weeklyOngoing*availableWeeks</f>
        <v>7.1499999999999986</v>
      </c>
      <c r="W32" s="82"/>
    </row>
    <row r="33" spans="1:23">
      <c r="B33" t="s">
        <v>82</v>
      </c>
      <c r="C33">
        <v>25</v>
      </c>
      <c r="D33">
        <v>0.6</v>
      </c>
      <c r="E33" s="1"/>
      <c r="F33"/>
      <c r="H33" s="77" t="s">
        <v>91</v>
      </c>
      <c r="I33">
        <v>0.8</v>
      </c>
      <c r="J33" s="4">
        <f>I33*weeklyDevelopment*availableWeeks</f>
        <v>3.1833333333333331</v>
      </c>
      <c r="K33" s="76"/>
      <c r="L33" s="77" t="s">
        <v>91</v>
      </c>
      <c r="M33">
        <v>0.8</v>
      </c>
      <c r="N33" s="4">
        <f>M33*weeklyDevelopment*availableWeeks</f>
        <v>3.1833333333333331</v>
      </c>
      <c r="O33" s="82"/>
      <c r="P33" s="77" t="s">
        <v>91</v>
      </c>
      <c r="Q33">
        <v>1</v>
      </c>
      <c r="R33" s="4">
        <f>Q33*weeklyDevelopment*availableWeeks</f>
        <v>3.9791666666666661</v>
      </c>
      <c r="S33" s="82"/>
      <c r="T33" s="77" t="s">
        <v>91</v>
      </c>
      <c r="U33">
        <v>0.5</v>
      </c>
      <c r="V33" s="4">
        <f>U33*weeklyDevelopment*availableWeeks</f>
        <v>1.989583333333333</v>
      </c>
      <c r="W33" s="82"/>
    </row>
    <row r="34" spans="1:23">
      <c r="B34" t="s">
        <v>86</v>
      </c>
      <c r="C34">
        <v>45</v>
      </c>
      <c r="D34">
        <v>0.4</v>
      </c>
      <c r="E34" s="1"/>
      <c r="F34"/>
      <c r="H34" s="107" t="s">
        <v>34</v>
      </c>
      <c r="I34">
        <v>50</v>
      </c>
      <c r="J34" s="4">
        <f>I34*indScreening</f>
        <v>1.6059027777777777</v>
      </c>
      <c r="K34" s="76">
        <f t="shared" ref="K34:K41" si="3">I34*$J$29</f>
        <v>50</v>
      </c>
      <c r="L34" s="107" t="s">
        <v>34</v>
      </c>
      <c r="M34">
        <v>50</v>
      </c>
      <c r="N34" s="4">
        <f>M34*indScreening</f>
        <v>1.6059027777777777</v>
      </c>
      <c r="O34" s="76">
        <f t="shared" ref="O34:O45" si="4">M34*$N$29</f>
        <v>50</v>
      </c>
      <c r="P34" s="107" t="s">
        <v>34</v>
      </c>
      <c r="Q34">
        <v>50</v>
      </c>
      <c r="R34" s="4">
        <f>Q34*indScreening</f>
        <v>1.6059027777777777</v>
      </c>
      <c r="S34" s="76">
        <f t="shared" ref="S34:S45" si="5">Q34*$R$29</f>
        <v>50</v>
      </c>
      <c r="T34" s="107" t="s">
        <v>34</v>
      </c>
      <c r="U34">
        <v>40</v>
      </c>
      <c r="V34" s="4">
        <f>U34*indScreening</f>
        <v>1.2847222222222221</v>
      </c>
      <c r="W34" s="76">
        <f t="shared" ref="W34:W45" si="6">U34*$V$29</f>
        <v>40</v>
      </c>
    </row>
    <row r="35" spans="1:23">
      <c r="E35" s="1"/>
      <c r="F35" s="8"/>
      <c r="H35" s="107" t="s">
        <v>37</v>
      </c>
      <c r="I35">
        <v>20</v>
      </c>
      <c r="J35" s="4">
        <f>I35*indASSMT_E</f>
        <v>6.2083333333333339</v>
      </c>
      <c r="K35" s="76">
        <f t="shared" si="3"/>
        <v>20</v>
      </c>
      <c r="L35" s="107" t="s">
        <v>37</v>
      </c>
      <c r="M35">
        <v>27</v>
      </c>
      <c r="N35" s="4">
        <f>M35*indASSMT_E</f>
        <v>8.3812499999999996</v>
      </c>
      <c r="O35" s="76">
        <f t="shared" si="4"/>
        <v>27</v>
      </c>
      <c r="P35" s="107" t="s">
        <v>37</v>
      </c>
      <c r="Q35">
        <v>7</v>
      </c>
      <c r="R35" s="4">
        <f>Q35*indASSMT_E</f>
        <v>2.1729166666666666</v>
      </c>
      <c r="S35" s="76">
        <f t="shared" si="5"/>
        <v>7</v>
      </c>
      <c r="T35" s="107" t="s">
        <v>37</v>
      </c>
      <c r="U35">
        <v>10</v>
      </c>
      <c r="V35" s="4">
        <f>U35*indASSMT_E</f>
        <v>3.104166666666667</v>
      </c>
      <c r="W35" s="76">
        <f t="shared" si="6"/>
        <v>10</v>
      </c>
    </row>
    <row r="36" spans="1:23">
      <c r="E36" s="1"/>
      <c r="F36"/>
      <c r="H36" s="108" t="s">
        <v>42</v>
      </c>
      <c r="I36">
        <v>2</v>
      </c>
      <c r="J36" s="4">
        <f>I36*indASSMTSCID_E</f>
        <v>0.87916666666666665</v>
      </c>
      <c r="K36" s="76">
        <f t="shared" si="3"/>
        <v>2</v>
      </c>
      <c r="L36" s="108" t="s">
        <v>42</v>
      </c>
      <c r="M36">
        <v>0</v>
      </c>
      <c r="N36" s="4">
        <f>M36*indASSMTSCID_E</f>
        <v>0</v>
      </c>
      <c r="O36" s="76">
        <f t="shared" si="4"/>
        <v>0</v>
      </c>
      <c r="P36" s="108" t="s">
        <v>42</v>
      </c>
      <c r="Q36">
        <v>0</v>
      </c>
      <c r="R36" s="4">
        <f>Q36*indASSMTSCID_E</f>
        <v>0</v>
      </c>
      <c r="S36" s="76">
        <f t="shared" si="5"/>
        <v>0</v>
      </c>
      <c r="T36" s="108" t="s">
        <v>42</v>
      </c>
      <c r="U36">
        <v>0</v>
      </c>
      <c r="V36" s="4">
        <f>U36*indASSMTSCID_E</f>
        <v>0</v>
      </c>
      <c r="W36" s="76">
        <f t="shared" si="6"/>
        <v>0</v>
      </c>
    </row>
    <row r="37" spans="1:23">
      <c r="A37" s="60">
        <v>1</v>
      </c>
      <c r="B37" t="s">
        <v>88</v>
      </c>
      <c r="C37">
        <v>40</v>
      </c>
      <c r="D37">
        <v>1</v>
      </c>
      <c r="E37" s="2">
        <f>SUMPRODUCT(C37:C41,D37:D41)/1440</f>
        <v>0.1875</v>
      </c>
      <c r="F37" s="3" t="s">
        <v>22</v>
      </c>
      <c r="H37" s="107" t="s">
        <v>45</v>
      </c>
      <c r="I37">
        <v>0</v>
      </c>
      <c r="J37" s="4">
        <f>I37*indSCM_E</f>
        <v>0</v>
      </c>
      <c r="K37" s="76">
        <f t="shared" si="3"/>
        <v>0</v>
      </c>
      <c r="L37" s="107" t="s">
        <v>45</v>
      </c>
      <c r="M37">
        <v>12</v>
      </c>
      <c r="N37" s="4">
        <f>M37*indSCM_E</f>
        <v>9.7916666666666661</v>
      </c>
      <c r="O37" s="76">
        <f t="shared" si="4"/>
        <v>12</v>
      </c>
      <c r="P37" s="107" t="s">
        <v>45</v>
      </c>
      <c r="Q37">
        <v>20</v>
      </c>
      <c r="R37" s="4">
        <f>Q37*indSCM_E</f>
        <v>16.319444444444443</v>
      </c>
      <c r="S37" s="76">
        <f t="shared" si="5"/>
        <v>20</v>
      </c>
      <c r="T37" s="107" t="s">
        <v>45</v>
      </c>
      <c r="U37">
        <v>2</v>
      </c>
      <c r="V37" s="4">
        <f>U37*indSCM_E</f>
        <v>1.6319444444444444</v>
      </c>
      <c r="W37" s="76">
        <f t="shared" si="6"/>
        <v>2</v>
      </c>
    </row>
    <row r="38" spans="1:23">
      <c r="B38" t="s">
        <v>90</v>
      </c>
      <c r="C38">
        <v>30</v>
      </c>
      <c r="D38">
        <v>3</v>
      </c>
      <c r="E38" s="65"/>
      <c r="F38" s="3"/>
      <c r="H38" s="107" t="s">
        <v>49</v>
      </c>
      <c r="I38">
        <v>0</v>
      </c>
      <c r="J38" s="4">
        <f>I38*grpSCM_Y</f>
        <v>0</v>
      </c>
      <c r="K38" s="76">
        <f t="shared" si="3"/>
        <v>0</v>
      </c>
      <c r="L38" s="107" t="s">
        <v>49</v>
      </c>
      <c r="M38">
        <v>0</v>
      </c>
      <c r="N38" s="4">
        <f>M38*grpSCM_Y</f>
        <v>0</v>
      </c>
      <c r="O38" s="76">
        <f t="shared" si="4"/>
        <v>0</v>
      </c>
      <c r="P38" s="107" t="s">
        <v>49</v>
      </c>
      <c r="Q38">
        <v>0</v>
      </c>
      <c r="R38" s="4">
        <f>Q38*grpSCM_Y</f>
        <v>0</v>
      </c>
      <c r="S38" s="76">
        <f t="shared" si="5"/>
        <v>0</v>
      </c>
      <c r="T38" s="107" t="s">
        <v>49</v>
      </c>
      <c r="U38">
        <v>0</v>
      </c>
      <c r="V38" s="4">
        <f>U38*grpSCM_Y</f>
        <v>0</v>
      </c>
      <c r="W38" s="76">
        <f t="shared" si="6"/>
        <v>0</v>
      </c>
    </row>
    <row r="39" spans="1:23">
      <c r="B39" t="s">
        <v>92</v>
      </c>
      <c r="C39">
        <v>20</v>
      </c>
      <c r="D39">
        <v>3</v>
      </c>
      <c r="E39" s="128">
        <f>(SUMPRODUCT(C37,D37)+SUMPRODUCT(C40,D40))/SUMPRODUCT(C37:C40,D37:D40)</f>
        <v>0.44444444444444442</v>
      </c>
      <c r="F39" s="3"/>
      <c r="H39" s="109" t="s">
        <v>52</v>
      </c>
      <c r="I39">
        <v>4</v>
      </c>
      <c r="J39" s="4">
        <f>I39*indMBT_E</f>
        <v>14.826388888888889</v>
      </c>
      <c r="K39" s="76">
        <f t="shared" si="3"/>
        <v>4</v>
      </c>
      <c r="L39" s="109" t="s">
        <v>52</v>
      </c>
      <c r="M39">
        <v>0</v>
      </c>
      <c r="N39" s="4">
        <f>M39*indMBT_E</f>
        <v>0</v>
      </c>
      <c r="O39" s="76">
        <f t="shared" si="4"/>
        <v>0</v>
      </c>
      <c r="P39" s="109" t="s">
        <v>52</v>
      </c>
      <c r="Q39">
        <v>0</v>
      </c>
      <c r="R39" s="4">
        <f>Q39*indMBT_E</f>
        <v>0</v>
      </c>
      <c r="S39" s="76">
        <f t="shared" si="5"/>
        <v>0</v>
      </c>
      <c r="T39" s="109" t="s">
        <v>52</v>
      </c>
      <c r="U39">
        <v>4</v>
      </c>
      <c r="V39" s="4">
        <f>U39*indMBT_E</f>
        <v>14.826388888888889</v>
      </c>
      <c r="W39" s="76">
        <f t="shared" si="6"/>
        <v>4</v>
      </c>
    </row>
    <row r="40" spans="1:23">
      <c r="B40" t="s">
        <v>93</v>
      </c>
      <c r="C40">
        <v>40</v>
      </c>
      <c r="D40">
        <v>2</v>
      </c>
      <c r="E40" s="1"/>
      <c r="F40"/>
      <c r="H40" s="109" t="s">
        <v>55</v>
      </c>
      <c r="I40">
        <v>1</v>
      </c>
      <c r="J40" s="4">
        <f>I40*grpMBT_Y</f>
        <v>5.6736111111111107</v>
      </c>
      <c r="K40" s="76">
        <f t="shared" si="3"/>
        <v>1</v>
      </c>
      <c r="L40" s="109" t="s">
        <v>55</v>
      </c>
      <c r="M40">
        <v>1</v>
      </c>
      <c r="N40" s="4">
        <f>M40*grpMBT_Y</f>
        <v>5.6736111111111107</v>
      </c>
      <c r="O40" s="76">
        <f t="shared" si="4"/>
        <v>1</v>
      </c>
      <c r="P40" s="109" t="s">
        <v>55</v>
      </c>
      <c r="Q40">
        <v>0</v>
      </c>
      <c r="R40" s="4">
        <f>Q40*grpMBT_Y</f>
        <v>0</v>
      </c>
      <c r="S40" s="76">
        <f t="shared" si="5"/>
        <v>0</v>
      </c>
      <c r="T40" s="109" t="s">
        <v>55</v>
      </c>
      <c r="U40">
        <v>0</v>
      </c>
      <c r="V40" s="4">
        <f>U40*grpMBT_Y</f>
        <v>0</v>
      </c>
      <c r="W40" s="76">
        <f t="shared" si="6"/>
        <v>0</v>
      </c>
    </row>
    <row r="41" spans="1:23">
      <c r="E41" s="1"/>
      <c r="F41"/>
      <c r="H41" s="110" t="s">
        <v>59</v>
      </c>
      <c r="I41">
        <v>1</v>
      </c>
      <c r="J41" s="4">
        <f>I41*grpMBTI_E</f>
        <v>1.898611111111111</v>
      </c>
      <c r="K41" s="76">
        <f t="shared" si="3"/>
        <v>1</v>
      </c>
      <c r="L41" s="110" t="s">
        <v>59</v>
      </c>
      <c r="M41">
        <v>1</v>
      </c>
      <c r="N41" s="4">
        <f>M41*grpMBTI_E</f>
        <v>1.898611111111111</v>
      </c>
      <c r="O41" s="76">
        <f t="shared" si="4"/>
        <v>1</v>
      </c>
      <c r="P41" s="110" t="s">
        <v>59</v>
      </c>
      <c r="Q41">
        <v>0</v>
      </c>
      <c r="R41" s="4">
        <f>Q41*grpMBTI_E</f>
        <v>0</v>
      </c>
      <c r="S41" s="76">
        <f t="shared" si="5"/>
        <v>0</v>
      </c>
      <c r="T41" s="110" t="s">
        <v>59</v>
      </c>
      <c r="U41">
        <v>0</v>
      </c>
      <c r="V41" s="4">
        <f>U41*grpMBTI_E</f>
        <v>0</v>
      </c>
      <c r="W41" s="76">
        <f t="shared" si="6"/>
        <v>0</v>
      </c>
    </row>
    <row r="42" spans="1:23">
      <c r="E42" s="1"/>
      <c r="F42"/>
      <c r="H42" s="107" t="s">
        <v>63</v>
      </c>
      <c r="I42">
        <v>0</v>
      </c>
      <c r="J42" s="4">
        <f>I42*indLIAISON_E</f>
        <v>0</v>
      </c>
      <c r="K42" s="76">
        <f t="shared" ref="K42:K52" si="7">I42*$J$29</f>
        <v>0</v>
      </c>
      <c r="L42" s="107" t="s">
        <v>63</v>
      </c>
      <c r="M42">
        <v>0</v>
      </c>
      <c r="N42" s="4">
        <f>M42*indLIAISON_E</f>
        <v>0</v>
      </c>
      <c r="O42" s="76">
        <f t="shared" si="4"/>
        <v>0</v>
      </c>
      <c r="P42" s="107" t="s">
        <v>63</v>
      </c>
      <c r="Q42">
        <v>0</v>
      </c>
      <c r="R42" s="4">
        <f>Q42*indLIAISON_E</f>
        <v>0</v>
      </c>
      <c r="S42" s="76">
        <f t="shared" si="5"/>
        <v>0</v>
      </c>
      <c r="T42" s="107" t="s">
        <v>63</v>
      </c>
      <c r="U42">
        <v>0</v>
      </c>
      <c r="V42" s="4">
        <f>U42*indLIAISON_E</f>
        <v>0</v>
      </c>
      <c r="W42" s="76">
        <f t="shared" si="6"/>
        <v>0</v>
      </c>
    </row>
    <row r="43" spans="1:23">
      <c r="A43" s="62">
        <v>8</v>
      </c>
      <c r="B43" t="s">
        <v>94</v>
      </c>
      <c r="C43">
        <v>90</v>
      </c>
      <c r="D43">
        <v>10</v>
      </c>
      <c r="E43" s="6">
        <f>SUMPRODUCT(C43:C49,D43:D49)/1440</f>
        <v>1.1701388888888888</v>
      </c>
      <c r="F43" t="s">
        <v>22</v>
      </c>
      <c r="H43" s="79" t="s">
        <v>65</v>
      </c>
      <c r="I43">
        <v>0</v>
      </c>
      <c r="J43" s="4">
        <f>I43*grpCONS_Y</f>
        <v>0</v>
      </c>
      <c r="K43" s="76">
        <f t="shared" si="7"/>
        <v>0</v>
      </c>
      <c r="L43" s="79" t="s">
        <v>65</v>
      </c>
      <c r="M43">
        <v>0</v>
      </c>
      <c r="N43" s="4">
        <f>M43*grpCONS_Y</f>
        <v>0</v>
      </c>
      <c r="O43" s="76">
        <f t="shared" si="4"/>
        <v>0</v>
      </c>
      <c r="P43" s="79" t="s">
        <v>65</v>
      </c>
      <c r="Q43">
        <v>0</v>
      </c>
      <c r="R43" s="4">
        <f>Q43*grpCONS_Y</f>
        <v>0</v>
      </c>
      <c r="S43" s="76">
        <f t="shared" si="5"/>
        <v>0</v>
      </c>
      <c r="T43" s="79" t="s">
        <v>65</v>
      </c>
      <c r="U43">
        <v>0</v>
      </c>
      <c r="V43" s="4">
        <f>U43*grpCONS_Y</f>
        <v>0</v>
      </c>
      <c r="W43" s="76">
        <f t="shared" si="6"/>
        <v>0</v>
      </c>
    </row>
    <row r="44" spans="1:23">
      <c r="A44" s="62">
        <v>2</v>
      </c>
      <c r="B44" t="s">
        <v>95</v>
      </c>
      <c r="C44">
        <v>30</v>
      </c>
      <c r="D44">
        <v>10</v>
      </c>
      <c r="E44" s="1"/>
      <c r="F44"/>
      <c r="H44" s="79" t="s">
        <v>67</v>
      </c>
      <c r="I44">
        <v>0</v>
      </c>
      <c r="J44" s="4">
        <f>I44*grpWAITL_Y</f>
        <v>0</v>
      </c>
      <c r="K44" s="76">
        <f t="shared" si="7"/>
        <v>0</v>
      </c>
      <c r="L44" s="79" t="s">
        <v>67</v>
      </c>
      <c r="M44">
        <v>0</v>
      </c>
      <c r="N44" s="4">
        <f>M44*grpWAITL_Y</f>
        <v>0</v>
      </c>
      <c r="O44" s="76">
        <f t="shared" si="4"/>
        <v>0</v>
      </c>
      <c r="P44" s="79" t="s">
        <v>67</v>
      </c>
      <c r="Q44">
        <v>0</v>
      </c>
      <c r="R44" s="4">
        <f>Q44*grpWAITL_Y</f>
        <v>0</v>
      </c>
      <c r="S44" s="76">
        <f t="shared" si="5"/>
        <v>0</v>
      </c>
      <c r="T44" s="79" t="s">
        <v>67</v>
      </c>
      <c r="U44">
        <v>0</v>
      </c>
      <c r="V44" s="4">
        <f>U44*grpWAITL_Y</f>
        <v>0</v>
      </c>
      <c r="W44" s="76">
        <f t="shared" si="6"/>
        <v>0</v>
      </c>
    </row>
    <row r="45" spans="1:23">
      <c r="B45" t="s">
        <v>96</v>
      </c>
      <c r="C45">
        <v>30</v>
      </c>
      <c r="D45">
        <v>2</v>
      </c>
      <c r="E45" s="128">
        <f>(SUMPRODUCT(C43,D43)+SUMPRODUCT(C48,D48))/SUMPRODUCT(C43:C49,D43:D49)</f>
        <v>0.57863501483679525</v>
      </c>
      <c r="F45"/>
      <c r="H45" s="79" t="s">
        <v>70</v>
      </c>
      <c r="I45">
        <v>0</v>
      </c>
      <c r="J45" s="4">
        <f>I45*indKEYCLIN_E</f>
        <v>0</v>
      </c>
      <c r="K45" s="76">
        <f t="shared" si="7"/>
        <v>0</v>
      </c>
      <c r="L45" s="79" t="s">
        <v>70</v>
      </c>
      <c r="M45">
        <v>0</v>
      </c>
      <c r="N45" s="4">
        <f>M45*indKEYCLIN_E</f>
        <v>0</v>
      </c>
      <c r="O45" s="76">
        <f t="shared" si="4"/>
        <v>0</v>
      </c>
      <c r="P45" s="79" t="s">
        <v>70</v>
      </c>
      <c r="Q45">
        <v>0</v>
      </c>
      <c r="R45" s="4">
        <f>Q45*indKEYCLIN_E</f>
        <v>0</v>
      </c>
      <c r="S45" s="76">
        <f t="shared" si="5"/>
        <v>0</v>
      </c>
      <c r="T45" s="79" t="s">
        <v>70</v>
      </c>
      <c r="U45">
        <v>0</v>
      </c>
      <c r="V45" s="4">
        <f>U45*indKEYCLIN_E</f>
        <v>0</v>
      </c>
      <c r="W45" s="76">
        <f t="shared" si="6"/>
        <v>0</v>
      </c>
    </row>
    <row r="46" spans="1:23">
      <c r="B46" t="s">
        <v>97</v>
      </c>
      <c r="C46">
        <v>15</v>
      </c>
      <c r="D46">
        <v>4</v>
      </c>
      <c r="E46" s="1"/>
      <c r="F46"/>
      <c r="H46" s="79" t="s">
        <v>74</v>
      </c>
      <c r="I46">
        <v>0</v>
      </c>
      <c r="J46" s="4">
        <f>I46*indCCOORD_E</f>
        <v>0</v>
      </c>
      <c r="K46" s="76">
        <f t="shared" si="7"/>
        <v>0</v>
      </c>
      <c r="L46" s="79" t="s">
        <v>74</v>
      </c>
      <c r="M46">
        <v>0</v>
      </c>
      <c r="N46" s="4">
        <f>M46*indCCOORD_E</f>
        <v>0</v>
      </c>
      <c r="O46" s="76">
        <f t="shared" ref="O46:O52" si="8">M46*$N$29</f>
        <v>0</v>
      </c>
      <c r="P46" s="79" t="s">
        <v>74</v>
      </c>
      <c r="Q46">
        <v>0</v>
      </c>
      <c r="R46" s="4">
        <f>Q46*indCCOORD_E</f>
        <v>0</v>
      </c>
      <c r="S46" s="76">
        <f t="shared" ref="S46:S52" si="9">Q46*$R$29</f>
        <v>0</v>
      </c>
      <c r="T46" s="79" t="s">
        <v>74</v>
      </c>
      <c r="U46">
        <v>0</v>
      </c>
      <c r="V46" s="4">
        <f>U46*indCCOORD_E</f>
        <v>0</v>
      </c>
      <c r="W46" s="76">
        <f t="shared" ref="W46:W52" si="10">U46*$V$29</f>
        <v>0</v>
      </c>
    </row>
    <row r="47" spans="1:23">
      <c r="B47" t="s">
        <v>98</v>
      </c>
      <c r="C47">
        <v>60</v>
      </c>
      <c r="D47">
        <v>4</v>
      </c>
      <c r="E47" s="1"/>
      <c r="F47"/>
      <c r="H47" s="79"/>
      <c r="J47" s="4"/>
      <c r="K47" s="76">
        <f t="shared" si="7"/>
        <v>0</v>
      </c>
      <c r="L47" s="79"/>
      <c r="N47" s="4"/>
      <c r="O47" s="76">
        <f t="shared" si="8"/>
        <v>0</v>
      </c>
      <c r="P47" s="79"/>
      <c r="R47" s="4"/>
      <c r="S47" s="76">
        <f t="shared" si="9"/>
        <v>0</v>
      </c>
      <c r="T47" s="79"/>
      <c r="V47" s="4"/>
      <c r="W47" s="76">
        <f t="shared" si="10"/>
        <v>0</v>
      </c>
    </row>
    <row r="48" spans="1:23">
      <c r="B48" t="s">
        <v>330</v>
      </c>
      <c r="C48">
        <v>15</v>
      </c>
      <c r="D48">
        <v>5</v>
      </c>
      <c r="E48" s="1"/>
      <c r="F48"/>
      <c r="H48" s="79"/>
      <c r="J48" s="4"/>
      <c r="K48" s="76">
        <f t="shared" si="7"/>
        <v>0</v>
      </c>
      <c r="L48" s="36"/>
      <c r="N48" s="4"/>
      <c r="O48" s="76">
        <f t="shared" si="8"/>
        <v>0</v>
      </c>
      <c r="P48" s="36" t="s">
        <v>359</v>
      </c>
      <c r="R48" s="4"/>
      <c r="S48" s="76">
        <f t="shared" si="9"/>
        <v>0</v>
      </c>
      <c r="T48" s="36"/>
      <c r="V48" s="4"/>
      <c r="W48" s="76">
        <f t="shared" si="10"/>
        <v>0</v>
      </c>
    </row>
    <row r="49" spans="1:28">
      <c r="B49" t="s">
        <v>331</v>
      </c>
      <c r="C49">
        <v>10</v>
      </c>
      <c r="D49">
        <v>5</v>
      </c>
      <c r="E49" s="1"/>
      <c r="F49"/>
      <c r="H49" s="79"/>
      <c r="J49" s="4"/>
      <c r="K49" s="76">
        <f t="shared" si="7"/>
        <v>0</v>
      </c>
      <c r="L49" s="79"/>
      <c r="N49" s="4"/>
      <c r="O49" s="76">
        <f t="shared" si="8"/>
        <v>0</v>
      </c>
      <c r="P49" s="79" t="s">
        <v>360</v>
      </c>
      <c r="Q49" s="7">
        <v>2</v>
      </c>
      <c r="R49" s="4">
        <f>90*1/1440*44*Q49</f>
        <v>5.5</v>
      </c>
      <c r="S49" s="76">
        <f t="shared" si="9"/>
        <v>2</v>
      </c>
      <c r="T49" s="79"/>
      <c r="V49" s="4"/>
      <c r="W49" s="76">
        <f t="shared" si="10"/>
        <v>0</v>
      </c>
      <c r="AB49" s="1"/>
    </row>
    <row r="50" spans="1:28">
      <c r="E50" s="1"/>
      <c r="F50"/>
      <c r="H50" s="79"/>
      <c r="J50" s="4"/>
      <c r="K50" s="76">
        <f t="shared" si="7"/>
        <v>0</v>
      </c>
      <c r="L50" s="79"/>
      <c r="N50" s="4"/>
      <c r="O50" s="76">
        <f t="shared" si="8"/>
        <v>0</v>
      </c>
      <c r="P50" s="144" t="s">
        <v>407</v>
      </c>
      <c r="R50" s="4"/>
      <c r="S50" s="76">
        <f t="shared" si="9"/>
        <v>0</v>
      </c>
      <c r="T50" s="79"/>
      <c r="V50" s="4"/>
      <c r="W50" s="76">
        <f t="shared" si="10"/>
        <v>0</v>
      </c>
      <c r="AB50" s="1"/>
    </row>
    <row r="51" spans="1:28">
      <c r="E51" s="1"/>
      <c r="F51"/>
      <c r="H51" s="79"/>
      <c r="K51" s="76">
        <f t="shared" si="7"/>
        <v>0</v>
      </c>
      <c r="L51" s="79"/>
      <c r="N51" s="4"/>
      <c r="O51" s="76">
        <f t="shared" si="8"/>
        <v>0</v>
      </c>
      <c r="P51" s="79"/>
      <c r="R51" s="4"/>
      <c r="S51" s="76">
        <f t="shared" si="9"/>
        <v>0</v>
      </c>
      <c r="T51" s="79"/>
      <c r="V51" s="4"/>
      <c r="W51" s="76">
        <f t="shared" si="10"/>
        <v>0</v>
      </c>
      <c r="AB51" s="1"/>
    </row>
    <row r="52" spans="1:28" ht="13.5" thickBot="1">
      <c r="A52" s="62">
        <v>7</v>
      </c>
      <c r="B52" t="s">
        <v>99</v>
      </c>
      <c r="C52">
        <v>75</v>
      </c>
      <c r="D52">
        <v>46</v>
      </c>
      <c r="E52" s="6">
        <f>SUMPRODUCT(C52:C60,D52:D60)/1440</f>
        <v>5.6736111111111107</v>
      </c>
      <c r="F52" t="s">
        <v>100</v>
      </c>
      <c r="H52" s="91"/>
      <c r="I52" s="39"/>
      <c r="J52" s="68"/>
      <c r="K52" s="111">
        <f t="shared" si="7"/>
        <v>0</v>
      </c>
      <c r="L52" s="91"/>
      <c r="M52" s="39"/>
      <c r="N52" s="68"/>
      <c r="O52" s="111">
        <f t="shared" si="8"/>
        <v>0</v>
      </c>
      <c r="P52" s="91"/>
      <c r="Q52" s="39"/>
      <c r="R52" s="68"/>
      <c r="S52" s="111">
        <f t="shared" si="9"/>
        <v>0</v>
      </c>
      <c r="T52" s="91"/>
      <c r="U52" s="39"/>
      <c r="V52" s="68"/>
      <c r="W52" s="111">
        <f t="shared" si="10"/>
        <v>0</v>
      </c>
    </row>
    <row r="53" spans="1:28">
      <c r="A53" s="62">
        <v>2</v>
      </c>
      <c r="B53" t="s">
        <v>101</v>
      </c>
      <c r="C53">
        <v>20</v>
      </c>
      <c r="D53">
        <v>23</v>
      </c>
      <c r="E53" s="1"/>
      <c r="F53"/>
    </row>
    <row r="54" spans="1:28" ht="13.5" thickBot="1">
      <c r="B54" t="s">
        <v>102</v>
      </c>
      <c r="C54">
        <v>30</v>
      </c>
      <c r="D54">
        <v>11</v>
      </c>
      <c r="E54" s="128">
        <f>(SUMPRODUCT(C52,D52)+SUMPRODUCT(C59,D59)+SUMPRODUCT(C57,D57))/SUMPRODUCT(C52:C60,D52:D60)</f>
        <v>0.67197062423500609</v>
      </c>
      <c r="F54"/>
      <c r="AB54" s="1"/>
    </row>
    <row r="55" spans="1:28">
      <c r="B55" t="s">
        <v>103</v>
      </c>
      <c r="C55">
        <v>30</v>
      </c>
      <c r="D55">
        <v>46</v>
      </c>
      <c r="E55" s="1"/>
      <c r="F55"/>
      <c r="H55" s="86" t="s">
        <v>376</v>
      </c>
      <c r="I55" s="87"/>
      <c r="J55" s="69">
        <v>1</v>
      </c>
      <c r="K55" s="80">
        <v>1</v>
      </c>
      <c r="L55" s="86" t="s">
        <v>377</v>
      </c>
      <c r="M55" s="87"/>
      <c r="N55" s="69">
        <v>1</v>
      </c>
      <c r="O55" s="80">
        <v>1</v>
      </c>
      <c r="P55" s="86" t="s">
        <v>378</v>
      </c>
      <c r="Q55" s="87"/>
      <c r="R55" s="69">
        <v>1</v>
      </c>
      <c r="S55" s="80">
        <v>1</v>
      </c>
      <c r="T55" s="86" t="s">
        <v>379</v>
      </c>
      <c r="U55" s="87"/>
      <c r="V55" s="69">
        <v>1</v>
      </c>
      <c r="W55" s="80">
        <v>1</v>
      </c>
      <c r="X55" s="34"/>
      <c r="Y55" s="86" t="s">
        <v>380</v>
      </c>
      <c r="Z55" s="87"/>
      <c r="AA55" s="69">
        <v>1</v>
      </c>
      <c r="AB55" s="80">
        <v>1</v>
      </c>
    </row>
    <row r="56" spans="1:28">
      <c r="B56" t="s">
        <v>104</v>
      </c>
      <c r="C56">
        <v>60</v>
      </c>
      <c r="D56">
        <v>0</v>
      </c>
      <c r="E56" s="1"/>
      <c r="F56"/>
      <c r="H56" s="71" t="s">
        <v>383</v>
      </c>
      <c r="I56" s="72"/>
      <c r="J56" s="73">
        <f>SUM(J57:J78)</f>
        <v>68.806423611111114</v>
      </c>
      <c r="K56" s="81">
        <f>availableHours*K55</f>
        <v>68.75</v>
      </c>
      <c r="L56" s="71" t="s">
        <v>384</v>
      </c>
      <c r="M56" s="72"/>
      <c r="N56" s="73">
        <f>SUM(N57:N78)</f>
        <v>68.75451388888888</v>
      </c>
      <c r="O56" s="81">
        <f>availableHours*O55</f>
        <v>68.75</v>
      </c>
      <c r="P56" s="71" t="s">
        <v>385</v>
      </c>
      <c r="Q56" s="72"/>
      <c r="R56" s="73">
        <f>SUM(R57:R83)</f>
        <v>68.734652777777768</v>
      </c>
      <c r="S56" s="81">
        <f>availableHours*S55</f>
        <v>68.75</v>
      </c>
      <c r="T56" s="71" t="s">
        <v>386</v>
      </c>
      <c r="U56" s="72"/>
      <c r="V56" s="73">
        <f>SUM(V57:V83)</f>
        <v>68.663194444444429</v>
      </c>
      <c r="W56" s="81">
        <f>availableHours*W55</f>
        <v>68.75</v>
      </c>
      <c r="Y56" s="71" t="s">
        <v>387</v>
      </c>
      <c r="Z56" s="72"/>
      <c r="AA56" s="73">
        <f>SUM(AA57:AA83)</f>
        <v>68.845833333333331</v>
      </c>
      <c r="AB56" s="81">
        <f>availableHours*AB55</f>
        <v>68.75</v>
      </c>
    </row>
    <row r="57" spans="1:28">
      <c r="B57" t="s">
        <v>105</v>
      </c>
      <c r="C57">
        <v>60</v>
      </c>
      <c r="D57">
        <f>(grpFctMBT/2+1)*7</f>
        <v>31.5</v>
      </c>
      <c r="E57" s="1"/>
      <c r="F57"/>
      <c r="H57" s="75" t="s">
        <v>87</v>
      </c>
      <c r="I57">
        <v>1</v>
      </c>
      <c r="J57" s="4">
        <f>I57*weeklyMeetings*availableWeeks</f>
        <v>18.791666666666664</v>
      </c>
      <c r="K57" s="126">
        <f>IF(J56-K56&lt;0,0,J56-K56)</f>
        <v>5.6423611111114269E-2</v>
      </c>
      <c r="L57" s="75" t="s">
        <v>87</v>
      </c>
      <c r="M57">
        <v>1</v>
      </c>
      <c r="N57" s="4">
        <f>M57*weeklyMeetings*availableWeeks</f>
        <v>18.791666666666664</v>
      </c>
      <c r="O57" s="126">
        <f>IF(N56-O56&lt;0,0,N56-O56)</f>
        <v>4.5138888888800466E-3</v>
      </c>
      <c r="P57" s="75" t="s">
        <v>87</v>
      </c>
      <c r="Q57">
        <v>0.6</v>
      </c>
      <c r="R57" s="4">
        <f>Q57*weeklyMeetings*availableWeeks</f>
        <v>11.274999999999999</v>
      </c>
      <c r="S57" s="126">
        <f>IF(R56-S56&lt;0,0,R56-S56)</f>
        <v>0</v>
      </c>
      <c r="T57" s="75" t="s">
        <v>87</v>
      </c>
      <c r="U57">
        <v>0.6</v>
      </c>
      <c r="V57" s="4">
        <f>U57*weeklyMeetings*availableWeeks</f>
        <v>11.274999999999999</v>
      </c>
      <c r="W57" s="126">
        <f>IF(V56-W56&lt;0,0,V56-W56)</f>
        <v>0</v>
      </c>
      <c r="Y57" s="75" t="s">
        <v>87</v>
      </c>
      <c r="Z57" s="11">
        <v>0.8</v>
      </c>
      <c r="AA57" s="4">
        <f>Z57*weeklyMeetings*availableWeeks</f>
        <v>15.033333333333333</v>
      </c>
      <c r="AB57" s="126">
        <f>IF(AA56-AB56&lt;0,0,AA56-AB56)</f>
        <v>9.5833333333331439E-2</v>
      </c>
    </row>
    <row r="58" spans="1:28">
      <c r="B58" t="s">
        <v>106</v>
      </c>
      <c r="C58">
        <v>30</v>
      </c>
      <c r="D58">
        <v>12</v>
      </c>
      <c r="E58" s="1"/>
      <c r="F58"/>
      <c r="H58" s="78" t="s">
        <v>89</v>
      </c>
      <c r="I58">
        <v>0.2</v>
      </c>
      <c r="J58" s="4">
        <f>I58*weeklyOngoing*availableWeeks</f>
        <v>2.3833333333333333</v>
      </c>
      <c r="K58" s="82"/>
      <c r="L58" s="78" t="s">
        <v>89</v>
      </c>
      <c r="M58">
        <v>1</v>
      </c>
      <c r="N58" s="4">
        <f>M58*weeklyOngoing*availableWeeks</f>
        <v>11.916666666666666</v>
      </c>
      <c r="O58" s="82"/>
      <c r="P58" s="78" t="s">
        <v>89</v>
      </c>
      <c r="Q58">
        <v>0.8</v>
      </c>
      <c r="R58" s="4">
        <f>Q58*weeklyOngoing*availableWeeks</f>
        <v>9.5333333333333332</v>
      </c>
      <c r="S58" s="82"/>
      <c r="T58" s="78" t="s">
        <v>89</v>
      </c>
      <c r="U58">
        <v>0.6</v>
      </c>
      <c r="V58" s="4">
        <f>U58*weeklyOngoing*availableWeeks</f>
        <v>7.1499999999999986</v>
      </c>
      <c r="W58" s="82"/>
      <c r="Y58" s="78" t="s">
        <v>89</v>
      </c>
      <c r="Z58" s="11">
        <v>0.8</v>
      </c>
      <c r="AA58" s="4">
        <f>Z58*weeklyOngoing*availableWeeks</f>
        <v>9.5333333333333332</v>
      </c>
      <c r="AB58" s="82"/>
    </row>
    <row r="59" spans="1:28">
      <c r="B59" t="s">
        <v>332</v>
      </c>
      <c r="C59">
        <v>10</v>
      </c>
      <c r="D59">
        <v>15</v>
      </c>
      <c r="E59" s="1"/>
      <c r="F59"/>
      <c r="H59" s="77" t="s">
        <v>91</v>
      </c>
      <c r="I59">
        <v>0.2</v>
      </c>
      <c r="J59" s="4">
        <f>I59*weeklyDevelopment*availableWeeks</f>
        <v>0.79583333333333328</v>
      </c>
      <c r="K59" s="82"/>
      <c r="L59" s="77" t="s">
        <v>91</v>
      </c>
      <c r="M59">
        <v>1</v>
      </c>
      <c r="N59" s="4">
        <f>M59*weeklyDevelopment*availableWeeks</f>
        <v>3.9791666666666661</v>
      </c>
      <c r="O59" s="82"/>
      <c r="P59" s="77" t="s">
        <v>91</v>
      </c>
      <c r="Q59">
        <v>1</v>
      </c>
      <c r="R59" s="4">
        <f>Q59*weeklyDevelopment*availableWeeks</f>
        <v>3.9791666666666661</v>
      </c>
      <c r="S59" s="82"/>
      <c r="T59" s="77" t="s">
        <v>91</v>
      </c>
      <c r="U59">
        <v>0.2</v>
      </c>
      <c r="V59" s="4">
        <f>U59*weeklyDevelopment*availableWeeks</f>
        <v>0.79583333333333328</v>
      </c>
      <c r="W59" s="82"/>
      <c r="Y59" s="77" t="s">
        <v>91</v>
      </c>
      <c r="Z59" s="11">
        <v>1</v>
      </c>
      <c r="AA59" s="4">
        <f>Z59*weeklyDevelopment*availableWeeks</f>
        <v>3.9791666666666661</v>
      </c>
      <c r="AB59" s="82"/>
    </row>
    <row r="60" spans="1:28">
      <c r="B60" t="s">
        <v>333</v>
      </c>
      <c r="C60">
        <v>10</v>
      </c>
      <c r="D60">
        <v>15</v>
      </c>
      <c r="E60" s="1"/>
      <c r="F60"/>
      <c r="H60" s="107" t="s">
        <v>34</v>
      </c>
      <c r="I60">
        <v>105</v>
      </c>
      <c r="J60" s="4">
        <f>I60*indScreening</f>
        <v>3.372395833333333</v>
      </c>
      <c r="K60" s="76">
        <f>I60*$J$55</f>
        <v>105</v>
      </c>
      <c r="L60" s="107" t="s">
        <v>34</v>
      </c>
      <c r="M60">
        <v>90</v>
      </c>
      <c r="N60" s="4">
        <f>M60*indScreening</f>
        <v>2.8906249999999996</v>
      </c>
      <c r="O60" s="76">
        <f>M60*$N$55</f>
        <v>90</v>
      </c>
      <c r="P60" s="107" t="s">
        <v>34</v>
      </c>
      <c r="Q60">
        <v>0</v>
      </c>
      <c r="R60" s="4">
        <f>Q60*indScreening</f>
        <v>0</v>
      </c>
      <c r="S60" s="76">
        <f>Q60*$R$55</f>
        <v>0</v>
      </c>
      <c r="T60" s="107" t="s">
        <v>34</v>
      </c>
      <c r="U60">
        <v>0</v>
      </c>
      <c r="V60" s="4">
        <f>U60*indScreening</f>
        <v>0</v>
      </c>
      <c r="W60" s="76">
        <f>U60*$V$55</f>
        <v>0</v>
      </c>
      <c r="Y60" s="107" t="s">
        <v>34</v>
      </c>
      <c r="Z60" s="11">
        <v>0</v>
      </c>
      <c r="AA60" s="4">
        <f>Z60*indScreening</f>
        <v>0</v>
      </c>
      <c r="AB60" s="76">
        <f>Z60*$AA$55*2</f>
        <v>0</v>
      </c>
    </row>
    <row r="61" spans="1:28">
      <c r="E61" s="1"/>
      <c r="H61" s="107" t="s">
        <v>37</v>
      </c>
      <c r="I61">
        <v>11</v>
      </c>
      <c r="J61" s="4">
        <f>I61*indASSMT_E</f>
        <v>3.4145833333333333</v>
      </c>
      <c r="K61" s="76">
        <f t="shared" ref="K61:K72" si="11">I61*$J$55</f>
        <v>11</v>
      </c>
      <c r="L61" s="107" t="s">
        <v>37</v>
      </c>
      <c r="M61">
        <v>10</v>
      </c>
      <c r="N61" s="4">
        <f>M61*indASSMT_E</f>
        <v>3.104166666666667</v>
      </c>
      <c r="O61" s="76">
        <f t="shared" ref="O61:O72" si="12">M61*$N$55</f>
        <v>10</v>
      </c>
      <c r="P61" s="107" t="s">
        <v>37</v>
      </c>
      <c r="Q61">
        <v>7</v>
      </c>
      <c r="R61" s="4">
        <f>Q61*indASSMT_E</f>
        <v>2.1729166666666666</v>
      </c>
      <c r="S61" s="76">
        <f t="shared" ref="S61:S74" si="13">Q61*$R$55</f>
        <v>7</v>
      </c>
      <c r="T61" s="107" t="s">
        <v>37</v>
      </c>
      <c r="U61">
        <v>10</v>
      </c>
      <c r="V61" s="4">
        <f>U61*indASSMT_E</f>
        <v>3.104166666666667</v>
      </c>
      <c r="W61" s="76">
        <f t="shared" ref="W61:W74" si="14">U61*$V$55</f>
        <v>10</v>
      </c>
      <c r="Y61" s="107" t="s">
        <v>37</v>
      </c>
      <c r="Z61" s="11">
        <v>8</v>
      </c>
      <c r="AA61" s="4">
        <f>Z61*indASSMT_E</f>
        <v>2.4833333333333334</v>
      </c>
      <c r="AB61" s="76">
        <f t="shared" ref="AB61:AB74" si="15">Z61*$AA$55*2</f>
        <v>16</v>
      </c>
    </row>
    <row r="62" spans="1:28">
      <c r="E62" s="1"/>
      <c r="F62"/>
      <c r="H62" s="108" t="s">
        <v>42</v>
      </c>
      <c r="I62">
        <v>0</v>
      </c>
      <c r="J62" s="4">
        <f>I62*indASSMTSCID_E</f>
        <v>0</v>
      </c>
      <c r="K62" s="76">
        <f t="shared" si="11"/>
        <v>0</v>
      </c>
      <c r="L62" s="108" t="s">
        <v>42</v>
      </c>
      <c r="M62">
        <v>0</v>
      </c>
      <c r="N62" s="4">
        <f>M62*indASSMTSCID_E</f>
        <v>0</v>
      </c>
      <c r="O62" s="76">
        <f t="shared" si="12"/>
        <v>0</v>
      </c>
      <c r="P62" s="108" t="s">
        <v>42</v>
      </c>
      <c r="Q62">
        <v>2</v>
      </c>
      <c r="R62" s="4">
        <f>Q62*indASSMTSCID_E</f>
        <v>0.87916666666666665</v>
      </c>
      <c r="S62" s="76">
        <f t="shared" si="13"/>
        <v>2</v>
      </c>
      <c r="T62" s="108" t="s">
        <v>42</v>
      </c>
      <c r="U62">
        <v>4</v>
      </c>
      <c r="V62" s="4">
        <f>U62*indASSMTSCID_E</f>
        <v>1.7583333333333333</v>
      </c>
      <c r="W62" s="76">
        <f t="shared" si="14"/>
        <v>4</v>
      </c>
      <c r="Y62" s="108" t="s">
        <v>42</v>
      </c>
      <c r="Z62" s="11">
        <v>2</v>
      </c>
      <c r="AA62" s="4">
        <f>Z62*indASSMTSCID_E</f>
        <v>0.87916666666666665</v>
      </c>
      <c r="AB62" s="76">
        <f t="shared" si="15"/>
        <v>4</v>
      </c>
    </row>
    <row r="63" spans="1:28">
      <c r="A63" s="60">
        <v>1</v>
      </c>
      <c r="B63" t="s">
        <v>107</v>
      </c>
      <c r="C63">
        <v>60</v>
      </c>
      <c r="D63">
        <v>44</v>
      </c>
      <c r="E63" s="6">
        <f>SUMPRODUCT(C63:C72,D63:D72)/1440</f>
        <v>3.7065972222222223</v>
      </c>
      <c r="F63" t="s">
        <v>108</v>
      </c>
      <c r="H63" s="107" t="s">
        <v>45</v>
      </c>
      <c r="I63">
        <v>0</v>
      </c>
      <c r="J63" s="4">
        <f>I63*indSCM_E</f>
        <v>0</v>
      </c>
      <c r="K63" s="76">
        <f t="shared" si="11"/>
        <v>0</v>
      </c>
      <c r="L63" s="107" t="s">
        <v>45</v>
      </c>
      <c r="M63">
        <v>0</v>
      </c>
      <c r="N63" s="4">
        <f>M63*indSCM_E</f>
        <v>0</v>
      </c>
      <c r="O63" s="76">
        <f t="shared" si="12"/>
        <v>0</v>
      </c>
      <c r="P63" s="107" t="s">
        <v>45</v>
      </c>
      <c r="Q63">
        <v>6</v>
      </c>
      <c r="R63" s="4">
        <f>Q63*indSCM_E</f>
        <v>4.895833333333333</v>
      </c>
      <c r="S63" s="76">
        <f t="shared" si="13"/>
        <v>6</v>
      </c>
      <c r="T63" s="107" t="s">
        <v>45</v>
      </c>
      <c r="U63">
        <v>6</v>
      </c>
      <c r="V63" s="4">
        <f>U63*indSCM_E</f>
        <v>4.895833333333333</v>
      </c>
      <c r="W63" s="76">
        <f t="shared" si="14"/>
        <v>6</v>
      </c>
      <c r="Y63" s="107" t="s">
        <v>45</v>
      </c>
      <c r="Z63" s="11">
        <v>6</v>
      </c>
      <c r="AA63" s="4">
        <f>Z63*indSCM_E</f>
        <v>4.895833333333333</v>
      </c>
      <c r="AB63" s="76">
        <f t="shared" si="15"/>
        <v>12</v>
      </c>
    </row>
    <row r="64" spans="1:28">
      <c r="B64" t="s">
        <v>109</v>
      </c>
      <c r="C64">
        <v>30</v>
      </c>
      <c r="D64">
        <v>44</v>
      </c>
      <c r="E64" s="1"/>
      <c r="F64"/>
      <c r="H64" s="107" t="s">
        <v>49</v>
      </c>
      <c r="I64">
        <v>0</v>
      </c>
      <c r="J64" s="4">
        <f>I64*grpSCM_Y</f>
        <v>0</v>
      </c>
      <c r="K64" s="76">
        <f t="shared" si="11"/>
        <v>0</v>
      </c>
      <c r="L64" s="107" t="s">
        <v>49</v>
      </c>
      <c r="M64">
        <v>0</v>
      </c>
      <c r="N64" s="4">
        <f>M64*grpSCM_Y</f>
        <v>0</v>
      </c>
      <c r="O64" s="76">
        <f t="shared" si="12"/>
        <v>0</v>
      </c>
      <c r="P64" s="107" t="s">
        <v>49</v>
      </c>
      <c r="Q64">
        <v>0</v>
      </c>
      <c r="R64" s="4">
        <f>Q64*grpSCM_Y</f>
        <v>0</v>
      </c>
      <c r="S64" s="76">
        <f t="shared" si="13"/>
        <v>0</v>
      </c>
      <c r="T64" s="107" t="s">
        <v>49</v>
      </c>
      <c r="U64">
        <v>0</v>
      </c>
      <c r="V64" s="4">
        <f>U64*grpSCM_Y</f>
        <v>0</v>
      </c>
      <c r="W64" s="76">
        <f t="shared" si="14"/>
        <v>0</v>
      </c>
      <c r="Y64" s="107" t="s">
        <v>49</v>
      </c>
      <c r="Z64" s="11">
        <v>0</v>
      </c>
      <c r="AA64" s="4">
        <f>Z64*grpSCM_Y</f>
        <v>0</v>
      </c>
      <c r="AB64" s="76">
        <f t="shared" si="15"/>
        <v>0</v>
      </c>
    </row>
    <row r="65" spans="1:30">
      <c r="B65" t="s">
        <v>110</v>
      </c>
      <c r="C65">
        <v>25</v>
      </c>
      <c r="D65">
        <v>6</v>
      </c>
      <c r="E65" s="128">
        <f>(SUMPRODUCT(C63,D63)+SUMPRODUCT(C71,D71)+SUMPRODUCT(C70,D70))/SUMPRODUCT(C63:C72,D63:D72)</f>
        <v>0.57658079625292735</v>
      </c>
      <c r="F65"/>
      <c r="H65" s="109" t="s">
        <v>52</v>
      </c>
      <c r="I65">
        <v>0</v>
      </c>
      <c r="J65" s="4">
        <f>I65*indMBT_E</f>
        <v>0</v>
      </c>
      <c r="K65" s="76">
        <f t="shared" si="11"/>
        <v>0</v>
      </c>
      <c r="L65" s="109" t="s">
        <v>52</v>
      </c>
      <c r="M65">
        <v>4</v>
      </c>
      <c r="N65" s="4">
        <f>M65*indMBT_E</f>
        <v>14.826388888888889</v>
      </c>
      <c r="O65" s="76">
        <f t="shared" si="12"/>
        <v>4</v>
      </c>
      <c r="P65" s="109" t="s">
        <v>52</v>
      </c>
      <c r="Q65">
        <v>1</v>
      </c>
      <c r="R65" s="4">
        <f>Q65*indMBT_E</f>
        <v>3.7065972222222223</v>
      </c>
      <c r="S65" s="76">
        <f t="shared" si="13"/>
        <v>1</v>
      </c>
      <c r="T65" s="109" t="s">
        <v>52</v>
      </c>
      <c r="U65">
        <v>2</v>
      </c>
      <c r="V65" s="4">
        <f>U65*indMBT_E</f>
        <v>7.4131944444444446</v>
      </c>
      <c r="W65" s="76">
        <f t="shared" si="14"/>
        <v>2</v>
      </c>
      <c r="Y65" s="109" t="s">
        <v>52</v>
      </c>
      <c r="Z65" s="11">
        <v>0</v>
      </c>
      <c r="AA65" s="4">
        <f>Z65*indMBT_E</f>
        <v>0</v>
      </c>
      <c r="AB65" s="76">
        <f t="shared" si="15"/>
        <v>0</v>
      </c>
    </row>
    <row r="66" spans="1:30">
      <c r="B66" t="s">
        <v>111</v>
      </c>
      <c r="C66">
        <v>60</v>
      </c>
      <c r="D66">
        <v>3</v>
      </c>
      <c r="E66" s="1"/>
      <c r="F66"/>
      <c r="H66" s="109" t="s">
        <v>55</v>
      </c>
      <c r="I66">
        <v>1</v>
      </c>
      <c r="J66" s="4">
        <f>I66*grpMBT_Y</f>
        <v>5.6736111111111107</v>
      </c>
      <c r="K66" s="76">
        <f t="shared" si="11"/>
        <v>1</v>
      </c>
      <c r="L66" s="109" t="s">
        <v>55</v>
      </c>
      <c r="M66">
        <v>2</v>
      </c>
      <c r="N66" s="4">
        <f>M66*grpMBT_Y</f>
        <v>11.347222222222221</v>
      </c>
      <c r="O66" s="76">
        <f t="shared" si="12"/>
        <v>2</v>
      </c>
      <c r="P66" s="109" t="s">
        <v>55</v>
      </c>
      <c r="Q66">
        <v>0</v>
      </c>
      <c r="R66" s="4">
        <f>Q66*grpMBT_Y</f>
        <v>0</v>
      </c>
      <c r="S66" s="76">
        <f t="shared" si="13"/>
        <v>0</v>
      </c>
      <c r="T66" s="109" t="s">
        <v>55</v>
      </c>
      <c r="U66">
        <v>1</v>
      </c>
      <c r="V66" s="4">
        <f>U66*grpMBT_Y</f>
        <v>5.6736111111111107</v>
      </c>
      <c r="W66" s="76">
        <f t="shared" si="14"/>
        <v>1</v>
      </c>
      <c r="Y66" s="109" t="s">
        <v>55</v>
      </c>
      <c r="Z66" s="11">
        <v>0</v>
      </c>
      <c r="AA66" s="4">
        <f>Z66*grpMBT_Y</f>
        <v>0</v>
      </c>
      <c r="AB66" s="76">
        <f t="shared" si="15"/>
        <v>0</v>
      </c>
    </row>
    <row r="67" spans="1:30">
      <c r="B67" t="s">
        <v>112</v>
      </c>
      <c r="C67">
        <v>15</v>
      </c>
      <c r="D67">
        <v>12</v>
      </c>
      <c r="E67" s="1"/>
      <c r="F67"/>
      <c r="H67" s="110" t="s">
        <v>59</v>
      </c>
      <c r="I67">
        <v>0</v>
      </c>
      <c r="J67" s="4">
        <f>I67*grpMBTI_E</f>
        <v>0</v>
      </c>
      <c r="K67" s="76">
        <f t="shared" si="11"/>
        <v>0</v>
      </c>
      <c r="L67" s="110" t="s">
        <v>59</v>
      </c>
      <c r="M67">
        <v>1</v>
      </c>
      <c r="N67" s="4">
        <f>M67*grpMBTI_E</f>
        <v>1.898611111111111</v>
      </c>
      <c r="O67" s="76">
        <f t="shared" si="12"/>
        <v>1</v>
      </c>
      <c r="P67" s="110" t="s">
        <v>59</v>
      </c>
      <c r="Q67">
        <v>0</v>
      </c>
      <c r="R67" s="4">
        <f>Q67*grpMBTI_E</f>
        <v>0</v>
      </c>
      <c r="S67" s="76">
        <f t="shared" si="13"/>
        <v>0</v>
      </c>
      <c r="T67" s="110" t="s">
        <v>59</v>
      </c>
      <c r="U67">
        <v>0</v>
      </c>
      <c r="V67" s="4">
        <f>U67*grpMBTI_E</f>
        <v>0</v>
      </c>
      <c r="W67" s="76">
        <f t="shared" si="14"/>
        <v>0</v>
      </c>
      <c r="Y67" s="110" t="s">
        <v>59</v>
      </c>
      <c r="Z67" s="11">
        <v>0</v>
      </c>
      <c r="AA67" s="4">
        <f>Z67*grpMBTI_E</f>
        <v>0</v>
      </c>
      <c r="AB67" s="76">
        <f t="shared" si="15"/>
        <v>0</v>
      </c>
    </row>
    <row r="68" spans="1:30">
      <c r="B68" t="s">
        <v>113</v>
      </c>
      <c r="C68">
        <v>60</v>
      </c>
      <c r="D68">
        <v>4</v>
      </c>
      <c r="E68" s="1"/>
      <c r="F68"/>
      <c r="H68" s="107" t="s">
        <v>63</v>
      </c>
      <c r="I68">
        <v>0</v>
      </c>
      <c r="J68" s="4">
        <f>I68*indLIAISON_E</f>
        <v>0</v>
      </c>
      <c r="K68" s="76">
        <f t="shared" si="11"/>
        <v>0</v>
      </c>
      <c r="L68" s="107" t="s">
        <v>63</v>
      </c>
      <c r="M68">
        <v>0</v>
      </c>
      <c r="N68" s="4">
        <f>M68*indLIAISON_E</f>
        <v>0</v>
      </c>
      <c r="O68" s="76">
        <f t="shared" si="12"/>
        <v>0</v>
      </c>
      <c r="P68" s="107" t="s">
        <v>63</v>
      </c>
      <c r="Q68">
        <v>4</v>
      </c>
      <c r="R68" s="4">
        <f>Q68*indLIAISON_E</f>
        <v>1.4106944444444445</v>
      </c>
      <c r="S68" s="76">
        <f t="shared" si="13"/>
        <v>4</v>
      </c>
      <c r="T68" s="107" t="s">
        <v>63</v>
      </c>
      <c r="U68">
        <v>0</v>
      </c>
      <c r="V68" s="4">
        <f>U68*indLIAISON_E</f>
        <v>0</v>
      </c>
      <c r="W68" s="76">
        <f t="shared" si="14"/>
        <v>0</v>
      </c>
      <c r="Y68" s="107" t="s">
        <v>63</v>
      </c>
      <c r="Z68" s="11">
        <v>0</v>
      </c>
      <c r="AA68" s="4">
        <f>Z68*indLIAISON_E</f>
        <v>0</v>
      </c>
      <c r="AB68" s="76">
        <f t="shared" si="15"/>
        <v>0</v>
      </c>
    </row>
    <row r="69" spans="1:30">
      <c r="B69" t="s">
        <v>114</v>
      </c>
      <c r="C69">
        <v>20</v>
      </c>
      <c r="D69">
        <v>4.5</v>
      </c>
      <c r="E69" s="1"/>
      <c r="F69"/>
      <c r="H69" s="79" t="s">
        <v>65</v>
      </c>
      <c r="I69">
        <v>0</v>
      </c>
      <c r="J69" s="4">
        <f>I69*grpCONS_Y</f>
        <v>0</v>
      </c>
      <c r="K69" s="76">
        <f t="shared" si="11"/>
        <v>0</v>
      </c>
      <c r="L69" s="79" t="s">
        <v>65</v>
      </c>
      <c r="M69">
        <v>0</v>
      </c>
      <c r="N69" s="4">
        <f>M69*grpCONS_Y</f>
        <v>0</v>
      </c>
      <c r="O69" s="76">
        <f t="shared" si="12"/>
        <v>0</v>
      </c>
      <c r="P69" s="79" t="s">
        <v>65</v>
      </c>
      <c r="Q69">
        <v>0</v>
      </c>
      <c r="R69" s="4">
        <f>Q69*grpCONS_Y</f>
        <v>0</v>
      </c>
      <c r="S69" s="76">
        <f t="shared" si="13"/>
        <v>0</v>
      </c>
      <c r="T69" s="79" t="s">
        <v>65</v>
      </c>
      <c r="U69">
        <v>0</v>
      </c>
      <c r="V69" s="4">
        <f>U69*grpCONS_Y</f>
        <v>0</v>
      </c>
      <c r="W69" s="76">
        <f t="shared" si="14"/>
        <v>0</v>
      </c>
      <c r="Y69" s="79" t="s">
        <v>65</v>
      </c>
      <c r="Z69" s="11">
        <v>0</v>
      </c>
      <c r="AA69" s="4">
        <f>Z69*grpCONS_Y</f>
        <v>0</v>
      </c>
      <c r="AB69" s="76">
        <f t="shared" si="15"/>
        <v>0</v>
      </c>
    </row>
    <row r="70" spans="1:30">
      <c r="B70" t="s">
        <v>115</v>
      </c>
      <c r="C70">
        <v>75</v>
      </c>
      <c r="D70">
        <v>4.5</v>
      </c>
      <c r="E70" s="1"/>
      <c r="H70" s="79" t="s">
        <v>67</v>
      </c>
      <c r="I70">
        <v>0</v>
      </c>
      <c r="J70" s="4">
        <f>I70*grpWAITL_Y</f>
        <v>0</v>
      </c>
      <c r="K70" s="76">
        <f t="shared" si="11"/>
        <v>0</v>
      </c>
      <c r="L70" s="79" t="s">
        <v>67</v>
      </c>
      <c r="M70">
        <v>0</v>
      </c>
      <c r="N70" s="4">
        <f>M70*grpWAITL_Y</f>
        <v>0</v>
      </c>
      <c r="O70" s="76">
        <f t="shared" si="12"/>
        <v>0</v>
      </c>
      <c r="P70" s="79" t="s">
        <v>67</v>
      </c>
      <c r="Q70">
        <v>0</v>
      </c>
      <c r="R70" s="4">
        <f>Q70*grpWAITL_Y</f>
        <v>0</v>
      </c>
      <c r="S70" s="76">
        <f t="shared" si="13"/>
        <v>0</v>
      </c>
      <c r="T70" s="79" t="s">
        <v>67</v>
      </c>
      <c r="U70">
        <v>0</v>
      </c>
      <c r="V70" s="4">
        <f>U70*grpWAITL_Y</f>
        <v>0</v>
      </c>
      <c r="W70" s="76">
        <f t="shared" si="14"/>
        <v>0</v>
      </c>
      <c r="Y70" s="79" t="s">
        <v>67</v>
      </c>
      <c r="Z70" s="11">
        <v>0</v>
      </c>
      <c r="AA70" s="4">
        <f>Z70*grpWAITL_Y</f>
        <v>0</v>
      </c>
      <c r="AB70" s="76">
        <f t="shared" si="15"/>
        <v>0</v>
      </c>
    </row>
    <row r="71" spans="1:30">
      <c r="B71" t="s">
        <v>334</v>
      </c>
      <c r="C71">
        <v>10</v>
      </c>
      <c r="D71">
        <v>10</v>
      </c>
      <c r="E71" s="1"/>
      <c r="F71"/>
      <c r="H71" s="79" t="s">
        <v>70</v>
      </c>
      <c r="I71">
        <v>0</v>
      </c>
      <c r="J71" s="4">
        <f>I71*indKEYCLIN_E</f>
        <v>0</v>
      </c>
      <c r="K71" s="76">
        <f t="shared" si="11"/>
        <v>0</v>
      </c>
      <c r="L71" s="79" t="s">
        <v>70</v>
      </c>
      <c r="M71">
        <v>0</v>
      </c>
      <c r="N71" s="4">
        <f>M71*indKEYCLIN_E</f>
        <v>0</v>
      </c>
      <c r="O71" s="76">
        <f t="shared" si="12"/>
        <v>0</v>
      </c>
      <c r="P71" s="79" t="s">
        <v>70</v>
      </c>
      <c r="Q71">
        <v>0</v>
      </c>
      <c r="R71" s="4">
        <f>Q71*indKEYCLIN_E</f>
        <v>0</v>
      </c>
      <c r="S71" s="76">
        <f t="shared" si="13"/>
        <v>0</v>
      </c>
      <c r="T71" s="79" t="s">
        <v>70</v>
      </c>
      <c r="U71">
        <v>0</v>
      </c>
      <c r="V71" s="4">
        <f>U71*indKEYCLIN_E</f>
        <v>0</v>
      </c>
      <c r="W71" s="76">
        <f t="shared" si="14"/>
        <v>0</v>
      </c>
      <c r="Y71" s="79" t="s">
        <v>70</v>
      </c>
      <c r="Z71" s="11">
        <v>0</v>
      </c>
      <c r="AA71" s="4">
        <f>Z71*indKEYCLIN_E</f>
        <v>0</v>
      </c>
      <c r="AB71" s="76">
        <f t="shared" si="15"/>
        <v>0</v>
      </c>
    </row>
    <row r="72" spans="1:30">
      <c r="B72" t="s">
        <v>335</v>
      </c>
      <c r="C72">
        <v>10</v>
      </c>
      <c r="D72">
        <v>10</v>
      </c>
      <c r="E72" s="1"/>
      <c r="F72"/>
      <c r="H72" s="79" t="s">
        <v>74</v>
      </c>
      <c r="I72">
        <v>0</v>
      </c>
      <c r="J72" s="4">
        <f>I72*indCCOORD_E</f>
        <v>0</v>
      </c>
      <c r="K72" s="76">
        <f t="shared" si="11"/>
        <v>0</v>
      </c>
      <c r="L72" s="79" t="s">
        <v>74</v>
      </c>
      <c r="M72">
        <v>0</v>
      </c>
      <c r="N72" s="4">
        <f>M72*indCCOORD_E</f>
        <v>0</v>
      </c>
      <c r="O72" s="76">
        <f t="shared" si="12"/>
        <v>0</v>
      </c>
      <c r="P72" s="79" t="s">
        <v>74</v>
      </c>
      <c r="Q72">
        <v>0</v>
      </c>
      <c r="R72" s="4">
        <f>Q72*indCCOORD_E</f>
        <v>0</v>
      </c>
      <c r="S72" s="76">
        <f t="shared" si="13"/>
        <v>0</v>
      </c>
      <c r="T72" s="79" t="s">
        <v>74</v>
      </c>
      <c r="U72">
        <v>0</v>
      </c>
      <c r="V72" s="4">
        <f>U72*indCCOORD_E</f>
        <v>0</v>
      </c>
      <c r="W72" s="76">
        <f t="shared" si="14"/>
        <v>0</v>
      </c>
      <c r="Y72" s="79" t="s">
        <v>74</v>
      </c>
      <c r="Z72" s="11">
        <v>0</v>
      </c>
      <c r="AA72" s="4">
        <f>Z72*indCCOORD_E</f>
        <v>0</v>
      </c>
      <c r="AB72" s="76">
        <f t="shared" si="15"/>
        <v>0</v>
      </c>
    </row>
    <row r="73" spans="1:30">
      <c r="E73" s="1"/>
      <c r="F73"/>
      <c r="G73" s="37"/>
      <c r="H73" s="36"/>
      <c r="K73" s="43"/>
      <c r="L73" s="79"/>
      <c r="M73" s="7"/>
      <c r="N73" s="4"/>
      <c r="O73" s="76"/>
      <c r="P73" s="29" t="s">
        <v>78</v>
      </c>
      <c r="Q73">
        <v>4</v>
      </c>
      <c r="R73" s="4">
        <f>Q73*indMEDRV_E</f>
        <v>0.75</v>
      </c>
      <c r="S73" s="76">
        <f t="shared" si="13"/>
        <v>4</v>
      </c>
      <c r="T73" s="29" t="s">
        <v>78</v>
      </c>
      <c r="U73">
        <v>5</v>
      </c>
      <c r="V73" s="4">
        <f>U73*indMEDRV_E</f>
        <v>0.9375</v>
      </c>
      <c r="W73" s="76">
        <f t="shared" si="14"/>
        <v>5</v>
      </c>
      <c r="Y73" s="79" t="s">
        <v>78</v>
      </c>
      <c r="Z73" s="11">
        <v>4</v>
      </c>
      <c r="AA73" s="4">
        <f>Z73*indMEDRV_E</f>
        <v>0.75</v>
      </c>
      <c r="AB73" s="76">
        <f t="shared" si="15"/>
        <v>8</v>
      </c>
    </row>
    <row r="74" spans="1:30">
      <c r="E74" s="1"/>
      <c r="F74"/>
      <c r="G74" s="37"/>
      <c r="H74" s="36" t="s">
        <v>417</v>
      </c>
      <c r="I74">
        <v>825</v>
      </c>
      <c r="J74" s="4">
        <f>60*1/1440*I74</f>
        <v>34.375</v>
      </c>
      <c r="L74" s="89" t="s">
        <v>421</v>
      </c>
      <c r="M74" s="150">
        <v>0</v>
      </c>
      <c r="N74" s="4">
        <f>60*1/1440*M74</f>
        <v>0</v>
      </c>
      <c r="O74" s="76"/>
      <c r="P74" s="42" t="s">
        <v>80</v>
      </c>
      <c r="Q74">
        <v>6</v>
      </c>
      <c r="R74" s="4">
        <f>Q74*indMEDRVMBT_E</f>
        <v>0.79166666666666674</v>
      </c>
      <c r="S74" s="76">
        <f t="shared" si="13"/>
        <v>6</v>
      </c>
      <c r="T74" s="42" t="s">
        <v>80</v>
      </c>
      <c r="U74">
        <v>5</v>
      </c>
      <c r="V74" s="4">
        <f>U74*indMEDRVMBT_E</f>
        <v>0.65972222222222221</v>
      </c>
      <c r="W74" s="76">
        <f t="shared" si="14"/>
        <v>5</v>
      </c>
      <c r="Y74" s="89" t="s">
        <v>80</v>
      </c>
      <c r="Z74" s="11">
        <v>6</v>
      </c>
      <c r="AA74" s="4">
        <f>Z74*indMEDRVMBT_E</f>
        <v>0.79166666666666674</v>
      </c>
      <c r="AB74" s="76">
        <f t="shared" si="15"/>
        <v>12</v>
      </c>
    </row>
    <row r="75" spans="1:30">
      <c r="A75" s="62">
        <v>12</v>
      </c>
      <c r="B75" t="s">
        <v>116</v>
      </c>
      <c r="C75">
        <v>90</v>
      </c>
      <c r="D75">
        <v>10</v>
      </c>
      <c r="E75" s="2">
        <f>SUMPRODUCT(C75:C84,D75:D84)/1440</f>
        <v>1.898611111111111</v>
      </c>
      <c r="F75" t="s">
        <v>22</v>
      </c>
      <c r="G75" s="37"/>
      <c r="H75" s="79" t="s">
        <v>127</v>
      </c>
      <c r="I75" s="7">
        <v>0</v>
      </c>
      <c r="J75" s="4">
        <f>60*1/1440*11*I75</f>
        <v>0</v>
      </c>
      <c r="L75" s="79" t="s">
        <v>127</v>
      </c>
      <c r="M75" s="7">
        <v>0</v>
      </c>
      <c r="N75" s="4">
        <f>60*1/1440*11*M75</f>
        <v>0</v>
      </c>
      <c r="O75" s="76"/>
      <c r="P75" s="29" t="s">
        <v>128</v>
      </c>
      <c r="Q75">
        <v>5</v>
      </c>
      <c r="R75" s="4">
        <f>1*4*60/1440*Q75</f>
        <v>0.83333333333333326</v>
      </c>
      <c r="S75" s="37"/>
      <c r="V75" s="4"/>
      <c r="W75" s="37"/>
      <c r="Y75" s="36"/>
      <c r="AB75" s="37"/>
    </row>
    <row r="76" spans="1:30">
      <c r="A76" s="62">
        <v>2</v>
      </c>
      <c r="B76" t="s">
        <v>117</v>
      </c>
      <c r="C76">
        <v>30</v>
      </c>
      <c r="D76">
        <v>10</v>
      </c>
      <c r="E76" s="1"/>
      <c r="F76"/>
      <c r="G76" s="37"/>
      <c r="H76" s="89" t="s">
        <v>128</v>
      </c>
      <c r="I76">
        <v>0</v>
      </c>
      <c r="J76" s="4">
        <f>1*4*60/1440*I76</f>
        <v>0</v>
      </c>
      <c r="L76" s="89" t="s">
        <v>128</v>
      </c>
      <c r="M76">
        <v>0</v>
      </c>
      <c r="N76" s="4">
        <f>1*4*60/1440*M76</f>
        <v>0</v>
      </c>
      <c r="O76" s="76"/>
      <c r="P76" s="29" t="s">
        <v>130</v>
      </c>
      <c r="Q76">
        <v>10</v>
      </c>
      <c r="R76" s="4">
        <f>(7.5*60*4)/1440*Q76</f>
        <v>12.5</v>
      </c>
      <c r="S76" s="37"/>
      <c r="V76" s="4"/>
      <c r="W76" s="37"/>
      <c r="Y76" s="36"/>
      <c r="AA76" s="4"/>
      <c r="AB76" s="37"/>
    </row>
    <row r="77" spans="1:30">
      <c r="B77" t="s">
        <v>118</v>
      </c>
      <c r="C77">
        <v>30</v>
      </c>
      <c r="D77">
        <v>1</v>
      </c>
      <c r="E77" s="128">
        <f>(SUMPRODUCT(C75,D75)+SUMPRODUCT(C79,D79)+SUMPRODUCT(C82,D82)+SUMPRODUCT(C84,D84))/SUMPRODUCT(C75:C84,D75:D84)</f>
        <v>0.5976591075347476</v>
      </c>
      <c r="F77"/>
      <c r="H77" s="79" t="s">
        <v>132</v>
      </c>
      <c r="I77">
        <v>0</v>
      </c>
      <c r="J77" s="4">
        <f>1*4*60/1440*I77</f>
        <v>0</v>
      </c>
      <c r="K77" s="37"/>
      <c r="L77" s="112" t="s">
        <v>132</v>
      </c>
      <c r="M77">
        <v>0</v>
      </c>
      <c r="N77" s="4">
        <f>1*4*60/1440*M77</f>
        <v>0</v>
      </c>
      <c r="O77" s="76"/>
      <c r="P77" s="29" t="s">
        <v>133</v>
      </c>
      <c r="Q77">
        <v>10</v>
      </c>
      <c r="R77" s="4">
        <f>(1*4*2+2+2)*60/1440*Q77</f>
        <v>5</v>
      </c>
      <c r="S77" s="37"/>
      <c r="V77" s="4"/>
      <c r="W77" s="37"/>
      <c r="X77" s="36"/>
      <c r="Y77" s="36"/>
      <c r="AA77" s="4"/>
      <c r="AB77" s="37"/>
    </row>
    <row r="78" spans="1:30">
      <c r="B78" t="s">
        <v>119</v>
      </c>
      <c r="C78">
        <v>30</v>
      </c>
      <c r="D78">
        <v>10</v>
      </c>
      <c r="E78" s="1"/>
      <c r="F78"/>
      <c r="H78" s="79" t="s">
        <v>134</v>
      </c>
      <c r="I78">
        <v>0</v>
      </c>
      <c r="J78" s="4">
        <f>(7.5)*60/1440*I78</f>
        <v>0</v>
      </c>
      <c r="K78" s="37"/>
      <c r="L78" s="79" t="s">
        <v>134</v>
      </c>
      <c r="M78">
        <v>0</v>
      </c>
      <c r="N78" s="4">
        <f>(7.5)*60/1440*M78</f>
        <v>0</v>
      </c>
      <c r="O78" s="76"/>
      <c r="P78" s="29" t="s">
        <v>135</v>
      </c>
      <c r="Q78">
        <v>10</v>
      </c>
      <c r="R78" s="4">
        <f>(4*60+4*40)/1440*Q78</f>
        <v>2.7777777777777777</v>
      </c>
      <c r="S78" s="37"/>
      <c r="T78" t="s">
        <v>136</v>
      </c>
      <c r="V78" s="4">
        <f>262.5*60/1440</f>
        <v>10.9375</v>
      </c>
      <c r="W78" s="37"/>
      <c r="X78" s="36"/>
      <c r="Y78" s="36" t="s">
        <v>367</v>
      </c>
      <c r="AA78" s="4">
        <f>141*60/1440*2</f>
        <v>11.75</v>
      </c>
      <c r="AB78" s="37"/>
      <c r="AD78" s="149"/>
    </row>
    <row r="79" spans="1:30">
      <c r="B79" t="s">
        <v>342</v>
      </c>
      <c r="C79">
        <v>30</v>
      </c>
      <c r="D79">
        <v>12</v>
      </c>
      <c r="E79" s="1"/>
      <c r="F79"/>
      <c r="H79" s="36"/>
      <c r="K79" s="37"/>
      <c r="L79" s="89"/>
      <c r="N79" s="4"/>
      <c r="O79" s="88"/>
      <c r="P79" s="29" t="s">
        <v>137</v>
      </c>
      <c r="Q79">
        <v>10</v>
      </c>
      <c r="R79" s="4">
        <f>(4*60*4)/1440*Q79</f>
        <v>6.6666666666666661</v>
      </c>
      <c r="S79" s="37"/>
      <c r="T79" t="s">
        <v>369</v>
      </c>
      <c r="V79" s="4">
        <f>262.5*60/1440</f>
        <v>10.9375</v>
      </c>
      <c r="W79" s="37"/>
      <c r="X79" s="36"/>
      <c r="Y79" s="36" t="s">
        <v>368</v>
      </c>
      <c r="AA79" s="4">
        <f>90*60/1440*2</f>
        <v>7.5</v>
      </c>
      <c r="AB79" s="37"/>
    </row>
    <row r="80" spans="1:30">
      <c r="B80" t="s">
        <v>120</v>
      </c>
      <c r="C80">
        <v>60</v>
      </c>
      <c r="D80">
        <v>5</v>
      </c>
      <c r="E80" s="1"/>
      <c r="F80"/>
      <c r="H80" s="36"/>
      <c r="K80" s="37"/>
      <c r="L80" s="112"/>
      <c r="N80" s="4"/>
      <c r="O80" s="76"/>
      <c r="P80" s="29" t="s">
        <v>139</v>
      </c>
      <c r="Q80">
        <v>2</v>
      </c>
      <c r="R80" s="4">
        <f>(7.5)*60/1440*Q80</f>
        <v>0.625</v>
      </c>
      <c r="S80" s="37"/>
      <c r="T80" t="s">
        <v>370</v>
      </c>
      <c r="V80" s="4">
        <f>75*60/1440</f>
        <v>3.125</v>
      </c>
      <c r="W80" s="37"/>
      <c r="X80" s="36"/>
      <c r="Y80" s="36" t="s">
        <v>370</v>
      </c>
      <c r="AA80" s="4">
        <f>6*7.5*60/1440*2</f>
        <v>3.75</v>
      </c>
      <c r="AB80" s="37"/>
    </row>
    <row r="81" spans="1:28">
      <c r="B81" t="s">
        <v>121</v>
      </c>
      <c r="C81">
        <v>60</v>
      </c>
      <c r="D81">
        <v>2</v>
      </c>
      <c r="E81" s="1"/>
      <c r="F81"/>
      <c r="H81" s="36"/>
      <c r="K81" s="37"/>
      <c r="L81" s="144" t="s">
        <v>422</v>
      </c>
      <c r="N81" s="4"/>
      <c r="O81" s="76"/>
      <c r="P81" s="29" t="s">
        <v>134</v>
      </c>
      <c r="Q81">
        <v>3</v>
      </c>
      <c r="R81" s="4">
        <f>(7.5)*60/1440*Q81</f>
        <v>0.9375</v>
      </c>
      <c r="S81" s="37"/>
      <c r="V81" s="4"/>
      <c r="W81" s="37"/>
      <c r="X81" s="36"/>
      <c r="Y81" s="36" t="s">
        <v>369</v>
      </c>
      <c r="AA81" s="4">
        <f>90*60/1440*2</f>
        <v>7.5</v>
      </c>
      <c r="AB81" s="37"/>
    </row>
    <row r="82" spans="1:28">
      <c r="B82" t="s">
        <v>336</v>
      </c>
      <c r="C82">
        <v>10</v>
      </c>
      <c r="D82">
        <v>5</v>
      </c>
      <c r="E82" s="1"/>
      <c r="F82"/>
      <c r="H82" s="36"/>
      <c r="K82" s="37"/>
      <c r="O82" s="88"/>
      <c r="P82" s="29"/>
      <c r="R82" s="4"/>
      <c r="S82" s="37"/>
      <c r="V82" s="4"/>
      <c r="W82" s="37"/>
      <c r="X82" s="36"/>
      <c r="Y82" s="36"/>
      <c r="AA82" s="4"/>
      <c r="AB82" s="37"/>
    </row>
    <row r="83" spans="1:28" ht="13.5" thickBot="1">
      <c r="B83" t="s">
        <v>337</v>
      </c>
      <c r="C83">
        <v>10</v>
      </c>
      <c r="D83">
        <v>5</v>
      </c>
      <c r="E83" s="1"/>
      <c r="F83"/>
      <c r="H83" s="38"/>
      <c r="I83" s="39"/>
      <c r="J83" s="39"/>
      <c r="K83" s="40"/>
      <c r="L83" s="39"/>
      <c r="M83" s="39"/>
      <c r="N83" s="39"/>
      <c r="O83" s="40"/>
      <c r="P83" s="91"/>
      <c r="Q83" s="39"/>
      <c r="R83" s="68"/>
      <c r="S83" s="40"/>
      <c r="T83" s="39"/>
      <c r="U83" s="39"/>
      <c r="V83" s="39"/>
      <c r="W83" s="40"/>
      <c r="X83" s="39"/>
      <c r="Y83" s="38"/>
      <c r="Z83" s="39"/>
      <c r="AA83" s="39"/>
      <c r="AB83" s="40"/>
    </row>
    <row r="84" spans="1:28">
      <c r="B84" t="s">
        <v>355</v>
      </c>
      <c r="C84">
        <v>30</v>
      </c>
      <c r="D84">
        <f>grpFctMBTI*0.9</f>
        <v>10.8</v>
      </c>
      <c r="E84" s="1"/>
      <c r="F84"/>
    </row>
    <row r="85" spans="1:28" ht="13.5" thickBot="1"/>
    <row r="86" spans="1:28">
      <c r="H86" s="84" t="s">
        <v>146</v>
      </c>
      <c r="I86" s="85"/>
      <c r="J86" s="69">
        <v>1</v>
      </c>
      <c r="K86" s="70">
        <v>1</v>
      </c>
      <c r="L86" s="84" t="s">
        <v>147</v>
      </c>
      <c r="M86" s="85"/>
      <c r="N86" s="69">
        <v>1</v>
      </c>
      <c r="O86" s="80">
        <v>1</v>
      </c>
      <c r="P86" s="84" t="s">
        <v>400</v>
      </c>
      <c r="Q86" s="85"/>
      <c r="R86" s="69">
        <v>1</v>
      </c>
      <c r="S86" s="80">
        <v>1</v>
      </c>
      <c r="T86" s="84" t="s">
        <v>402</v>
      </c>
      <c r="U86" s="85"/>
      <c r="V86" s="69">
        <v>1</v>
      </c>
      <c r="W86" s="80">
        <v>1</v>
      </c>
    </row>
    <row r="87" spans="1:28">
      <c r="A87" s="60">
        <v>1</v>
      </c>
      <c r="B87" t="s">
        <v>164</v>
      </c>
      <c r="C87">
        <v>40</v>
      </c>
      <c r="D87">
        <v>1</v>
      </c>
      <c r="E87" s="2">
        <f>SUMPRODUCT(C87:C91,D87:D91)/1440</f>
        <v>0.13194444444444445</v>
      </c>
      <c r="F87" s="3" t="s">
        <v>22</v>
      </c>
      <c r="H87" s="71" t="s">
        <v>381</v>
      </c>
      <c r="I87" s="72"/>
      <c r="J87" s="73">
        <f>SUM(J88:J109)</f>
        <v>68.620659722222214</v>
      </c>
      <c r="K87" s="74">
        <f>availableHours*K86</f>
        <v>68.75</v>
      </c>
      <c r="L87" s="71" t="s">
        <v>382</v>
      </c>
      <c r="M87" s="72"/>
      <c r="N87" s="73">
        <f>SUM(N88:N109)</f>
        <v>68.65347222222222</v>
      </c>
      <c r="O87" s="81">
        <f>availableHours*O86</f>
        <v>68.75</v>
      </c>
      <c r="P87" s="71" t="s">
        <v>401</v>
      </c>
      <c r="Q87" s="72"/>
      <c r="R87" s="73">
        <f>SUM(R88:R109)</f>
        <v>39.583333333333329</v>
      </c>
      <c r="S87" s="81">
        <f>availableHours*S86</f>
        <v>68.75</v>
      </c>
      <c r="T87" s="71" t="s">
        <v>403</v>
      </c>
      <c r="U87" s="72"/>
      <c r="V87" s="73">
        <f>SUM(V88:V109)</f>
        <v>39.583333333333329</v>
      </c>
      <c r="W87" s="81">
        <f>availableHours*W86</f>
        <v>68.75</v>
      </c>
    </row>
    <row r="88" spans="1:28">
      <c r="B88" t="s">
        <v>165</v>
      </c>
      <c r="C88">
        <v>40</v>
      </c>
      <c r="D88">
        <v>1</v>
      </c>
      <c r="F88" s="3"/>
      <c r="H88" s="75" t="s">
        <v>87</v>
      </c>
      <c r="I88">
        <v>1</v>
      </c>
      <c r="J88" s="4">
        <f>I88*weeklyMeetings*availableWeeks</f>
        <v>18.791666666666664</v>
      </c>
      <c r="K88" s="126">
        <f>IF(J87-K87&lt;0,0,J87-K87)</f>
        <v>0</v>
      </c>
      <c r="L88" s="75" t="s">
        <v>87</v>
      </c>
      <c r="M88">
        <v>0.8</v>
      </c>
      <c r="N88" s="4">
        <f>M88*weeklyMeetings*availableWeeks</f>
        <v>15.033333333333333</v>
      </c>
      <c r="O88" s="126">
        <f>IF(N87-O87&lt;0,0,N87-O87)</f>
        <v>0</v>
      </c>
      <c r="P88" s="75" t="s">
        <v>87</v>
      </c>
      <c r="Q88">
        <v>1</v>
      </c>
      <c r="R88" s="4">
        <f>Q88*weeklyMeetings*availableWeeks</f>
        <v>18.791666666666664</v>
      </c>
      <c r="S88" s="126">
        <f>IF(R87-S87&lt;0,0,R87-S87)</f>
        <v>0</v>
      </c>
      <c r="T88" s="75" t="s">
        <v>87</v>
      </c>
      <c r="U88">
        <v>1</v>
      </c>
      <c r="V88" s="4">
        <f>U88*weeklyMeetings*availableWeeks</f>
        <v>18.791666666666664</v>
      </c>
      <c r="W88" s="126">
        <f>IF(V87-W87&lt;0,0,V87-W87)</f>
        <v>0</v>
      </c>
    </row>
    <row r="89" spans="1:28">
      <c r="B89" t="s">
        <v>166</v>
      </c>
      <c r="C89">
        <v>20</v>
      </c>
      <c r="D89">
        <v>3</v>
      </c>
      <c r="E89" s="128">
        <f>(SUMPRODUCT(C87,D87)+SUMPRODUCT(C90,D90))/SUMPRODUCT(C87:C91,D87:D91)</f>
        <v>0.36842105263157893</v>
      </c>
      <c r="F89" s="3"/>
      <c r="H89" s="78" t="s">
        <v>89</v>
      </c>
      <c r="I89">
        <v>1</v>
      </c>
      <c r="J89" s="4">
        <f>I89*weeklyOngoing*availableWeeks</f>
        <v>11.916666666666666</v>
      </c>
      <c r="K89" s="76"/>
      <c r="L89" s="78" t="s">
        <v>89</v>
      </c>
      <c r="M89">
        <v>1</v>
      </c>
      <c r="N89" s="4">
        <f>M89*weeklyOngoing*availableWeeks</f>
        <v>11.916666666666666</v>
      </c>
      <c r="O89" s="82"/>
      <c r="P89" s="78" t="s">
        <v>89</v>
      </c>
      <c r="Q89">
        <v>1</v>
      </c>
      <c r="R89" s="4">
        <f>Q89*weeklyOngoing*availableWeeks</f>
        <v>11.916666666666666</v>
      </c>
      <c r="S89" s="82"/>
      <c r="T89" s="78" t="s">
        <v>89</v>
      </c>
      <c r="U89">
        <v>1</v>
      </c>
      <c r="V89" s="4">
        <f>U89*weeklyOngoing*availableWeeks</f>
        <v>11.916666666666666</v>
      </c>
      <c r="W89" s="82"/>
    </row>
    <row r="90" spans="1:28">
      <c r="B90" t="s">
        <v>167</v>
      </c>
      <c r="C90">
        <v>30</v>
      </c>
      <c r="D90">
        <v>1</v>
      </c>
      <c r="F90"/>
      <c r="H90" s="77" t="s">
        <v>91</v>
      </c>
      <c r="I90">
        <v>1</v>
      </c>
      <c r="J90" s="4">
        <f>I90*weeklyDevelopment*availableWeeks</f>
        <v>3.9791666666666661</v>
      </c>
      <c r="K90" s="76"/>
      <c r="L90" s="77" t="s">
        <v>91</v>
      </c>
      <c r="M90">
        <v>1</v>
      </c>
      <c r="N90" s="4">
        <f>M90*weeklyDevelopment*availableWeeks</f>
        <v>3.9791666666666661</v>
      </c>
      <c r="O90" s="82"/>
      <c r="P90" s="77" t="s">
        <v>91</v>
      </c>
      <c r="Q90">
        <v>1</v>
      </c>
      <c r="R90" s="4">
        <f>Q90*weeklyDevelopment*availableWeeks</f>
        <v>3.9791666666666661</v>
      </c>
      <c r="S90" s="82"/>
      <c r="T90" s="77" t="s">
        <v>91</v>
      </c>
      <c r="U90">
        <v>1</v>
      </c>
      <c r="V90" s="4">
        <f>U90*weeklyDevelopment*availableWeeks</f>
        <v>3.9791666666666661</v>
      </c>
      <c r="W90" s="82"/>
    </row>
    <row r="91" spans="1:28">
      <c r="B91" t="s">
        <v>168</v>
      </c>
      <c r="C91">
        <v>20</v>
      </c>
      <c r="D91">
        <v>1</v>
      </c>
      <c r="H91" s="107" t="s">
        <v>34</v>
      </c>
      <c r="I91">
        <v>43</v>
      </c>
      <c r="J91" s="4">
        <f>I91*indScreening</f>
        <v>1.3810763888888888</v>
      </c>
      <c r="K91" s="76">
        <f>I91*$J$86</f>
        <v>43</v>
      </c>
      <c r="L91" s="107" t="s">
        <v>34</v>
      </c>
      <c r="M91">
        <v>52</v>
      </c>
      <c r="N91" s="4">
        <f>M91*indScreening</f>
        <v>1.6701388888888888</v>
      </c>
      <c r="O91" s="76">
        <f>M91*$N$86</f>
        <v>52</v>
      </c>
      <c r="P91" s="107" t="s">
        <v>34</v>
      </c>
      <c r="Q91">
        <v>0</v>
      </c>
      <c r="R91" s="4">
        <f>Q91*indScreening</f>
        <v>0</v>
      </c>
      <c r="S91" s="76">
        <f>Q91*$R$86</f>
        <v>0</v>
      </c>
      <c r="T91" s="107" t="s">
        <v>34</v>
      </c>
      <c r="U91">
        <v>0</v>
      </c>
      <c r="V91" s="4">
        <f>U91*indScreening</f>
        <v>0</v>
      </c>
      <c r="W91" s="76">
        <f>U91*$V$86</f>
        <v>0</v>
      </c>
    </row>
    <row r="92" spans="1:28">
      <c r="E92" s="1"/>
      <c r="H92" s="107" t="s">
        <v>37</v>
      </c>
      <c r="I92">
        <v>30</v>
      </c>
      <c r="J92" s="4">
        <f>I92*indASSMT_E</f>
        <v>9.3125</v>
      </c>
      <c r="K92" s="76">
        <f t="shared" ref="K92:K103" si="16">I92*$J$86</f>
        <v>30</v>
      </c>
      <c r="L92" s="107" t="s">
        <v>37</v>
      </c>
      <c r="M92">
        <v>20</v>
      </c>
      <c r="N92" s="4">
        <f>M92*indASSMT_E</f>
        <v>6.2083333333333339</v>
      </c>
      <c r="O92" s="76">
        <f t="shared" ref="O92:O103" si="17">M92*$N$86</f>
        <v>20</v>
      </c>
      <c r="P92" s="107" t="s">
        <v>37</v>
      </c>
      <c r="Q92">
        <v>0</v>
      </c>
      <c r="R92" s="4">
        <f>Q92*indASSMT_E</f>
        <v>0</v>
      </c>
      <c r="S92" s="76">
        <f t="shared" ref="S92:S103" si="18">Q92*$R$86</f>
        <v>0</v>
      </c>
      <c r="T92" s="107" t="s">
        <v>37</v>
      </c>
      <c r="U92">
        <v>0</v>
      </c>
      <c r="V92" s="4">
        <f>U92*indASSMT_E</f>
        <v>0</v>
      </c>
      <c r="W92" s="76">
        <f t="shared" ref="W92:W103" si="19">U92*$V$86</f>
        <v>0</v>
      </c>
    </row>
    <row r="93" spans="1:28">
      <c r="E93" s="1"/>
      <c r="F93"/>
      <c r="H93" s="108" t="s">
        <v>42</v>
      </c>
      <c r="I93">
        <v>0</v>
      </c>
      <c r="J93" s="4">
        <f>I93*indASSMTSCID_E</f>
        <v>0</v>
      </c>
      <c r="K93" s="76">
        <f t="shared" si="16"/>
        <v>0</v>
      </c>
      <c r="L93" s="108" t="s">
        <v>42</v>
      </c>
      <c r="M93">
        <v>0</v>
      </c>
      <c r="N93" s="4">
        <f>M93*indASSMTSCID_E</f>
        <v>0</v>
      </c>
      <c r="O93" s="76">
        <f t="shared" si="17"/>
        <v>0</v>
      </c>
      <c r="P93" s="108" t="s">
        <v>42</v>
      </c>
      <c r="Q93">
        <v>0</v>
      </c>
      <c r="R93" s="4">
        <f>Q93*indASSMTSCID_E</f>
        <v>0</v>
      </c>
      <c r="S93" s="76">
        <f t="shared" si="18"/>
        <v>0</v>
      </c>
      <c r="T93" s="108" t="s">
        <v>42</v>
      </c>
      <c r="U93">
        <v>0</v>
      </c>
      <c r="V93" s="4">
        <f>U93*indASSMTSCID_E</f>
        <v>0</v>
      </c>
      <c r="W93" s="76">
        <f t="shared" si="19"/>
        <v>0</v>
      </c>
    </row>
    <row r="94" spans="1:28">
      <c r="A94" s="62">
        <v>12</v>
      </c>
      <c r="B94" t="s">
        <v>122</v>
      </c>
      <c r="C94">
        <v>90</v>
      </c>
      <c r="D94">
        <v>40</v>
      </c>
      <c r="E94" s="6">
        <f>SUMPRODUCT(C94:C102,D94:D102)/1440</f>
        <v>4.5763888888888893</v>
      </c>
      <c r="F94" t="s">
        <v>100</v>
      </c>
      <c r="H94" s="107" t="s">
        <v>45</v>
      </c>
      <c r="I94">
        <v>27</v>
      </c>
      <c r="J94" s="4">
        <f>I94*indSCM_E</f>
        <v>22.03125</v>
      </c>
      <c r="K94" s="76">
        <f t="shared" si="16"/>
        <v>27</v>
      </c>
      <c r="L94" s="107" t="s">
        <v>45</v>
      </c>
      <c r="M94">
        <v>14</v>
      </c>
      <c r="N94" s="4">
        <f>M94*indSCM_E</f>
        <v>11.423611111111111</v>
      </c>
      <c r="O94" s="76">
        <f t="shared" si="17"/>
        <v>14</v>
      </c>
      <c r="P94" s="107" t="s">
        <v>45</v>
      </c>
      <c r="Q94">
        <v>6</v>
      </c>
      <c r="R94" s="4">
        <f>Q94*indSCM_E</f>
        <v>4.895833333333333</v>
      </c>
      <c r="S94" s="76">
        <f t="shared" si="18"/>
        <v>6</v>
      </c>
      <c r="T94" s="107" t="s">
        <v>45</v>
      </c>
      <c r="U94">
        <v>6</v>
      </c>
      <c r="V94" s="4">
        <f>U94*indSCM_E</f>
        <v>4.895833333333333</v>
      </c>
      <c r="W94" s="76">
        <f t="shared" si="19"/>
        <v>6</v>
      </c>
    </row>
    <row r="95" spans="1:28">
      <c r="A95" s="62">
        <v>2</v>
      </c>
      <c r="B95" t="s">
        <v>123</v>
      </c>
      <c r="C95">
        <v>30</v>
      </c>
      <c r="D95">
        <v>40</v>
      </c>
      <c r="E95" s="1"/>
      <c r="F95"/>
      <c r="H95" s="107" t="s">
        <v>49</v>
      </c>
      <c r="I95">
        <v>0</v>
      </c>
      <c r="J95" s="4">
        <f>I95*grpSCM_Y</f>
        <v>0</v>
      </c>
      <c r="K95" s="76">
        <f t="shared" si="16"/>
        <v>0</v>
      </c>
      <c r="L95" s="107" t="s">
        <v>49</v>
      </c>
      <c r="M95">
        <v>0</v>
      </c>
      <c r="N95" s="4">
        <f>M95*grpSCM_Y</f>
        <v>0</v>
      </c>
      <c r="O95" s="76">
        <f t="shared" si="17"/>
        <v>0</v>
      </c>
      <c r="P95" s="107" t="s">
        <v>49</v>
      </c>
      <c r="Q95">
        <v>0</v>
      </c>
      <c r="R95" s="4">
        <f>Q95*grpSCM_Y</f>
        <v>0</v>
      </c>
      <c r="S95" s="76">
        <f t="shared" si="18"/>
        <v>0</v>
      </c>
      <c r="T95" s="107" t="s">
        <v>49</v>
      </c>
      <c r="U95">
        <v>0</v>
      </c>
      <c r="V95" s="4">
        <f>U95*grpSCM_Y</f>
        <v>0</v>
      </c>
      <c r="W95" s="76">
        <f t="shared" si="19"/>
        <v>0</v>
      </c>
    </row>
    <row r="96" spans="1:28">
      <c r="B96" t="s">
        <v>124</v>
      </c>
      <c r="C96">
        <v>30</v>
      </c>
      <c r="D96">
        <v>5</v>
      </c>
      <c r="E96" s="128">
        <f>(SUMPRODUCT(C101,D101)+SUMPRODUCT(C94,D94))/SUMPRODUCT(C94:C102,D94:D102)</f>
        <v>0.56904400606980277</v>
      </c>
      <c r="F96"/>
      <c r="H96" s="109" t="s">
        <v>52</v>
      </c>
      <c r="I96">
        <v>0</v>
      </c>
      <c r="J96" s="4">
        <f>I96*indMBT_E</f>
        <v>0</v>
      </c>
      <c r="K96" s="76">
        <f t="shared" si="16"/>
        <v>0</v>
      </c>
      <c r="L96" s="109" t="s">
        <v>52</v>
      </c>
      <c r="M96">
        <v>0</v>
      </c>
      <c r="N96" s="4">
        <f>M96*indMBT_E</f>
        <v>0</v>
      </c>
      <c r="O96" s="76">
        <f t="shared" si="17"/>
        <v>0</v>
      </c>
      <c r="P96" s="109" t="s">
        <v>52</v>
      </c>
      <c r="Q96">
        <v>0</v>
      </c>
      <c r="R96" s="4">
        <f>Q96*indMBT_E</f>
        <v>0</v>
      </c>
      <c r="S96" s="76">
        <f t="shared" si="18"/>
        <v>0</v>
      </c>
      <c r="T96" s="109" t="s">
        <v>52</v>
      </c>
      <c r="U96">
        <v>0</v>
      </c>
      <c r="V96" s="4">
        <f>U96*indMBT_E</f>
        <v>0</v>
      </c>
      <c r="W96" s="76">
        <f t="shared" si="19"/>
        <v>0</v>
      </c>
    </row>
    <row r="97" spans="1:23">
      <c r="B97" t="s">
        <v>125</v>
      </c>
      <c r="C97">
        <v>10</v>
      </c>
      <c r="D97">
        <v>40</v>
      </c>
      <c r="E97" s="1"/>
      <c r="F97"/>
      <c r="H97" s="109" t="s">
        <v>55</v>
      </c>
      <c r="I97">
        <v>0</v>
      </c>
      <c r="J97" s="4">
        <f>I97*grpMBT_Y</f>
        <v>0</v>
      </c>
      <c r="K97" s="76">
        <f t="shared" si="16"/>
        <v>0</v>
      </c>
      <c r="L97" s="109" t="s">
        <v>55</v>
      </c>
      <c r="M97">
        <v>0</v>
      </c>
      <c r="N97" s="4">
        <f>M97*grpMBT_Y</f>
        <v>0</v>
      </c>
      <c r="O97" s="76">
        <f t="shared" si="17"/>
        <v>0</v>
      </c>
      <c r="P97" s="109" t="s">
        <v>55</v>
      </c>
      <c r="Q97">
        <v>0</v>
      </c>
      <c r="R97" s="4">
        <f>Q97*grpMBT_Y</f>
        <v>0</v>
      </c>
      <c r="S97" s="76">
        <f t="shared" si="18"/>
        <v>0</v>
      </c>
      <c r="T97" s="109" t="s">
        <v>55</v>
      </c>
      <c r="U97">
        <v>0</v>
      </c>
      <c r="V97" s="4">
        <f>U97*grpMBT_Y</f>
        <v>0</v>
      </c>
      <c r="W97" s="76">
        <f t="shared" si="19"/>
        <v>0</v>
      </c>
    </row>
    <row r="98" spans="1:23">
      <c r="B98" t="s">
        <v>126</v>
      </c>
      <c r="C98">
        <v>90</v>
      </c>
      <c r="D98">
        <v>2</v>
      </c>
      <c r="E98" s="1"/>
      <c r="F98"/>
      <c r="H98" s="110" t="s">
        <v>59</v>
      </c>
      <c r="I98">
        <v>0</v>
      </c>
      <c r="J98" s="4">
        <f>I98*grpMBTI_E</f>
        <v>0</v>
      </c>
      <c r="K98" s="76">
        <f t="shared" si="16"/>
        <v>0</v>
      </c>
      <c r="L98" s="110" t="s">
        <v>59</v>
      </c>
      <c r="M98">
        <v>1</v>
      </c>
      <c r="N98" s="4">
        <f>M98*grpMBTI_E</f>
        <v>1.898611111111111</v>
      </c>
      <c r="O98" s="76">
        <f t="shared" si="17"/>
        <v>1</v>
      </c>
      <c r="P98" s="110" t="s">
        <v>59</v>
      </c>
      <c r="Q98">
        <v>0</v>
      </c>
      <c r="R98" s="4">
        <f>Q98*grpMBTI_E</f>
        <v>0</v>
      </c>
      <c r="S98" s="76">
        <f t="shared" si="18"/>
        <v>0</v>
      </c>
      <c r="T98" s="110" t="s">
        <v>59</v>
      </c>
      <c r="U98">
        <v>0</v>
      </c>
      <c r="V98" s="4">
        <f>U98*grpMBTI_E</f>
        <v>0</v>
      </c>
      <c r="W98" s="76">
        <f t="shared" si="19"/>
        <v>0</v>
      </c>
    </row>
    <row r="99" spans="1:23">
      <c r="B99" t="s">
        <v>129</v>
      </c>
      <c r="C99">
        <v>30</v>
      </c>
      <c r="D99">
        <v>15</v>
      </c>
      <c r="E99" s="1"/>
      <c r="F99"/>
      <c r="H99" s="107" t="s">
        <v>63</v>
      </c>
      <c r="I99">
        <v>0</v>
      </c>
      <c r="J99" s="4">
        <f>I99*indLIAISON_E</f>
        <v>0</v>
      </c>
      <c r="K99" s="76">
        <f t="shared" si="16"/>
        <v>0</v>
      </c>
      <c r="L99" s="107" t="s">
        <v>63</v>
      </c>
      <c r="M99">
        <v>40</v>
      </c>
      <c r="N99" s="4">
        <f>M99*indLIAISON_E</f>
        <v>14.106944444444444</v>
      </c>
      <c r="O99" s="76">
        <f t="shared" si="17"/>
        <v>40</v>
      </c>
      <c r="P99" s="107" t="s">
        <v>63</v>
      </c>
      <c r="Q99">
        <v>0</v>
      </c>
      <c r="R99" s="4">
        <f>Q99*indLIAISON_E</f>
        <v>0</v>
      </c>
      <c r="S99" s="76">
        <f t="shared" si="18"/>
        <v>0</v>
      </c>
      <c r="T99" s="107" t="s">
        <v>63</v>
      </c>
      <c r="U99">
        <v>0</v>
      </c>
      <c r="V99" s="4">
        <f>U99*indLIAISON_E</f>
        <v>0</v>
      </c>
      <c r="W99" s="76">
        <f t="shared" si="19"/>
        <v>0</v>
      </c>
    </row>
    <row r="100" spans="1:23">
      <c r="B100" t="s">
        <v>131</v>
      </c>
      <c r="C100">
        <v>60</v>
      </c>
      <c r="D100">
        <v>6</v>
      </c>
      <c r="E100" s="1"/>
      <c r="F100"/>
      <c r="H100" s="79" t="s">
        <v>65</v>
      </c>
      <c r="I100">
        <v>0</v>
      </c>
      <c r="J100" s="4">
        <f>I100*grpCONS_Y</f>
        <v>0</v>
      </c>
      <c r="K100" s="76">
        <f t="shared" si="16"/>
        <v>0</v>
      </c>
      <c r="L100" s="79" t="s">
        <v>65</v>
      </c>
      <c r="M100">
        <v>0</v>
      </c>
      <c r="N100" s="4">
        <f>M100*grpCONS_Y</f>
        <v>0</v>
      </c>
      <c r="O100" s="76">
        <f t="shared" si="17"/>
        <v>0</v>
      </c>
      <c r="P100" s="79" t="s">
        <v>65</v>
      </c>
      <c r="Q100">
        <v>0</v>
      </c>
      <c r="R100" s="4">
        <f>Q100*grpCONS_Y</f>
        <v>0</v>
      </c>
      <c r="S100" s="76">
        <f t="shared" si="18"/>
        <v>0</v>
      </c>
      <c r="T100" s="79" t="s">
        <v>65</v>
      </c>
      <c r="U100">
        <v>0</v>
      </c>
      <c r="V100" s="4">
        <f>U100*grpCONS_Y</f>
        <v>0</v>
      </c>
      <c r="W100" s="76">
        <f t="shared" si="19"/>
        <v>0</v>
      </c>
    </row>
    <row r="101" spans="1:23">
      <c r="B101" t="s">
        <v>338</v>
      </c>
      <c r="C101">
        <v>15</v>
      </c>
      <c r="D101">
        <v>10</v>
      </c>
      <c r="E101" s="1"/>
      <c r="F101"/>
      <c r="H101" s="79" t="s">
        <v>67</v>
      </c>
      <c r="I101">
        <v>0</v>
      </c>
      <c r="J101" s="4">
        <f>I101*grpWAITL_Y</f>
        <v>0</v>
      </c>
      <c r="K101" s="76">
        <f t="shared" si="16"/>
        <v>0</v>
      </c>
      <c r="L101" s="79" t="s">
        <v>67</v>
      </c>
      <c r="M101">
        <v>0</v>
      </c>
      <c r="N101" s="4">
        <f>M101*grpWAITL_Y</f>
        <v>0</v>
      </c>
      <c r="O101" s="76">
        <f t="shared" si="17"/>
        <v>0</v>
      </c>
      <c r="P101" s="79" t="s">
        <v>67</v>
      </c>
      <c r="Q101">
        <v>0</v>
      </c>
      <c r="R101" s="4">
        <f>Q101*grpWAITL_Y</f>
        <v>0</v>
      </c>
      <c r="S101" s="76">
        <f t="shared" si="18"/>
        <v>0</v>
      </c>
      <c r="T101" s="79" t="s">
        <v>67</v>
      </c>
      <c r="U101">
        <v>0</v>
      </c>
      <c r="V101" s="4">
        <f>U101*grpWAITL_Y</f>
        <v>0</v>
      </c>
      <c r="W101" s="76">
        <f t="shared" si="19"/>
        <v>0</v>
      </c>
    </row>
    <row r="102" spans="1:23">
      <c r="B102" t="s">
        <v>339</v>
      </c>
      <c r="C102">
        <v>10</v>
      </c>
      <c r="D102">
        <v>10</v>
      </c>
      <c r="E102" s="1"/>
      <c r="F102"/>
      <c r="H102" s="79" t="s">
        <v>70</v>
      </c>
      <c r="I102">
        <v>0</v>
      </c>
      <c r="J102" s="4">
        <f>I102*indKEYCLIN_E</f>
        <v>0</v>
      </c>
      <c r="K102" s="76">
        <f t="shared" si="16"/>
        <v>0</v>
      </c>
      <c r="L102" s="79" t="s">
        <v>70</v>
      </c>
      <c r="M102">
        <v>0</v>
      </c>
      <c r="N102" s="4">
        <f>M102*indKEYCLIN_E</f>
        <v>0</v>
      </c>
      <c r="O102" s="76">
        <f t="shared" si="17"/>
        <v>0</v>
      </c>
      <c r="P102" s="79" t="s">
        <v>70</v>
      </c>
      <c r="Q102">
        <v>0</v>
      </c>
      <c r="R102" s="4">
        <f>Q102*indKEYCLIN_E</f>
        <v>0</v>
      </c>
      <c r="S102" s="76">
        <f t="shared" si="18"/>
        <v>0</v>
      </c>
      <c r="T102" s="79" t="s">
        <v>70</v>
      </c>
      <c r="U102">
        <v>0</v>
      </c>
      <c r="V102" s="4">
        <f>U102*indKEYCLIN_E</f>
        <v>0</v>
      </c>
      <c r="W102" s="76">
        <f t="shared" si="19"/>
        <v>0</v>
      </c>
    </row>
    <row r="103" spans="1:23">
      <c r="E103" s="1"/>
      <c r="F103"/>
      <c r="H103" s="79" t="s">
        <v>74</v>
      </c>
      <c r="I103">
        <v>1</v>
      </c>
      <c r="J103" s="4">
        <f>I103*indCCOORD_E</f>
        <v>1.2083333333333333</v>
      </c>
      <c r="K103" s="76">
        <f t="shared" si="16"/>
        <v>1</v>
      </c>
      <c r="L103" s="79" t="s">
        <v>74</v>
      </c>
      <c r="M103">
        <v>2</v>
      </c>
      <c r="N103" s="4">
        <f>M103*indCCOORD_E</f>
        <v>2.4166666666666665</v>
      </c>
      <c r="O103" s="76">
        <f t="shared" si="17"/>
        <v>2</v>
      </c>
      <c r="P103" s="79" t="s">
        <v>74</v>
      </c>
      <c r="Q103">
        <v>0</v>
      </c>
      <c r="R103" s="4">
        <f>Q103*indCCOORD_E</f>
        <v>0</v>
      </c>
      <c r="S103" s="76">
        <f t="shared" si="18"/>
        <v>0</v>
      </c>
      <c r="T103" s="79" t="s">
        <v>74</v>
      </c>
      <c r="U103">
        <v>0</v>
      </c>
      <c r="V103" s="4">
        <f>U103*indCCOORD_E</f>
        <v>0</v>
      </c>
      <c r="W103" s="76">
        <f t="shared" si="19"/>
        <v>0</v>
      </c>
    </row>
    <row r="104" spans="1:23">
      <c r="E104" s="1"/>
      <c r="F104"/>
      <c r="H104" s="79"/>
      <c r="J104" s="4"/>
      <c r="K104" s="76"/>
      <c r="L104" s="79"/>
      <c r="N104" s="4"/>
      <c r="O104" s="76"/>
      <c r="P104" s="79"/>
      <c r="R104" s="4"/>
      <c r="S104" s="76"/>
      <c r="T104" s="79"/>
      <c r="V104" s="4"/>
      <c r="W104" s="76"/>
    </row>
    <row r="105" spans="1:23">
      <c r="A105" s="62">
        <v>12</v>
      </c>
      <c r="B105" t="s">
        <v>138</v>
      </c>
      <c r="C105">
        <v>90</v>
      </c>
      <c r="D105">
        <v>40</v>
      </c>
      <c r="E105" s="6">
        <f>SUMPRODUCT(C105:C113,D105:D113)/1440</f>
        <v>4.541666666666667</v>
      </c>
      <c r="F105" t="s">
        <v>100</v>
      </c>
      <c r="H105" s="79"/>
      <c r="J105" s="4"/>
      <c r="K105" s="76"/>
      <c r="L105" s="36"/>
      <c r="N105" s="4"/>
      <c r="O105" s="76"/>
      <c r="P105" s="36"/>
      <c r="R105" s="4"/>
      <c r="S105" s="76"/>
      <c r="T105" s="36"/>
      <c r="V105" s="4"/>
      <c r="W105" s="76"/>
    </row>
    <row r="106" spans="1:23">
      <c r="A106" s="62">
        <v>2</v>
      </c>
      <c r="B106" t="s">
        <v>140</v>
      </c>
      <c r="C106">
        <v>30</v>
      </c>
      <c r="D106">
        <v>40</v>
      </c>
      <c r="E106" s="1"/>
      <c r="F106"/>
      <c r="H106" s="79"/>
      <c r="J106" s="4"/>
      <c r="K106" s="76"/>
      <c r="L106" s="79"/>
      <c r="N106" s="4"/>
      <c r="O106" s="76"/>
      <c r="P106" s="79"/>
      <c r="R106" s="4"/>
      <c r="S106" s="76"/>
      <c r="T106" s="79"/>
      <c r="V106" s="4"/>
      <c r="W106" s="76"/>
    </row>
    <row r="107" spans="1:23">
      <c r="B107" t="s">
        <v>141</v>
      </c>
      <c r="C107">
        <v>30</v>
      </c>
      <c r="D107">
        <v>5</v>
      </c>
      <c r="E107" s="128">
        <f>(SUMPRODUCT(C105,D105)+SUMPRODUCT(C112,D112))/SUMPRODUCT(C105:C113,D105:D113)</f>
        <v>0.56574923547400613</v>
      </c>
      <c r="F107"/>
      <c r="H107" s="79"/>
      <c r="J107" s="4"/>
      <c r="K107" s="76"/>
      <c r="L107" s="79"/>
      <c r="N107" s="4"/>
      <c r="O107" s="76"/>
      <c r="P107" s="144" t="s">
        <v>406</v>
      </c>
      <c r="R107" s="4"/>
      <c r="S107" s="76"/>
      <c r="T107" s="144" t="s">
        <v>405</v>
      </c>
      <c r="V107" s="4"/>
      <c r="W107" s="76"/>
    </row>
    <row r="108" spans="1:23">
      <c r="B108" t="s">
        <v>142</v>
      </c>
      <c r="C108">
        <v>10</v>
      </c>
      <c r="D108">
        <v>40</v>
      </c>
      <c r="E108" s="1"/>
      <c r="F108"/>
      <c r="H108" s="79"/>
      <c r="K108" s="76"/>
      <c r="L108" s="79"/>
      <c r="N108" s="4"/>
      <c r="O108" s="76"/>
      <c r="P108" s="79"/>
      <c r="R108" s="4"/>
      <c r="S108" s="76"/>
      <c r="T108" s="79"/>
      <c r="V108" s="4"/>
      <c r="W108" s="76"/>
    </row>
    <row r="109" spans="1:23" ht="13.5" thickBot="1">
      <c r="B109" t="s">
        <v>143</v>
      </c>
      <c r="C109">
        <v>90</v>
      </c>
      <c r="D109">
        <v>2</v>
      </c>
      <c r="E109" s="1"/>
      <c r="F109"/>
      <c r="H109" s="91"/>
      <c r="I109" s="39"/>
      <c r="J109" s="68"/>
      <c r="K109" s="111"/>
      <c r="L109" s="91"/>
      <c r="M109" s="39"/>
      <c r="N109" s="68"/>
      <c r="O109" s="111"/>
      <c r="P109" s="91"/>
      <c r="Q109" s="39"/>
      <c r="R109" s="68"/>
      <c r="S109" s="111"/>
      <c r="T109" s="91"/>
      <c r="U109" s="39"/>
      <c r="V109" s="68"/>
      <c r="W109" s="111"/>
    </row>
    <row r="110" spans="1:23">
      <c r="B110" t="s">
        <v>144</v>
      </c>
      <c r="C110">
        <v>30</v>
      </c>
      <c r="D110">
        <v>15</v>
      </c>
      <c r="E110" s="1"/>
      <c r="F110"/>
    </row>
    <row r="111" spans="1:23" ht="13.5" thickBot="1">
      <c r="B111" t="s">
        <v>145</v>
      </c>
      <c r="C111">
        <v>60</v>
      </c>
      <c r="D111">
        <v>6</v>
      </c>
      <c r="E111" s="1"/>
      <c r="F111"/>
    </row>
    <row r="112" spans="1:23">
      <c r="B112" t="s">
        <v>340</v>
      </c>
      <c r="C112">
        <v>10</v>
      </c>
      <c r="D112">
        <v>10</v>
      </c>
      <c r="E112" s="1"/>
      <c r="F112"/>
      <c r="H112" s="84" t="s">
        <v>402</v>
      </c>
      <c r="I112" s="85"/>
      <c r="J112" s="69">
        <v>1</v>
      </c>
      <c r="K112" s="70">
        <v>1</v>
      </c>
      <c r="L112" s="84" t="s">
        <v>83</v>
      </c>
      <c r="M112" s="85"/>
      <c r="N112" s="69">
        <v>1</v>
      </c>
      <c r="O112" s="80">
        <v>0.2</v>
      </c>
      <c r="P112" s="84" t="s">
        <v>84</v>
      </c>
      <c r="Q112" s="85"/>
      <c r="R112" s="69">
        <v>0</v>
      </c>
      <c r="S112" s="80">
        <v>0</v>
      </c>
      <c r="T112" s="84" t="s">
        <v>85</v>
      </c>
      <c r="U112" s="85"/>
      <c r="V112" s="69">
        <v>0</v>
      </c>
      <c r="W112" s="80">
        <v>0</v>
      </c>
    </row>
    <row r="113" spans="1:23">
      <c r="B113" t="s">
        <v>341</v>
      </c>
      <c r="C113">
        <v>10</v>
      </c>
      <c r="D113">
        <v>10</v>
      </c>
      <c r="E113" s="1"/>
      <c r="F113"/>
      <c r="H113" s="71" t="s">
        <v>404</v>
      </c>
      <c r="I113" s="72"/>
      <c r="J113" s="73">
        <f>SUM(J114:J134)</f>
        <v>39.583333333333329</v>
      </c>
      <c r="K113" s="74">
        <f>availableHours*K112</f>
        <v>68.75</v>
      </c>
      <c r="L113" s="71" t="s">
        <v>418</v>
      </c>
      <c r="M113" s="72"/>
      <c r="N113" s="73">
        <f>SUM(N114:N135)</f>
        <v>13.729444444444443</v>
      </c>
      <c r="O113" s="81">
        <f>availableHours*O112</f>
        <v>13.75</v>
      </c>
      <c r="P113" s="71" t="s">
        <v>162</v>
      </c>
      <c r="Q113" s="72"/>
      <c r="R113" s="73">
        <f>SUM(R114:R135)</f>
        <v>0</v>
      </c>
      <c r="S113" s="81">
        <f>availableHours*S112</f>
        <v>0</v>
      </c>
      <c r="T113" s="71" t="s">
        <v>163</v>
      </c>
      <c r="U113" s="72"/>
      <c r="V113" s="73">
        <f>SUM(V114:V135)</f>
        <v>0</v>
      </c>
      <c r="W113" s="81">
        <f>availableHours*W112</f>
        <v>0</v>
      </c>
    </row>
    <row r="114" spans="1:23">
      <c r="E114" s="1"/>
      <c r="F114"/>
      <c r="H114" s="75" t="s">
        <v>87</v>
      </c>
      <c r="I114">
        <v>1</v>
      </c>
      <c r="J114" s="4">
        <f>I114*weeklyMeetings*availableWeeks</f>
        <v>18.791666666666664</v>
      </c>
      <c r="K114" s="126">
        <f>IF(J113-K113&lt;0,0,J113-K113)</f>
        <v>0</v>
      </c>
      <c r="L114" s="75" t="s">
        <v>87</v>
      </c>
      <c r="M114">
        <v>0.15</v>
      </c>
      <c r="N114" s="4">
        <f>M114*weeklyMeetings*availableWeeks</f>
        <v>2.8187499999999996</v>
      </c>
      <c r="O114" s="126">
        <f>IF(N113-O113&lt;0,0,N113-O113)</f>
        <v>0</v>
      </c>
      <c r="P114" s="75" t="s">
        <v>87</v>
      </c>
      <c r="Q114">
        <v>0</v>
      </c>
      <c r="R114" s="4">
        <f>Q114*weeklyMeetings*availableWeeks</f>
        <v>0</v>
      </c>
      <c r="S114" s="126">
        <f>IF(R113-S113&lt;0,0,R113-S113)</f>
        <v>0</v>
      </c>
      <c r="T114" s="75" t="s">
        <v>87</v>
      </c>
      <c r="U114">
        <v>0</v>
      </c>
      <c r="V114" s="4">
        <f>U114*weeklyMeetings*availableWeeks</f>
        <v>0</v>
      </c>
      <c r="W114" s="126">
        <f>IF(V113-W113&lt;0,0,V113-W113)</f>
        <v>0</v>
      </c>
    </row>
    <row r="115" spans="1:23">
      <c r="E115" s="1"/>
      <c r="F115"/>
      <c r="H115" s="78" t="s">
        <v>89</v>
      </c>
      <c r="I115">
        <v>1</v>
      </c>
      <c r="J115" s="4">
        <f>I115*weeklyOngoing*availableWeeks</f>
        <v>11.916666666666666</v>
      </c>
      <c r="K115" s="76"/>
      <c r="L115" s="78" t="s">
        <v>89</v>
      </c>
      <c r="M115">
        <v>0.2</v>
      </c>
      <c r="N115" s="4">
        <f>M115*weeklyOngoing*availableWeeks</f>
        <v>2.3833333333333333</v>
      </c>
      <c r="O115" s="82"/>
      <c r="P115" s="78" t="s">
        <v>89</v>
      </c>
      <c r="Q115">
        <v>0</v>
      </c>
      <c r="R115" s="4">
        <f>Q115*weeklyOngoing*availableWeeks</f>
        <v>0</v>
      </c>
      <c r="S115" s="82"/>
      <c r="T115" s="78" t="s">
        <v>89</v>
      </c>
      <c r="U115">
        <v>0</v>
      </c>
      <c r="V115" s="4">
        <f>U115*weeklyOngoing*availableWeeks</f>
        <v>0</v>
      </c>
      <c r="W115" s="82"/>
    </row>
    <row r="116" spans="1:23">
      <c r="A116" s="60">
        <v>1</v>
      </c>
      <c r="B116" t="s">
        <v>182</v>
      </c>
      <c r="C116">
        <v>180</v>
      </c>
      <c r="D116">
        <v>0.7</v>
      </c>
      <c r="E116" s="2">
        <f>SUMPRODUCT(C116:C120,D116:D120)/1440</f>
        <v>0.35267361111111112</v>
      </c>
      <c r="F116" s="3" t="s">
        <v>22</v>
      </c>
      <c r="H116" s="77" t="s">
        <v>91</v>
      </c>
      <c r="I116">
        <v>1</v>
      </c>
      <c r="J116" s="4">
        <f>I116*weeklyDevelopment*availableWeeks</f>
        <v>3.9791666666666661</v>
      </c>
      <c r="K116" s="76"/>
      <c r="L116" s="77" t="s">
        <v>91</v>
      </c>
      <c r="M116">
        <v>0.28000000000000003</v>
      </c>
      <c r="N116" s="4">
        <f>M116*weeklyDevelopment*availableWeeks</f>
        <v>1.1141666666666667</v>
      </c>
      <c r="O116" s="82"/>
      <c r="P116" s="77" t="s">
        <v>91</v>
      </c>
      <c r="Q116">
        <v>0</v>
      </c>
      <c r="R116" s="4">
        <f>Q116*weeklyDevelopment*availableWeeks</f>
        <v>0</v>
      </c>
      <c r="S116" s="82"/>
      <c r="T116" s="77" t="s">
        <v>91</v>
      </c>
      <c r="U116">
        <v>0</v>
      </c>
      <c r="V116" s="4">
        <f>U116*weeklyDevelopment*availableWeeks</f>
        <v>0</v>
      </c>
      <c r="W116" s="82"/>
    </row>
    <row r="117" spans="1:23">
      <c r="B117" t="s">
        <v>183</v>
      </c>
      <c r="C117">
        <v>120</v>
      </c>
      <c r="D117">
        <v>0.3</v>
      </c>
      <c r="E117" s="1"/>
      <c r="F117"/>
      <c r="H117" s="107" t="s">
        <v>34</v>
      </c>
      <c r="I117">
        <v>0</v>
      </c>
      <c r="J117" s="4">
        <f>I117*indScreening</f>
        <v>0</v>
      </c>
      <c r="K117" s="76">
        <f>I117*$J$112</f>
        <v>0</v>
      </c>
      <c r="L117" s="107" t="s">
        <v>34</v>
      </c>
      <c r="M117">
        <v>0</v>
      </c>
      <c r="N117" s="4">
        <f>M117*indScreening</f>
        <v>0</v>
      </c>
      <c r="O117" s="76">
        <f>M117*$N$112</f>
        <v>0</v>
      </c>
      <c r="P117" s="107" t="s">
        <v>34</v>
      </c>
      <c r="Q117">
        <v>0</v>
      </c>
      <c r="R117" s="4">
        <f>Q117*indScreening</f>
        <v>0</v>
      </c>
      <c r="S117" s="76">
        <f>Q117*$R$112</f>
        <v>0</v>
      </c>
      <c r="T117" s="107" t="s">
        <v>34</v>
      </c>
      <c r="U117">
        <v>0</v>
      </c>
      <c r="V117" s="4">
        <f>U117*indScreening</f>
        <v>0</v>
      </c>
      <c r="W117" s="76">
        <f>U117*$V$112</f>
        <v>0</v>
      </c>
    </row>
    <row r="118" spans="1:23">
      <c r="B118" t="s">
        <v>184</v>
      </c>
      <c r="C118">
        <v>60</v>
      </c>
      <c r="D118">
        <v>1</v>
      </c>
      <c r="E118" s="128">
        <v>0.36</v>
      </c>
      <c r="F118"/>
      <c r="H118" s="107" t="s">
        <v>37</v>
      </c>
      <c r="I118">
        <v>0</v>
      </c>
      <c r="J118" s="4">
        <f>I118*indASSMT_E</f>
        <v>0</v>
      </c>
      <c r="K118" s="76">
        <f t="shared" ref="K118:K129" si="20">I118*$J$112</f>
        <v>0</v>
      </c>
      <c r="L118" s="107" t="s">
        <v>37</v>
      </c>
      <c r="M118">
        <v>0</v>
      </c>
      <c r="N118" s="4">
        <f>M118*indASSMT_E</f>
        <v>0</v>
      </c>
      <c r="O118" s="76">
        <f t="shared" ref="O118:O129" si="21">M118*$N$112</f>
        <v>0</v>
      </c>
      <c r="P118" s="107" t="s">
        <v>37</v>
      </c>
      <c r="Q118">
        <v>0</v>
      </c>
      <c r="R118" s="4">
        <f>Q118*indASSMT_E</f>
        <v>0</v>
      </c>
      <c r="S118" s="76">
        <f t="shared" ref="S118:S129" si="22">Q118*$R$112</f>
        <v>0</v>
      </c>
      <c r="T118" s="107" t="s">
        <v>37</v>
      </c>
      <c r="U118">
        <v>0</v>
      </c>
      <c r="V118" s="4">
        <f>U118*indASSMT_E</f>
        <v>0</v>
      </c>
      <c r="W118" s="76">
        <f t="shared" ref="W118:W129" si="23">U118*$V$112</f>
        <v>0</v>
      </c>
    </row>
    <row r="119" spans="1:23">
      <c r="B119" t="s">
        <v>343</v>
      </c>
      <c r="C119">
        <f>indASSMT_E*1440</f>
        <v>447</v>
      </c>
      <c r="D119">
        <v>0.55000000000000004</v>
      </c>
      <c r="E119" s="1"/>
      <c r="F119"/>
      <c r="H119" s="108" t="s">
        <v>42</v>
      </c>
      <c r="I119">
        <v>0</v>
      </c>
      <c r="J119" s="4">
        <f>I119*indASSMTSCID_E</f>
        <v>0</v>
      </c>
      <c r="K119" s="76">
        <f t="shared" si="20"/>
        <v>0</v>
      </c>
      <c r="L119" s="108" t="s">
        <v>42</v>
      </c>
      <c r="M119">
        <v>0</v>
      </c>
      <c r="N119" s="4">
        <f>M119*indASSMTSCID_E</f>
        <v>0</v>
      </c>
      <c r="O119" s="76">
        <f t="shared" si="21"/>
        <v>0</v>
      </c>
      <c r="P119" s="108" t="s">
        <v>42</v>
      </c>
      <c r="Q119">
        <v>0</v>
      </c>
      <c r="R119" s="4">
        <f>Q119*indASSMTSCID_E</f>
        <v>0</v>
      </c>
      <c r="S119" s="76">
        <f t="shared" si="22"/>
        <v>0</v>
      </c>
      <c r="T119" s="108" t="s">
        <v>42</v>
      </c>
      <c r="U119">
        <v>0</v>
      </c>
      <c r="V119" s="4">
        <f>U119*indASSMTSCID_E</f>
        <v>0</v>
      </c>
      <c r="W119" s="76">
        <f t="shared" si="23"/>
        <v>0</v>
      </c>
    </row>
    <row r="120" spans="1:23">
      <c r="B120" t="s">
        <v>148</v>
      </c>
      <c r="C120">
        <v>40</v>
      </c>
      <c r="D120">
        <v>1</v>
      </c>
      <c r="E120" s="1"/>
      <c r="F120"/>
      <c r="H120" s="107" t="s">
        <v>45</v>
      </c>
      <c r="I120">
        <v>6</v>
      </c>
      <c r="J120" s="4">
        <f>I120*indSCM_E</f>
        <v>4.895833333333333</v>
      </c>
      <c r="K120" s="76">
        <f t="shared" si="20"/>
        <v>6</v>
      </c>
      <c r="L120" s="107" t="s">
        <v>45</v>
      </c>
      <c r="M120">
        <v>0</v>
      </c>
      <c r="N120" s="4">
        <f>M120*indSCM_E</f>
        <v>0</v>
      </c>
      <c r="O120" s="76">
        <f t="shared" si="21"/>
        <v>0</v>
      </c>
      <c r="P120" s="107" t="s">
        <v>45</v>
      </c>
      <c r="Q120">
        <v>0</v>
      </c>
      <c r="R120" s="4">
        <f>Q120*indSCM_E</f>
        <v>0</v>
      </c>
      <c r="S120" s="76">
        <f t="shared" si="22"/>
        <v>0</v>
      </c>
      <c r="T120" s="107" t="s">
        <v>45</v>
      </c>
      <c r="U120">
        <v>0</v>
      </c>
      <c r="V120" s="4">
        <f>U120*indSCM_E</f>
        <v>0</v>
      </c>
      <c r="W120" s="76">
        <f t="shared" si="23"/>
        <v>0</v>
      </c>
    </row>
    <row r="121" spans="1:23">
      <c r="E121" s="1"/>
      <c r="F121"/>
      <c r="H121" s="107" t="s">
        <v>49</v>
      </c>
      <c r="I121">
        <v>0</v>
      </c>
      <c r="J121" s="4">
        <f>I121*grpSCM_Y</f>
        <v>0</v>
      </c>
      <c r="K121" s="76">
        <f t="shared" si="20"/>
        <v>0</v>
      </c>
      <c r="L121" s="107" t="s">
        <v>49</v>
      </c>
      <c r="M121">
        <v>0</v>
      </c>
      <c r="N121" s="4">
        <f>M121*grpSCM_Y</f>
        <v>0</v>
      </c>
      <c r="O121" s="76">
        <f t="shared" si="21"/>
        <v>0</v>
      </c>
      <c r="P121" s="107" t="s">
        <v>49</v>
      </c>
      <c r="Q121">
        <v>0</v>
      </c>
      <c r="R121" s="4">
        <f>Q121*grpSCM_Y</f>
        <v>0</v>
      </c>
      <c r="S121" s="76">
        <f t="shared" si="22"/>
        <v>0</v>
      </c>
      <c r="T121" s="107" t="s">
        <v>49</v>
      </c>
      <c r="U121">
        <v>0</v>
      </c>
      <c r="V121" s="4">
        <f>U121*grpSCM_Y</f>
        <v>0</v>
      </c>
      <c r="W121" s="76">
        <f t="shared" si="23"/>
        <v>0</v>
      </c>
    </row>
    <row r="122" spans="1:23">
      <c r="E122" s="1"/>
      <c r="F122"/>
      <c r="H122" s="109" t="s">
        <v>52</v>
      </c>
      <c r="I122">
        <v>0</v>
      </c>
      <c r="J122" s="4">
        <f>I122*indMBT_E</f>
        <v>0</v>
      </c>
      <c r="K122" s="76">
        <f t="shared" si="20"/>
        <v>0</v>
      </c>
      <c r="L122" s="109" t="s">
        <v>52</v>
      </c>
      <c r="M122">
        <v>2</v>
      </c>
      <c r="N122" s="4">
        <f>M122*indMBT_E</f>
        <v>7.4131944444444446</v>
      </c>
      <c r="O122" s="76">
        <f t="shared" si="21"/>
        <v>2</v>
      </c>
      <c r="P122" s="109" t="s">
        <v>52</v>
      </c>
      <c r="Q122">
        <v>0</v>
      </c>
      <c r="R122" s="4">
        <f>Q122*indMBT_E</f>
        <v>0</v>
      </c>
      <c r="S122" s="76">
        <f t="shared" si="22"/>
        <v>0</v>
      </c>
      <c r="T122" s="109" t="s">
        <v>52</v>
      </c>
      <c r="U122">
        <v>0</v>
      </c>
      <c r="V122" s="4">
        <f>U122*indMBT_E</f>
        <v>0</v>
      </c>
      <c r="W122" s="76">
        <f t="shared" si="23"/>
        <v>0</v>
      </c>
    </row>
    <row r="123" spans="1:23">
      <c r="F123" s="8"/>
      <c r="H123" s="109" t="s">
        <v>55</v>
      </c>
      <c r="I123">
        <v>0</v>
      </c>
      <c r="J123" s="4">
        <f>I123*grpMBT_Y</f>
        <v>0</v>
      </c>
      <c r="K123" s="76">
        <f t="shared" si="20"/>
        <v>0</v>
      </c>
      <c r="L123" s="109" t="s">
        <v>55</v>
      </c>
      <c r="M123">
        <v>0</v>
      </c>
      <c r="N123" s="4">
        <f>M123*grpMBT_Y</f>
        <v>0</v>
      </c>
      <c r="O123" s="76">
        <f t="shared" si="21"/>
        <v>0</v>
      </c>
      <c r="P123" s="109" t="s">
        <v>55</v>
      </c>
      <c r="Q123">
        <v>0</v>
      </c>
      <c r="R123" s="4">
        <f>Q123*grpMBT_Y</f>
        <v>0</v>
      </c>
      <c r="S123" s="76">
        <f t="shared" si="22"/>
        <v>0</v>
      </c>
      <c r="T123" s="109" t="s">
        <v>55</v>
      </c>
      <c r="U123">
        <v>0</v>
      </c>
      <c r="V123" s="4">
        <f>U123*grpMBT_Y</f>
        <v>0</v>
      </c>
      <c r="W123" s="76">
        <f t="shared" si="23"/>
        <v>0</v>
      </c>
    </row>
    <row r="124" spans="1:23">
      <c r="A124" s="60">
        <v>1</v>
      </c>
      <c r="B124" t="s">
        <v>152</v>
      </c>
      <c r="C124">
        <v>60</v>
      </c>
      <c r="D124">
        <v>12</v>
      </c>
      <c r="E124" s="9">
        <f>SUMPRODUCT(C124:C128,D124:D128)/1440</f>
        <v>1.09375</v>
      </c>
      <c r="F124" s="8" t="s">
        <v>108</v>
      </c>
      <c r="H124" s="110" t="s">
        <v>59</v>
      </c>
      <c r="I124">
        <v>0</v>
      </c>
      <c r="J124" s="4">
        <f>I124*grpMBTI_E</f>
        <v>0</v>
      </c>
      <c r="K124" s="76">
        <f t="shared" si="20"/>
        <v>0</v>
      </c>
      <c r="L124" s="110" t="s">
        <v>59</v>
      </c>
      <c r="M124">
        <v>0</v>
      </c>
      <c r="N124" s="4">
        <f>M124*grpMBTI_E</f>
        <v>0</v>
      </c>
      <c r="O124" s="76">
        <f t="shared" si="21"/>
        <v>0</v>
      </c>
      <c r="P124" s="110" t="s">
        <v>59</v>
      </c>
      <c r="Q124">
        <v>0</v>
      </c>
      <c r="R124" s="4">
        <f>Q124*grpMBTI_E</f>
        <v>0</v>
      </c>
      <c r="S124" s="76">
        <f t="shared" si="22"/>
        <v>0</v>
      </c>
      <c r="T124" s="110" t="s">
        <v>59</v>
      </c>
      <c r="U124">
        <v>0</v>
      </c>
      <c r="V124" s="4">
        <f>U124*grpMBTI_E</f>
        <v>0</v>
      </c>
      <c r="W124" s="76">
        <f t="shared" si="23"/>
        <v>0</v>
      </c>
    </row>
    <row r="125" spans="1:23">
      <c r="B125" t="s">
        <v>153</v>
      </c>
      <c r="C125">
        <v>30</v>
      </c>
      <c r="D125">
        <v>12</v>
      </c>
      <c r="F125" s="8"/>
      <c r="H125" s="107" t="s">
        <v>63</v>
      </c>
      <c r="I125">
        <v>0</v>
      </c>
      <c r="J125" s="4">
        <f>I125*indLIAISON_E</f>
        <v>0</v>
      </c>
      <c r="K125" s="76">
        <f t="shared" si="20"/>
        <v>0</v>
      </c>
      <c r="L125" s="107" t="s">
        <v>63</v>
      </c>
      <c r="M125">
        <v>0</v>
      </c>
      <c r="N125" s="4">
        <f>M125*indLIAISON_E</f>
        <v>0</v>
      </c>
      <c r="O125" s="76">
        <f t="shared" si="21"/>
        <v>0</v>
      </c>
      <c r="P125" s="107" t="s">
        <v>63</v>
      </c>
      <c r="Q125">
        <v>0</v>
      </c>
      <c r="R125" s="4">
        <f>Q125*indLIAISON_E</f>
        <v>0</v>
      </c>
      <c r="S125" s="76">
        <f t="shared" si="22"/>
        <v>0</v>
      </c>
      <c r="T125" s="107" t="s">
        <v>63</v>
      </c>
      <c r="U125">
        <v>0</v>
      </c>
      <c r="V125" s="4">
        <f>U125*indLIAISON_E</f>
        <v>0</v>
      </c>
      <c r="W125" s="76">
        <f t="shared" si="23"/>
        <v>0</v>
      </c>
    </row>
    <row r="126" spans="1:23">
      <c r="B126" t="s">
        <v>154</v>
      </c>
      <c r="C126">
        <v>90</v>
      </c>
      <c r="D126">
        <v>1</v>
      </c>
      <c r="F126" s="8"/>
      <c r="H126" s="79" t="s">
        <v>65</v>
      </c>
      <c r="I126">
        <v>0</v>
      </c>
      <c r="J126" s="4">
        <f>I126*grpCONS_Y</f>
        <v>0</v>
      </c>
      <c r="K126" s="76">
        <f t="shared" si="20"/>
        <v>0</v>
      </c>
      <c r="L126" s="79" t="s">
        <v>65</v>
      </c>
      <c r="M126">
        <v>0</v>
      </c>
      <c r="N126" s="4">
        <f>M126*grpCONS_Y</f>
        <v>0</v>
      </c>
      <c r="O126" s="76">
        <f t="shared" si="21"/>
        <v>0</v>
      </c>
      <c r="P126" s="79" t="s">
        <v>65</v>
      </c>
      <c r="Q126">
        <v>0</v>
      </c>
      <c r="R126" s="4">
        <f>Q126*grpCONS_Y</f>
        <v>0</v>
      </c>
      <c r="S126" s="76">
        <f t="shared" si="22"/>
        <v>0</v>
      </c>
      <c r="T126" s="79" t="s">
        <v>65</v>
      </c>
      <c r="U126">
        <v>0</v>
      </c>
      <c r="V126" s="4">
        <f>U126*grpCONS_Y</f>
        <v>0</v>
      </c>
      <c r="W126" s="76">
        <f t="shared" si="23"/>
        <v>0</v>
      </c>
    </row>
    <row r="127" spans="1:23">
      <c r="B127" t="s">
        <v>155</v>
      </c>
      <c r="C127">
        <v>45</v>
      </c>
      <c r="D127">
        <v>1</v>
      </c>
      <c r="F127" s="8"/>
      <c r="H127" s="79" t="s">
        <v>67</v>
      </c>
      <c r="I127">
        <v>0</v>
      </c>
      <c r="J127" s="4">
        <f>I127*grpWAITL_Y</f>
        <v>0</v>
      </c>
      <c r="K127" s="76">
        <f t="shared" si="20"/>
        <v>0</v>
      </c>
      <c r="L127" s="79" t="s">
        <v>67</v>
      </c>
      <c r="M127">
        <v>0</v>
      </c>
      <c r="N127" s="4">
        <f>M127*grpWAITL_Y</f>
        <v>0</v>
      </c>
      <c r="O127" s="76">
        <f t="shared" si="21"/>
        <v>0</v>
      </c>
      <c r="P127" s="79" t="s">
        <v>67</v>
      </c>
      <c r="Q127">
        <v>0</v>
      </c>
      <c r="R127" s="4">
        <f>Q127*grpWAITL_Y</f>
        <v>0</v>
      </c>
      <c r="S127" s="76">
        <f t="shared" si="22"/>
        <v>0</v>
      </c>
      <c r="T127" s="79" t="s">
        <v>67</v>
      </c>
      <c r="U127">
        <v>0</v>
      </c>
      <c r="V127" s="4">
        <f>U127*grpWAITL_Y</f>
        <v>0</v>
      </c>
      <c r="W127" s="76">
        <f t="shared" si="23"/>
        <v>0</v>
      </c>
    </row>
    <row r="128" spans="1:23">
      <c r="B128" t="s">
        <v>156</v>
      </c>
      <c r="C128">
        <v>30</v>
      </c>
      <c r="D128">
        <v>12</v>
      </c>
      <c r="F128" s="8"/>
      <c r="H128" s="79" t="s">
        <v>70</v>
      </c>
      <c r="I128">
        <v>0</v>
      </c>
      <c r="J128" s="4">
        <f>I128*indKEYCLIN_E</f>
        <v>0</v>
      </c>
      <c r="K128" s="76">
        <f t="shared" si="20"/>
        <v>0</v>
      </c>
      <c r="L128" s="79" t="s">
        <v>70</v>
      </c>
      <c r="M128">
        <v>0</v>
      </c>
      <c r="N128" s="4">
        <f>M128*indKEYCLIN_E</f>
        <v>0</v>
      </c>
      <c r="O128" s="76">
        <f t="shared" si="21"/>
        <v>0</v>
      </c>
      <c r="P128" s="79" t="s">
        <v>70</v>
      </c>
      <c r="Q128">
        <v>0</v>
      </c>
      <c r="R128" s="4">
        <f>Q128*indKEYCLIN_E</f>
        <v>0</v>
      </c>
      <c r="S128" s="76">
        <f t="shared" si="22"/>
        <v>0</v>
      </c>
      <c r="T128" s="79" t="s">
        <v>70</v>
      </c>
      <c r="U128">
        <v>0</v>
      </c>
      <c r="V128" s="4">
        <f>U128*indKEYCLIN_E</f>
        <v>0</v>
      </c>
      <c r="W128" s="76">
        <f t="shared" si="23"/>
        <v>0</v>
      </c>
    </row>
    <row r="129" spans="1:23">
      <c r="E129" s="1"/>
      <c r="F129"/>
      <c r="H129" s="79" t="s">
        <v>74</v>
      </c>
      <c r="I129">
        <v>0</v>
      </c>
      <c r="J129" s="4">
        <f>I129*indCCOORD_E</f>
        <v>0</v>
      </c>
      <c r="K129" s="76">
        <f t="shared" si="20"/>
        <v>0</v>
      </c>
      <c r="L129" s="79" t="s">
        <v>74</v>
      </c>
      <c r="M129">
        <v>0</v>
      </c>
      <c r="N129" s="4">
        <f>M129*indCCOORD_E</f>
        <v>0</v>
      </c>
      <c r="O129" s="76">
        <f t="shared" si="21"/>
        <v>0</v>
      </c>
      <c r="P129" s="79" t="s">
        <v>74</v>
      </c>
      <c r="Q129">
        <v>0</v>
      </c>
      <c r="R129" s="4">
        <f>Q129*indCCOORD_E</f>
        <v>0</v>
      </c>
      <c r="S129" s="76">
        <f t="shared" si="22"/>
        <v>0</v>
      </c>
      <c r="T129" s="79" t="s">
        <v>74</v>
      </c>
      <c r="U129">
        <v>0</v>
      </c>
      <c r="V129" s="4">
        <f>U129*indCCOORD_E</f>
        <v>0</v>
      </c>
      <c r="W129" s="76">
        <f t="shared" si="23"/>
        <v>0</v>
      </c>
    </row>
    <row r="130" spans="1:23">
      <c r="F130" s="8"/>
      <c r="H130" s="79"/>
      <c r="J130" s="4"/>
      <c r="K130" s="76"/>
      <c r="L130" s="79"/>
      <c r="N130" s="4"/>
      <c r="O130" s="76"/>
      <c r="P130" s="79"/>
      <c r="R130" s="4"/>
      <c r="S130" s="76"/>
      <c r="T130" s="79"/>
      <c r="V130" s="4"/>
      <c r="W130" s="76"/>
    </row>
    <row r="131" spans="1:23">
      <c r="A131" s="60">
        <v>1</v>
      </c>
      <c r="B131" t="s">
        <v>157</v>
      </c>
      <c r="C131">
        <v>20</v>
      </c>
      <c r="D131">
        <v>12</v>
      </c>
      <c r="E131" s="9">
        <f>SUMPRODUCT(C131:C136,D131:D136)/1440</f>
        <v>1.2083333333333333</v>
      </c>
      <c r="F131" s="8" t="s">
        <v>22</v>
      </c>
      <c r="H131" s="79"/>
      <c r="J131" s="4"/>
      <c r="K131" s="76"/>
      <c r="L131" s="36"/>
      <c r="N131" s="4"/>
      <c r="O131" s="76"/>
      <c r="P131" s="36"/>
      <c r="R131" s="4"/>
      <c r="S131" s="76"/>
      <c r="T131" s="36"/>
      <c r="V131" s="4"/>
      <c r="W131" s="76"/>
    </row>
    <row r="132" spans="1:23">
      <c r="B132" t="s">
        <v>158</v>
      </c>
      <c r="C132">
        <v>20</v>
      </c>
      <c r="D132">
        <v>12</v>
      </c>
      <c r="F132" s="8"/>
      <c r="H132" s="79"/>
      <c r="J132" s="4"/>
      <c r="K132" s="76"/>
      <c r="L132" s="79"/>
      <c r="N132" s="4"/>
      <c r="O132" s="76"/>
      <c r="P132" s="79"/>
      <c r="R132" s="4"/>
      <c r="S132" s="76"/>
      <c r="T132" s="79"/>
      <c r="V132" s="4"/>
      <c r="W132" s="76"/>
    </row>
    <row r="133" spans="1:23">
      <c r="B133" t="s">
        <v>159</v>
      </c>
      <c r="C133">
        <v>120</v>
      </c>
      <c r="D133">
        <v>1</v>
      </c>
      <c r="E133" s="128">
        <f>(SUMPRODUCT(C131,D131)+SUMPRODUCT(C136,D136))/SUMPRODUCT(C131:C136,D131:D136)</f>
        <v>0.34482758620689657</v>
      </c>
      <c r="H133" s="144" t="s">
        <v>405</v>
      </c>
      <c r="J133" s="4"/>
      <c r="K133" s="76"/>
      <c r="L133" s="79"/>
      <c r="N133" s="4"/>
      <c r="O133" s="76"/>
      <c r="P133" s="79"/>
      <c r="R133" s="4"/>
      <c r="S133" s="76"/>
      <c r="T133" s="79"/>
      <c r="V133" s="4"/>
      <c r="W133" s="76"/>
    </row>
    <row r="134" spans="1:23">
      <c r="B134" t="s">
        <v>160</v>
      </c>
      <c r="C134">
        <v>30</v>
      </c>
      <c r="D134">
        <v>2</v>
      </c>
      <c r="H134" s="79"/>
      <c r="K134" s="76"/>
      <c r="L134" s="79"/>
      <c r="N134" s="4"/>
      <c r="O134" s="76"/>
      <c r="P134" s="79"/>
      <c r="R134" s="4"/>
      <c r="S134" s="76"/>
      <c r="T134" s="79"/>
      <c r="V134" s="4"/>
      <c r="W134" s="76"/>
    </row>
    <row r="135" spans="1:23" ht="13.5" thickBot="1">
      <c r="B135" t="s">
        <v>161</v>
      </c>
      <c r="C135">
        <v>30</v>
      </c>
      <c r="D135">
        <v>24</v>
      </c>
      <c r="H135" s="91"/>
      <c r="I135" s="39"/>
      <c r="J135" s="68"/>
      <c r="K135" s="111"/>
      <c r="L135" s="91"/>
      <c r="M135" s="39"/>
      <c r="N135" s="68"/>
      <c r="O135" s="111"/>
      <c r="P135" s="91"/>
      <c r="Q135" s="39"/>
      <c r="R135" s="68"/>
      <c r="S135" s="111"/>
      <c r="T135" s="91"/>
      <c r="U135" s="39"/>
      <c r="V135" s="68"/>
      <c r="W135" s="111"/>
    </row>
    <row r="136" spans="1:23">
      <c r="B136" t="s">
        <v>361</v>
      </c>
      <c r="C136">
        <v>90</v>
      </c>
      <c r="D136">
        <v>4</v>
      </c>
    </row>
    <row r="138" spans="1:23">
      <c r="A138" s="60">
        <v>1</v>
      </c>
      <c r="B138" t="s">
        <v>169</v>
      </c>
      <c r="C138">
        <v>15</v>
      </c>
      <c r="D138">
        <v>0.2</v>
      </c>
      <c r="E138" s="2">
        <f>SUMPRODUCT(C138:C145,D138:D145)/1440</f>
        <v>3.2118055555555552E-2</v>
      </c>
      <c r="F138" s="3" t="s">
        <v>22</v>
      </c>
    </row>
    <row r="139" spans="1:23">
      <c r="B139" t="s">
        <v>170</v>
      </c>
      <c r="C139">
        <v>10</v>
      </c>
      <c r="D139">
        <v>0.2</v>
      </c>
      <c r="F139" s="3"/>
    </row>
    <row r="140" spans="1:23">
      <c r="B140" t="s">
        <v>172</v>
      </c>
      <c r="C140">
        <v>30</v>
      </c>
      <c r="D140">
        <v>1</v>
      </c>
      <c r="E140" s="128">
        <f>SUMPRODUCT(C138,D138)/SUMPRODUCT(C138:C144,D138:D144)</f>
        <v>6.4864864864864868E-2</v>
      </c>
      <c r="F140" s="3"/>
    </row>
    <row r="141" spans="1:23">
      <c r="B141" t="s">
        <v>171</v>
      </c>
      <c r="C141">
        <v>5</v>
      </c>
      <c r="D141">
        <v>0.75</v>
      </c>
      <c r="E141" s="1"/>
      <c r="F141"/>
    </row>
    <row r="142" spans="1:23">
      <c r="B142" t="s">
        <v>173</v>
      </c>
      <c r="C142">
        <v>20</v>
      </c>
      <c r="D142">
        <v>0.25</v>
      </c>
    </row>
    <row r="143" spans="1:23">
      <c r="B143" t="s">
        <v>174</v>
      </c>
      <c r="C143">
        <v>5</v>
      </c>
      <c r="D143">
        <v>0.1</v>
      </c>
      <c r="E143" s="1"/>
    </row>
    <row r="144" spans="1:23">
      <c r="B144" t="s">
        <v>176</v>
      </c>
      <c r="C144">
        <v>20</v>
      </c>
      <c r="D144">
        <v>0.1</v>
      </c>
    </row>
    <row r="147" spans="2:6">
      <c r="B147" t="s">
        <v>175</v>
      </c>
    </row>
    <row r="148" spans="2:6">
      <c r="B148" t="s">
        <v>177</v>
      </c>
    </row>
    <row r="149" spans="2:6">
      <c r="B149" t="s">
        <v>178</v>
      </c>
    </row>
    <row r="150" spans="2:6">
      <c r="B150" t="s">
        <v>179</v>
      </c>
    </row>
    <row r="151" spans="2:6">
      <c r="B151" t="s">
        <v>180</v>
      </c>
    </row>
    <row r="154" spans="2:6">
      <c r="B154" t="s">
        <v>181</v>
      </c>
    </row>
    <row r="158" spans="2:6">
      <c r="B158" t="s">
        <v>182</v>
      </c>
      <c r="C158">
        <v>180</v>
      </c>
      <c r="D158">
        <v>0.7</v>
      </c>
      <c r="E158" s="2">
        <f>SUMPRODUCT(C158:C162,D158:D162)/1440</f>
        <v>0.33878472222222222</v>
      </c>
      <c r="F158" s="3" t="s">
        <v>22</v>
      </c>
    </row>
    <row r="159" spans="2:6">
      <c r="B159" t="s">
        <v>183</v>
      </c>
      <c r="C159">
        <v>120</v>
      </c>
      <c r="D159">
        <v>0.3</v>
      </c>
      <c r="E159" s="1"/>
      <c r="F159"/>
    </row>
    <row r="160" spans="2:6">
      <c r="B160" t="s">
        <v>184</v>
      </c>
      <c r="C160">
        <v>60</v>
      </c>
      <c r="D160">
        <v>1</v>
      </c>
      <c r="E160" s="1"/>
      <c r="F160"/>
    </row>
    <row r="161" spans="2:11">
      <c r="B161" t="s">
        <v>185</v>
      </c>
      <c r="C161">
        <f>indASSMT_E*1440</f>
        <v>447</v>
      </c>
      <c r="D161">
        <v>0.55000000000000004</v>
      </c>
      <c r="E161" s="1"/>
      <c r="F161"/>
      <c r="J161">
        <f>indASSMT_E</f>
        <v>0.31041666666666667</v>
      </c>
      <c r="K161">
        <f>J161</f>
        <v>0.31041666666666667</v>
      </c>
    </row>
    <row r="162" spans="2:11">
      <c r="B162" t="s">
        <v>148</v>
      </c>
      <c r="C162">
        <v>20</v>
      </c>
      <c r="D162">
        <v>1</v>
      </c>
      <c r="E162" s="1"/>
      <c r="F162"/>
    </row>
    <row r="165" spans="2:11">
      <c r="H165">
        <f>E158</f>
        <v>0.33878472222222222</v>
      </c>
    </row>
    <row r="167" spans="2:11">
      <c r="H167">
        <f>indASSMT_E</f>
        <v>0.31041666666666667</v>
      </c>
    </row>
    <row r="168" spans="2:11">
      <c r="H168" s="4"/>
      <c r="J168">
        <v>0.2</v>
      </c>
      <c r="K168" s="4">
        <f>J168/1440</f>
        <v>1.3888888888888889E-4</v>
      </c>
    </row>
    <row r="169" spans="2:11">
      <c r="K169">
        <f>J168/1440</f>
        <v>1.3888888888888889E-4</v>
      </c>
    </row>
    <row r="170" spans="2:11">
      <c r="J170" t="s">
        <v>186</v>
      </c>
    </row>
    <row r="171" spans="2:11">
      <c r="C171">
        <f>SUM(C158:C163)</f>
        <v>827</v>
      </c>
      <c r="J171" t="s">
        <v>187</v>
      </c>
    </row>
    <row r="172" spans="2:11">
      <c r="J172" t="s">
        <v>188</v>
      </c>
    </row>
    <row r="173" spans="2:11">
      <c r="J173" t="s">
        <v>189</v>
      </c>
    </row>
    <row r="177" spans="10:10">
      <c r="J177" t="s">
        <v>190</v>
      </c>
    </row>
    <row r="178" spans="10:10">
      <c r="J178" t="s">
        <v>191</v>
      </c>
    </row>
    <row r="179" spans="10:10">
      <c r="J179" t="s">
        <v>192</v>
      </c>
    </row>
    <row r="180" spans="10:10">
      <c r="J180" t="s">
        <v>193</v>
      </c>
    </row>
  </sheetData>
  <conditionalFormatting sqref="W7:W21">
    <cfRule type="expression" dxfId="26" priority="72" stopIfTrue="1">
      <formula>$W7=$V7</formula>
    </cfRule>
  </conditionalFormatting>
  <conditionalFormatting sqref="W7:W21">
    <cfRule type="expression" dxfId="25" priority="73">
      <formula>$W7&gt;$V7</formula>
    </cfRule>
  </conditionalFormatting>
  <conditionalFormatting sqref="W7:W21">
    <cfRule type="expression" dxfId="24" priority="74">
      <formula>$W7&lt;$V7</formula>
    </cfRule>
  </conditionalFormatting>
  <conditionalFormatting sqref="Y7:Y21">
    <cfRule type="colorScale" priority="87">
      <colorScale>
        <cfvo type="min"/>
        <cfvo type="num" val="0"/>
        <cfvo type="max"/>
        <color rgb="FFF8696B"/>
        <color rgb="FFFFEB84"/>
        <color rgb="FF63BE7B"/>
      </colorScale>
    </cfRule>
  </conditionalFormatting>
  <conditionalFormatting sqref="R7:R21">
    <cfRule type="colorScale" priority="69">
      <colorScale>
        <cfvo type="min"/>
        <cfvo type="percentile" val="50"/>
        <cfvo type="max"/>
        <color rgb="FF63BE7B"/>
        <color rgb="FFFFEB84"/>
        <color rgb="FFF8696B"/>
      </colorScale>
    </cfRule>
  </conditionalFormatting>
  <conditionalFormatting sqref="J30 N30 R30 V30">
    <cfRule type="cellIs" dxfId="23" priority="75" stopIfTrue="1" operator="between">
      <formula>availableHours*0.998*K29</formula>
      <formula>availableHours*1.002*K29</formula>
    </cfRule>
    <cfRule type="cellIs" dxfId="22" priority="76" operator="greaterThan">
      <formula>availableHours*1.002*K29</formula>
    </cfRule>
    <cfRule type="cellIs" dxfId="21" priority="77" operator="lessThan">
      <formula>availableHours*0.998*K29</formula>
    </cfRule>
  </conditionalFormatting>
  <conditionalFormatting sqref="N56">
    <cfRule type="cellIs" dxfId="20" priority="20" stopIfTrue="1" operator="between">
      <formula>availableHours*0.998*O55</formula>
      <formula>availableHours*1.002*O55</formula>
    </cfRule>
    <cfRule type="cellIs" dxfId="19" priority="21" operator="greaterThan">
      <formula>availableHours*1.002*O55</formula>
    </cfRule>
    <cfRule type="cellIs" dxfId="18" priority="22" operator="lessThan">
      <formula>availableHours*0.998*O55</formula>
    </cfRule>
  </conditionalFormatting>
  <conditionalFormatting sqref="J56">
    <cfRule type="cellIs" dxfId="17" priority="17" stopIfTrue="1" operator="between">
      <formula>availableHours*0.998*K55</formula>
      <formula>availableHours*1.002*K55</formula>
    </cfRule>
    <cfRule type="cellIs" dxfId="16" priority="18" operator="greaterThan">
      <formula>availableHours*1.002*K55</formula>
    </cfRule>
    <cfRule type="cellIs" dxfId="15" priority="19" operator="lessThan">
      <formula>availableHours*0.998*K55</formula>
    </cfRule>
  </conditionalFormatting>
  <conditionalFormatting sqref="R56">
    <cfRule type="cellIs" dxfId="14" priority="14" stopIfTrue="1" operator="between">
      <formula>availableHours*0.998*S55</formula>
      <formula>availableHours*1.002*S55</formula>
    </cfRule>
    <cfRule type="cellIs" dxfId="13" priority="15" operator="greaterThan">
      <formula>availableHours*1.002*S55</formula>
    </cfRule>
    <cfRule type="cellIs" dxfId="12" priority="16" operator="lessThan">
      <formula>availableHours*0.998*S55</formula>
    </cfRule>
  </conditionalFormatting>
  <conditionalFormatting sqref="AA56">
    <cfRule type="cellIs" dxfId="11" priority="8" stopIfTrue="1" operator="between">
      <formula>availableHours*0.998*AB55</formula>
      <formula>availableHours*1.002*AB55</formula>
    </cfRule>
    <cfRule type="cellIs" dxfId="10" priority="9" operator="greaterThan">
      <formula>availableHours*1.002*AB55</formula>
    </cfRule>
    <cfRule type="cellIs" dxfId="9" priority="10" operator="lessThan">
      <formula>availableHours*0.998*AB55</formula>
    </cfRule>
  </conditionalFormatting>
  <conditionalFormatting sqref="V56">
    <cfRule type="cellIs" dxfId="8" priority="11" stopIfTrue="1" operator="between">
      <formula>availableHours*0.998*W55</formula>
      <formula>availableHours*1.002*W55</formula>
    </cfRule>
    <cfRule type="cellIs" dxfId="7" priority="12" operator="greaterThan">
      <formula>availableHours*1.002*W55</formula>
    </cfRule>
    <cfRule type="cellIs" dxfId="6" priority="13" operator="lessThan">
      <formula>availableHours*0.998*W55</formula>
    </cfRule>
  </conditionalFormatting>
  <conditionalFormatting sqref="J113 N113 R113 V113">
    <cfRule type="cellIs" dxfId="5" priority="2" stopIfTrue="1" operator="between">
      <formula>availableHours*0.998*K112</formula>
      <formula>availableHours*1.002*K112</formula>
    </cfRule>
    <cfRule type="cellIs" dxfId="4" priority="3" operator="greaterThan">
      <formula>availableHours*1.002*K112</formula>
    </cfRule>
    <cfRule type="cellIs" dxfId="3" priority="4" operator="lessThan">
      <formula>availableHours*0.998*K112</formula>
    </cfRule>
  </conditionalFormatting>
  <conditionalFormatting sqref="J87 N87 R87 V87">
    <cfRule type="cellIs" dxfId="2" priority="5" stopIfTrue="1" operator="between">
      <formula>availableHours*0.998*K86</formula>
      <formula>availableHours*1.002*K86</formula>
    </cfRule>
    <cfRule type="cellIs" dxfId="1" priority="6" operator="greaterThan">
      <formula>availableHours*1.002*K86</formula>
    </cfRule>
    <cfRule type="cellIs" dxfId="0" priority="7" operator="lessThan">
      <formula>availableHours*0.998*K86</formula>
    </cfRule>
  </conditionalFormatting>
  <conditionalFormatting sqref="Z7:Z21">
    <cfRule type="colorScale" priority="1">
      <colorScale>
        <cfvo type="min"/>
        <cfvo type="percentile" val="50"/>
        <cfvo type="max"/>
        <color rgb="FFF8696B"/>
        <color rgb="FFFCFCFF"/>
        <color rgb="FF63BE7B"/>
      </colorScale>
    </cfRule>
  </conditionalFormatting>
  <pageMargins left="0.78749999999999998" right="0.78749999999999998" top="1.05277777777778" bottom="1.05277777777778" header="0.78749999999999998" footer="0.78749999999999998"/>
  <pageSetup paperSize="8" scale="70" orientation="landscape" useFirstPageNumber="1" horizontalDpi="300" verticalDpi="300" r:id="rId1"/>
  <headerFooter>
    <oddHeader>&amp;C&amp;"Nimbus Roman,Regular"&amp;12&amp;A</oddHeader>
    <oddFooter>&amp;C&amp;"Nimbus Roman,Regular"&amp;12Page &amp;P</oddFooter>
  </headerFooter>
  <ignoredErrors>
    <ignoredError sqref="I18:I20" formulaRange="1"/>
    <ignoredError xmlns:x16r3="http://schemas.microsoft.com/office/spreadsheetml/2018/08/main" sqref="H165" x16r3:misleadingFormat="1"/>
    <ignoredError sqref="AA80" formula="1"/>
  </ignoredError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Q43"/>
  <sheetViews>
    <sheetView zoomScaleNormal="100" workbookViewId="0">
      <selection activeCell="E40" sqref="E40"/>
    </sheetView>
  </sheetViews>
  <sheetFormatPr defaultColWidth="11.5703125" defaultRowHeight="12.75"/>
  <cols>
    <col min="2" max="2" width="12.85546875" customWidth="1"/>
    <col min="4" max="4" width="3.42578125" customWidth="1"/>
  </cols>
  <sheetData>
    <row r="1" spans="1:5">
      <c r="B1" s="10" t="s">
        <v>194</v>
      </c>
    </row>
    <row r="3" spans="1:5">
      <c r="B3" s="10" t="s">
        <v>195</v>
      </c>
      <c r="C3" s="10" t="s">
        <v>12</v>
      </c>
      <c r="D3" s="10"/>
      <c r="E3" s="10" t="s">
        <v>196</v>
      </c>
    </row>
    <row r="4" spans="1:5">
      <c r="B4" t="s">
        <v>197</v>
      </c>
      <c r="C4">
        <f>390+60</f>
        <v>450</v>
      </c>
      <c r="D4" s="10"/>
      <c r="E4" s="137" t="s">
        <v>362</v>
      </c>
    </row>
    <row r="5" spans="1:5">
      <c r="A5" s="124">
        <v>300</v>
      </c>
      <c r="B5" t="s">
        <v>37</v>
      </c>
      <c r="C5">
        <v>280</v>
      </c>
      <c r="E5" t="s">
        <v>198</v>
      </c>
    </row>
    <row r="6" spans="1:5">
      <c r="B6" t="s">
        <v>42</v>
      </c>
      <c r="C6">
        <v>20</v>
      </c>
      <c r="E6" t="s">
        <v>199</v>
      </c>
    </row>
    <row r="7" spans="1:5">
      <c r="B7" t="s">
        <v>49</v>
      </c>
      <c r="C7">
        <v>0</v>
      </c>
      <c r="E7" t="s">
        <v>200</v>
      </c>
    </row>
    <row r="8" spans="1:5">
      <c r="B8" t="s">
        <v>45</v>
      </c>
      <c r="C8">
        <v>165</v>
      </c>
      <c r="E8" t="s">
        <v>201</v>
      </c>
    </row>
    <row r="9" spans="1:5">
      <c r="B9" t="s">
        <v>202</v>
      </c>
      <c r="C9">
        <v>15</v>
      </c>
      <c r="E9" t="s">
        <v>203</v>
      </c>
    </row>
    <row r="10" spans="1:5">
      <c r="B10" t="s">
        <v>204</v>
      </c>
      <c r="C10">
        <v>36</v>
      </c>
      <c r="E10" t="s">
        <v>205</v>
      </c>
    </row>
    <row r="11" spans="1:5">
      <c r="B11" t="s">
        <v>80</v>
      </c>
      <c r="C11">
        <v>15</v>
      </c>
    </row>
    <row r="12" spans="1:5">
      <c r="B12" t="s">
        <v>206</v>
      </c>
      <c r="C12">
        <v>58</v>
      </c>
      <c r="E12" t="s">
        <v>207</v>
      </c>
    </row>
    <row r="13" spans="1:5">
      <c r="B13" t="s">
        <v>78</v>
      </c>
      <c r="C13">
        <v>48</v>
      </c>
      <c r="E13" t="s">
        <v>208</v>
      </c>
    </row>
    <row r="14" spans="1:5">
      <c r="B14" t="s">
        <v>65</v>
      </c>
      <c r="C14">
        <v>0</v>
      </c>
      <c r="E14" t="s">
        <v>209</v>
      </c>
    </row>
    <row r="15" spans="1:5">
      <c r="B15" t="s">
        <v>67</v>
      </c>
      <c r="C15">
        <v>0</v>
      </c>
      <c r="E15" t="s">
        <v>210</v>
      </c>
    </row>
    <row r="16" spans="1:5">
      <c r="B16" t="s">
        <v>70</v>
      </c>
      <c r="C16">
        <v>0</v>
      </c>
      <c r="E16" t="s">
        <v>211</v>
      </c>
    </row>
    <row r="17" spans="1:17">
      <c r="B17" t="s">
        <v>74</v>
      </c>
      <c r="C17">
        <v>15</v>
      </c>
      <c r="E17" t="s">
        <v>212</v>
      </c>
    </row>
    <row r="18" spans="1:17">
      <c r="F18" s="60" t="s">
        <v>213</v>
      </c>
      <c r="G18" s="60"/>
      <c r="H18" s="60"/>
      <c r="I18" s="60"/>
      <c r="J18" s="60"/>
      <c r="K18" s="60"/>
      <c r="L18" s="60"/>
      <c r="N18" t="s">
        <v>214</v>
      </c>
    </row>
    <row r="19" spans="1:17">
      <c r="F19" s="60">
        <f>42*4</f>
        <v>168</v>
      </c>
      <c r="G19" s="60">
        <f>50*4</f>
        <v>200</v>
      </c>
      <c r="H19" s="60" t="s">
        <v>215</v>
      </c>
      <c r="I19" s="60"/>
      <c r="J19" s="60"/>
      <c r="K19" s="60"/>
      <c r="L19" s="60"/>
      <c r="N19">
        <v>5</v>
      </c>
      <c r="O19">
        <v>52</v>
      </c>
      <c r="Q19">
        <f>N19*O19</f>
        <v>260</v>
      </c>
    </row>
    <row r="20" spans="1:17">
      <c r="F20" s="60"/>
      <c r="G20" s="60"/>
      <c r="H20" s="60" t="s">
        <v>216</v>
      </c>
      <c r="I20" s="60"/>
      <c r="J20" s="60"/>
      <c r="K20" s="60"/>
      <c r="L20" s="60"/>
      <c r="N20" t="s">
        <v>217</v>
      </c>
    </row>
    <row r="21" spans="1:17">
      <c r="N21" t="s">
        <v>218</v>
      </c>
    </row>
    <row r="22" spans="1:17">
      <c r="B22" t="s">
        <v>219</v>
      </c>
    </row>
    <row r="24" spans="1:17">
      <c r="B24" s="29" t="s">
        <v>220</v>
      </c>
      <c r="C24">
        <f>SUM(C26:C44)</f>
        <v>13.399999999999999</v>
      </c>
      <c r="E24" s="8">
        <f>SUM(E26:E44)</f>
        <v>8.8999999999999986</v>
      </c>
      <c r="F24" t="s">
        <v>221</v>
      </c>
      <c r="J24" t="s">
        <v>222</v>
      </c>
      <c r="M24">
        <v>2</v>
      </c>
      <c r="N24">
        <v>4</v>
      </c>
      <c r="O24">
        <v>4</v>
      </c>
    </row>
    <row r="25" spans="1:17">
      <c r="E25" s="8"/>
      <c r="J25">
        <f>SUMPRODUCT(M24,N24,O24)</f>
        <v>32</v>
      </c>
    </row>
    <row r="26" spans="1:17">
      <c r="A26">
        <v>1</v>
      </c>
      <c r="B26" t="s">
        <v>388</v>
      </c>
      <c r="C26">
        <v>1</v>
      </c>
      <c r="E26" s="8">
        <v>0.5</v>
      </c>
    </row>
    <row r="27" spans="1:17">
      <c r="A27">
        <f>A26+1</f>
        <v>2</v>
      </c>
      <c r="B27" t="s">
        <v>389</v>
      </c>
      <c r="C27">
        <v>0.8</v>
      </c>
      <c r="E27" s="8">
        <v>0.8</v>
      </c>
    </row>
    <row r="28" spans="1:17">
      <c r="A28">
        <f t="shared" ref="A28:A39" si="0">A27+1</f>
        <v>3</v>
      </c>
      <c r="B28" t="s">
        <v>223</v>
      </c>
      <c r="C28">
        <v>1</v>
      </c>
      <c r="E28" s="8">
        <v>0.55000000000000004</v>
      </c>
      <c r="L28">
        <f>42/3</f>
        <v>14</v>
      </c>
    </row>
    <row r="29" spans="1:17">
      <c r="A29">
        <f t="shared" si="0"/>
        <v>4</v>
      </c>
      <c r="B29" t="s">
        <v>390</v>
      </c>
      <c r="C29">
        <v>0.6</v>
      </c>
      <c r="E29" s="8">
        <v>0.6</v>
      </c>
    </row>
    <row r="30" spans="1:17">
      <c r="A30">
        <f t="shared" si="0"/>
        <v>5</v>
      </c>
      <c r="B30" t="s">
        <v>391</v>
      </c>
      <c r="C30">
        <v>1</v>
      </c>
      <c r="E30" s="8">
        <v>0.8</v>
      </c>
      <c r="K30">
        <f>12*25</f>
        <v>300</v>
      </c>
      <c r="L30" t="s">
        <v>224</v>
      </c>
      <c r="Q30">
        <f>44*4</f>
        <v>176</v>
      </c>
    </row>
    <row r="31" spans="1:17">
      <c r="A31">
        <f t="shared" si="0"/>
        <v>6</v>
      </c>
      <c r="B31" t="s">
        <v>392</v>
      </c>
      <c r="C31">
        <v>0.8</v>
      </c>
      <c r="E31" s="8">
        <v>0.8</v>
      </c>
      <c r="K31">
        <f>30*12</f>
        <v>360</v>
      </c>
      <c r="L31" t="s">
        <v>225</v>
      </c>
    </row>
    <row r="32" spans="1:17">
      <c r="A32">
        <f t="shared" si="0"/>
        <v>7</v>
      </c>
      <c r="B32" t="s">
        <v>393</v>
      </c>
      <c r="C32">
        <v>1</v>
      </c>
      <c r="E32" s="8">
        <v>0.6</v>
      </c>
    </row>
    <row r="33" spans="1:14">
      <c r="A33">
        <f t="shared" si="0"/>
        <v>8</v>
      </c>
      <c r="B33" t="s">
        <v>394</v>
      </c>
      <c r="C33">
        <v>1</v>
      </c>
      <c r="E33" s="8">
        <v>1</v>
      </c>
    </row>
    <row r="34" spans="1:14">
      <c r="A34">
        <f t="shared" si="0"/>
        <v>9</v>
      </c>
      <c r="B34" t="s">
        <v>226</v>
      </c>
      <c r="C34">
        <v>1</v>
      </c>
      <c r="E34" s="8">
        <v>0.65</v>
      </c>
      <c r="J34" t="s">
        <v>227</v>
      </c>
      <c r="M34" t="s">
        <v>228</v>
      </c>
    </row>
    <row r="35" spans="1:14">
      <c r="A35">
        <f t="shared" si="0"/>
        <v>10</v>
      </c>
      <c r="B35" t="s">
        <v>395</v>
      </c>
      <c r="C35">
        <v>1</v>
      </c>
      <c r="E35" s="8">
        <v>1</v>
      </c>
    </row>
    <row r="36" spans="1:14">
      <c r="A36">
        <f t="shared" si="0"/>
        <v>11</v>
      </c>
      <c r="B36" t="s">
        <v>396</v>
      </c>
      <c r="C36">
        <v>1</v>
      </c>
      <c r="E36" s="8">
        <v>0</v>
      </c>
      <c r="J36" t="s">
        <v>229</v>
      </c>
      <c r="M36" t="s">
        <v>230</v>
      </c>
    </row>
    <row r="37" spans="1:14">
      <c r="A37">
        <f t="shared" si="0"/>
        <v>12</v>
      </c>
      <c r="B37" t="s">
        <v>397</v>
      </c>
      <c r="C37">
        <v>1</v>
      </c>
      <c r="E37" s="8">
        <v>0.6</v>
      </c>
      <c r="M37">
        <f>52*4</f>
        <v>208</v>
      </c>
    </row>
    <row r="38" spans="1:14">
      <c r="A38">
        <f t="shared" si="0"/>
        <v>13</v>
      </c>
      <c r="B38" t="s">
        <v>398</v>
      </c>
      <c r="C38">
        <v>1</v>
      </c>
      <c r="E38" s="8">
        <v>0.5</v>
      </c>
    </row>
    <row r="39" spans="1:14">
      <c r="A39">
        <f t="shared" si="0"/>
        <v>14</v>
      </c>
      <c r="B39" t="s">
        <v>399</v>
      </c>
      <c r="C39">
        <v>1</v>
      </c>
      <c r="E39" s="8">
        <v>0.5</v>
      </c>
    </row>
    <row r="40" spans="1:14">
      <c r="A40">
        <v>15</v>
      </c>
      <c r="B40" t="s">
        <v>419</v>
      </c>
      <c r="C40">
        <v>0.2</v>
      </c>
      <c r="E40" t="s">
        <v>420</v>
      </c>
    </row>
    <row r="41" spans="1:14">
      <c r="I41">
        <v>1650</v>
      </c>
      <c r="J41">
        <v>1.002</v>
      </c>
      <c r="K41" s="94">
        <f>$I$41*J41</f>
        <v>1653.3</v>
      </c>
      <c r="N41">
        <f>16*12</f>
        <v>192</v>
      </c>
    </row>
    <row r="42" spans="1:14">
      <c r="I42">
        <f>1650/100*2</f>
        <v>33</v>
      </c>
      <c r="J42">
        <v>0.998</v>
      </c>
      <c r="K42" s="94">
        <f>$I$41*J42</f>
        <v>1646.7</v>
      </c>
    </row>
    <row r="43" spans="1:14">
      <c r="K43" s="94">
        <f>K41-K42</f>
        <v>6.5999999999999091</v>
      </c>
    </row>
  </sheetData>
  <pageMargins left="0.78749999999999998" right="0.78749999999999998" top="1.05277777777778" bottom="1.05277777777778" header="0.78749999999999998" footer="0.78749999999999998"/>
  <pageSetup paperSize="8" scale="70" orientation="landscape" horizontalDpi="300" verticalDpi="300" r:id="rId1"/>
  <headerFooter>
    <oddHeader>&amp;C&amp;"Nimbus Roman,Regular"&amp;12&amp;A</oddHeader>
    <oddFooter>&amp;C&amp;"Nimbus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EE852-23E9-4519-8FE5-FD3DE754300A}">
  <sheetPr codeName="Sheet3"/>
  <dimension ref="A1:L24"/>
  <sheetViews>
    <sheetView workbookViewId="0">
      <selection activeCell="G31" sqref="G31"/>
    </sheetView>
  </sheetViews>
  <sheetFormatPr defaultRowHeight="12.75"/>
  <cols>
    <col min="3" max="3" width="9.85546875" bestFit="1" customWidth="1"/>
  </cols>
  <sheetData>
    <row r="1" spans="1:12">
      <c r="A1" t="s">
        <v>231</v>
      </c>
    </row>
    <row r="2" spans="1:12">
      <c r="A2" t="s">
        <v>232</v>
      </c>
      <c r="B2">
        <v>1</v>
      </c>
      <c r="C2" s="4">
        <v>68.49444444444444</v>
      </c>
    </row>
    <row r="3" spans="1:12">
      <c r="A3" t="s">
        <v>87</v>
      </c>
      <c r="B3">
        <v>0.65</v>
      </c>
      <c r="C3" s="4">
        <v>11.022916666666667</v>
      </c>
    </row>
    <row r="4" spans="1:12">
      <c r="A4" t="s">
        <v>91</v>
      </c>
      <c r="B4">
        <v>1.6</v>
      </c>
      <c r="C4" s="4">
        <v>8.8000000000000007</v>
      </c>
    </row>
    <row r="5" spans="1:12">
      <c r="A5" t="s">
        <v>89</v>
      </c>
      <c r="B5">
        <v>1</v>
      </c>
      <c r="C5" s="4">
        <v>10.083333333333332</v>
      </c>
    </row>
    <row r="6" spans="1:12">
      <c r="A6" t="s">
        <v>45</v>
      </c>
      <c r="B6">
        <v>14</v>
      </c>
      <c r="C6" s="4">
        <v>11.375</v>
      </c>
      <c r="D6">
        <v>14</v>
      </c>
    </row>
    <row r="7" spans="1:12">
      <c r="A7" t="s">
        <v>55</v>
      </c>
      <c r="B7">
        <v>1</v>
      </c>
      <c r="C7" s="4">
        <v>5.4652777777777777</v>
      </c>
      <c r="D7">
        <v>1</v>
      </c>
    </row>
    <row r="8" spans="1:12">
      <c r="A8" t="s">
        <v>52</v>
      </c>
      <c r="B8">
        <v>2</v>
      </c>
      <c r="C8" s="4">
        <v>7.385416666666667</v>
      </c>
      <c r="D8">
        <v>2</v>
      </c>
    </row>
    <row r="9" spans="1:12">
      <c r="A9" t="s">
        <v>37</v>
      </c>
      <c r="B9">
        <v>26</v>
      </c>
      <c r="C9" s="4">
        <v>8.0708333333333329</v>
      </c>
      <c r="D9">
        <v>26</v>
      </c>
      <c r="K9" t="s">
        <v>233</v>
      </c>
    </row>
    <row r="10" spans="1:12">
      <c r="A10" t="s">
        <v>59</v>
      </c>
      <c r="B10">
        <v>1</v>
      </c>
      <c r="C10" s="4">
        <v>1.3541666666666667</v>
      </c>
      <c r="D10">
        <v>1</v>
      </c>
      <c r="K10">
        <f>FLOOR((365*(5/7))-8,1)</f>
        <v>252</v>
      </c>
    </row>
    <row r="11" spans="1:12">
      <c r="A11" t="s">
        <v>65</v>
      </c>
      <c r="B11">
        <v>0</v>
      </c>
      <c r="C11" s="4">
        <v>0</v>
      </c>
      <c r="D11">
        <v>0</v>
      </c>
      <c r="K11" t="s">
        <v>234</v>
      </c>
    </row>
    <row r="12" spans="1:12">
      <c r="A12" t="s">
        <v>67</v>
      </c>
      <c r="B12">
        <v>0</v>
      </c>
      <c r="C12" s="4">
        <v>0</v>
      </c>
      <c r="D12">
        <v>0</v>
      </c>
      <c r="K12">
        <f>52*5-8</f>
        <v>252</v>
      </c>
    </row>
    <row r="13" spans="1:12">
      <c r="A13" t="s">
        <v>63</v>
      </c>
      <c r="B13">
        <v>0</v>
      </c>
      <c r="C13" s="4">
        <v>0</v>
      </c>
      <c r="D13">
        <v>0</v>
      </c>
      <c r="K13" t="s">
        <v>235</v>
      </c>
    </row>
    <row r="14" spans="1:12">
      <c r="A14" t="s">
        <v>42</v>
      </c>
      <c r="B14">
        <v>4</v>
      </c>
      <c r="C14" s="4">
        <v>2</v>
      </c>
      <c r="D14">
        <v>4</v>
      </c>
    </row>
    <row r="15" spans="1:12">
      <c r="A15" t="s">
        <v>49</v>
      </c>
      <c r="B15">
        <v>0</v>
      </c>
      <c r="C15" s="4">
        <v>0</v>
      </c>
      <c r="D15">
        <v>0</v>
      </c>
      <c r="K15">
        <f>252*7.5</f>
        <v>1890</v>
      </c>
      <c r="L15" t="s">
        <v>236</v>
      </c>
    </row>
    <row r="16" spans="1:12">
      <c r="A16" t="s">
        <v>70</v>
      </c>
      <c r="B16">
        <v>0</v>
      </c>
      <c r="C16" s="4">
        <v>0</v>
      </c>
      <c r="D16">
        <v>0</v>
      </c>
    </row>
    <row r="17" spans="1:11">
      <c r="A17" t="s">
        <v>74</v>
      </c>
      <c r="B17">
        <v>0</v>
      </c>
      <c r="C17" s="4">
        <v>0</v>
      </c>
      <c r="D17">
        <v>0</v>
      </c>
      <c r="K17" t="s">
        <v>237</v>
      </c>
    </row>
    <row r="18" spans="1:11">
      <c r="A18" t="s">
        <v>78</v>
      </c>
      <c r="B18">
        <v>10</v>
      </c>
      <c r="C18" s="4">
        <v>2.0138888888888888</v>
      </c>
      <c r="D18">
        <v>10</v>
      </c>
      <c r="K18" t="s">
        <v>238</v>
      </c>
    </row>
    <row r="19" spans="1:11">
      <c r="A19" t="s">
        <v>80</v>
      </c>
      <c r="B19">
        <v>7</v>
      </c>
      <c r="C19" s="4">
        <v>0.92361111111111116</v>
      </c>
      <c r="D19">
        <v>7</v>
      </c>
      <c r="K19" s="127">
        <f>35/252</f>
        <v>0.1388888888888889</v>
      </c>
    </row>
    <row r="20" spans="1:11">
      <c r="A20" t="s">
        <v>34</v>
      </c>
      <c r="B20">
        <v>0</v>
      </c>
      <c r="C20" s="4">
        <v>0</v>
      </c>
      <c r="D20">
        <v>0</v>
      </c>
    </row>
    <row r="21" spans="1:11">
      <c r="K21" t="s">
        <v>239</v>
      </c>
    </row>
    <row r="22" spans="1:11">
      <c r="K22">
        <f>(252-K19*252)*7.5</f>
        <v>1627.5</v>
      </c>
    </row>
    <row r="23" spans="1:11">
      <c r="K23" t="s">
        <v>240</v>
      </c>
    </row>
    <row r="24" spans="1:11">
      <c r="K24">
        <v>1650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C27CF-8A97-4018-905B-D05511F27D29}">
  <sheetPr codeName="Sheet4"/>
  <dimension ref="A1:C44"/>
  <sheetViews>
    <sheetView workbookViewId="0">
      <selection activeCell="B34" sqref="B34"/>
    </sheetView>
  </sheetViews>
  <sheetFormatPr defaultRowHeight="12.75"/>
  <cols>
    <col min="1" max="1" width="12" bestFit="1" customWidth="1"/>
    <col min="2" max="3" width="20.7109375" customWidth="1"/>
  </cols>
  <sheetData>
    <row r="1" spans="1:3">
      <c r="A1" s="105" t="s">
        <v>241</v>
      </c>
      <c r="B1" s="105" t="s">
        <v>242</v>
      </c>
      <c r="C1" s="105" t="s">
        <v>243</v>
      </c>
    </row>
    <row r="2" spans="1:3" ht="51">
      <c r="A2" t="s">
        <v>244</v>
      </c>
      <c r="B2" t="s">
        <v>245</v>
      </c>
      <c r="C2" s="106" t="s">
        <v>246</v>
      </c>
    </row>
    <row r="3" spans="1:3" ht="89.25">
      <c r="A3" t="s">
        <v>247</v>
      </c>
      <c r="B3" t="s">
        <v>245</v>
      </c>
      <c r="C3" s="106" t="s">
        <v>248</v>
      </c>
    </row>
    <row r="4" spans="1:3" ht="344.25">
      <c r="A4" t="s">
        <v>249</v>
      </c>
      <c r="B4" t="s">
        <v>245</v>
      </c>
      <c r="C4" s="106" t="s">
        <v>250</v>
      </c>
    </row>
    <row r="5" spans="1:3" ht="63.75">
      <c r="A5" t="s">
        <v>251</v>
      </c>
      <c r="B5" t="s">
        <v>245</v>
      </c>
      <c r="C5" s="106" t="s">
        <v>252</v>
      </c>
    </row>
    <row r="6" spans="1:3" ht="89.25">
      <c r="A6" t="s">
        <v>253</v>
      </c>
      <c r="B6" t="s">
        <v>245</v>
      </c>
      <c r="C6" s="106" t="s">
        <v>254</v>
      </c>
    </row>
    <row r="7" spans="1:3" ht="153">
      <c r="A7" t="s">
        <v>255</v>
      </c>
      <c r="B7" t="s">
        <v>245</v>
      </c>
      <c r="C7" s="106" t="s">
        <v>256</v>
      </c>
    </row>
    <row r="8" spans="1:3" ht="89.25">
      <c r="A8" t="s">
        <v>257</v>
      </c>
      <c r="B8" t="s">
        <v>245</v>
      </c>
      <c r="C8" s="106" t="s">
        <v>258</v>
      </c>
    </row>
    <row r="9" spans="1:3" ht="178.5">
      <c r="A9" t="s">
        <v>259</v>
      </c>
      <c r="B9" t="s">
        <v>245</v>
      </c>
      <c r="C9" s="106" t="s">
        <v>260</v>
      </c>
    </row>
    <row r="10" spans="1:3" ht="140.25">
      <c r="A10" t="s">
        <v>261</v>
      </c>
      <c r="B10" t="s">
        <v>245</v>
      </c>
      <c r="C10" s="106" t="s">
        <v>262</v>
      </c>
    </row>
    <row r="11" spans="1:3" ht="51">
      <c r="A11" t="s">
        <v>263</v>
      </c>
      <c r="B11" t="s">
        <v>245</v>
      </c>
      <c r="C11" s="106" t="s">
        <v>264</v>
      </c>
    </row>
    <row r="12" spans="1:3" ht="178.5">
      <c r="A12" t="s">
        <v>265</v>
      </c>
      <c r="B12" t="s">
        <v>245</v>
      </c>
      <c r="C12" s="106" t="s">
        <v>266</v>
      </c>
    </row>
    <row r="13" spans="1:3" ht="51">
      <c r="A13" t="s">
        <v>267</v>
      </c>
      <c r="B13" t="s">
        <v>245</v>
      </c>
      <c r="C13" s="106" t="s">
        <v>268</v>
      </c>
    </row>
    <row r="14" spans="1:3" ht="127.5">
      <c r="A14" t="s">
        <v>269</v>
      </c>
      <c r="B14" t="s">
        <v>245</v>
      </c>
      <c r="C14" s="106" t="s">
        <v>270</v>
      </c>
    </row>
    <row r="15" spans="1:3" ht="140.25">
      <c r="A15" t="s">
        <v>271</v>
      </c>
      <c r="B15" t="s">
        <v>245</v>
      </c>
      <c r="C15" s="106" t="s">
        <v>272</v>
      </c>
    </row>
    <row r="16" spans="1:3" ht="38.25">
      <c r="A16" t="s">
        <v>273</v>
      </c>
      <c r="B16" t="s">
        <v>245</v>
      </c>
      <c r="C16" s="106" t="s">
        <v>274</v>
      </c>
    </row>
    <row r="17" spans="1:3" ht="89.25">
      <c r="A17" t="s">
        <v>275</v>
      </c>
      <c r="B17" t="s">
        <v>245</v>
      </c>
      <c r="C17" s="106" t="s">
        <v>276</v>
      </c>
    </row>
    <row r="18" spans="1:3" ht="102">
      <c r="A18" t="s">
        <v>277</v>
      </c>
      <c r="B18" t="s">
        <v>245</v>
      </c>
      <c r="C18" s="106" t="s">
        <v>278</v>
      </c>
    </row>
    <row r="19" spans="1:3" ht="51">
      <c r="A19" t="s">
        <v>279</v>
      </c>
      <c r="B19" t="s">
        <v>245</v>
      </c>
      <c r="C19" s="106" t="s">
        <v>280</v>
      </c>
    </row>
    <row r="20" spans="1:3" ht="63.75">
      <c r="A20" t="s">
        <v>281</v>
      </c>
      <c r="B20" t="s">
        <v>245</v>
      </c>
      <c r="C20" s="106" t="s">
        <v>282</v>
      </c>
    </row>
    <row r="21" spans="1:3" ht="216.75">
      <c r="A21" t="s">
        <v>283</v>
      </c>
      <c r="B21" t="s">
        <v>245</v>
      </c>
      <c r="C21" s="106" t="s">
        <v>284</v>
      </c>
    </row>
    <row r="22" spans="1:3" ht="255">
      <c r="A22" t="s">
        <v>285</v>
      </c>
      <c r="B22" t="s">
        <v>245</v>
      </c>
      <c r="C22" s="106" t="s">
        <v>286</v>
      </c>
    </row>
    <row r="23" spans="1:3" ht="38.25">
      <c r="A23" t="s">
        <v>287</v>
      </c>
      <c r="B23" t="s">
        <v>245</v>
      </c>
      <c r="C23" s="106" t="s">
        <v>288</v>
      </c>
    </row>
    <row r="24" spans="1:3" ht="51">
      <c r="A24" t="s">
        <v>289</v>
      </c>
      <c r="B24" t="s">
        <v>245</v>
      </c>
      <c r="C24" s="106" t="s">
        <v>290</v>
      </c>
    </row>
    <row r="25" spans="1:3" ht="63.75">
      <c r="A25" t="s">
        <v>291</v>
      </c>
      <c r="B25" t="s">
        <v>245</v>
      </c>
      <c r="C25" s="106" t="s">
        <v>292</v>
      </c>
    </row>
    <row r="26" spans="1:3" ht="102">
      <c r="A26" t="s">
        <v>293</v>
      </c>
      <c r="B26" t="s">
        <v>245</v>
      </c>
      <c r="C26" s="106" t="s">
        <v>294</v>
      </c>
    </row>
    <row r="27" spans="1:3" ht="38.25">
      <c r="A27" t="s">
        <v>295</v>
      </c>
      <c r="B27" t="s">
        <v>245</v>
      </c>
      <c r="C27" s="106" t="s">
        <v>296</v>
      </c>
    </row>
    <row r="28" spans="1:3" ht="51">
      <c r="A28" t="s">
        <v>297</v>
      </c>
      <c r="B28" t="s">
        <v>245</v>
      </c>
      <c r="C28" s="106" t="s">
        <v>298</v>
      </c>
    </row>
    <row r="29" spans="1:3" ht="76.5">
      <c r="A29" t="s">
        <v>299</v>
      </c>
      <c r="B29" t="s">
        <v>300</v>
      </c>
      <c r="C29" s="106" t="s">
        <v>301</v>
      </c>
    </row>
    <row r="30" spans="1:3" ht="153">
      <c r="A30" t="s">
        <v>302</v>
      </c>
      <c r="B30" t="s">
        <v>300</v>
      </c>
      <c r="C30" s="106" t="s">
        <v>303</v>
      </c>
    </row>
    <row r="31" spans="1:3" ht="114.75">
      <c r="A31" t="s">
        <v>304</v>
      </c>
      <c r="B31" t="s">
        <v>245</v>
      </c>
      <c r="C31" s="106" t="s">
        <v>305</v>
      </c>
    </row>
    <row r="32" spans="1:3" ht="25.5">
      <c r="A32" t="s">
        <v>306</v>
      </c>
      <c r="B32" t="s">
        <v>300</v>
      </c>
      <c r="C32" s="106" t="s">
        <v>307</v>
      </c>
    </row>
    <row r="33" spans="1:3" ht="38.25">
      <c r="A33" t="s">
        <v>308</v>
      </c>
      <c r="B33" t="s">
        <v>300</v>
      </c>
      <c r="C33" s="106" t="s">
        <v>309</v>
      </c>
    </row>
    <row r="34" spans="1:3" ht="216.75">
      <c r="A34" t="s">
        <v>310</v>
      </c>
      <c r="B34" t="s">
        <v>245</v>
      </c>
      <c r="C34" s="106" t="s">
        <v>311</v>
      </c>
    </row>
    <row r="35" spans="1:3" ht="127.5">
      <c r="A35" t="s">
        <v>312</v>
      </c>
      <c r="B35" t="s">
        <v>245</v>
      </c>
      <c r="C35" s="106" t="s">
        <v>313</v>
      </c>
    </row>
    <row r="36" spans="1:3" ht="140.25">
      <c r="A36" t="s">
        <v>314</v>
      </c>
      <c r="B36" t="s">
        <v>245</v>
      </c>
      <c r="C36" s="106" t="s">
        <v>315</v>
      </c>
    </row>
    <row r="37" spans="1:3" ht="89.25">
      <c r="A37" t="s">
        <v>316</v>
      </c>
      <c r="B37" t="s">
        <v>245</v>
      </c>
      <c r="C37" s="106" t="s">
        <v>317</v>
      </c>
    </row>
    <row r="38" spans="1:3" ht="89.25">
      <c r="A38" t="s">
        <v>318</v>
      </c>
      <c r="B38" t="s">
        <v>245</v>
      </c>
      <c r="C38" s="106" t="s">
        <v>319</v>
      </c>
    </row>
    <row r="39" spans="1:3" ht="267.75">
      <c r="A39" t="s">
        <v>320</v>
      </c>
      <c r="B39" t="s">
        <v>245</v>
      </c>
      <c r="C39" s="106" t="s">
        <v>321</v>
      </c>
    </row>
    <row r="40" spans="1:3" ht="165.75">
      <c r="A40" t="s">
        <v>322</v>
      </c>
      <c r="B40" t="s">
        <v>245</v>
      </c>
      <c r="C40" s="106" t="s">
        <v>323</v>
      </c>
    </row>
    <row r="41" spans="1:3" ht="165.75">
      <c r="A41" t="s">
        <v>324</v>
      </c>
      <c r="B41" t="s">
        <v>245</v>
      </c>
      <c r="C41" s="106" t="s">
        <v>323</v>
      </c>
    </row>
    <row r="42" spans="1:3" ht="165.75">
      <c r="A42" t="s">
        <v>325</v>
      </c>
      <c r="B42" t="s">
        <v>245</v>
      </c>
      <c r="C42" s="106" t="s">
        <v>323</v>
      </c>
    </row>
    <row r="43" spans="1:3" ht="165.75">
      <c r="A43" t="s">
        <v>326</v>
      </c>
      <c r="B43" t="s">
        <v>245</v>
      </c>
      <c r="C43" s="106" t="s">
        <v>323</v>
      </c>
    </row>
    <row r="44" spans="1:3" ht="165.75">
      <c r="A44" t="s">
        <v>327</v>
      </c>
      <c r="B44" t="s">
        <v>245</v>
      </c>
      <c r="C44" s="106" t="s">
        <v>328</v>
      </c>
    </row>
  </sheetData>
  <sortState xmlns:xlrd2="http://schemas.microsoft.com/office/spreadsheetml/2017/richdata2" ref="A2:C44">
    <sortCondition ref="A2:A4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92</vt:i4>
      </vt:variant>
    </vt:vector>
  </HeadingPairs>
  <TitlesOfParts>
    <vt:vector size="96" baseType="lpstr">
      <vt:lpstr>Work-Time</vt:lpstr>
      <vt:lpstr>Res-Demand</vt:lpstr>
      <vt:lpstr>tmp</vt:lpstr>
      <vt:lpstr>Comments</vt:lpstr>
      <vt:lpstr>availableFTE</vt:lpstr>
      <vt:lpstr>availableHours</vt:lpstr>
      <vt:lpstr>availableWeeks</vt:lpstr>
      <vt:lpstr>avgUKHours</vt:lpstr>
      <vt:lpstr>clinCONSgrp</vt:lpstr>
      <vt:lpstr>clinMBTgrp</vt:lpstr>
      <vt:lpstr>clinMBTIgrp</vt:lpstr>
      <vt:lpstr>clinSCMgrp</vt:lpstr>
      <vt:lpstr>clinWAITLgrp</vt:lpstr>
      <vt:lpstr>contractFTE</vt:lpstr>
      <vt:lpstr>demASSMT</vt:lpstr>
      <vt:lpstr>demASSMT_SCID</vt:lpstr>
      <vt:lpstr>demASSMTTot</vt:lpstr>
      <vt:lpstr>demCC</vt:lpstr>
      <vt:lpstr>demCONS_GRP</vt:lpstr>
      <vt:lpstr>demKClin_IND</vt:lpstr>
      <vt:lpstr>demLIAISON</vt:lpstr>
      <vt:lpstr>demMBT</vt:lpstr>
      <vt:lpstr>demMBTi</vt:lpstr>
      <vt:lpstr>demMEDRV</vt:lpstr>
      <vt:lpstr>demMedRvMBT</vt:lpstr>
      <vt:lpstr>demSCM_GRP</vt:lpstr>
      <vt:lpstr>demSCM_IND</vt:lpstr>
      <vt:lpstr>demSCREENING</vt:lpstr>
      <vt:lpstr>demWAITL_GRP</vt:lpstr>
      <vt:lpstr>existAbsWTE</vt:lpstr>
      <vt:lpstr>existClinWTE</vt:lpstr>
      <vt:lpstr>f2f_ASSMT</vt:lpstr>
      <vt:lpstr>f2f_ASSMTSCID</vt:lpstr>
      <vt:lpstr>f2f_CC</vt:lpstr>
      <vt:lpstr>f2f_grpCONS</vt:lpstr>
      <vt:lpstr>f2f_grpMBT</vt:lpstr>
      <vt:lpstr>f2f_grpMBTI</vt:lpstr>
      <vt:lpstr>f2f_grpSCM</vt:lpstr>
      <vt:lpstr>f2f_grpWAITL</vt:lpstr>
      <vt:lpstr>f2f_grpWLIST</vt:lpstr>
      <vt:lpstr>f2f_indMBT</vt:lpstr>
      <vt:lpstr>f2f_indSCM</vt:lpstr>
      <vt:lpstr>f2f_LIAISON</vt:lpstr>
      <vt:lpstr>f2f_MBT_GRP</vt:lpstr>
      <vt:lpstr>f2f_MEDRV</vt:lpstr>
      <vt:lpstr>f2f_MEDRVMBT</vt:lpstr>
      <vt:lpstr>f2f_SCREENING</vt:lpstr>
      <vt:lpstr>grpClinFctCONS</vt:lpstr>
      <vt:lpstr>grpClinFctMBT</vt:lpstr>
      <vt:lpstr>grpClinFctMBTI</vt:lpstr>
      <vt:lpstr>grpClinFctSCM</vt:lpstr>
      <vt:lpstr>grpClinFctWAITLIST</vt:lpstr>
      <vt:lpstr>grpCONS_Y</vt:lpstr>
      <vt:lpstr>grpCONSsize</vt:lpstr>
      <vt:lpstr>grpFctCONS</vt:lpstr>
      <vt:lpstr>grpFctMBT</vt:lpstr>
      <vt:lpstr>grpFctMBTI</vt:lpstr>
      <vt:lpstr>grpFctSCM</vt:lpstr>
      <vt:lpstr>grpFctWAITLIST</vt:lpstr>
      <vt:lpstr>grpMBT_Y</vt:lpstr>
      <vt:lpstr>grpMBTI_E</vt:lpstr>
      <vt:lpstr>grpMBTIsize</vt:lpstr>
      <vt:lpstr>grpMBTsize</vt:lpstr>
      <vt:lpstr>grpSCM_Y</vt:lpstr>
      <vt:lpstr>grpSCMsize</vt:lpstr>
      <vt:lpstr>grpWAITL_Y</vt:lpstr>
      <vt:lpstr>grpWAITsize</vt:lpstr>
      <vt:lpstr>indASSMT_E</vt:lpstr>
      <vt:lpstr>indASSMTSCID_E</vt:lpstr>
      <vt:lpstr>indCCOORD_E</vt:lpstr>
      <vt:lpstr>indFct_SCREENING</vt:lpstr>
      <vt:lpstr>indFctASSMT</vt:lpstr>
      <vt:lpstr>indFctASSMT_SCID</vt:lpstr>
      <vt:lpstr>indFctCCOORD</vt:lpstr>
      <vt:lpstr>indFctKEYCLIN</vt:lpstr>
      <vt:lpstr>indFctLIAISON</vt:lpstr>
      <vt:lpstr>indFctMBT</vt:lpstr>
      <vt:lpstr>indFctMEDRV</vt:lpstr>
      <vt:lpstr>indFctMEDRV_MBT</vt:lpstr>
      <vt:lpstr>indFctSCM</vt:lpstr>
      <vt:lpstr>indKEYCLIN_E</vt:lpstr>
      <vt:lpstr>indLIAISON_E</vt:lpstr>
      <vt:lpstr>indMBT_E</vt:lpstr>
      <vt:lpstr>indMEDRV_E</vt:lpstr>
      <vt:lpstr>indMEDRVMBT_E</vt:lpstr>
      <vt:lpstr>indSCM_E</vt:lpstr>
      <vt:lpstr>indScreening</vt:lpstr>
      <vt:lpstr>nrTH1</vt:lpstr>
      <vt:lpstr>nrTH2</vt:lpstr>
      <vt:lpstr>nrTH3</vt:lpstr>
      <vt:lpstr>nrTH4</vt:lpstr>
      <vt:lpstr>prodContH</vt:lpstr>
      <vt:lpstr>rng_Matt</vt:lpstr>
      <vt:lpstr>weeklyDevelopment</vt:lpstr>
      <vt:lpstr>weeklyMeetings</vt:lpstr>
      <vt:lpstr>weeklyOngoing</vt:lpstr>
    </vt:vector>
  </TitlesOfParts>
  <Manager/>
  <Company>NHS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Work Time Model NHS Psychotherapy</dc:title>
  <dc:subject>PD service capacity planning</dc:subject>
  <dc:creator>Roberts.Klotins</dc:creator>
  <cp:keywords/>
  <dc:description>This version of the model tries to keep all the people employed in GREEN.</dc:description>
  <cp:lastModifiedBy>Roberts.Klotins</cp:lastModifiedBy>
  <cp:revision>8</cp:revision>
  <dcterms:created xsi:type="dcterms:W3CDTF">2021-02-08T12:19:45Z</dcterms:created>
  <dcterms:modified xsi:type="dcterms:W3CDTF">2022-05-02T09:24:01Z</dcterms:modified>
  <cp:category>PD</cp:category>
  <cp:contentStatus>version 0.5</cp:contentStatus>
</cp:coreProperties>
</file>