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1" codeName="{00000000-0000-0000-0000-000000000000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Z:\Dropbox\Home\Singletree Ln\"/>
    </mc:Choice>
  </mc:AlternateContent>
  <xr:revisionPtr revIDLastSave="0" documentId="11_85438602EACEFDF27DC52CA058A88D74B3465614" xr6:coauthVersionLast="47" xr6:coauthVersionMax="47" xr10:uidLastSave="{00000000-0000-0000-0000-000000000000}"/>
  <bookViews>
    <workbookView xWindow="0" yWindow="0" windowWidth="28800" windowHeight="12330" xr2:uid="{00000000-000D-0000-FFFF-FFFF00000000}"/>
  </bookViews>
  <sheets>
    <sheet name="2016 Electric Load Calculator" sheetId="1" r:id="rId1"/>
  </sheets>
  <calcPr calcId="191028"/>
  <customWorkbookViews>
    <customWorkbookView name="FinalView" guid="{4EF1DB30-A37B-46A5-AEFC-44ED508FC610}" includeHiddenRowCol="0" xWindow="125" yWindow="125" windowWidth="1440" windowHeight="76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0" i="1" l="1"/>
  <c r="K31" i="1"/>
  <c r="E49" i="1"/>
  <c r="J52" i="1"/>
  <c r="J51" i="1"/>
  <c r="J50" i="1"/>
  <c r="J49" i="1"/>
  <c r="E52" i="1"/>
  <c r="E51" i="1"/>
  <c r="E50" i="1"/>
  <c r="J44" i="1"/>
  <c r="J43" i="1"/>
  <c r="J42" i="1"/>
  <c r="J41" i="1"/>
  <c r="J40" i="1"/>
  <c r="J39" i="1"/>
  <c r="J38" i="1"/>
  <c r="E44" i="1"/>
  <c r="E43" i="1"/>
  <c r="E42" i="1"/>
  <c r="E41" i="1"/>
  <c r="E40" i="1"/>
  <c r="E39" i="1"/>
  <c r="E38" i="1"/>
  <c r="K28" i="1"/>
  <c r="K53" i="1"/>
  <c r="K32" i="1"/>
  <c r="K33" i="1"/>
  <c r="K34" i="1"/>
  <c r="K35" i="1"/>
  <c r="K54" i="1"/>
  <c r="K14" i="1"/>
  <c r="K12" i="1"/>
  <c r="K8" i="1"/>
  <c r="K7" i="1"/>
  <c r="K45" i="1"/>
  <c r="K46" i="1"/>
  <c r="K23" i="1"/>
  <c r="K22" i="1"/>
  <c r="K15" i="1"/>
  <c r="K19" i="1"/>
  <c r="K55" i="1"/>
  <c r="K17" i="1"/>
  <c r="K18" i="1"/>
  <c r="K20" i="1"/>
  <c r="K56" i="1"/>
  <c r="K57" i="1"/>
  <c r="E5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Meagan McWhirter</author>
  </authors>
  <commentList>
    <comment ref="B5" authorId="0" shapeId="0" xr:uid="{00000000-0006-0000-0000-000001000000}">
      <text>
        <r>
          <rPr>
            <sz val="11"/>
            <color theme="1"/>
            <rFont val="Corbel"/>
            <family val="2"/>
            <scheme val="minor"/>
          </rPr>
          <t/>
        </r>
      </text>
    </comment>
    <comment ref="I7" authorId="0" shapeId="0" xr:uid="{00000000-0006-0000-0000-000002000000}">
      <text>
        <r>
          <rPr>
            <sz val="11"/>
            <color theme="1"/>
            <rFont val="Corbel"/>
            <family val="2"/>
            <scheme val="minor"/>
          </rPr>
          <t/>
        </r>
      </text>
    </comment>
    <comment ref="I8" authorId="0" shapeId="0" xr:uid="{00000000-0006-0000-0000-000003000000}">
      <text>
        <r>
          <rPr>
            <sz val="11"/>
            <color theme="1"/>
            <rFont val="Corbel"/>
            <family val="2"/>
            <scheme val="minor"/>
          </rPr>
          <t/>
        </r>
      </text>
    </comment>
    <comment ref="I12" authorId="0" shapeId="0" xr:uid="{00000000-0006-0000-0000-000004000000}">
      <text>
        <r>
          <rPr>
            <sz val="11"/>
            <color theme="1"/>
            <rFont val="Corbel"/>
            <family val="2"/>
            <scheme val="minor"/>
          </rPr>
          <t/>
        </r>
      </text>
    </comment>
    <comment ref="I14" authorId="0" shapeId="0" xr:uid="{00000000-0006-0000-0000-000005000000}">
      <text>
        <r>
          <rPr>
            <sz val="11"/>
            <color theme="1"/>
            <rFont val="Corbel"/>
            <family val="2"/>
            <scheme val="minor"/>
          </rPr>
          <t/>
        </r>
      </text>
    </comment>
    <comment ref="B16" authorId="0" shapeId="0" xr:uid="{00000000-0006-0000-0000-000006000000}">
      <text>
        <r>
          <rPr>
            <sz val="11"/>
            <color theme="1"/>
            <rFont val="Corbel"/>
            <family val="2"/>
            <scheme val="minor"/>
          </rPr>
          <t/>
        </r>
      </text>
    </comment>
    <comment ref="B21" authorId="0" shapeId="0" xr:uid="{00000000-0006-0000-0000-000007000000}">
      <text>
        <r>
          <rPr>
            <sz val="11"/>
            <color theme="1"/>
            <rFont val="Corbel"/>
            <family val="2"/>
            <scheme val="minor"/>
          </rPr>
          <t/>
        </r>
      </text>
    </comment>
    <comment ref="B29" authorId="0" shapeId="0" xr:uid="{00000000-0006-0000-0000-000008000000}">
      <text>
        <r>
          <rPr>
            <sz val="11"/>
            <color theme="1"/>
            <rFont val="Corbel"/>
            <family val="2"/>
            <scheme val="minor"/>
          </rPr>
          <t/>
        </r>
      </text>
    </comment>
    <comment ref="F30" authorId="0" shapeId="0" xr:uid="{00000000-0006-0000-0000-000009000000}">
      <text>
        <r>
          <rPr>
            <sz val="9"/>
            <color indexed="81"/>
            <rFont val="Tahoma"/>
            <family val="2"/>
          </rPr>
          <t>Enter the nameplate wattage of electric heat. i.e., baseboard heat, electric wall heaters, floor heating cables, or supplemental electric heat part of geothermal system, etc.</t>
        </r>
      </text>
    </comment>
    <comment ref="H30" authorId="0" shapeId="0" xr:uid="{00000000-0006-0000-0000-00000A000000}">
      <text>
        <r>
          <rPr>
            <sz val="9"/>
            <color indexed="81"/>
            <rFont val="Tahoma"/>
            <family val="2"/>
          </rPr>
          <t>Select the size and efficiency of the air conditioning condenser or geo-thermal heat pump.</t>
        </r>
      </text>
    </comment>
    <comment ref="B36" authorId="0" shapeId="0" xr:uid="{00000000-0006-0000-0000-00000B000000}">
      <text>
        <r>
          <rPr>
            <sz val="11"/>
            <color theme="1"/>
            <rFont val="Corbel"/>
            <family val="2"/>
            <scheme val="minor"/>
          </rPr>
          <t/>
        </r>
      </text>
    </comment>
    <comment ref="B46" authorId="0" shapeId="0" xr:uid="{00000000-0006-0000-0000-00000C000000}">
      <text>
        <r>
          <rPr>
            <sz val="11"/>
            <color theme="1"/>
            <rFont val="Corbel"/>
            <family val="2"/>
            <scheme val="minor"/>
          </rPr>
          <t/>
        </r>
      </text>
    </comment>
    <comment ref="B47" authorId="0" shapeId="0" xr:uid="{00000000-0006-0000-0000-00000D000000}">
      <text>
        <r>
          <rPr>
            <sz val="11"/>
            <color theme="1"/>
            <rFont val="Corbel"/>
            <family val="2"/>
            <scheme val="minor"/>
          </rPr>
          <t/>
        </r>
      </text>
    </comment>
    <comment ref="E48" authorId="0" shapeId="0" xr:uid="{00000000-0006-0000-0000-00000E000000}">
      <text>
        <r>
          <rPr>
            <sz val="9"/>
            <color indexed="81"/>
            <rFont val="Tahoma"/>
            <family val="2"/>
          </rPr>
          <t>Enter the nameplate amps for the motorized appliance.</t>
        </r>
      </text>
    </comment>
    <comment ref="B54" authorId="0" shapeId="0" xr:uid="{00000000-0006-0000-0000-00000F000000}">
      <text>
        <r>
          <rPr>
            <sz val="11"/>
            <color theme="1"/>
            <rFont val="Corbel"/>
            <family val="2"/>
            <scheme val="minor"/>
          </rPr>
          <t/>
        </r>
      </text>
    </comment>
  </commentList>
</comments>
</file>

<file path=xl/sharedStrings.xml><?xml version="1.0" encoding="utf-8"?>
<sst xmlns="http://schemas.openxmlformats.org/spreadsheetml/2006/main" count="182" uniqueCount="116">
  <si>
    <t>Application #</t>
  </si>
  <si>
    <t>Address :</t>
  </si>
  <si>
    <t>General Lighting Load</t>
  </si>
  <si>
    <r>
      <t>3 va/ft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of floor area, including unused space adaptable for future use.</t>
    </r>
  </si>
  <si>
    <t>Floor Area =</t>
  </si>
  <si>
    <r>
      <t>ft</t>
    </r>
    <r>
      <rPr>
        <b/>
        <vertAlign val="superscript"/>
        <sz val="10"/>
        <rFont val="Arial"/>
        <family val="2"/>
      </rPr>
      <t>2</t>
    </r>
  </si>
  <si>
    <t>va</t>
  </si>
  <si>
    <t>Basement Floor Area =</t>
  </si>
  <si>
    <t>220.52(A)</t>
  </si>
  <si>
    <t>Small Appliance Load</t>
  </si>
  <si>
    <t>1500 va for each 20 amp branch circuit required per 210.1(C)(1) in EACH kitchen, pantry, breakfast room, dining room, or similar areas.</t>
  </si>
  <si>
    <t># of Small Appliance Branch Circuits =</t>
  </si>
  <si>
    <r>
      <rPr>
        <b/>
        <vertAlign val="superscript"/>
        <sz val="10"/>
        <rFont val="Arial"/>
        <family val="2"/>
      </rPr>
      <t>x</t>
    </r>
    <r>
      <rPr>
        <b/>
        <sz val="10"/>
        <rFont val="Arial"/>
        <family val="2"/>
      </rPr>
      <t xml:space="preserve"> 1500 va =</t>
    </r>
  </si>
  <si>
    <t>220.52(B)</t>
  </si>
  <si>
    <t>Laundry Load</t>
  </si>
  <si>
    <t xml:space="preserve"> </t>
  </si>
  <si>
    <t># of Laundry Branch Circuits =</t>
  </si>
  <si>
    <t>Total General Lighting &amp; Appliance Load=</t>
  </si>
  <si>
    <t>Lighting Load Feeder Demand Factors</t>
  </si>
  <si>
    <t>First 3000 or less at 100%</t>
  </si>
  <si>
    <t>From 3001 to 120,000 at 35%</t>
  </si>
  <si>
    <t>Remainder over 120,000 at 25%</t>
  </si>
  <si>
    <t>Total Lighting Demand Load=</t>
  </si>
  <si>
    <t>Electric Clothes Dryers</t>
  </si>
  <si>
    <t>Qty</t>
  </si>
  <si>
    <t>Electric Dryer #1</t>
  </si>
  <si>
    <t>kw</t>
  </si>
  <si>
    <t>w</t>
  </si>
  <si>
    <t>Electric Dryer #2</t>
  </si>
  <si>
    <t>Electric Cooking Demand Load=</t>
  </si>
  <si>
    <t>Fixed Electric Space Heating Loads or Air Conditioning Load:</t>
  </si>
  <si>
    <t>AC#1/Geo</t>
  </si>
  <si>
    <t>AC#2/Geo</t>
  </si>
  <si>
    <t>AC#3/Geo</t>
  </si>
  <si>
    <t>AC#4/Geo</t>
  </si>
  <si>
    <t>AC#5/Geo</t>
  </si>
  <si>
    <t>Appliance load--Dwelling Units</t>
  </si>
  <si>
    <t>Description</t>
  </si>
  <si>
    <t>va(watts)</t>
  </si>
  <si>
    <t>Total Connected Appliance Load =</t>
  </si>
  <si>
    <t>Total Appliance Demand Load =</t>
  </si>
  <si>
    <t>Motor Loads @ 120 Volts</t>
  </si>
  <si>
    <t>Total Motor Load =</t>
  </si>
  <si>
    <t>Several Motors or a Motor(s) and Other Load(s)</t>
  </si>
  <si>
    <t>25% of Largest Motor Load =</t>
  </si>
  <si>
    <t>Total Motor Demand Load =</t>
  </si>
  <si>
    <t>TOTAL CALCULATED DEMAND LOAD in Volt-amperes =</t>
  </si>
  <si>
    <t>TOTAL CALCULATED DEMAND LOAD in AMPS @120/240V 1ph3W =</t>
  </si>
  <si>
    <t>amps</t>
  </si>
  <si>
    <t>EXISTING SERVICE SIZE</t>
  </si>
  <si>
    <t>NEW</t>
  </si>
  <si>
    <t>AMPS</t>
  </si>
  <si>
    <t>MINIMUM SERVICE SIZE</t>
  </si>
  <si>
    <t>SERVICE SIZE REQUESTED =</t>
  </si>
  <si>
    <t>Electric Cooktop Nameplate</t>
  </si>
  <si>
    <t>Electric Range Nameplate</t>
  </si>
  <si>
    <t>Wall Oven Nameplate</t>
  </si>
  <si>
    <t>Air Cleaner</t>
  </si>
  <si>
    <t>Central Furnace</t>
  </si>
  <si>
    <t>Central Vacuum</t>
  </si>
  <si>
    <t>Dishwasher</t>
  </si>
  <si>
    <t>ERV/HRV</t>
  </si>
  <si>
    <t>Elec Car Charger</t>
  </si>
  <si>
    <t>Freezer</t>
  </si>
  <si>
    <t>Instant Hot Water</t>
  </si>
  <si>
    <t>Landscape Ltg</t>
  </si>
  <si>
    <t>Microwave</t>
  </si>
  <si>
    <t>Other</t>
  </si>
  <si>
    <t>Paddle Fan</t>
  </si>
  <si>
    <t>Range Hood</t>
  </si>
  <si>
    <t>Refrigerator</t>
  </si>
  <si>
    <t>Spa/Hot Tub</t>
  </si>
  <si>
    <t>Steam Generator</t>
  </si>
  <si>
    <t>Trash Compactor</t>
  </si>
  <si>
    <t>Vent Fan</t>
  </si>
  <si>
    <t>Warming Drawer</t>
  </si>
  <si>
    <t>Water Heater</t>
  </si>
  <si>
    <t>Whole House Fan</t>
  </si>
  <si>
    <t>Wine Cooler</t>
  </si>
  <si>
    <t>Elevator</t>
  </si>
  <si>
    <t>Hydromassage Tub</t>
  </si>
  <si>
    <t>13 SEER</t>
  </si>
  <si>
    <t>14 SEER</t>
  </si>
  <si>
    <t>16 SEER</t>
  </si>
  <si>
    <t>1.5 Ton</t>
  </si>
  <si>
    <t>2 Ton</t>
  </si>
  <si>
    <t>2.5 Ton</t>
  </si>
  <si>
    <t>3 Ton</t>
  </si>
  <si>
    <t>4 Ton</t>
  </si>
  <si>
    <t>5 Ton</t>
  </si>
  <si>
    <t>kva</t>
  </si>
  <si>
    <t>Total Heat &amp; AC Load =</t>
  </si>
  <si>
    <t xml:space="preserve">Fixed Electric Space Heat #1 </t>
  </si>
  <si>
    <t xml:space="preserve">Fixed Electric Space Heat #2 </t>
  </si>
  <si>
    <t xml:space="preserve">Fixed Electric Space Heat #3 </t>
  </si>
  <si>
    <t xml:space="preserve">Fixed Electric Space Heat #4 </t>
  </si>
  <si>
    <t xml:space="preserve">Fixed Electric Space Heat #5 </t>
  </si>
  <si>
    <t>Electric Cooking-Ranges, Stove Tops and Wall Ovens</t>
  </si>
  <si>
    <t>15 SEER</t>
  </si>
  <si>
    <t>17 SEER</t>
  </si>
  <si>
    <t>1/2hpSump/EjectPump</t>
  </si>
  <si>
    <t>3/4hpSump/EjectPump</t>
  </si>
  <si>
    <t xml:space="preserve">1/3hpGarbage Disposal </t>
  </si>
  <si>
    <t xml:space="preserve">1/2hpGarbage Disposal </t>
  </si>
  <si>
    <t xml:space="preserve">1/3hpPool/Spa Pump </t>
  </si>
  <si>
    <t xml:space="preserve">3/4hpPool/Spa Pump </t>
  </si>
  <si>
    <t xml:space="preserve">1hpPool/Spa Pump </t>
  </si>
  <si>
    <t xml:space="preserve">2hpPool/Spa Pump </t>
  </si>
  <si>
    <t>1/2hpGar/DoorOpener</t>
  </si>
  <si>
    <t>1.5hpPool/Spa Pump</t>
  </si>
  <si>
    <t>1/2hpPool/Spa Pump</t>
  </si>
  <si>
    <t>1/3hpGar/DoorOpener</t>
  </si>
  <si>
    <t>1/3HPpump/Eject Pump</t>
  </si>
  <si>
    <t>City of Naperville</t>
  </si>
  <si>
    <t>CHOOSE</t>
  </si>
  <si>
    <t>2017  Dwelling Unit Electric Service &amp; Feeder Load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</si>
</sst>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43" formatCode="_(* #,##0.00_);_(* \(#,##0.00\);_(* &quot;-&quot;??_);_(@_)"/>
    <numFmt numFmtId="164" formatCode="#,##0.0"/>
    <numFmt numFmtId="165" formatCode="_(* #,##0_);_(* \(#,##0\);_(* &quot;-&quot;??_);_(@_)"/>
    <numFmt numFmtId="166" formatCode="_(* #,##0.0_);_(* \(#,##0.0\);_(* &quot;-&quot;??_);_(@_)"/>
    <numFmt numFmtId="167" formatCode="0.0"/>
  </numFmts>
  <fonts count="22" x14ac:knownFonts="1">
    <font>
      <sz val="11"/>
      <color theme="1"/>
      <name val="Corbel"/>
      <family val="2"/>
      <scheme val="minor"/>
    </font>
    <font>
      <sz val="11"/>
      <color theme="1"/>
      <name val="Corbel"/>
      <family val="2"/>
      <scheme val="minor"/>
    </font>
    <font>
      <sz val="7"/>
      <color rgb="FF3966BF"/>
      <name val="Verdana"/>
      <family val="2"/>
    </font>
    <font>
      <sz val="28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12"/>
      <name val="Arial"/>
      <family val="2"/>
    </font>
    <font>
      <i/>
      <sz val="10"/>
      <name val="Arial"/>
      <family val="2"/>
    </font>
    <font>
      <b/>
      <vertAlign val="superscript"/>
      <sz val="10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2"/>
      <name val="Cambria"/>
      <family val="1"/>
    </font>
    <font>
      <sz val="12"/>
      <name val="Calibri"/>
      <family val="2"/>
    </font>
    <font>
      <sz val="10"/>
      <name val="Calibri"/>
      <family val="2"/>
    </font>
    <font>
      <b/>
      <sz val="11"/>
      <color theme="1"/>
      <name val="Calibri"/>
      <family val="2"/>
    </font>
    <font>
      <b/>
      <sz val="10"/>
      <name val="Calibri"/>
      <family val="2"/>
    </font>
    <font>
      <sz val="14"/>
      <name val="Times New Roman"/>
      <family val="1"/>
    </font>
    <font>
      <b/>
      <sz val="11"/>
      <color theme="1"/>
      <name val="Corbe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0" xfId="0" applyProtection="1">
      <protection hidden="1"/>
    </xf>
    <xf numFmtId="0" fontId="2" fillId="0" borderId="0" xfId="0" applyFont="1" applyBorder="1" applyAlignment="1" applyProtection="1">
      <alignment vertical="center"/>
      <protection hidden="1"/>
    </xf>
    <xf numFmtId="0" fontId="3" fillId="0" borderId="0" xfId="0" applyFont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" fillId="0" borderId="0" xfId="0" applyFont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alignment horizontal="left" vertical="center"/>
      <protection hidden="1"/>
    </xf>
    <xf numFmtId="0" fontId="8" fillId="0" borderId="0" xfId="0" applyFont="1" applyBorder="1" applyAlignment="1" applyProtection="1">
      <alignment vertical="center"/>
      <protection hidden="1"/>
    </xf>
    <xf numFmtId="164" fontId="9" fillId="0" borderId="0" xfId="0" applyNumberFormat="1" applyFont="1" applyBorder="1" applyAlignment="1" applyProtection="1">
      <alignment vertical="center"/>
      <protection hidden="1"/>
    </xf>
    <xf numFmtId="164" fontId="4" fillId="0" borderId="0" xfId="0" applyNumberFormat="1" applyFont="1" applyBorder="1" applyAlignment="1" applyProtection="1">
      <alignment vertical="center"/>
      <protection hidden="1"/>
    </xf>
    <xf numFmtId="165" fontId="4" fillId="0" borderId="2" xfId="0" applyNumberFormat="1" applyFont="1" applyBorder="1" applyAlignment="1" applyProtection="1">
      <alignment vertical="center"/>
      <protection hidden="1"/>
    </xf>
    <xf numFmtId="165" fontId="4" fillId="0" borderId="3" xfId="0" applyNumberFormat="1" applyFont="1" applyBorder="1" applyAlignment="1" applyProtection="1">
      <alignment vertical="center"/>
      <protection hidden="1"/>
    </xf>
    <xf numFmtId="164" fontId="0" fillId="0" borderId="0" xfId="0" applyNumberFormat="1" applyBorder="1" applyAlignment="1" applyProtection="1">
      <alignment vertical="center"/>
      <protection hidden="1"/>
    </xf>
    <xf numFmtId="165" fontId="11" fillId="0" borderId="2" xfId="0" applyNumberFormat="1" applyFont="1" applyBorder="1" applyAlignment="1" applyProtection="1">
      <alignment vertical="center"/>
      <protection hidden="1"/>
    </xf>
    <xf numFmtId="3" fontId="4" fillId="0" borderId="0" xfId="0" applyNumberFormat="1" applyFont="1" applyBorder="1" applyAlignment="1" applyProtection="1">
      <alignment vertical="center"/>
      <protection hidden="1"/>
    </xf>
    <xf numFmtId="165" fontId="4" fillId="0" borderId="0" xfId="0" applyNumberFormat="1" applyFont="1" applyBorder="1" applyAlignment="1" applyProtection="1">
      <alignment vertical="center"/>
      <protection hidden="1"/>
    </xf>
    <xf numFmtId="165" fontId="4" fillId="0" borderId="3" xfId="0" applyNumberFormat="1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5" fontId="4" fillId="2" borderId="3" xfId="0" applyNumberFormat="1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 vertical="center"/>
      <protection hidden="1"/>
    </xf>
    <xf numFmtId="0" fontId="5" fillId="0" borderId="0" xfId="0" applyFont="1" applyBorder="1" applyAlignment="1" applyProtection="1">
      <alignment horizontal="right" vertical="center"/>
      <protection hidden="1"/>
    </xf>
    <xf numFmtId="165" fontId="4" fillId="0" borderId="2" xfId="1" applyNumberFormat="1" applyFont="1" applyBorder="1" applyAlignment="1" applyProtection="1">
      <alignment vertical="center"/>
      <protection hidden="1"/>
    </xf>
    <xf numFmtId="0" fontId="5" fillId="0" borderId="0" xfId="0" applyFont="1" applyAlignment="1" applyProtection="1">
      <alignment vertical="center"/>
      <protection hidden="1"/>
    </xf>
    <xf numFmtId="3" fontId="5" fillId="0" borderId="0" xfId="0" applyNumberFormat="1" applyFont="1" applyFill="1" applyBorder="1" applyAlignment="1" applyProtection="1">
      <alignment vertical="center"/>
      <protection hidden="1"/>
    </xf>
    <xf numFmtId="3" fontId="5" fillId="0" borderId="0" xfId="0" applyNumberFormat="1" applyFont="1" applyAlignment="1" applyProtection="1">
      <alignment vertical="center"/>
      <protection hidden="1"/>
    </xf>
    <xf numFmtId="166" fontId="4" fillId="0" borderId="5" xfId="0" applyNumberFormat="1" applyFont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165" fontId="4" fillId="2" borderId="2" xfId="1" applyNumberFormat="1" applyFont="1" applyFill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165" fontId="4" fillId="2" borderId="3" xfId="1" applyNumberFormat="1" applyFont="1" applyFill="1" applyBorder="1" applyAlignment="1" applyProtection="1">
      <alignment vertical="center"/>
      <protection hidden="1"/>
    </xf>
    <xf numFmtId="2" fontId="4" fillId="0" borderId="0" xfId="0" applyNumberFormat="1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4" fillId="0" borderId="0" xfId="0" applyFont="1" applyAlignment="1" applyProtection="1">
      <alignment vertical="center"/>
      <protection hidden="1"/>
    </xf>
    <xf numFmtId="165" fontId="4" fillId="0" borderId="3" xfId="1" applyNumberFormat="1" applyFont="1" applyBorder="1" applyAlignment="1" applyProtection="1">
      <alignment vertical="center"/>
      <protection hidden="1"/>
    </xf>
    <xf numFmtId="1" fontId="4" fillId="2" borderId="3" xfId="0" applyNumberFormat="1" applyFont="1" applyFill="1" applyBorder="1" applyAlignment="1" applyProtection="1">
      <alignment vertical="center"/>
      <protection hidden="1"/>
    </xf>
    <xf numFmtId="41" fontId="4" fillId="4" borderId="1" xfId="0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 applyProtection="1">
      <alignment horizontal="right"/>
      <protection hidden="1"/>
    </xf>
    <xf numFmtId="167" fontId="0" fillId="0" borderId="0" xfId="0" applyNumberFormat="1" applyProtection="1">
      <protection hidden="1"/>
    </xf>
    <xf numFmtId="0" fontId="4" fillId="3" borderId="1" xfId="0" applyFont="1" applyFill="1" applyBorder="1" applyAlignment="1" applyProtection="1">
      <alignment horizontal="center" vertical="center"/>
      <protection locked="0" hidden="1"/>
    </xf>
    <xf numFmtId="0" fontId="4" fillId="4" borderId="0" xfId="0" applyFont="1" applyFill="1" applyBorder="1" applyAlignment="1" applyProtection="1">
      <alignment vertical="center"/>
      <protection locked="0" hidden="1"/>
    </xf>
    <xf numFmtId="2" fontId="4" fillId="0" borderId="0" xfId="0" applyNumberFormat="1" applyFont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horizontal="left" vertical="center"/>
    </xf>
    <xf numFmtId="0" fontId="4" fillId="0" borderId="0" xfId="0" applyFont="1" applyBorder="1" applyAlignment="1" applyProtection="1">
      <alignment horizontal="left" vertical="center"/>
    </xf>
    <xf numFmtId="41" fontId="4" fillId="2" borderId="2" xfId="1" applyNumberFormat="1" applyFont="1" applyFill="1" applyBorder="1" applyAlignment="1" applyProtection="1">
      <alignment vertical="center"/>
      <protection hidden="1"/>
    </xf>
    <xf numFmtId="49" fontId="0" fillId="0" borderId="0" xfId="0" applyNumberForma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left"/>
      <protection hidden="1"/>
    </xf>
    <xf numFmtId="0" fontId="0" fillId="0" borderId="0" xfId="0" applyNumberFormat="1" applyBorder="1" applyAlignment="1" applyProtection="1">
      <alignment horizontal="right"/>
      <protection hidden="1"/>
    </xf>
    <xf numFmtId="1" fontId="0" fillId="0" borderId="0" xfId="0" applyNumberFormat="1" applyBorder="1" applyAlignment="1" applyProtection="1">
      <alignment horizontal="left"/>
      <protection hidden="1"/>
    </xf>
    <xf numFmtId="0" fontId="5" fillId="0" borderId="0" xfId="0" applyFont="1" applyBorder="1" applyAlignment="1" applyProtection="1">
      <alignment horizontal="center"/>
      <protection hidden="1"/>
    </xf>
    <xf numFmtId="49" fontId="0" fillId="0" borderId="0" xfId="0" applyNumberFormat="1" applyBorder="1" applyProtection="1">
      <protection hidden="1"/>
    </xf>
    <xf numFmtId="49" fontId="0" fillId="0" borderId="0" xfId="0" applyNumberFormat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protection hidden="1"/>
    </xf>
    <xf numFmtId="0" fontId="5" fillId="0" borderId="0" xfId="0" applyFont="1" applyBorder="1" applyProtection="1">
      <protection hidden="1"/>
    </xf>
    <xf numFmtId="0" fontId="4" fillId="0" borderId="0" xfId="0" applyFont="1" applyBorder="1" applyAlignment="1" applyProtection="1">
      <alignment horizontal="right" vertical="center"/>
      <protection hidden="1"/>
    </xf>
    <xf numFmtId="0" fontId="13" fillId="3" borderId="1" xfId="0" applyFont="1" applyFill="1" applyBorder="1" applyAlignment="1" applyProtection="1">
      <alignment vertical="center"/>
      <protection locked="0"/>
    </xf>
    <xf numFmtId="0" fontId="13" fillId="4" borderId="1" xfId="0" applyFont="1" applyFill="1" applyBorder="1" applyAlignment="1" applyProtection="1">
      <alignment vertical="center"/>
      <protection locked="0" hidden="1"/>
    </xf>
    <xf numFmtId="0" fontId="13" fillId="3" borderId="1" xfId="0" applyFont="1" applyFill="1" applyBorder="1" applyAlignment="1" applyProtection="1">
      <alignment vertical="center"/>
      <protection locked="0" hidden="1"/>
    </xf>
    <xf numFmtId="43" fontId="13" fillId="3" borderId="1" xfId="1" applyNumberFormat="1" applyFont="1" applyFill="1" applyBorder="1" applyAlignment="1" applyProtection="1">
      <alignment vertical="center"/>
      <protection locked="0" hidden="1"/>
    </xf>
    <xf numFmtId="43" fontId="13" fillId="4" borderId="1" xfId="1" applyNumberFormat="1" applyFont="1" applyFill="1" applyBorder="1" applyAlignment="1" applyProtection="1">
      <alignment vertical="center"/>
      <protection locked="0" hidden="1"/>
    </xf>
    <xf numFmtId="0" fontId="17" fillId="3" borderId="1" xfId="0" applyFont="1" applyFill="1" applyBorder="1" applyAlignment="1" applyProtection="1">
      <alignment vertical="center"/>
      <protection locked="0" hidden="1"/>
    </xf>
    <xf numFmtId="0" fontId="17" fillId="4" borderId="1" xfId="0" applyFont="1" applyFill="1" applyBorder="1" applyAlignment="1" applyProtection="1">
      <alignment vertical="center"/>
      <protection locked="0" hidden="1"/>
    </xf>
    <xf numFmtId="166" fontId="13" fillId="3" borderId="1" xfId="1" applyNumberFormat="1" applyFont="1" applyFill="1" applyBorder="1" applyAlignment="1" applyProtection="1">
      <alignment vertical="center"/>
      <protection locked="0" hidden="1"/>
    </xf>
    <xf numFmtId="166" fontId="13" fillId="4" borderId="1" xfId="1" applyNumberFormat="1" applyFont="1" applyFill="1" applyBorder="1" applyAlignment="1" applyProtection="1">
      <alignment vertical="center"/>
      <protection locked="0" hidden="1"/>
    </xf>
    <xf numFmtId="166" fontId="13" fillId="3" borderId="1" xfId="1" applyNumberFormat="1" applyFont="1" applyFill="1" applyBorder="1" applyAlignment="1" applyProtection="1">
      <alignment horizontal="center" vertical="center"/>
      <protection locked="0" hidden="1"/>
    </xf>
    <xf numFmtId="0" fontId="13" fillId="4" borderId="1" xfId="0" applyFont="1" applyFill="1" applyBorder="1" applyAlignment="1" applyProtection="1">
      <alignment horizontal="center" vertical="center"/>
      <protection locked="0" hidden="1"/>
    </xf>
    <xf numFmtId="0" fontId="13" fillId="3" borderId="1" xfId="0" applyFont="1" applyFill="1" applyBorder="1" applyAlignment="1" applyProtection="1">
      <alignment horizontal="center" vertical="center"/>
      <protection locked="0" hidden="1"/>
    </xf>
    <xf numFmtId="165" fontId="18" fillId="3" borderId="1" xfId="0" applyNumberFormat="1" applyFont="1" applyFill="1" applyBorder="1" applyAlignment="1" applyProtection="1">
      <alignment vertical="center"/>
      <protection locked="0" hidden="1"/>
    </xf>
    <xf numFmtId="165" fontId="19" fillId="4" borderId="1" xfId="0" applyNumberFormat="1" applyFont="1" applyFill="1" applyBorder="1" applyAlignment="1" applyProtection="1">
      <alignment vertical="center"/>
      <protection locked="0" hidden="1"/>
    </xf>
    <xf numFmtId="165" fontId="19" fillId="3" borderId="1" xfId="0" applyNumberFormat="1" applyFont="1" applyFill="1" applyBorder="1" applyAlignment="1" applyProtection="1">
      <alignment vertical="center"/>
      <protection locked="0" hidden="1"/>
    </xf>
    <xf numFmtId="165" fontId="19" fillId="3" borderId="1" xfId="0" applyNumberFormat="1" applyFont="1" applyFill="1" applyBorder="1" applyAlignment="1" applyProtection="1">
      <alignment horizontal="right" vertical="center"/>
      <protection locked="0" hidden="1"/>
    </xf>
    <xf numFmtId="165" fontId="19" fillId="4" borderId="1" xfId="0" applyNumberFormat="1" applyFont="1" applyFill="1" applyBorder="1" applyAlignment="1" applyProtection="1">
      <alignment horizontal="center" vertical="center"/>
      <protection locked="0" hidden="1"/>
    </xf>
    <xf numFmtId="165" fontId="19" fillId="3" borderId="1" xfId="0" applyNumberFormat="1" applyFont="1" applyFill="1" applyBorder="1" applyAlignment="1" applyProtection="1">
      <alignment horizontal="center" vertical="center"/>
      <protection locked="0" hidden="1"/>
    </xf>
    <xf numFmtId="166" fontId="14" fillId="3" borderId="1" xfId="1" applyNumberFormat="1" applyFont="1" applyFill="1" applyBorder="1" applyAlignment="1" applyProtection="1">
      <alignment horizontal="right" vertical="center"/>
      <protection locked="0" hidden="1"/>
    </xf>
    <xf numFmtId="166" fontId="14" fillId="4" borderId="1" xfId="1" applyNumberFormat="1" applyFont="1" applyFill="1" applyBorder="1" applyAlignment="1" applyProtection="1">
      <alignment horizontal="right" vertical="center"/>
      <protection locked="0" hidden="1"/>
    </xf>
    <xf numFmtId="0" fontId="20" fillId="0" borderId="0" xfId="0" applyFont="1" applyBorder="1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right" vertical="center"/>
      <protection hidden="1"/>
    </xf>
    <xf numFmtId="0" fontId="4" fillId="0" borderId="0" xfId="0" applyFont="1" applyBorder="1" applyAlignment="1" applyProtection="1">
      <alignment horizontal="right" vertical="center"/>
      <protection hidden="1"/>
    </xf>
    <xf numFmtId="0" fontId="4" fillId="0" borderId="4" xfId="0" applyFont="1" applyBorder="1" applyAlignment="1" applyProtection="1">
      <alignment horizontal="right" vertical="center"/>
      <protection hidden="1"/>
    </xf>
    <xf numFmtId="0" fontId="4" fillId="0" borderId="0" xfId="0" applyFont="1" applyBorder="1" applyAlignment="1" applyProtection="1">
      <alignment horizontal="right"/>
      <protection hidden="1"/>
    </xf>
    <xf numFmtId="0" fontId="5" fillId="3" borderId="1" xfId="0" applyNumberFormat="1" applyFont="1" applyFill="1" applyBorder="1" applyAlignment="1" applyProtection="1">
      <alignment vertical="center"/>
      <protection locked="0" hidden="1"/>
    </xf>
    <xf numFmtId="0" fontId="0" fillId="3" borderId="1" xfId="0" applyNumberFormat="1" applyFill="1" applyBorder="1" applyAlignment="1" applyProtection="1">
      <alignment vertical="center"/>
      <protection locked="0" hidden="1"/>
    </xf>
    <xf numFmtId="0" fontId="5" fillId="3" borderId="1" xfId="0" applyFont="1" applyFill="1" applyBorder="1" applyAlignment="1" applyProtection="1">
      <alignment vertical="center"/>
      <protection locked="0" hidden="1"/>
    </xf>
    <xf numFmtId="0" fontId="0" fillId="3" borderId="1" xfId="0" applyFill="1" applyBorder="1" applyAlignment="1" applyProtection="1">
      <alignment vertical="center"/>
      <protection locked="0" hidden="1"/>
    </xf>
    <xf numFmtId="16" fontId="4" fillId="0" borderId="0" xfId="0" applyNumberFormat="1" applyFont="1" applyBorder="1" applyAlignment="1" applyProtection="1">
      <alignment horizontal="right"/>
      <protection hidden="1"/>
    </xf>
    <xf numFmtId="0" fontId="5" fillId="4" borderId="1" xfId="0" applyFont="1" applyFill="1" applyBorder="1" applyAlignment="1" applyProtection="1">
      <alignment vertical="center"/>
      <protection locked="0" hidden="1"/>
    </xf>
    <xf numFmtId="0" fontId="0" fillId="4" borderId="1" xfId="0" applyFill="1" applyBorder="1" applyAlignment="1" applyProtection="1">
      <alignment vertical="center"/>
      <protection locked="0" hidden="1"/>
    </xf>
    <xf numFmtId="164" fontId="4" fillId="0" borderId="0" xfId="0" applyNumberFormat="1" applyFont="1" applyBorder="1" applyAlignment="1" applyProtection="1">
      <alignment horizontal="right"/>
      <protection hidden="1"/>
    </xf>
    <xf numFmtId="0" fontId="0" fillId="0" borderId="0" xfId="0" applyBorder="1" applyAlignment="1" applyProtection="1"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right" vertical="center"/>
      <protection locked="0" hidden="1"/>
    </xf>
    <xf numFmtId="0" fontId="0" fillId="4" borderId="1" xfId="0" applyFill="1" applyBorder="1" applyAlignment="1" applyProtection="1">
      <alignment horizontal="right" vertical="center"/>
      <protection locked="0" hidden="1"/>
    </xf>
    <xf numFmtId="0" fontId="5" fillId="3" borderId="1" xfId="0" applyFont="1" applyFill="1" applyBorder="1" applyAlignment="1" applyProtection="1">
      <alignment horizontal="right" vertical="center"/>
      <protection locked="0" hidden="1"/>
    </xf>
    <xf numFmtId="0" fontId="0" fillId="3" borderId="1" xfId="0" applyFill="1" applyBorder="1" applyAlignment="1" applyProtection="1">
      <alignment horizontal="right" vertical="center"/>
      <protection locked="0" hidden="1"/>
    </xf>
    <xf numFmtId="0" fontId="0" fillId="0" borderId="0" xfId="0" applyBorder="1" applyAlignment="1" applyProtection="1">
      <alignment horizontal="right" vertical="center"/>
      <protection hidden="1"/>
    </xf>
    <xf numFmtId="0" fontId="4" fillId="0" borderId="0" xfId="0" applyFont="1" applyFill="1" applyBorder="1" applyAlignment="1" applyProtection="1">
      <alignment horizontal="right" vertical="center"/>
      <protection hidden="1"/>
    </xf>
    <xf numFmtId="0" fontId="0" fillId="0" borderId="4" xfId="0" applyBorder="1" applyAlignment="1" applyProtection="1">
      <alignment horizontal="right" vertical="center"/>
      <protection hidden="1"/>
    </xf>
    <xf numFmtId="0" fontId="5" fillId="0" borderId="0" xfId="0" applyFont="1" applyBorder="1" applyAlignment="1" applyProtection="1">
      <alignment horizontal="right" vertical="center"/>
      <protection hidden="1"/>
    </xf>
    <xf numFmtId="0" fontId="5" fillId="0" borderId="4" xfId="0" applyFont="1" applyBorder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" fillId="0" borderId="0" xfId="0" applyFont="1" applyBorder="1" applyAlignment="1" applyProtection="1">
      <alignment horizontal="left" vertical="center" wrapText="1"/>
      <protection hidden="1"/>
    </xf>
    <xf numFmtId="49" fontId="15" fillId="3" borderId="1" xfId="0" applyNumberFormat="1" applyFont="1" applyFill="1" applyBorder="1" applyAlignment="1" applyProtection="1">
      <alignment horizontal="left" vertical="center"/>
      <protection locked="0" hidden="1"/>
    </xf>
    <xf numFmtId="49" fontId="15" fillId="3" borderId="1" xfId="0" applyNumberFormat="1" applyFont="1" applyFill="1" applyBorder="1" applyAlignment="1" applyProtection="1">
      <alignment vertical="center"/>
      <protection locked="0" hidden="1"/>
    </xf>
    <xf numFmtId="0" fontId="16" fillId="4" borderId="1" xfId="0" applyFont="1" applyFill="1" applyBorder="1" applyAlignment="1" applyProtection="1">
      <alignment vertical="center"/>
      <protection locked="0" hidden="1"/>
    </xf>
    <xf numFmtId="0" fontId="6" fillId="0" borderId="0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left" vertical="center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</cellXfs>
  <cellStyles count="2">
    <cellStyle name="Comma" xfId="1" builtinId="3"/>
    <cellStyle name="Normal" xfId="0" builtinId="0"/>
  </cellStyles>
  <dxfs count="11">
    <dxf>
      <font>
        <color theme="0"/>
      </font>
      <fill>
        <patternFill>
          <bgColor theme="0" tint="-4.9989318521683403E-2"/>
        </patternFill>
      </fill>
      <border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jpeg"/><Relationship Id="rId7" Type="http://schemas.openxmlformats.org/officeDocument/2006/relationships/image" Target="../media/image8.jpeg"/><Relationship Id="rId12" Type="http://schemas.openxmlformats.org/officeDocument/2006/relationships/image" Target="../media/image13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11" Type="http://schemas.openxmlformats.org/officeDocument/2006/relationships/image" Target="../media/image12.jpeg"/><Relationship Id="rId5" Type="http://schemas.openxmlformats.org/officeDocument/2006/relationships/image" Target="../media/image6.jpeg"/><Relationship Id="rId10" Type="http://schemas.openxmlformats.org/officeDocument/2006/relationships/image" Target="../media/image11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114300</xdr:colOff>
      <xdr:row>0</xdr:row>
      <xdr:rowOff>28575</xdr:rowOff>
    </xdr:from>
    <xdr:to>
      <xdr:col>4</xdr:col>
      <xdr:colOff>638175</xdr:colOff>
      <xdr:row>2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3150" y="28575"/>
          <a:ext cx="523875" cy="523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Headlines">
  <a:themeElements>
    <a:clrScheme name="Headlines">
      <a:dk1>
        <a:sysClr val="windowText" lastClr="000000"/>
      </a:dk1>
      <a:lt1>
        <a:sysClr val="window" lastClr="FFFFFF"/>
      </a:lt1>
      <a:dk2>
        <a:srgbClr val="1D1A1D"/>
      </a:dk2>
      <a:lt2>
        <a:srgbClr val="F5F5F5"/>
      </a:lt2>
      <a:accent1>
        <a:srgbClr val="439EB7"/>
      </a:accent1>
      <a:accent2>
        <a:srgbClr val="E28B55"/>
      </a:accent2>
      <a:accent3>
        <a:srgbClr val="DCB64D"/>
      </a:accent3>
      <a:accent4>
        <a:srgbClr val="4CA198"/>
      </a:accent4>
      <a:accent5>
        <a:srgbClr val="835B82"/>
      </a:accent5>
      <a:accent6>
        <a:srgbClr val="645135"/>
      </a:accent6>
      <a:hlink>
        <a:srgbClr val="439EB7"/>
      </a:hlink>
      <a:folHlink>
        <a:srgbClr val="835B82"/>
      </a:folHlink>
    </a:clrScheme>
    <a:fontScheme name="Headlines">
      <a:majorFont>
        <a:latin typeface="Century Schoolbook" panose="020406040505050203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メイリオ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Headlines">
      <a:fillStyleLst>
        <a:solidFill>
          <a:schemeClr val="phClr"/>
        </a:solidFill>
        <a:solidFill>
          <a:schemeClr val="phClr">
            <a:tint val="67000"/>
            <a:satMod val="105000"/>
          </a:schemeClr>
        </a:solidFill>
        <a:gradFill rotWithShape="1">
          <a:gsLst>
            <a:gs pos="0">
              <a:schemeClr val="phClr">
                <a:tint val="100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0000"/>
                <a:satMod val="120000"/>
                <a:lumMod val="99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6350" cap="flat" cmpd="sng" algn="in">
          <a:solidFill>
            <a:schemeClr val="phClr"/>
          </a:solidFill>
          <a:prstDash val="solid"/>
        </a:ln>
        <a:ln w="12700" cap="flat" cmpd="sng" algn="in">
          <a:solidFill>
            <a:schemeClr val="phClr"/>
          </a:solidFill>
          <a:prstDash val="solid"/>
        </a:ln>
        <a:ln w="19050" cap="flat" cmpd="sng" algn="in">
          <a:solidFill>
            <a:schemeClr val="phClr"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88900" dist="25400" dir="10800000">
              <a:srgbClr val="000000">
                <a:alpha val="25000"/>
              </a:srgbClr>
            </a:innerShdw>
            <a:outerShdw blurRad="25400" dist="25400" dir="5400000" rotWithShape="0">
              <a:srgbClr val="FFFFFF">
                <a:alpha val="10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Headlines" id="{3841520A-25F2-4EB8-BE4C-611DB5ABEED9}" vid="{ECD25A4C-D97E-4C12-84B1-63580BFFAEE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2.v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99"/>
  <sheetViews>
    <sheetView showGridLines="0" showRowColHeaders="0" tabSelected="1" topLeftCell="A16" zoomScale="85" zoomScaleNormal="85" workbookViewId="0">
      <selection activeCell="I25" sqref="I25"/>
    </sheetView>
  </sheetViews>
  <sheetFormatPr defaultColWidth="0" defaultRowHeight="15" zeroHeight="1" x14ac:dyDescent="0.2"/>
  <cols>
    <col min="1" max="1" width="2.7265625" style="1" customWidth="1"/>
    <col min="2" max="7" width="9.23046875" style="1" customWidth="1"/>
    <col min="8" max="8" width="9.75" style="1" customWidth="1"/>
    <col min="9" max="9" width="10.7890625" style="1" customWidth="1"/>
    <col min="10" max="10" width="10.66015625" style="1" customWidth="1"/>
    <col min="11" max="11" width="9.23046875" style="1" customWidth="1"/>
    <col min="12" max="12" width="5.71875" style="1" customWidth="1"/>
    <col min="13" max="13" width="2.7265625" style="1" hidden="1" customWidth="1"/>
    <col min="14" max="26" width="8.96875" style="1" hidden="1" customWidth="1"/>
    <col min="27" max="27" width="8.96875" style="1" customWidth="1"/>
    <col min="28" max="16384" width="7.9296875" style="1" hidden="1"/>
  </cols>
  <sheetData>
    <row r="1" spans="2:12" x14ac:dyDescent="0.2"/>
    <row r="2" spans="2:12" ht="18" customHeight="1" x14ac:dyDescent="0.2">
      <c r="B2" s="2"/>
      <c r="C2" s="112" t="s">
        <v>113</v>
      </c>
      <c r="D2" s="112"/>
      <c r="E2" s="79"/>
      <c r="F2" s="79"/>
      <c r="H2" s="4"/>
      <c r="I2" s="5" t="s">
        <v>0</v>
      </c>
      <c r="J2" s="106" t="s">
        <v>15</v>
      </c>
      <c r="K2" s="107"/>
      <c r="L2" s="107"/>
    </row>
    <row r="3" spans="2:12" ht="18" customHeight="1" x14ac:dyDescent="0.2">
      <c r="B3" s="6"/>
      <c r="C3" s="3"/>
      <c r="D3" s="3"/>
      <c r="E3" s="3"/>
      <c r="F3" s="3"/>
      <c r="H3" s="7"/>
      <c r="I3" s="5" t="s">
        <v>1</v>
      </c>
      <c r="J3" s="108" t="s">
        <v>15</v>
      </c>
      <c r="K3" s="108"/>
      <c r="L3" s="108"/>
    </row>
    <row r="4" spans="2:12" ht="20.25" x14ac:dyDescent="0.2">
      <c r="B4" s="109" t="s">
        <v>115</v>
      </c>
      <c r="C4" s="110"/>
      <c r="D4" s="110"/>
      <c r="E4" s="110"/>
      <c r="F4" s="110"/>
      <c r="G4" s="110"/>
      <c r="H4" s="110"/>
      <c r="I4" s="110"/>
      <c r="J4" s="110"/>
      <c r="K4" s="110"/>
      <c r="L4" s="110"/>
    </row>
    <row r="5" spans="2:12" x14ac:dyDescent="0.2">
      <c r="B5" s="44">
        <v>220.12</v>
      </c>
      <c r="C5" s="111" t="s">
        <v>2</v>
      </c>
      <c r="D5" s="111"/>
      <c r="E5" s="111"/>
      <c r="F5" s="9"/>
      <c r="G5" s="6"/>
      <c r="H5" s="6"/>
      <c r="I5" s="6"/>
      <c r="J5" s="6"/>
      <c r="K5" s="10"/>
      <c r="L5" s="6"/>
    </row>
    <row r="6" spans="2:12" x14ac:dyDescent="0.2">
      <c r="B6" s="4"/>
      <c r="C6" s="111" t="s">
        <v>3</v>
      </c>
      <c r="D6" s="111"/>
      <c r="E6" s="111"/>
      <c r="F6" s="111"/>
      <c r="G6" s="111"/>
      <c r="H6" s="111"/>
      <c r="I6" s="111"/>
      <c r="J6" s="4"/>
      <c r="K6" s="11"/>
      <c r="L6" s="6"/>
    </row>
    <row r="7" spans="2:12" x14ac:dyDescent="0.2">
      <c r="B7" s="6"/>
      <c r="C7" s="6"/>
      <c r="D7" s="6"/>
      <c r="E7" s="6"/>
      <c r="F7" s="6"/>
      <c r="G7" s="102" t="s">
        <v>4</v>
      </c>
      <c r="H7" s="99"/>
      <c r="I7" s="59">
        <v>576</v>
      </c>
      <c r="J7" s="4" t="s">
        <v>5</v>
      </c>
      <c r="K7" s="12">
        <f>3*I7</f>
        <v>1728</v>
      </c>
      <c r="L7" s="4" t="s">
        <v>6</v>
      </c>
    </row>
    <row r="8" spans="2:12" x14ac:dyDescent="0.2">
      <c r="B8" s="6"/>
      <c r="C8" s="6"/>
      <c r="D8" s="6"/>
      <c r="E8" s="102" t="s">
        <v>7</v>
      </c>
      <c r="F8" s="99"/>
      <c r="G8" s="99"/>
      <c r="H8" s="104"/>
      <c r="I8" s="60">
        <v>0</v>
      </c>
      <c r="J8" s="4" t="s">
        <v>5</v>
      </c>
      <c r="K8" s="13">
        <f>3*I8</f>
        <v>0</v>
      </c>
      <c r="L8" s="4" t="s">
        <v>6</v>
      </c>
    </row>
    <row r="9" spans="2:12" x14ac:dyDescent="0.2">
      <c r="B9" s="4" t="s">
        <v>8</v>
      </c>
      <c r="C9" s="111" t="s">
        <v>9</v>
      </c>
      <c r="D9" s="111"/>
      <c r="E9" s="111"/>
      <c r="F9" s="6"/>
      <c r="G9" s="6"/>
      <c r="H9" s="6"/>
      <c r="I9" s="6"/>
      <c r="J9" s="6"/>
      <c r="K9" s="14"/>
      <c r="L9" s="6"/>
    </row>
    <row r="10" spans="2:12" x14ac:dyDescent="0.2">
      <c r="B10" s="6"/>
      <c r="C10" s="105" t="s">
        <v>10</v>
      </c>
      <c r="D10" s="105"/>
      <c r="E10" s="105"/>
      <c r="F10" s="105"/>
      <c r="G10" s="105"/>
      <c r="H10" s="105"/>
      <c r="I10" s="105"/>
      <c r="J10" s="6"/>
      <c r="K10" s="14"/>
      <c r="L10" s="6"/>
    </row>
    <row r="11" spans="2:12" x14ac:dyDescent="0.2">
      <c r="B11" s="6"/>
      <c r="C11" s="105"/>
      <c r="D11" s="105"/>
      <c r="E11" s="105"/>
      <c r="F11" s="105"/>
      <c r="G11" s="105"/>
      <c r="H11" s="105"/>
      <c r="I11" s="105"/>
      <c r="J11" s="6"/>
      <c r="K11" s="14"/>
      <c r="L11" s="6"/>
    </row>
    <row r="12" spans="2:12" x14ac:dyDescent="0.2">
      <c r="B12" s="6"/>
      <c r="C12" s="6"/>
      <c r="E12" s="99" t="s">
        <v>11</v>
      </c>
      <c r="F12" s="99"/>
      <c r="G12" s="99"/>
      <c r="H12" s="101"/>
      <c r="I12" s="61">
        <v>2</v>
      </c>
      <c r="J12" s="4" t="s">
        <v>12</v>
      </c>
      <c r="K12" s="15">
        <f>1500*I12</f>
        <v>3000</v>
      </c>
      <c r="L12" s="4" t="s">
        <v>6</v>
      </c>
    </row>
    <row r="13" spans="2:12" x14ac:dyDescent="0.2">
      <c r="B13" s="4" t="s">
        <v>13</v>
      </c>
      <c r="C13" s="4" t="s">
        <v>14</v>
      </c>
      <c r="D13" s="9"/>
      <c r="E13" s="9"/>
      <c r="F13" s="9"/>
      <c r="G13" s="6"/>
      <c r="H13" s="6"/>
      <c r="I13" s="6" t="s">
        <v>15</v>
      </c>
      <c r="J13" s="7"/>
      <c r="K13" s="16"/>
      <c r="L13" s="4"/>
    </row>
    <row r="14" spans="2:12" x14ac:dyDescent="0.2">
      <c r="B14" s="4"/>
      <c r="C14" s="7" t="s">
        <v>15</v>
      </c>
      <c r="E14" s="9"/>
      <c r="F14" s="102" t="s">
        <v>16</v>
      </c>
      <c r="G14" s="102"/>
      <c r="H14" s="103"/>
      <c r="I14" s="61">
        <v>1</v>
      </c>
      <c r="J14" s="4" t="s">
        <v>12</v>
      </c>
      <c r="K14" s="17">
        <f>1500*I14</f>
        <v>1500</v>
      </c>
      <c r="L14" s="4" t="s">
        <v>6</v>
      </c>
    </row>
    <row r="15" spans="2:12" x14ac:dyDescent="0.2">
      <c r="B15" s="4"/>
      <c r="C15" s="7"/>
      <c r="D15" s="9"/>
      <c r="E15" s="9"/>
      <c r="F15" s="81" t="s">
        <v>17</v>
      </c>
      <c r="G15" s="99"/>
      <c r="H15" s="99"/>
      <c r="I15" s="99"/>
      <c r="J15" s="99"/>
      <c r="K15" s="18">
        <f>SUM(K8,K12,K14,K7)</f>
        <v>6228</v>
      </c>
      <c r="L15" s="4" t="s">
        <v>6</v>
      </c>
    </row>
    <row r="16" spans="2:12" x14ac:dyDescent="0.2">
      <c r="B16" s="44">
        <v>220.42</v>
      </c>
      <c r="C16" s="4" t="s">
        <v>18</v>
      </c>
      <c r="D16" s="6"/>
      <c r="E16" s="6"/>
      <c r="F16" s="6"/>
      <c r="G16" s="6"/>
      <c r="H16" s="6"/>
      <c r="I16" s="6"/>
      <c r="J16" s="6"/>
      <c r="K16" s="11"/>
      <c r="L16" s="4"/>
    </row>
    <row r="17" spans="2:12" x14ac:dyDescent="0.2">
      <c r="B17" s="6"/>
      <c r="C17" s="6"/>
      <c r="E17" s="6" t="s">
        <v>19</v>
      </c>
      <c r="G17" s="6"/>
      <c r="H17" s="6"/>
      <c r="I17" s="6"/>
      <c r="J17" s="6"/>
      <c r="K17" s="12">
        <f>IF(K15&gt;3000,3000,K15)</f>
        <v>3000</v>
      </c>
      <c r="L17" s="4" t="s">
        <v>6</v>
      </c>
    </row>
    <row r="18" spans="2:12" x14ac:dyDescent="0.2">
      <c r="B18" s="6"/>
      <c r="C18" s="6"/>
      <c r="E18" s="6" t="s">
        <v>20</v>
      </c>
      <c r="G18" s="6"/>
      <c r="H18" s="6"/>
      <c r="I18" s="6"/>
      <c r="J18" s="6"/>
      <c r="K18" s="12">
        <f>(K15-K17)*0.35</f>
        <v>1129.8</v>
      </c>
      <c r="L18" s="4" t="s">
        <v>6</v>
      </c>
    </row>
    <row r="19" spans="2:12" x14ac:dyDescent="0.2">
      <c r="B19" s="6"/>
      <c r="C19" s="6"/>
      <c r="E19" s="6" t="s">
        <v>21</v>
      </c>
      <c r="G19" s="6"/>
      <c r="H19" s="6"/>
      <c r="I19" s="6"/>
      <c r="J19" s="6"/>
      <c r="K19" s="17">
        <f>IF(K15&gt;120000,(K15-123000)*0.25,0)</f>
        <v>0</v>
      </c>
      <c r="L19" s="19" t="s">
        <v>6</v>
      </c>
    </row>
    <row r="20" spans="2:12" x14ac:dyDescent="0.2">
      <c r="B20" s="6"/>
      <c r="C20" s="6"/>
      <c r="D20" s="6"/>
      <c r="E20" s="6"/>
      <c r="F20" s="6"/>
      <c r="G20" s="81" t="s">
        <v>22</v>
      </c>
      <c r="H20" s="104"/>
      <c r="I20" s="104"/>
      <c r="J20" s="104"/>
      <c r="K20" s="20">
        <f>SUM(K17,K18,K19)</f>
        <v>4129.8</v>
      </c>
      <c r="L20" s="19" t="s">
        <v>6</v>
      </c>
    </row>
    <row r="21" spans="2:12" x14ac:dyDescent="0.2">
      <c r="B21" s="44">
        <v>220.54</v>
      </c>
      <c r="C21" s="4" t="s">
        <v>23</v>
      </c>
      <c r="D21" s="9"/>
      <c r="E21" s="9"/>
      <c r="F21" s="9"/>
      <c r="G21" s="6"/>
      <c r="H21" s="6"/>
      <c r="I21" s="6"/>
      <c r="J21" s="4"/>
      <c r="K21" s="14"/>
      <c r="L21" s="6"/>
    </row>
    <row r="22" spans="2:12" x14ac:dyDescent="0.2">
      <c r="B22" s="4"/>
      <c r="C22" s="6"/>
      <c r="D22" s="21" t="s">
        <v>24</v>
      </c>
      <c r="E22" s="64">
        <v>1</v>
      </c>
      <c r="F22" s="6"/>
      <c r="H22" s="22" t="s">
        <v>25</v>
      </c>
      <c r="I22" s="62">
        <v>6</v>
      </c>
      <c r="J22" s="4" t="s">
        <v>26</v>
      </c>
      <c r="K22" s="23">
        <f>IF(AND(I22&lt;&gt;0,I22&lt;=5),5000,I22*1000)*E22</f>
        <v>6000</v>
      </c>
      <c r="L22" s="4" t="s">
        <v>27</v>
      </c>
    </row>
    <row r="23" spans="2:12" x14ac:dyDescent="0.2">
      <c r="B23" s="4"/>
      <c r="C23" s="6"/>
      <c r="D23" s="21" t="s">
        <v>24</v>
      </c>
      <c r="E23" s="65">
        <v>0</v>
      </c>
      <c r="F23" s="6"/>
      <c r="H23" s="22" t="s">
        <v>28</v>
      </c>
      <c r="I23" s="63">
        <v>0</v>
      </c>
      <c r="J23" s="4" t="s">
        <v>26</v>
      </c>
      <c r="K23" s="23">
        <f>IF(AND(I23&lt;&gt;0,I23&lt;=5),5000,I23*1000)*E23</f>
        <v>0</v>
      </c>
      <c r="L23" s="4" t="s">
        <v>27</v>
      </c>
    </row>
    <row r="24" spans="2:12" x14ac:dyDescent="0.2">
      <c r="B24" s="8">
        <v>220.55</v>
      </c>
      <c r="C24" s="4" t="s">
        <v>97</v>
      </c>
      <c r="D24" s="4"/>
      <c r="E24" s="6"/>
      <c r="F24" s="6"/>
      <c r="G24" s="6"/>
      <c r="H24" s="6"/>
      <c r="I24" s="6"/>
      <c r="J24" s="6"/>
      <c r="K24" s="14"/>
      <c r="L24" s="6"/>
    </row>
    <row r="25" spans="2:12" x14ac:dyDescent="0.2">
      <c r="B25" s="4"/>
      <c r="C25" s="4"/>
      <c r="D25" s="21" t="s">
        <v>24</v>
      </c>
      <c r="E25" s="64">
        <v>1</v>
      </c>
      <c r="F25" s="97" t="s">
        <v>56</v>
      </c>
      <c r="G25" s="98"/>
      <c r="H25" s="98"/>
      <c r="I25" s="62">
        <v>0</v>
      </c>
      <c r="J25" s="4" t="s">
        <v>26</v>
      </c>
      <c r="K25" s="24"/>
      <c r="L25" s="6"/>
    </row>
    <row r="26" spans="2:12" x14ac:dyDescent="0.2">
      <c r="B26" s="4"/>
      <c r="C26" s="4"/>
      <c r="D26" s="21" t="s">
        <v>24</v>
      </c>
      <c r="E26" s="65">
        <v>1</v>
      </c>
      <c r="F26" s="95" t="s">
        <v>55</v>
      </c>
      <c r="G26" s="96"/>
      <c r="H26" s="96"/>
      <c r="I26" s="63">
        <v>0</v>
      </c>
      <c r="J26" s="4" t="s">
        <v>26</v>
      </c>
      <c r="K26" s="24"/>
      <c r="L26" s="6"/>
    </row>
    <row r="27" spans="2:12" x14ac:dyDescent="0.2">
      <c r="B27" s="6"/>
      <c r="C27" s="7"/>
      <c r="D27" s="21" t="s">
        <v>24</v>
      </c>
      <c r="E27" s="64">
        <v>0</v>
      </c>
      <c r="F27" s="97" t="s">
        <v>56</v>
      </c>
      <c r="G27" s="98"/>
      <c r="H27" s="98"/>
      <c r="I27" s="62">
        <v>0</v>
      </c>
      <c r="J27" s="4" t="s">
        <v>26</v>
      </c>
      <c r="K27" s="24"/>
      <c r="L27" s="6"/>
    </row>
    <row r="28" spans="2:12" x14ac:dyDescent="0.2">
      <c r="B28" s="6"/>
      <c r="C28" s="7"/>
      <c r="D28" s="7"/>
      <c r="E28" s="7"/>
      <c r="F28" s="7"/>
      <c r="G28" s="81" t="s">
        <v>29</v>
      </c>
      <c r="H28" s="99"/>
      <c r="I28" s="99"/>
      <c r="J28" s="99"/>
      <c r="K28" s="45" t="e">
        <f ca="1">ECOOKS(I25,I26,I27,E25,E26,E27)*1000</f>
        <v>#NAME?</v>
      </c>
      <c r="L28" s="4" t="s">
        <v>27</v>
      </c>
    </row>
    <row r="29" spans="2:12" x14ac:dyDescent="0.2">
      <c r="B29" s="44">
        <v>220.51</v>
      </c>
      <c r="C29" s="4" t="s">
        <v>30</v>
      </c>
      <c r="D29" s="6"/>
      <c r="E29" s="6"/>
      <c r="F29" s="6"/>
      <c r="G29" s="6"/>
      <c r="H29" s="6"/>
      <c r="I29" s="6"/>
      <c r="J29" s="25"/>
      <c r="K29" s="26"/>
      <c r="L29" s="6"/>
    </row>
    <row r="30" spans="2:12" x14ac:dyDescent="0.2">
      <c r="B30" s="4"/>
      <c r="C30" s="99" t="s">
        <v>92</v>
      </c>
      <c r="D30" s="99"/>
      <c r="E30" s="101"/>
      <c r="F30" s="66">
        <v>0</v>
      </c>
      <c r="G30" s="4" t="s">
        <v>26</v>
      </c>
      <c r="H30" s="6" t="s">
        <v>31</v>
      </c>
      <c r="I30" s="77"/>
      <c r="J30" s="68"/>
      <c r="K30" s="27">
        <f>IF(OR($I30="",$J30=""),0,(LOOKUP($J30,$G$77:$H$82)/LOOKUP($I30,$E$77:$F$81)/240))</f>
        <v>0</v>
      </c>
      <c r="L30" s="4" t="s">
        <v>90</v>
      </c>
    </row>
    <row r="31" spans="2:12" x14ac:dyDescent="0.2">
      <c r="B31" s="4"/>
      <c r="C31" s="99" t="s">
        <v>93</v>
      </c>
      <c r="D31" s="99"/>
      <c r="E31" s="101"/>
      <c r="F31" s="67">
        <v>0</v>
      </c>
      <c r="G31" s="4" t="s">
        <v>26</v>
      </c>
      <c r="H31" s="6" t="s">
        <v>32</v>
      </c>
      <c r="I31" s="78"/>
      <c r="J31" s="69"/>
      <c r="K31" s="27">
        <f>IF(OR($I31="",$J31=""),0,(LOOKUP($J31,$G$77:$H$82)/LOOKUP($I31,$E$77:$F$81)/240))</f>
        <v>0</v>
      </c>
      <c r="L31" s="4" t="s">
        <v>90</v>
      </c>
    </row>
    <row r="32" spans="2:12" x14ac:dyDescent="0.2">
      <c r="B32" s="4"/>
      <c r="C32" s="99" t="s">
        <v>94</v>
      </c>
      <c r="D32" s="99"/>
      <c r="E32" s="101"/>
      <c r="F32" s="66">
        <v>0</v>
      </c>
      <c r="G32" s="4" t="s">
        <v>26</v>
      </c>
      <c r="H32" s="6" t="s">
        <v>33</v>
      </c>
      <c r="I32" s="77"/>
      <c r="J32" s="70"/>
      <c r="K32" s="27">
        <f t="shared" ref="K32:K34" si="0">IF(OR($I32="",$J32=""),0,(LOOKUP($J32,$G$77:$H$82)/LOOKUP($I32,$E$77:$F$81)/240))</f>
        <v>0</v>
      </c>
      <c r="L32" s="4" t="s">
        <v>90</v>
      </c>
    </row>
    <row r="33" spans="2:12" x14ac:dyDescent="0.2">
      <c r="B33" s="4"/>
      <c r="C33" s="99" t="s">
        <v>95</v>
      </c>
      <c r="D33" s="99"/>
      <c r="E33" s="101"/>
      <c r="F33" s="67">
        <v>0</v>
      </c>
      <c r="G33" s="4" t="s">
        <v>26</v>
      </c>
      <c r="H33" s="6" t="s">
        <v>34</v>
      </c>
      <c r="I33" s="78"/>
      <c r="J33" s="69"/>
      <c r="K33" s="27">
        <f t="shared" si="0"/>
        <v>0</v>
      </c>
      <c r="L33" s="4" t="s">
        <v>90</v>
      </c>
    </row>
    <row r="34" spans="2:12" x14ac:dyDescent="0.2">
      <c r="B34" s="4"/>
      <c r="C34" s="99" t="s">
        <v>96</v>
      </c>
      <c r="D34" s="99"/>
      <c r="E34" s="101"/>
      <c r="F34" s="66">
        <v>0</v>
      </c>
      <c r="G34" s="4" t="s">
        <v>26</v>
      </c>
      <c r="H34" s="7" t="s">
        <v>35</v>
      </c>
      <c r="I34" s="77"/>
      <c r="J34" s="70"/>
      <c r="K34" s="27">
        <f t="shared" si="0"/>
        <v>0</v>
      </c>
      <c r="L34" s="4" t="s">
        <v>90</v>
      </c>
    </row>
    <row r="35" spans="2:12" x14ac:dyDescent="0.2">
      <c r="B35" s="4"/>
      <c r="C35" s="28"/>
      <c r="D35" s="6"/>
      <c r="E35" s="6"/>
      <c r="F35" s="28"/>
      <c r="G35" s="28"/>
      <c r="H35" s="100" t="s">
        <v>91</v>
      </c>
      <c r="I35" s="100"/>
      <c r="J35" s="100"/>
      <c r="K35" s="29">
        <f>SUM(F30:F34,K30:K34)*1000</f>
        <v>0</v>
      </c>
      <c r="L35" s="4" t="s">
        <v>6</v>
      </c>
    </row>
    <row r="36" spans="2:12" x14ac:dyDescent="0.2">
      <c r="B36" s="44">
        <v>220.14</v>
      </c>
      <c r="C36" s="4" t="s">
        <v>36</v>
      </c>
      <c r="D36" s="6"/>
      <c r="E36" s="6"/>
      <c r="F36" s="6"/>
      <c r="G36" s="6"/>
      <c r="H36" s="6"/>
      <c r="I36" s="6"/>
      <c r="J36" s="6"/>
      <c r="K36" s="14"/>
      <c r="L36" s="6"/>
    </row>
    <row r="37" spans="2:12" x14ac:dyDescent="0.2">
      <c r="B37" s="30" t="s">
        <v>24</v>
      </c>
      <c r="C37" s="93" t="s">
        <v>37</v>
      </c>
      <c r="D37" s="93"/>
      <c r="E37" s="30" t="s">
        <v>38</v>
      </c>
      <c r="F37" s="30"/>
      <c r="G37" s="30" t="s">
        <v>24</v>
      </c>
      <c r="H37" s="93" t="s">
        <v>37</v>
      </c>
      <c r="I37" s="93"/>
      <c r="J37" s="30" t="s">
        <v>38</v>
      </c>
      <c r="K37" s="14"/>
      <c r="L37" s="6"/>
    </row>
    <row r="38" spans="2:12" x14ac:dyDescent="0.2">
      <c r="B38" s="64">
        <v>2</v>
      </c>
      <c r="C38" s="86" t="s">
        <v>58</v>
      </c>
      <c r="D38" s="87"/>
      <c r="E38" s="71">
        <f t="shared" ref="E38:E44" si="1">IF($C38="",0,LOOKUP($C38,$C$61:$C$82,$D$61:$D$82)*B38)</f>
        <v>2400</v>
      </c>
      <c r="F38" s="4"/>
      <c r="G38" s="64">
        <v>0</v>
      </c>
      <c r="H38" s="86"/>
      <c r="I38" s="87"/>
      <c r="J38" s="73">
        <f t="shared" ref="J38:J44" si="2">IF($H38="",0,LOOKUP($H38,$C$61:$C$82,$D$61:$D$82)*G38)</f>
        <v>0</v>
      </c>
      <c r="K38" s="4"/>
      <c r="L38" s="6"/>
    </row>
    <row r="39" spans="2:12" x14ac:dyDescent="0.2">
      <c r="B39" s="65">
        <v>1</v>
      </c>
      <c r="C39" s="89" t="s">
        <v>60</v>
      </c>
      <c r="D39" s="90"/>
      <c r="E39" s="72">
        <f t="shared" si="1"/>
        <v>1200</v>
      </c>
      <c r="F39" s="4"/>
      <c r="G39" s="65">
        <v>0</v>
      </c>
      <c r="H39" s="89"/>
      <c r="I39" s="90"/>
      <c r="J39" s="72">
        <f t="shared" si="2"/>
        <v>0</v>
      </c>
      <c r="K39" s="4"/>
      <c r="L39" s="6"/>
    </row>
    <row r="40" spans="2:12" x14ac:dyDescent="0.2">
      <c r="B40" s="64">
        <v>1</v>
      </c>
      <c r="C40" s="86" t="s">
        <v>70</v>
      </c>
      <c r="D40" s="87"/>
      <c r="E40" s="73">
        <f t="shared" si="1"/>
        <v>1440</v>
      </c>
      <c r="F40" s="4"/>
      <c r="G40" s="64">
        <v>0</v>
      </c>
      <c r="H40" s="86"/>
      <c r="I40" s="87"/>
      <c r="J40" s="73">
        <f t="shared" si="2"/>
        <v>0</v>
      </c>
      <c r="K40" s="4"/>
      <c r="L40" s="6"/>
    </row>
    <row r="41" spans="2:12" x14ac:dyDescent="0.2">
      <c r="B41" s="65">
        <v>1</v>
      </c>
      <c r="C41" s="89" t="s">
        <v>66</v>
      </c>
      <c r="D41" s="90"/>
      <c r="E41" s="72">
        <f t="shared" si="1"/>
        <v>1580</v>
      </c>
      <c r="F41" s="4"/>
      <c r="G41" s="65">
        <v>0</v>
      </c>
      <c r="H41" s="89"/>
      <c r="I41" s="90"/>
      <c r="J41" s="72">
        <f t="shared" si="2"/>
        <v>0</v>
      </c>
      <c r="K41" s="4"/>
      <c r="L41" s="6"/>
    </row>
    <row r="42" spans="2:12" x14ac:dyDescent="0.2">
      <c r="B42" s="64">
        <v>1</v>
      </c>
      <c r="C42" s="86" t="s">
        <v>69</v>
      </c>
      <c r="D42" s="87"/>
      <c r="E42" s="73">
        <f t="shared" si="1"/>
        <v>240</v>
      </c>
      <c r="F42" s="4"/>
      <c r="G42" s="64">
        <v>0</v>
      </c>
      <c r="H42" s="86"/>
      <c r="I42" s="87"/>
      <c r="J42" s="73">
        <f t="shared" si="2"/>
        <v>0</v>
      </c>
      <c r="K42" s="4"/>
      <c r="L42" s="6"/>
    </row>
    <row r="43" spans="2:12" x14ac:dyDescent="0.2">
      <c r="B43" s="65">
        <v>4</v>
      </c>
      <c r="C43" s="89" t="s">
        <v>74</v>
      </c>
      <c r="D43" s="90"/>
      <c r="E43" s="72">
        <f t="shared" si="1"/>
        <v>400</v>
      </c>
      <c r="F43" s="4"/>
      <c r="G43" s="65">
        <v>0</v>
      </c>
      <c r="H43" s="89"/>
      <c r="I43" s="90"/>
      <c r="J43" s="72">
        <f t="shared" si="2"/>
        <v>0</v>
      </c>
      <c r="K43" s="4"/>
      <c r="L43" s="6"/>
    </row>
    <row r="44" spans="2:12" x14ac:dyDescent="0.2">
      <c r="B44" s="64">
        <v>2</v>
      </c>
      <c r="C44" s="86" t="s">
        <v>68</v>
      </c>
      <c r="D44" s="87"/>
      <c r="E44" s="73">
        <f t="shared" si="1"/>
        <v>180</v>
      </c>
      <c r="F44" s="4"/>
      <c r="G44" s="64">
        <v>0</v>
      </c>
      <c r="H44" s="86"/>
      <c r="I44" s="87"/>
      <c r="J44" s="73">
        <f t="shared" si="2"/>
        <v>0</v>
      </c>
      <c r="K44" s="4"/>
      <c r="L44" s="6"/>
    </row>
    <row r="45" spans="2:12" x14ac:dyDescent="0.2">
      <c r="B45" s="4"/>
      <c r="C45" s="7"/>
      <c r="D45" s="6"/>
      <c r="E45" s="6"/>
      <c r="F45" s="6"/>
      <c r="G45" s="91" t="s">
        <v>39</v>
      </c>
      <c r="H45" s="92"/>
      <c r="I45" s="92"/>
      <c r="J45" s="92"/>
      <c r="K45" s="23">
        <f>SUM(E38:E44,J38:J44)</f>
        <v>7440</v>
      </c>
      <c r="L45" s="4" t="s">
        <v>6</v>
      </c>
    </row>
    <row r="46" spans="2:12" x14ac:dyDescent="0.2">
      <c r="B46" s="44">
        <v>220.53</v>
      </c>
      <c r="C46" s="4" t="s">
        <v>36</v>
      </c>
      <c r="D46" s="6"/>
      <c r="E46" s="6"/>
      <c r="F46" s="6"/>
      <c r="G46" s="83" t="s">
        <v>40</v>
      </c>
      <c r="H46" s="83"/>
      <c r="I46" s="83"/>
      <c r="J46" s="83"/>
      <c r="K46" s="31">
        <f>IF(SUM(B38:B44,G38:G44)&gt;3,0.75*K45,K45)</f>
        <v>5580</v>
      </c>
      <c r="L46" s="4" t="s">
        <v>6</v>
      </c>
    </row>
    <row r="47" spans="2:12" x14ac:dyDescent="0.2">
      <c r="B47" s="42">
        <v>220.5</v>
      </c>
      <c r="C47" s="4" t="s">
        <v>41</v>
      </c>
      <c r="D47" s="6"/>
      <c r="E47" s="6"/>
      <c r="F47" s="6"/>
      <c r="G47" s="6"/>
      <c r="H47" s="6"/>
      <c r="I47" s="6"/>
      <c r="J47" s="6"/>
      <c r="K47" s="14"/>
      <c r="L47" s="6"/>
    </row>
    <row r="48" spans="2:12" x14ac:dyDescent="0.2">
      <c r="B48" s="32" t="s">
        <v>24</v>
      </c>
      <c r="C48" s="93" t="s">
        <v>37</v>
      </c>
      <c r="D48" s="94"/>
      <c r="E48" s="30" t="s">
        <v>38</v>
      </c>
      <c r="F48" s="30"/>
      <c r="G48" s="30" t="s">
        <v>24</v>
      </c>
      <c r="H48" s="93" t="s">
        <v>37</v>
      </c>
      <c r="I48" s="93"/>
      <c r="J48" s="30" t="s">
        <v>38</v>
      </c>
      <c r="K48" s="14"/>
      <c r="L48" s="6"/>
    </row>
    <row r="49" spans="2:30" x14ac:dyDescent="0.2">
      <c r="B49" s="64">
        <v>1</v>
      </c>
      <c r="C49" s="84" t="s">
        <v>100</v>
      </c>
      <c r="D49" s="85"/>
      <c r="E49" s="74">
        <f>IF(C49="",0,VLOOKUP(C49,G61:H75,2,FALSE))</f>
        <v>375</v>
      </c>
      <c r="F49" s="4"/>
      <c r="G49" s="64">
        <v>0</v>
      </c>
      <c r="H49" s="86"/>
      <c r="I49" s="87"/>
      <c r="J49" s="72">
        <f>IF(H49="",0,VLOOKUP(H49,G61:H75,2,FALSE))</f>
        <v>0</v>
      </c>
      <c r="K49" s="4"/>
      <c r="L49" s="6"/>
    </row>
    <row r="50" spans="2:30" x14ac:dyDescent="0.2">
      <c r="B50" s="65">
        <v>1</v>
      </c>
      <c r="C50" s="89" t="s">
        <v>103</v>
      </c>
      <c r="D50" s="90"/>
      <c r="E50" s="75">
        <f>IF(C50="",0,VLOOKUP(C50,G61:H75,2,FALSE))</f>
        <v>375</v>
      </c>
      <c r="F50" s="4"/>
      <c r="G50" s="65">
        <v>0</v>
      </c>
      <c r="H50" s="89"/>
      <c r="I50" s="90"/>
      <c r="J50" s="72">
        <f>IF(H50="",0,VLOOKUP(H50,G61:H75,2,FALSE))</f>
        <v>0</v>
      </c>
      <c r="K50" s="4"/>
      <c r="L50" s="6"/>
    </row>
    <row r="51" spans="2:30" x14ac:dyDescent="0.2">
      <c r="B51" s="64">
        <v>2</v>
      </c>
      <c r="C51" s="86" t="s">
        <v>108</v>
      </c>
      <c r="D51" s="87"/>
      <c r="E51" s="76">
        <f>IF(C51="",0,VLOOKUP(C51,G61:H75,2,FALSE))</f>
        <v>375</v>
      </c>
      <c r="F51" s="4"/>
      <c r="G51" s="64">
        <v>0</v>
      </c>
      <c r="H51" s="86"/>
      <c r="I51" s="87"/>
      <c r="J51" s="73">
        <f>IF(H51="",0,VLOOKUP(H51,G61:H75,2,FALSE))</f>
        <v>0</v>
      </c>
      <c r="K51" s="4"/>
      <c r="L51" s="6"/>
    </row>
    <row r="52" spans="2:30" x14ac:dyDescent="0.2">
      <c r="B52" s="65">
        <v>0</v>
      </c>
      <c r="C52" s="89"/>
      <c r="D52" s="90"/>
      <c r="E52" s="72">
        <f>IF(C52="",0,VLOOKUP(C52,G61:H75,2,FALSE))</f>
        <v>0</v>
      </c>
      <c r="F52" s="4"/>
      <c r="G52" s="65">
        <v>0</v>
      </c>
      <c r="H52" s="89"/>
      <c r="I52" s="90"/>
      <c r="J52" s="72">
        <f>IF(H52="",0,VLOOKUP(H52,G61:H75,2,FALSE))</f>
        <v>0</v>
      </c>
      <c r="K52" s="4"/>
      <c r="L52" s="6"/>
    </row>
    <row r="53" spans="2:30" x14ac:dyDescent="0.2">
      <c r="B53" s="6"/>
      <c r="C53" s="6"/>
      <c r="D53" s="6"/>
      <c r="E53" s="6"/>
      <c r="F53" s="6"/>
      <c r="G53" s="6"/>
      <c r="H53" s="33"/>
      <c r="I53" s="88" t="s">
        <v>42</v>
      </c>
      <c r="J53" s="83"/>
      <c r="K53" s="23">
        <f>SUM(B49*E49,B50*E50,B51*E51,B52*E52,G49*J49,G50*J50,G51*J51,G52*J52)</f>
        <v>1500</v>
      </c>
      <c r="L53" s="4" t="s">
        <v>6</v>
      </c>
    </row>
    <row r="54" spans="2:30" x14ac:dyDescent="0.2">
      <c r="B54" s="43">
        <v>430.24</v>
      </c>
      <c r="C54" s="34" t="s">
        <v>43</v>
      </c>
      <c r="D54" s="6"/>
      <c r="E54" s="6"/>
      <c r="F54" s="6"/>
      <c r="G54" s="5"/>
      <c r="H54" s="83" t="s">
        <v>44</v>
      </c>
      <c r="I54" s="83"/>
      <c r="J54" s="83"/>
      <c r="K54" s="35">
        <f>IF(K53=0,0,MAX(E49:E52,J49:J52)*0.25)</f>
        <v>93.75</v>
      </c>
      <c r="L54" s="4" t="s">
        <v>6</v>
      </c>
    </row>
    <row r="55" spans="2:30" x14ac:dyDescent="0.2">
      <c r="B55" s="4"/>
      <c r="C55" s="4"/>
      <c r="D55" s="6"/>
      <c r="E55" s="6"/>
      <c r="F55" s="6"/>
      <c r="G55" s="6"/>
      <c r="H55" s="83" t="s">
        <v>45</v>
      </c>
      <c r="I55" s="83"/>
      <c r="J55" s="83"/>
      <c r="K55" s="31">
        <f>SUM(K53:K54)</f>
        <v>1593.75</v>
      </c>
      <c r="L55" s="4" t="s">
        <v>6</v>
      </c>
    </row>
    <row r="56" spans="2:30" x14ac:dyDescent="0.2">
      <c r="B56" s="81" t="s">
        <v>46</v>
      </c>
      <c r="C56" s="81"/>
      <c r="D56" s="81"/>
      <c r="E56" s="81"/>
      <c r="F56" s="81"/>
      <c r="G56" s="81"/>
      <c r="H56" s="81"/>
      <c r="I56" s="81"/>
      <c r="J56" s="81"/>
      <c r="K56" s="23" t="e">
        <f ca="1">SUM(K55,K46,K35,K28,K23,K22,K20)</f>
        <v>#NAME?</v>
      </c>
      <c r="L56" s="4" t="s">
        <v>6</v>
      </c>
      <c r="AD56" s="46"/>
    </row>
    <row r="57" spans="2:30" x14ac:dyDescent="0.2">
      <c r="B57" s="83" t="s">
        <v>47</v>
      </c>
      <c r="C57" s="83"/>
      <c r="D57" s="83"/>
      <c r="E57" s="83"/>
      <c r="F57" s="83"/>
      <c r="G57" s="83"/>
      <c r="H57" s="83"/>
      <c r="I57" s="83"/>
      <c r="J57" s="83"/>
      <c r="K57" s="36" t="e">
        <f ca="1">K56/240</f>
        <v>#NAME?</v>
      </c>
      <c r="L57" s="4" t="s">
        <v>48</v>
      </c>
    </row>
    <row r="58" spans="2:30" x14ac:dyDescent="0.2">
      <c r="B58" s="81" t="s">
        <v>49</v>
      </c>
      <c r="C58" s="81"/>
      <c r="D58" s="82"/>
      <c r="E58" s="40" t="s">
        <v>50</v>
      </c>
      <c r="F58" s="4" t="s">
        <v>51</v>
      </c>
      <c r="G58" s="6"/>
      <c r="H58" s="6"/>
      <c r="I58" s="6"/>
      <c r="J58" s="6"/>
      <c r="K58" s="28"/>
      <c r="L58" s="6"/>
    </row>
    <row r="59" spans="2:30" x14ac:dyDescent="0.2">
      <c r="B59" s="81" t="s">
        <v>52</v>
      </c>
      <c r="C59" s="81"/>
      <c r="D59" s="82"/>
      <c r="E59" s="37" t="e">
        <f ca="1">IF(K57=0,0,IF(K57&lt;=100,100,IF(K57&lt;=200,200,IF(K57&lt;=320,400,"400CT"))))</f>
        <v>#NAME?</v>
      </c>
      <c r="F59" s="4" t="s">
        <v>51</v>
      </c>
      <c r="H59" s="80" t="s">
        <v>114</v>
      </c>
      <c r="I59" s="6"/>
      <c r="J59" s="58" t="s">
        <v>53</v>
      </c>
      <c r="K59" s="41">
        <v>200</v>
      </c>
      <c r="L59" s="4" t="s">
        <v>48</v>
      </c>
    </row>
    <row r="60" spans="2:30" x14ac:dyDescent="0.2"/>
    <row r="61" spans="2:30" s="47" customFormat="1" hidden="1" x14ac:dyDescent="0.2">
      <c r="C61" s="48" t="s">
        <v>57</v>
      </c>
      <c r="D61" s="49">
        <v>600</v>
      </c>
      <c r="G61" s="50" t="s">
        <v>112</v>
      </c>
      <c r="H61" s="51">
        <v>250</v>
      </c>
      <c r="J61" s="52" t="s">
        <v>50</v>
      </c>
      <c r="K61" s="52">
        <v>0</v>
      </c>
      <c r="AD61" s="53"/>
    </row>
    <row r="62" spans="2:30" s="47" customFormat="1" hidden="1" x14ac:dyDescent="0.2">
      <c r="C62" s="48" t="s">
        <v>58</v>
      </c>
      <c r="D62" s="49">
        <v>1200</v>
      </c>
      <c r="G62" s="54" t="s">
        <v>100</v>
      </c>
      <c r="H62" s="51">
        <v>375</v>
      </c>
      <c r="I62" s="47">
        <v>0</v>
      </c>
      <c r="J62" s="55">
        <v>60</v>
      </c>
      <c r="K62" s="55">
        <v>60</v>
      </c>
      <c r="AD62" s="53"/>
    </row>
    <row r="63" spans="2:30" s="47" customFormat="1" hidden="1" x14ac:dyDescent="0.2">
      <c r="C63" s="48" t="s">
        <v>59</v>
      </c>
      <c r="D63" s="49">
        <v>1560</v>
      </c>
      <c r="G63" s="54" t="s">
        <v>101</v>
      </c>
      <c r="H63" s="51">
        <v>563</v>
      </c>
      <c r="I63" s="47">
        <v>1</v>
      </c>
      <c r="J63" s="55">
        <v>100</v>
      </c>
      <c r="K63" s="55">
        <v>100</v>
      </c>
      <c r="AD63" s="53"/>
    </row>
    <row r="64" spans="2:30" s="47" customFormat="1" hidden="1" x14ac:dyDescent="0.2">
      <c r="C64" s="48" t="s">
        <v>60</v>
      </c>
      <c r="D64" s="49">
        <v>1200</v>
      </c>
      <c r="G64" s="54" t="s">
        <v>111</v>
      </c>
      <c r="H64" s="51">
        <v>250</v>
      </c>
      <c r="I64" s="47">
        <v>2</v>
      </c>
      <c r="J64" s="55">
        <v>125</v>
      </c>
      <c r="K64" s="55">
        <v>125</v>
      </c>
    </row>
    <row r="65" spans="3:11" s="47" customFormat="1" hidden="1" x14ac:dyDescent="0.2">
      <c r="C65" s="48" t="s">
        <v>61</v>
      </c>
      <c r="D65" s="49">
        <v>120</v>
      </c>
      <c r="G65" s="54" t="s">
        <v>108</v>
      </c>
      <c r="H65" s="51">
        <v>375</v>
      </c>
      <c r="I65" s="47">
        <v>3</v>
      </c>
      <c r="J65" s="55">
        <v>150</v>
      </c>
      <c r="K65" s="55">
        <v>150</v>
      </c>
    </row>
    <row r="66" spans="3:11" s="47" customFormat="1" hidden="1" x14ac:dyDescent="0.2">
      <c r="C66" s="48" t="s">
        <v>62</v>
      </c>
      <c r="D66" s="49">
        <v>7000</v>
      </c>
      <c r="G66" s="54" t="s">
        <v>102</v>
      </c>
      <c r="H66" s="51">
        <v>250</v>
      </c>
      <c r="I66" s="47">
        <v>4</v>
      </c>
      <c r="J66" s="55">
        <v>200</v>
      </c>
      <c r="K66" s="55">
        <v>200</v>
      </c>
    </row>
    <row r="67" spans="3:11" s="47" customFormat="1" hidden="1" x14ac:dyDescent="0.2">
      <c r="C67" s="48" t="s">
        <v>63</v>
      </c>
      <c r="D67" s="49">
        <v>1440</v>
      </c>
      <c r="G67" s="54" t="s">
        <v>103</v>
      </c>
      <c r="H67" s="51">
        <v>375</v>
      </c>
      <c r="I67" s="47">
        <v>5</v>
      </c>
      <c r="J67" s="55">
        <v>250</v>
      </c>
      <c r="K67" s="55">
        <v>250</v>
      </c>
    </row>
    <row r="68" spans="3:11" s="47" customFormat="1" hidden="1" x14ac:dyDescent="0.2">
      <c r="C68" s="48" t="s">
        <v>64</v>
      </c>
      <c r="D68" s="49">
        <v>360</v>
      </c>
      <c r="G68" s="54" t="s">
        <v>79</v>
      </c>
      <c r="H68" s="51">
        <v>2100</v>
      </c>
      <c r="I68" s="47">
        <v>6</v>
      </c>
      <c r="J68" s="55">
        <v>300</v>
      </c>
      <c r="K68" s="55">
        <v>300</v>
      </c>
    </row>
    <row r="69" spans="3:11" s="47" customFormat="1" hidden="1" x14ac:dyDescent="0.2">
      <c r="C69" s="48" t="s">
        <v>65</v>
      </c>
      <c r="D69" s="49">
        <v>500</v>
      </c>
      <c r="G69" s="54" t="s">
        <v>80</v>
      </c>
      <c r="H69" s="51">
        <v>900</v>
      </c>
      <c r="I69" s="47">
        <v>7</v>
      </c>
      <c r="J69" s="55">
        <v>350</v>
      </c>
      <c r="K69" s="55">
        <v>350</v>
      </c>
    </row>
    <row r="70" spans="3:11" s="47" customFormat="1" hidden="1" x14ac:dyDescent="0.2">
      <c r="C70" s="48" t="s">
        <v>66</v>
      </c>
      <c r="D70" s="49">
        <v>1580</v>
      </c>
      <c r="G70" s="54" t="s">
        <v>104</v>
      </c>
      <c r="H70" s="51">
        <v>250</v>
      </c>
      <c r="I70" s="47">
        <v>8</v>
      </c>
      <c r="J70" s="55">
        <v>400</v>
      </c>
      <c r="K70" s="55">
        <v>400</v>
      </c>
    </row>
    <row r="71" spans="3:11" s="47" customFormat="1" hidden="1" x14ac:dyDescent="0.2">
      <c r="C71" s="48" t="s">
        <v>67</v>
      </c>
      <c r="D71" s="49">
        <v>0</v>
      </c>
      <c r="G71" s="54" t="s">
        <v>110</v>
      </c>
      <c r="H71" s="51">
        <v>375</v>
      </c>
      <c r="I71" s="47">
        <v>9</v>
      </c>
      <c r="J71" s="55">
        <v>450</v>
      </c>
      <c r="K71" s="55">
        <v>450</v>
      </c>
    </row>
    <row r="72" spans="3:11" s="47" customFormat="1" hidden="1" x14ac:dyDescent="0.2">
      <c r="C72" s="48" t="s">
        <v>68</v>
      </c>
      <c r="D72" s="49">
        <v>90</v>
      </c>
      <c r="G72" s="54" t="s">
        <v>105</v>
      </c>
      <c r="H72" s="51">
        <v>563</v>
      </c>
      <c r="I72" s="47">
        <v>10</v>
      </c>
      <c r="J72" s="55">
        <v>500</v>
      </c>
      <c r="K72" s="55">
        <v>500</v>
      </c>
    </row>
    <row r="73" spans="3:11" s="47" customFormat="1" hidden="1" x14ac:dyDescent="0.2">
      <c r="C73" s="48" t="s">
        <v>69</v>
      </c>
      <c r="D73" s="49">
        <v>240</v>
      </c>
      <c r="G73" s="54" t="s">
        <v>106</v>
      </c>
      <c r="H73" s="51">
        <v>750</v>
      </c>
      <c r="J73" s="55">
        <v>550</v>
      </c>
      <c r="K73" s="55">
        <v>550</v>
      </c>
    </row>
    <row r="74" spans="3:11" s="47" customFormat="1" hidden="1" x14ac:dyDescent="0.2">
      <c r="C74" s="48" t="s">
        <v>70</v>
      </c>
      <c r="D74" s="49">
        <v>1440</v>
      </c>
      <c r="G74" s="54" t="s">
        <v>109</v>
      </c>
      <c r="H74" s="51">
        <v>1125</v>
      </c>
      <c r="J74" s="55">
        <v>600</v>
      </c>
      <c r="K74" s="55">
        <v>600</v>
      </c>
    </row>
    <row r="75" spans="3:11" s="47" customFormat="1" hidden="1" x14ac:dyDescent="0.2">
      <c r="C75" s="48" t="s">
        <v>71</v>
      </c>
      <c r="D75" s="49">
        <v>12000</v>
      </c>
      <c r="G75" s="54" t="s">
        <v>107</v>
      </c>
      <c r="H75" s="51">
        <v>1500</v>
      </c>
      <c r="J75" s="55">
        <v>650</v>
      </c>
      <c r="K75" s="55">
        <v>650</v>
      </c>
    </row>
    <row r="76" spans="3:11" s="47" customFormat="1" hidden="1" x14ac:dyDescent="0.2">
      <c r="C76" s="48" t="s">
        <v>72</v>
      </c>
      <c r="D76" s="49">
        <v>12000</v>
      </c>
      <c r="J76" s="55">
        <v>700</v>
      </c>
      <c r="K76" s="55">
        <v>700</v>
      </c>
    </row>
    <row r="77" spans="3:11" s="47" customFormat="1" hidden="1" x14ac:dyDescent="0.2">
      <c r="C77" s="48" t="s">
        <v>73</v>
      </c>
      <c r="D77" s="49">
        <v>860</v>
      </c>
      <c r="E77" s="48" t="s">
        <v>81</v>
      </c>
      <c r="F77" s="49">
        <v>13</v>
      </c>
      <c r="G77" s="48" t="s">
        <v>84</v>
      </c>
      <c r="H77" s="49">
        <v>7100</v>
      </c>
      <c r="J77" s="55">
        <v>800</v>
      </c>
      <c r="K77" s="55">
        <v>800</v>
      </c>
    </row>
    <row r="78" spans="3:11" s="47" customFormat="1" hidden="1" x14ac:dyDescent="0.2">
      <c r="C78" s="48" t="s">
        <v>74</v>
      </c>
      <c r="D78" s="49">
        <v>100</v>
      </c>
      <c r="E78" s="48" t="s">
        <v>82</v>
      </c>
      <c r="F78" s="49">
        <v>14</v>
      </c>
      <c r="G78" s="48" t="s">
        <v>85</v>
      </c>
      <c r="H78" s="49">
        <v>10250</v>
      </c>
    </row>
    <row r="79" spans="3:11" s="47" customFormat="1" hidden="1" x14ac:dyDescent="0.2">
      <c r="C79" s="48" t="s">
        <v>75</v>
      </c>
      <c r="D79" s="49">
        <v>1800</v>
      </c>
      <c r="E79" s="48" t="s">
        <v>98</v>
      </c>
      <c r="F79" s="49">
        <v>15</v>
      </c>
      <c r="G79" s="48" t="s">
        <v>86</v>
      </c>
      <c r="H79" s="49">
        <v>13750</v>
      </c>
      <c r="I79" s="56" t="s">
        <v>54</v>
      </c>
    </row>
    <row r="80" spans="3:11" s="47" customFormat="1" hidden="1" x14ac:dyDescent="0.2">
      <c r="C80" s="48" t="s">
        <v>76</v>
      </c>
      <c r="D80" s="49">
        <v>300</v>
      </c>
      <c r="E80" s="48" t="s">
        <v>83</v>
      </c>
      <c r="F80" s="49">
        <v>16</v>
      </c>
      <c r="G80" s="48" t="s">
        <v>87</v>
      </c>
      <c r="H80" s="49">
        <v>13900</v>
      </c>
      <c r="I80" s="56" t="s">
        <v>55</v>
      </c>
    </row>
    <row r="81" spans="3:9" s="47" customFormat="1" hidden="1" x14ac:dyDescent="0.2">
      <c r="C81" s="48" t="s">
        <v>77</v>
      </c>
      <c r="D81" s="49">
        <v>350</v>
      </c>
      <c r="E81" s="48" t="s">
        <v>99</v>
      </c>
      <c r="F81" s="49">
        <v>17</v>
      </c>
      <c r="G81" s="48" t="s">
        <v>88</v>
      </c>
      <c r="H81" s="49">
        <v>19500</v>
      </c>
      <c r="I81" s="57" t="s">
        <v>56</v>
      </c>
    </row>
    <row r="82" spans="3:9" s="47" customFormat="1" hidden="1" x14ac:dyDescent="0.2">
      <c r="C82" s="48" t="s">
        <v>78</v>
      </c>
      <c r="D82" s="49">
        <v>360</v>
      </c>
      <c r="G82" s="48" t="s">
        <v>89</v>
      </c>
      <c r="H82" s="49">
        <v>21950</v>
      </c>
    </row>
    <row r="83" spans="3:9" x14ac:dyDescent="0.2"/>
    <row r="84" spans="3:9" x14ac:dyDescent="0.2"/>
    <row r="87" spans="3:9" hidden="1" x14ac:dyDescent="0.2">
      <c r="C87" s="38"/>
      <c r="D87" s="39"/>
    </row>
    <row r="88" spans="3:9" hidden="1" x14ac:dyDescent="0.2">
      <c r="C88" s="38"/>
      <c r="D88" s="39"/>
    </row>
    <row r="89" spans="3:9" hidden="1" x14ac:dyDescent="0.2">
      <c r="C89" s="38"/>
      <c r="D89" s="39"/>
    </row>
    <row r="90" spans="3:9" hidden="1" x14ac:dyDescent="0.2">
      <c r="C90" s="38"/>
      <c r="D90" s="39"/>
    </row>
    <row r="91" spans="3:9" hidden="1" x14ac:dyDescent="0.2">
      <c r="C91" s="38"/>
      <c r="D91" s="39"/>
    </row>
    <row r="92" spans="3:9" hidden="1" x14ac:dyDescent="0.2">
      <c r="C92" s="38"/>
      <c r="D92" s="39"/>
    </row>
    <row r="93" spans="3:9" hidden="1" x14ac:dyDescent="0.2">
      <c r="C93" s="38"/>
      <c r="D93" s="39"/>
    </row>
    <row r="94" spans="3:9" hidden="1" x14ac:dyDescent="0.2">
      <c r="C94" s="38"/>
      <c r="D94" s="39"/>
    </row>
    <row r="95" spans="3:9" hidden="1" x14ac:dyDescent="0.2">
      <c r="C95" s="38"/>
      <c r="D95" s="39"/>
    </row>
    <row r="96" spans="3:9" hidden="1" x14ac:dyDescent="0.2">
      <c r="C96" s="38"/>
      <c r="D96" s="39"/>
    </row>
    <row r="97" spans="3:4" hidden="1" x14ac:dyDescent="0.2">
      <c r="C97" s="38"/>
      <c r="D97" s="39"/>
    </row>
    <row r="98" spans="3:4" hidden="1" x14ac:dyDescent="0.2">
      <c r="C98" s="38"/>
      <c r="D98" s="39"/>
    </row>
    <row r="99" spans="3:4" hidden="1" x14ac:dyDescent="0.2">
      <c r="C99" s="38"/>
      <c r="D99" s="39"/>
    </row>
  </sheetData>
  <sheetProtection algorithmName="SHA-512" hashValue="d/ZwV2pxGDujPZ4oP2q2JwJl0AcS3gtxJdNIAxeHs/qOndythvh8UqvTBMS58+ytG3+s71TD3kWH7RI+FnO/+g==" saltValue="Enz3sNQzdV63BoCdy5Ozcg==" spinCount="100000" sheet="1" objects="1" scenarios="1" selectLockedCells="1"/>
  <customSheetViews>
    <customSheetView guid="{4EF1DB30-A37B-46A5-AEFC-44ED508FC610}" showGridLines="0" showRowCol="0" fitToPage="1">
      <selection activeCell="AF60" sqref="AF60"/>
      <pageMargins left="0.7" right="0.2" top="0.25" bottom="0.25" header="0.3" footer="0.3"/>
      <pageSetup scale="85" orientation="portrait" r:id="rId1"/>
      <headerFooter>
        <oddHeader>&amp;L&amp;G</oddHeader>
      </headerFooter>
    </customSheetView>
  </customSheetViews>
  <mergeCells count="59">
    <mergeCell ref="C10:I11"/>
    <mergeCell ref="J2:L2"/>
    <mergeCell ref="J3:L3"/>
    <mergeCell ref="B4:L4"/>
    <mergeCell ref="C5:E5"/>
    <mergeCell ref="C6:I6"/>
    <mergeCell ref="G7:H7"/>
    <mergeCell ref="E8:H8"/>
    <mergeCell ref="C9:E9"/>
    <mergeCell ref="C2:D2"/>
    <mergeCell ref="E12:H12"/>
    <mergeCell ref="F14:H14"/>
    <mergeCell ref="F15:J15"/>
    <mergeCell ref="G20:J20"/>
    <mergeCell ref="F25:H25"/>
    <mergeCell ref="F26:H26"/>
    <mergeCell ref="F27:H27"/>
    <mergeCell ref="G28:J28"/>
    <mergeCell ref="H35:J35"/>
    <mergeCell ref="C37:D37"/>
    <mergeCell ref="H37:I37"/>
    <mergeCell ref="C30:E30"/>
    <mergeCell ref="C31:E31"/>
    <mergeCell ref="C32:E32"/>
    <mergeCell ref="C33:E33"/>
    <mergeCell ref="C34:E34"/>
    <mergeCell ref="C38:D38"/>
    <mergeCell ref="H38:I38"/>
    <mergeCell ref="C39:D39"/>
    <mergeCell ref="H39:I39"/>
    <mergeCell ref="C40:D40"/>
    <mergeCell ref="H40:I40"/>
    <mergeCell ref="C41:D41"/>
    <mergeCell ref="H41:I41"/>
    <mergeCell ref="C42:D42"/>
    <mergeCell ref="H42:I42"/>
    <mergeCell ref="C43:D43"/>
    <mergeCell ref="H43:I43"/>
    <mergeCell ref="C44:D44"/>
    <mergeCell ref="H44:I44"/>
    <mergeCell ref="G45:J45"/>
    <mergeCell ref="G46:J46"/>
    <mergeCell ref="C48:D48"/>
    <mergeCell ref="H48:I48"/>
    <mergeCell ref="B59:D59"/>
    <mergeCell ref="B58:D58"/>
    <mergeCell ref="B57:J57"/>
    <mergeCell ref="B56:J56"/>
    <mergeCell ref="C49:D49"/>
    <mergeCell ref="H49:I49"/>
    <mergeCell ref="I53:J53"/>
    <mergeCell ref="H54:J54"/>
    <mergeCell ref="H55:J55"/>
    <mergeCell ref="C50:D50"/>
    <mergeCell ref="H50:I50"/>
    <mergeCell ref="C51:D51"/>
    <mergeCell ref="H51:I51"/>
    <mergeCell ref="C52:D52"/>
    <mergeCell ref="H52:I52"/>
  </mergeCells>
  <conditionalFormatting sqref="K59">
    <cfRule type="expression" dxfId="10" priority="14">
      <formula>$E$59&gt;$K$59</formula>
    </cfRule>
  </conditionalFormatting>
  <conditionalFormatting sqref="B49">
    <cfRule type="expression" dxfId="9" priority="13">
      <formula>AND($E$49&gt;0,$B$49=0)</formula>
    </cfRule>
  </conditionalFormatting>
  <conditionalFormatting sqref="B50">
    <cfRule type="expression" dxfId="8" priority="12">
      <formula>AND($E$50&gt;0,$B$50=0)</formula>
    </cfRule>
  </conditionalFormatting>
  <conditionalFormatting sqref="B51">
    <cfRule type="expression" dxfId="7" priority="11">
      <formula>AND($E$51&gt;0,$B$51=0)</formula>
    </cfRule>
  </conditionalFormatting>
  <conditionalFormatting sqref="B52">
    <cfRule type="expression" dxfId="6" priority="10">
      <formula>AND($E$52&gt;0,$B$52=0)</formula>
    </cfRule>
  </conditionalFormatting>
  <conditionalFormatting sqref="G49">
    <cfRule type="expression" dxfId="5" priority="9">
      <formula>AND($J$49&gt;0,$G$49=0)</formula>
    </cfRule>
  </conditionalFormatting>
  <conditionalFormatting sqref="G50">
    <cfRule type="expression" dxfId="4" priority="8">
      <formula>AND($J$50&gt;0,$G$50=0)</formula>
    </cfRule>
  </conditionalFormatting>
  <conditionalFormatting sqref="G51">
    <cfRule type="expression" dxfId="3" priority="7">
      <formula>AND($J$51&gt;0,$G$51=0)</formula>
    </cfRule>
  </conditionalFormatting>
  <conditionalFormatting sqref="G52">
    <cfRule type="expression" dxfId="2" priority="6">
      <formula>AND($J$52&gt;0,$G$52=0)</formula>
    </cfRule>
  </conditionalFormatting>
  <conditionalFormatting sqref="H59">
    <cfRule type="cellIs" dxfId="1" priority="4" operator="equal">
      <formula>"CHOOSE"</formula>
    </cfRule>
    <cfRule type="expression" dxfId="0" priority="1">
      <formula>$K$59&gt;0</formula>
    </cfRule>
  </conditionalFormatting>
  <dataValidations xWindow="698" yWindow="626" count="15">
    <dataValidation type="decimal" allowBlank="1" showInputMessage="1" showErrorMessage="1" errorTitle="Electric Cooking" error="This program is designed to calculate demand based on a maximum 11.99kw appliance." sqref="I25:I27" xr:uid="{00000000-0002-0000-0000-000000000000}">
      <formula1>0</formula1>
      <formula2>11.99</formula2>
    </dataValidation>
    <dataValidation type="decimal" allowBlank="1" showInputMessage="1" showErrorMessage="1" errorTitle="Electric Space Heat" error="Values are restricted so as not to exceed 50,000 watts._x000a_" sqref="F30:F34" xr:uid="{00000000-0002-0000-0000-000001000000}">
      <formula1>0</formula1>
      <formula2>50000</formula2>
    </dataValidation>
    <dataValidation type="decimal" allowBlank="1" showInputMessage="1" showErrorMessage="1" sqref="E38" xr:uid="{00000000-0002-0000-0000-000002000000}">
      <formula1>0</formula1>
      <formula2>25000</formula2>
    </dataValidation>
    <dataValidation type="whole" allowBlank="1" showInputMessage="1" showErrorMessage="1" errorTitle="Floor Area" error="Values are restricted to positive numbers not to exceed 20,000 square feet." sqref="I7:I8" xr:uid="{00000000-0002-0000-0000-000003000000}">
      <formula1>0</formula1>
      <formula2>20000</formula2>
    </dataValidation>
    <dataValidation type="decimal" showInputMessage="1" showErrorMessage="1" errorTitle="Electric Dryer" error="Using kilo-watts as the units, this value should not exceed 10kw." sqref="I22:I23" xr:uid="{00000000-0002-0000-0000-000004000000}">
      <formula1>0</formula1>
      <formula2>10</formula2>
    </dataValidation>
    <dataValidation type="list" allowBlank="1" showInputMessage="1" showErrorMessage="1" sqref="E58" xr:uid="{00000000-0002-0000-0000-000005000000}">
      <formula1>$J$61:$J$77</formula1>
    </dataValidation>
    <dataValidation type="list" allowBlank="1" showInputMessage="1" showErrorMessage="1" sqref="C49:D52 H49:I52" xr:uid="{00000000-0002-0000-0000-000006000000}">
      <formula1>$G$60:$G$75</formula1>
    </dataValidation>
    <dataValidation type="list" allowBlank="1" showInputMessage="1" showErrorMessage="1" errorTitle="A/C Condenser" error="This program is intended to calculate load with a maximum 100amp unit." sqref="J30:J34" xr:uid="{00000000-0002-0000-0000-000007000000}">
      <formula1>$G$76:$G$82</formula1>
    </dataValidation>
    <dataValidation type="list" allowBlank="1" showInputMessage="1" showErrorMessage="1" sqref="H38:I44 C38:D44" xr:uid="{00000000-0002-0000-0000-000008000000}">
      <formula1>$C$60:$C$82</formula1>
    </dataValidation>
    <dataValidation type="list" errorStyle="warning" showInputMessage="1" showErrorMessage="1" error="Values entered are restricted to Whole number integers only." sqref="E22:E23" xr:uid="{00000000-0002-0000-0000-000009000000}">
      <formula1>$I$62:$I$67</formula1>
    </dataValidation>
    <dataValidation type="list" allowBlank="1" showInputMessage="1" showErrorMessage="1" sqref="I12 I14 B38:B44 G38:G44 B49:B52 G49:G52" xr:uid="{00000000-0002-0000-0000-00000A000000}">
      <formula1>$I$62:$I$72</formula1>
    </dataValidation>
    <dataValidation type="list" allowBlank="1" showInputMessage="1" showErrorMessage="1" sqref="E25:E27" xr:uid="{00000000-0002-0000-0000-00000B000000}">
      <formula1>$I$62:$I$65</formula1>
    </dataValidation>
    <dataValidation type="list" allowBlank="1" showInputMessage="1" showErrorMessage="1" prompt="SERVICE SIZE REQUESTED must not be less than the MINIMUM SERVICE REQUIRED" sqref="K59" xr:uid="{00000000-0002-0000-0000-00000C000000}">
      <formula1>$K$61:$K$77</formula1>
    </dataValidation>
    <dataValidation type="list" allowBlank="1" showInputMessage="1" showErrorMessage="1" sqref="F25:H27" xr:uid="{00000000-0002-0000-0000-00000D000000}">
      <formula1>$I$78:$I$81</formula1>
    </dataValidation>
    <dataValidation type="list" allowBlank="1" showInputMessage="1" showErrorMessage="1" errorTitle="A/C Condenser" error="This program is intended to calculate load with a maximum 100amp unit." sqref="I30:I34" xr:uid="{00000000-0002-0000-0000-00000E000000}">
      <formula1>$E$76:$E$81</formula1>
    </dataValidation>
  </dataValidations>
  <pageMargins left="0.7" right="0.2" top="0.25" bottom="0.25" header="0.3" footer="0.3"/>
  <pageSetup scale="87" orientation="portrait" r:id="rId2"/>
  <headerFooter>
    <oddHeader>&amp;L&amp;G</oddHeader>
  </headerFooter>
  <drawing r:id="rId3"/>
  <legacyDrawing r:id="rId4"/>
  <legacyDrawingHF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2016 Electric Load 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Tente / Meagan McWhirter</dc:creator>
  <cp:lastModifiedBy>Jon Graves</cp:lastModifiedBy>
  <cp:lastPrinted>2016-09-27T13:44:11Z</cp:lastPrinted>
  <dcterms:created xsi:type="dcterms:W3CDTF">2016-01-29T14:01:48Z</dcterms:created>
  <dcterms:modified xsi:type="dcterms:W3CDTF">2022-02-10T19:26:39Z</dcterms:modified>
</cp:coreProperties>
</file>