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gr584449\Desktop\"/>
    </mc:Choice>
  </mc:AlternateContent>
  <xr:revisionPtr revIDLastSave="0" documentId="13_ncr:1_{60B8D674-76F4-4CA0-A020-E57534B3C59D}" xr6:coauthVersionLast="47" xr6:coauthVersionMax="47" xr10:uidLastSave="{00000000-0000-0000-0000-000000000000}"/>
  <bookViews>
    <workbookView xWindow="-110" yWindow="-110" windowWidth="19420" windowHeight="11620" xr2:uid="{00000000-000D-0000-FFFF-FFFF00000000}"/>
  </bookViews>
  <sheets>
    <sheet name="Tour 1" sheetId="10" r:id="rId1"/>
    <sheet name="gobelin" sheetId="3" r:id="rId2"/>
    <sheet name="gobelin2" sheetId="4" r:id="rId3"/>
    <sheet name="SAVE" sheetId="1" r:id="rId4"/>
    <sheet name="Save2" sheetId="2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50" i="10" l="1"/>
  <c r="P54" i="10"/>
  <c r="P82" i="10"/>
  <c r="T82" i="10"/>
  <c r="V82" i="10" s="1"/>
  <c r="T51" i="10"/>
  <c r="K13" i="10"/>
  <c r="M10" i="10"/>
  <c r="D50" i="10"/>
  <c r="D49" i="10"/>
  <c r="E45" i="10"/>
  <c r="M238" i="23"/>
  <c r="M237" i="23"/>
  <c r="B237" i="23"/>
  <c r="M236" i="23"/>
  <c r="M235" i="23"/>
  <c r="M234" i="23"/>
  <c r="F234" i="23"/>
  <c r="M233" i="23"/>
  <c r="F233" i="23"/>
  <c r="D233" i="23"/>
  <c r="B233" i="23"/>
  <c r="M232" i="23"/>
  <c r="B232" i="23"/>
  <c r="M231" i="23"/>
  <c r="M230" i="23"/>
  <c r="H230" i="23"/>
  <c r="B230" i="23"/>
  <c r="M229" i="23"/>
  <c r="M228" i="23"/>
  <c r="M227" i="23"/>
  <c r="B227" i="23"/>
  <c r="D226" i="23"/>
  <c r="B226" i="23"/>
  <c r="M225" i="23"/>
  <c r="B225" i="23"/>
  <c r="M221" i="23"/>
  <c r="M220" i="23"/>
  <c r="M219" i="23"/>
  <c r="M218" i="23"/>
  <c r="D218" i="23"/>
  <c r="B218" i="23"/>
  <c r="M217" i="23"/>
  <c r="M216" i="23"/>
  <c r="M215" i="23"/>
  <c r="M214" i="23"/>
  <c r="M213" i="23"/>
  <c r="F213" i="23"/>
  <c r="B213" i="23"/>
  <c r="M212" i="23"/>
  <c r="M211" i="23"/>
  <c r="M210" i="23"/>
  <c r="H210" i="23"/>
  <c r="M207" i="23"/>
  <c r="B207" i="23"/>
  <c r="M204" i="23"/>
  <c r="D204" i="23"/>
  <c r="B204" i="23"/>
  <c r="M203" i="23"/>
  <c r="M202" i="23"/>
  <c r="M201" i="23"/>
  <c r="M200" i="23"/>
  <c r="M199" i="23"/>
  <c r="D199" i="23"/>
  <c r="B199" i="23"/>
  <c r="M198" i="23"/>
  <c r="M197" i="23"/>
  <c r="M196" i="23"/>
  <c r="M195" i="23"/>
  <c r="M194" i="23"/>
  <c r="M193" i="23"/>
  <c r="F193" i="23"/>
  <c r="B193" i="23"/>
  <c r="M190" i="23"/>
  <c r="B190" i="23"/>
  <c r="M187" i="23"/>
  <c r="M186" i="23"/>
  <c r="H186" i="23"/>
  <c r="M185" i="23"/>
  <c r="B185" i="23"/>
  <c r="M184" i="23"/>
  <c r="B184" i="23"/>
  <c r="M183" i="23"/>
  <c r="D183" i="23"/>
  <c r="B183" i="23"/>
  <c r="M182" i="23"/>
  <c r="M181" i="23"/>
  <c r="M180" i="23"/>
  <c r="M179" i="23"/>
  <c r="M178" i="23"/>
  <c r="M177" i="23"/>
  <c r="M176" i="23"/>
  <c r="H176" i="23"/>
  <c r="D176" i="23"/>
  <c r="M175" i="23"/>
  <c r="H175" i="23"/>
  <c r="D175" i="23"/>
  <c r="H174" i="23"/>
  <c r="F174" i="23"/>
  <c r="B174" i="23"/>
  <c r="BJ173" i="23"/>
  <c r="AY173" i="23"/>
  <c r="AN173" i="23"/>
  <c r="W173" i="23"/>
  <c r="BJ171" i="23"/>
  <c r="AY171" i="23"/>
  <c r="AN171" i="23"/>
  <c r="S172" i="23" s="1"/>
  <c r="S171" i="23" s="1"/>
  <c r="W171" i="23"/>
  <c r="M170" i="23"/>
  <c r="M169" i="23"/>
  <c r="M168" i="23"/>
  <c r="H168" i="23"/>
  <c r="M167" i="23"/>
  <c r="H167" i="23"/>
  <c r="B167" i="23"/>
  <c r="M166" i="23"/>
  <c r="H166" i="23"/>
  <c r="BH165" i="23"/>
  <c r="BF165" i="23"/>
  <c r="AW165" i="23"/>
  <c r="AU165" i="23"/>
  <c r="AL165" i="23"/>
  <c r="AJ165" i="23"/>
  <c r="W165" i="23"/>
  <c r="U165" i="23"/>
  <c r="U167" i="23" s="1"/>
  <c r="M165" i="23"/>
  <c r="BH164" i="23"/>
  <c r="BF164" i="23"/>
  <c r="AW164" i="23"/>
  <c r="AU164" i="23"/>
  <c r="AL164" i="23"/>
  <c r="AJ164" i="23"/>
  <c r="W164" i="23"/>
  <c r="U164" i="23"/>
  <c r="M164" i="23"/>
  <c r="BH163" i="23"/>
  <c r="BF163" i="23"/>
  <c r="AW163" i="23"/>
  <c r="AU163" i="23"/>
  <c r="AL163" i="23"/>
  <c r="AJ163" i="23"/>
  <c r="W163" i="23"/>
  <c r="U163" i="23"/>
  <c r="M163" i="23"/>
  <c r="BH162" i="23"/>
  <c r="BF162" i="23"/>
  <c r="AW162" i="23"/>
  <c r="AU162" i="23"/>
  <c r="AL162" i="23"/>
  <c r="AJ162" i="23"/>
  <c r="W162" i="23"/>
  <c r="U162" i="23"/>
  <c r="M162" i="23"/>
  <c r="BH161" i="23"/>
  <c r="AW161" i="23"/>
  <c r="AU161" i="23"/>
  <c r="AW171" i="23" s="1"/>
  <c r="AL161" i="23"/>
  <c r="AJ161" i="23"/>
  <c r="W161" i="23"/>
  <c r="U161" i="23"/>
  <c r="M161" i="23"/>
  <c r="BH160" i="23"/>
  <c r="BF160" i="23"/>
  <c r="AW160" i="23"/>
  <c r="AU160" i="23"/>
  <c r="AL160" i="23"/>
  <c r="AJ160" i="23"/>
  <c r="W160" i="23"/>
  <c r="U160" i="23"/>
  <c r="M160" i="23"/>
  <c r="M158" i="23"/>
  <c r="D158" i="23"/>
  <c r="B158" i="23"/>
  <c r="M157" i="23"/>
  <c r="D157" i="23"/>
  <c r="M156" i="23"/>
  <c r="U152" i="23"/>
  <c r="H152" i="23"/>
  <c r="U151" i="23"/>
  <c r="H150" i="23"/>
  <c r="B150" i="23"/>
  <c r="U149" i="23"/>
  <c r="H149" i="23"/>
  <c r="V148" i="23"/>
  <c r="U148" i="23"/>
  <c r="H148" i="23"/>
  <c r="B148" i="23"/>
  <c r="H147" i="23"/>
  <c r="F147" i="23"/>
  <c r="D147" i="23"/>
  <c r="D146" i="23"/>
  <c r="S145" i="23"/>
  <c r="Q145" i="23"/>
  <c r="AG142" i="23"/>
  <c r="AB142" i="23"/>
  <c r="U142" i="23"/>
  <c r="F142" i="23"/>
  <c r="D142" i="23"/>
  <c r="X141" i="23"/>
  <c r="Q141" i="23"/>
  <c r="M141" i="23"/>
  <c r="D141" i="23"/>
  <c r="B141" i="23"/>
  <c r="U140" i="23"/>
  <c r="M140" i="23"/>
  <c r="M139" i="23"/>
  <c r="F139" i="23"/>
  <c r="B139" i="23"/>
  <c r="Q133" i="23"/>
  <c r="AF129" i="23"/>
  <c r="Q129" i="23"/>
  <c r="AF127" i="23"/>
  <c r="Q127" i="23"/>
  <c r="AF125" i="23"/>
  <c r="AB120" i="23"/>
  <c r="AI120" i="23" s="1"/>
  <c r="N120" i="23"/>
  <c r="T120" i="23" s="1"/>
  <c r="B120" i="23"/>
  <c r="AU16" i="23" s="1"/>
  <c r="F238" i="23" s="1"/>
  <c r="AB119" i="23"/>
  <c r="AI119" i="23" s="1"/>
  <c r="T119" i="23"/>
  <c r="N119" i="23"/>
  <c r="AE118" i="23"/>
  <c r="AB118" i="23"/>
  <c r="N118" i="23"/>
  <c r="E118" i="23"/>
  <c r="D118" i="23"/>
  <c r="B118" i="23"/>
  <c r="AJ117" i="23"/>
  <c r="AI117" i="23"/>
  <c r="AE117" i="23"/>
  <c r="AB117" i="23"/>
  <c r="N117" i="23"/>
  <c r="T117" i="23" s="1"/>
  <c r="I117" i="23"/>
  <c r="B117" i="23"/>
  <c r="B235" i="23" s="1"/>
  <c r="AB116" i="23"/>
  <c r="AI116" i="23" s="1"/>
  <c r="U116" i="23"/>
  <c r="T116" i="23"/>
  <c r="P116" i="23"/>
  <c r="N116" i="23"/>
  <c r="B116" i="23"/>
  <c r="B234" i="23" s="1"/>
  <c r="AB115" i="23"/>
  <c r="AI115" i="23" s="1"/>
  <c r="T115" i="23"/>
  <c r="P115" i="23"/>
  <c r="N115" i="23"/>
  <c r="I115" i="23"/>
  <c r="H115" i="23"/>
  <c r="H233" i="23" s="1"/>
  <c r="E115" i="23"/>
  <c r="D115" i="23"/>
  <c r="B115" i="23"/>
  <c r="AB114" i="23"/>
  <c r="AI114" i="23" s="1"/>
  <c r="T114" i="23"/>
  <c r="N114" i="23"/>
  <c r="H114" i="23"/>
  <c r="H232" i="23" s="1"/>
  <c r="E114" i="23"/>
  <c r="D114" i="23"/>
  <c r="B114" i="23"/>
  <c r="AJ113" i="23"/>
  <c r="Q113" i="23"/>
  <c r="B113" i="23"/>
  <c r="B231" i="23" s="1"/>
  <c r="AJ112" i="23"/>
  <c r="AI112" i="23"/>
  <c r="AF112" i="23"/>
  <c r="AB112" i="23"/>
  <c r="Q112" i="23"/>
  <c r="N112" i="23"/>
  <c r="T112" i="23" s="1"/>
  <c r="E112" i="23"/>
  <c r="B112" i="23"/>
  <c r="H112" i="23" s="1"/>
  <c r="D230" i="23" s="1"/>
  <c r="AF111" i="23"/>
  <c r="W111" i="23"/>
  <c r="V111" i="23"/>
  <c r="Q111" i="23"/>
  <c r="E111" i="23"/>
  <c r="AJ110" i="23"/>
  <c r="AF110" i="23"/>
  <c r="AB110" i="23"/>
  <c r="AI110" i="23" s="1"/>
  <c r="W110" i="23"/>
  <c r="V110" i="23"/>
  <c r="Q110" i="23"/>
  <c r="N110" i="23"/>
  <c r="T110" i="23" s="1"/>
  <c r="I110" i="23"/>
  <c r="E110" i="23"/>
  <c r="B110" i="23"/>
  <c r="H110" i="23" s="1"/>
  <c r="H228" i="23" s="1"/>
  <c r="AB109" i="23"/>
  <c r="AI109" i="23" s="1"/>
  <c r="N109" i="23"/>
  <c r="T109" i="23" s="1"/>
  <c r="B109" i="23"/>
  <c r="H109" i="23" s="1"/>
  <c r="H227" i="23" s="1"/>
  <c r="AB108" i="23"/>
  <c r="AI108" i="23" s="1"/>
  <c r="T108" i="23"/>
  <c r="N108" i="23"/>
  <c r="H108" i="23"/>
  <c r="H226" i="23" s="1"/>
  <c r="B108" i="23"/>
  <c r="M226" i="23" s="1"/>
  <c r="AI107" i="23"/>
  <c r="AB107" i="23"/>
  <c r="T107" i="23"/>
  <c r="N107" i="23"/>
  <c r="B107" i="23"/>
  <c r="H107" i="23" s="1"/>
  <c r="AB106" i="23"/>
  <c r="AI106" i="23" s="1"/>
  <c r="AJ106" i="23" s="1"/>
  <c r="N106" i="23"/>
  <c r="T106" i="23" s="1"/>
  <c r="U106" i="23" s="1"/>
  <c r="B106" i="23"/>
  <c r="B224" i="23" s="1"/>
  <c r="B86" i="23"/>
  <c r="B221" i="23" s="1"/>
  <c r="T85" i="23"/>
  <c r="N85" i="23"/>
  <c r="B153" i="23" s="1"/>
  <c r="N84" i="23"/>
  <c r="B152" i="23" s="1"/>
  <c r="B84" i="23"/>
  <c r="AR14" i="23" s="1"/>
  <c r="F219" i="23" s="1"/>
  <c r="N83" i="23"/>
  <c r="H151" i="23" s="1"/>
  <c r="B83" i="23"/>
  <c r="H83" i="23" s="1"/>
  <c r="H218" i="23" s="1"/>
  <c r="T82" i="23"/>
  <c r="P82" i="23"/>
  <c r="N82" i="23"/>
  <c r="I82" i="23"/>
  <c r="D82" i="23"/>
  <c r="B82" i="23"/>
  <c r="T81" i="23"/>
  <c r="D149" i="23" s="1"/>
  <c r="N81" i="23"/>
  <c r="B149" i="23" s="1"/>
  <c r="I81" i="23"/>
  <c r="B81" i="23"/>
  <c r="B216" i="23" s="1"/>
  <c r="T80" i="23"/>
  <c r="D148" i="23" s="1"/>
  <c r="N80" i="23"/>
  <c r="B80" i="23"/>
  <c r="N79" i="23"/>
  <c r="B147" i="23" s="1"/>
  <c r="Q78" i="23"/>
  <c r="N78" i="23"/>
  <c r="H146" i="23" s="1"/>
  <c r="H78" i="23"/>
  <c r="E78" i="23"/>
  <c r="B78" i="23"/>
  <c r="Q77" i="23"/>
  <c r="N77" i="23"/>
  <c r="H145" i="23" s="1"/>
  <c r="I77" i="23"/>
  <c r="E77" i="23"/>
  <c r="N76" i="23"/>
  <c r="B144" i="23" s="1"/>
  <c r="I76" i="23"/>
  <c r="B76" i="23"/>
  <c r="H76" i="23" s="1"/>
  <c r="Q75" i="23"/>
  <c r="Q80" i="23" s="1"/>
  <c r="N75" i="23"/>
  <c r="H75" i="23"/>
  <c r="D210" i="23" s="1"/>
  <c r="B75" i="23"/>
  <c r="B210" i="23" s="1"/>
  <c r="N74" i="23"/>
  <c r="B142" i="23" s="1"/>
  <c r="B74" i="23"/>
  <c r="T73" i="23"/>
  <c r="N73" i="23"/>
  <c r="H141" i="23" s="1"/>
  <c r="B73" i="23"/>
  <c r="T72" i="23"/>
  <c r="D140" i="23" s="1"/>
  <c r="N72" i="23"/>
  <c r="B140" i="23" s="1"/>
  <c r="B72" i="23"/>
  <c r="H72" i="23" s="1"/>
  <c r="I72" i="23" s="1"/>
  <c r="T71" i="23"/>
  <c r="N71" i="23"/>
  <c r="E66" i="23"/>
  <c r="E65" i="23"/>
  <c r="E64" i="23"/>
  <c r="E63" i="23"/>
  <c r="E62" i="23"/>
  <c r="E61" i="23"/>
  <c r="E60" i="23"/>
  <c r="E59" i="23"/>
  <c r="E58" i="23"/>
  <c r="N54" i="23"/>
  <c r="T54" i="23" s="1"/>
  <c r="D170" i="23" s="1"/>
  <c r="H54" i="23"/>
  <c r="H204" i="23" s="1"/>
  <c r="B54" i="23"/>
  <c r="N53" i="23"/>
  <c r="B169" i="23" s="1"/>
  <c r="B53" i="23"/>
  <c r="N52" i="23"/>
  <c r="B168" i="23" s="1"/>
  <c r="B52" i="23"/>
  <c r="B202" i="23" s="1"/>
  <c r="T51" i="23"/>
  <c r="D167" i="23" s="1"/>
  <c r="N51" i="23"/>
  <c r="B51" i="23"/>
  <c r="AO13" i="23" s="1"/>
  <c r="F201" i="23" s="1"/>
  <c r="Q50" i="23"/>
  <c r="N50" i="23"/>
  <c r="B166" i="23" s="1"/>
  <c r="H50" i="23"/>
  <c r="H200" i="23" s="1"/>
  <c r="B50" i="23"/>
  <c r="B200" i="23" s="1"/>
  <c r="Q49" i="23"/>
  <c r="N49" i="23"/>
  <c r="H49" i="23"/>
  <c r="H199" i="23" s="1"/>
  <c r="E49" i="23"/>
  <c r="B49" i="23"/>
  <c r="Q48" i="23"/>
  <c r="N48" i="23"/>
  <c r="B164" i="23" s="1"/>
  <c r="B48" i="23"/>
  <c r="AO10" i="23" s="1"/>
  <c r="F198" i="23" s="1"/>
  <c r="Q47" i="23"/>
  <c r="N47" i="23"/>
  <c r="E47" i="23"/>
  <c r="Q46" i="23"/>
  <c r="N46" i="23"/>
  <c r="H46" i="23"/>
  <c r="D196" i="23" s="1"/>
  <c r="E46" i="23"/>
  <c r="B46" i="23"/>
  <c r="B196" i="23" s="1"/>
  <c r="Q45" i="23"/>
  <c r="N45" i="23"/>
  <c r="E45" i="23"/>
  <c r="T44" i="23"/>
  <c r="D160" i="23" s="1"/>
  <c r="N44" i="23"/>
  <c r="H160" i="23" s="1"/>
  <c r="B44" i="23"/>
  <c r="T43" i="23"/>
  <c r="D159" i="23" s="1"/>
  <c r="N43" i="23"/>
  <c r="H159" i="23" s="1"/>
  <c r="H43" i="23"/>
  <c r="H193" i="23" s="1"/>
  <c r="B43" i="23"/>
  <c r="N42" i="23"/>
  <c r="H158" i="23" s="1"/>
  <c r="B42" i="23"/>
  <c r="N41" i="23"/>
  <c r="H157" i="23" s="1"/>
  <c r="B41" i="23"/>
  <c r="B191" i="23" s="1"/>
  <c r="N40" i="23"/>
  <c r="B156" i="23" s="1"/>
  <c r="H40" i="23"/>
  <c r="D190" i="23" s="1"/>
  <c r="B40" i="23"/>
  <c r="E31" i="23"/>
  <c r="E28" i="23"/>
  <c r="E26" i="23"/>
  <c r="E24" i="23"/>
  <c r="E23" i="23"/>
  <c r="E22" i="23"/>
  <c r="E21" i="23"/>
  <c r="E20" i="23"/>
  <c r="AR16" i="23"/>
  <c r="F221" i="23" s="1"/>
  <c r="AO16" i="23"/>
  <c r="F204" i="23" s="1"/>
  <c r="P16" i="23"/>
  <c r="D187" i="23" s="1"/>
  <c r="K16" i="23"/>
  <c r="AL15" i="23"/>
  <c r="F169" i="23" s="1"/>
  <c r="AF15" i="23"/>
  <c r="F186" i="23" s="1"/>
  <c r="P15" i="23"/>
  <c r="D186" i="23" s="1"/>
  <c r="K15" i="23"/>
  <c r="B186" i="23" s="1"/>
  <c r="B15" i="23"/>
  <c r="B119" i="23" s="1"/>
  <c r="H119" i="23" s="1"/>
  <c r="AO14" i="23"/>
  <c r="F202" i="23" s="1"/>
  <c r="AL14" i="23"/>
  <c r="F168" i="23" s="1"/>
  <c r="K14" i="23"/>
  <c r="AR13" i="23"/>
  <c r="F218" i="23" s="1"/>
  <c r="AL13" i="23"/>
  <c r="F167" i="23" s="1"/>
  <c r="AF13" i="23"/>
  <c r="F184" i="23" s="1"/>
  <c r="P13" i="23"/>
  <c r="D184" i="23" s="1"/>
  <c r="K13" i="23"/>
  <c r="H184" i="23" s="1"/>
  <c r="AU12" i="23"/>
  <c r="AO12" i="23"/>
  <c r="F200" i="23" s="1"/>
  <c r="AI12" i="23"/>
  <c r="F149" i="23" s="1"/>
  <c r="AF12" i="23"/>
  <c r="F183" i="23" s="1"/>
  <c r="P12" i="23"/>
  <c r="K12" i="23"/>
  <c r="H183" i="23" s="1"/>
  <c r="AU11" i="23"/>
  <c r="AR11" i="23"/>
  <c r="F216" i="23" s="1"/>
  <c r="AO11" i="23"/>
  <c r="F199" i="23" s="1"/>
  <c r="AL11" i="23"/>
  <c r="F165" i="23" s="1"/>
  <c r="P11" i="23"/>
  <c r="D182" i="23" s="1"/>
  <c r="K11" i="23"/>
  <c r="H182" i="23" s="1"/>
  <c r="AU10" i="23"/>
  <c r="F232" i="23" s="1"/>
  <c r="AR10" i="23"/>
  <c r="F215" i="23" s="1"/>
  <c r="AI10" i="23"/>
  <c r="P10" i="23"/>
  <c r="D181" i="23" s="1"/>
  <c r="K10" i="23"/>
  <c r="B181" i="23" s="1"/>
  <c r="AU9" i="23"/>
  <c r="F231" i="23" s="1"/>
  <c r="AI9" i="23"/>
  <c r="F146" i="23" s="1"/>
  <c r="M9" i="23"/>
  <c r="B9" i="23"/>
  <c r="AB113" i="23" s="1"/>
  <c r="AI113" i="23" s="1"/>
  <c r="AU8" i="23"/>
  <c r="F230" i="23" s="1"/>
  <c r="AR8" i="23"/>
  <c r="AO8" i="23"/>
  <c r="F196" i="23" s="1"/>
  <c r="P8" i="23"/>
  <c r="D179" i="23" s="1"/>
  <c r="K8" i="23"/>
  <c r="H179" i="23" s="1"/>
  <c r="B7" i="23"/>
  <c r="K7" i="23" s="1"/>
  <c r="AU6" i="23"/>
  <c r="F228" i="23" s="1"/>
  <c r="AF6" i="23"/>
  <c r="F177" i="23" s="1"/>
  <c r="X6" i="23"/>
  <c r="S6" i="23"/>
  <c r="V1" i="23" s="1"/>
  <c r="V4" i="23" s="1"/>
  <c r="P6" i="23"/>
  <c r="N6" i="23" a="1"/>
  <c r="N6" i="23" s="1"/>
  <c r="K6" i="23"/>
  <c r="AU5" i="23"/>
  <c r="F227" i="23" s="1"/>
  <c r="AR5" i="23"/>
  <c r="F210" i="23" s="1"/>
  <c r="AO5" i="23"/>
  <c r="AI5" i="23"/>
  <c r="K5" i="23"/>
  <c r="B176" i="23" s="1"/>
  <c r="AU4" i="23"/>
  <c r="F226" i="23" s="1"/>
  <c r="AR4" i="23"/>
  <c r="F209" i="23" s="1"/>
  <c r="AL4" i="23"/>
  <c r="F158" i="23" s="1"/>
  <c r="AI4" i="23"/>
  <c r="F141" i="23" s="1"/>
  <c r="AF4" i="23"/>
  <c r="F175" i="23" s="1"/>
  <c r="X4" i="23"/>
  <c r="S4" i="23"/>
  <c r="N4" i="23"/>
  <c r="K4" i="23"/>
  <c r="B175" i="23" s="1"/>
  <c r="AZ3" i="23"/>
  <c r="AL3" i="23"/>
  <c r="F157" i="23" s="1"/>
  <c r="AI3" i="23"/>
  <c r="F140" i="23" s="1"/>
  <c r="K3" i="23"/>
  <c r="AF3" i="23" s="1"/>
  <c r="AZ2" i="23"/>
  <c r="AR2" i="23"/>
  <c r="AI2" i="23"/>
  <c r="AA2" i="23"/>
  <c r="Z2" i="23" a="1"/>
  <c r="Z2" i="23" s="1"/>
  <c r="V2" i="23"/>
  <c r="Q2" i="23"/>
  <c r="K2" i="23"/>
  <c r="B173" i="23" s="1"/>
  <c r="AZ1" i="23"/>
  <c r="AA1" i="23"/>
  <c r="AA4" i="23" s="1"/>
  <c r="U149" i="10"/>
  <c r="H82" i="10"/>
  <c r="I82" i="10"/>
  <c r="I76" i="10"/>
  <c r="I77" i="10"/>
  <c r="D82" i="10"/>
  <c r="P115" i="10"/>
  <c r="H77" i="10"/>
  <c r="H75" i="10"/>
  <c r="H76" i="10"/>
  <c r="I81" i="10"/>
  <c r="I115" i="10"/>
  <c r="V148" i="10"/>
  <c r="U148" i="10"/>
  <c r="E115" i="10"/>
  <c r="E114" i="10"/>
  <c r="D115" i="10"/>
  <c r="H115" i="10"/>
  <c r="I117" i="10"/>
  <c r="H117" i="10"/>
  <c r="H116" i="10"/>
  <c r="I110" i="10"/>
  <c r="H110" i="10"/>
  <c r="E112" i="10"/>
  <c r="D114" i="10"/>
  <c r="E118" i="10"/>
  <c r="D118" i="10"/>
  <c r="P116" i="10"/>
  <c r="W111" i="10"/>
  <c r="W110" i="10"/>
  <c r="V111" i="10"/>
  <c r="V110" i="10"/>
  <c r="T116" i="10"/>
  <c r="U116" i="10"/>
  <c r="T115" i="10"/>
  <c r="N115" i="10"/>
  <c r="T111" i="10"/>
  <c r="T110" i="10"/>
  <c r="AE118" i="10"/>
  <c r="AE117" i="10"/>
  <c r="AI117" i="10"/>
  <c r="AI115" i="10"/>
  <c r="AI113" i="10"/>
  <c r="AI111" i="10"/>
  <c r="AI112" i="10"/>
  <c r="AI110" i="10"/>
  <c r="AJ117" i="10"/>
  <c r="AI108" i="10"/>
  <c r="AJ113" i="10"/>
  <c r="AJ112" i="10"/>
  <c r="AF110" i="10"/>
  <c r="AJ110" i="10"/>
  <c r="H178" i="23" l="1"/>
  <c r="AF7" i="23"/>
  <c r="F178" i="23" s="1"/>
  <c r="P7" i="23"/>
  <c r="B178" i="23"/>
  <c r="H237" i="23"/>
  <c r="D237" i="23"/>
  <c r="E76" i="23"/>
  <c r="H79" i="23" s="1"/>
  <c r="H213" i="23"/>
  <c r="H41" i="23"/>
  <c r="B203" i="23"/>
  <c r="AO15" i="23"/>
  <c r="F203" i="23" s="1"/>
  <c r="B208" i="23"/>
  <c r="H73" i="23"/>
  <c r="M208" i="23"/>
  <c r="AB111" i="23"/>
  <c r="AI111" i="23" s="1"/>
  <c r="AW173" i="23"/>
  <c r="AW174" i="23"/>
  <c r="AW172" i="23"/>
  <c r="AW169" i="23"/>
  <c r="AO3" i="23"/>
  <c r="F191" i="23" s="1"/>
  <c r="AF8" i="23"/>
  <c r="F179" i="23" s="1"/>
  <c r="V142" i="23"/>
  <c r="H113" i="23"/>
  <c r="B211" i="23"/>
  <c r="AF2" i="23"/>
  <c r="AU13" i="23"/>
  <c r="F235" i="23" s="1"/>
  <c r="H42" i="23"/>
  <c r="M192" i="23"/>
  <c r="AO4" i="23"/>
  <c r="F192" i="23" s="1"/>
  <c r="H161" i="23"/>
  <c r="B161" i="23"/>
  <c r="B217" i="23"/>
  <c r="H82" i="23"/>
  <c r="AR12" i="23"/>
  <c r="F217" i="23" s="1"/>
  <c r="AG2" i="23"/>
  <c r="AF10" i="23"/>
  <c r="F181" i="23" s="1"/>
  <c r="AF14" i="23"/>
  <c r="F185" i="23" s="1"/>
  <c r="H185" i="23"/>
  <c r="M209" i="23"/>
  <c r="B209" i="23"/>
  <c r="T76" i="23"/>
  <c r="H225" i="23"/>
  <c r="D225" i="23"/>
  <c r="H144" i="23"/>
  <c r="M191" i="23"/>
  <c r="D200" i="23"/>
  <c r="H211" i="23"/>
  <c r="D211" i="23"/>
  <c r="BH171" i="23"/>
  <c r="W44" i="23"/>
  <c r="D139" i="23"/>
  <c r="H163" i="23"/>
  <c r="T47" i="23"/>
  <c r="D163" i="23" s="1"/>
  <c r="H53" i="23"/>
  <c r="B236" i="23"/>
  <c r="AU14" i="23"/>
  <c r="F236" i="23" s="1"/>
  <c r="B163" i="23"/>
  <c r="AR3" i="23"/>
  <c r="F208" i="23" s="1"/>
  <c r="T53" i="23"/>
  <c r="D169" i="23" s="1"/>
  <c r="H169" i="23"/>
  <c r="H120" i="23"/>
  <c r="D227" i="23"/>
  <c r="AR6" i="23"/>
  <c r="F211" i="23" s="1"/>
  <c r="H139" i="23"/>
  <c r="AF5" i="23"/>
  <c r="F176" i="23" s="1"/>
  <c r="AU15" i="23"/>
  <c r="F237" i="23" s="1"/>
  <c r="T45" i="23"/>
  <c r="H48" i="23"/>
  <c r="T50" i="23"/>
  <c r="D166" i="23" s="1"/>
  <c r="H74" i="23"/>
  <c r="Q79" i="23"/>
  <c r="H140" i="23"/>
  <c r="H181" i="23"/>
  <c r="B192" i="23"/>
  <c r="D207" i="23"/>
  <c r="D232" i="23"/>
  <c r="W167" i="23"/>
  <c r="U172" i="23"/>
  <c r="H196" i="23"/>
  <c r="D228" i="23"/>
  <c r="AO2" i="23"/>
  <c r="B47" i="23"/>
  <c r="P9" i="23"/>
  <c r="D180" i="23" s="1"/>
  <c r="K9" i="23"/>
  <c r="N113" i="23"/>
  <c r="T113" i="23" s="1"/>
  <c r="B79" i="23"/>
  <c r="AL12" i="23"/>
  <c r="F166" i="23" s="1"/>
  <c r="B159" i="23"/>
  <c r="AL5" i="23"/>
  <c r="F159" i="23" s="1"/>
  <c r="U71" i="23"/>
  <c r="H117" i="23"/>
  <c r="H142" i="23"/>
  <c r="H153" i="23"/>
  <c r="AL172" i="23"/>
  <c r="D213" i="23"/>
  <c r="B170" i="23"/>
  <c r="AL16" i="23"/>
  <c r="F170" i="23" s="1"/>
  <c r="AI13" i="23"/>
  <c r="F150" i="23" s="1"/>
  <c r="D150" i="23"/>
  <c r="L2" i="23"/>
  <c r="B194" i="23"/>
  <c r="AO6" i="23"/>
  <c r="F194" i="23" s="1"/>
  <c r="H44" i="23"/>
  <c r="BH172" i="23"/>
  <c r="H143" i="23"/>
  <c r="AL174" i="23"/>
  <c r="AI11" i="23"/>
  <c r="F148" i="23" s="1"/>
  <c r="AL6" i="23"/>
  <c r="F160" i="23" s="1"/>
  <c r="B160" i="23"/>
  <c r="H162" i="23"/>
  <c r="T46" i="23"/>
  <c r="B162" i="23"/>
  <c r="AL8" i="23"/>
  <c r="F162" i="23" s="1"/>
  <c r="H81" i="23"/>
  <c r="H106" i="23"/>
  <c r="B146" i="23"/>
  <c r="AL169" i="23"/>
  <c r="M173" i="23"/>
  <c r="B198" i="23"/>
  <c r="B219" i="23"/>
  <c r="B238" i="23"/>
  <c r="BH169" i="23"/>
  <c r="D177" i="23"/>
  <c r="B45" i="23"/>
  <c r="B111" i="23"/>
  <c r="B77" i="23"/>
  <c r="B187" i="23"/>
  <c r="AF16" i="23"/>
  <c r="F187" i="23" s="1"/>
  <c r="H164" i="23"/>
  <c r="AL10" i="23"/>
  <c r="F164" i="23" s="1"/>
  <c r="T48" i="23"/>
  <c r="D164" i="23" s="1"/>
  <c r="B215" i="23"/>
  <c r="H80" i="23"/>
  <c r="AI16" i="23"/>
  <c r="F153" i="23" s="1"/>
  <c r="D153" i="23"/>
  <c r="F207" i="23"/>
  <c r="H207" i="23"/>
  <c r="B182" i="23"/>
  <c r="AF11" i="23"/>
  <c r="F182" i="23" s="1"/>
  <c r="B145" i="23"/>
  <c r="T77" i="23"/>
  <c r="D193" i="23"/>
  <c r="I40" i="23"/>
  <c r="N111" i="23"/>
  <c r="T111" i="23" s="1"/>
  <c r="B157" i="23"/>
  <c r="H170" i="23"/>
  <c r="B179" i="23"/>
  <c r="M224" i="23"/>
  <c r="H177" i="23"/>
  <c r="B177" i="23"/>
  <c r="U2" i="23"/>
  <c r="AD2" i="23"/>
  <c r="Q1" i="23"/>
  <c r="N7" i="23"/>
  <c r="AL7" i="23"/>
  <c r="F161" i="23" s="1"/>
  <c r="AL9" i="23"/>
  <c r="F163" i="23" s="1"/>
  <c r="T40" i="23"/>
  <c r="V71" i="23" s="1"/>
  <c r="H165" i="23"/>
  <c r="B165" i="23"/>
  <c r="T49" i="23"/>
  <c r="D165" i="23" s="1"/>
  <c r="T75" i="23"/>
  <c r="B143" i="23"/>
  <c r="B151" i="23"/>
  <c r="S174" i="23"/>
  <c r="S173" i="23" s="1"/>
  <c r="M159" i="23" s="1"/>
  <c r="H187" i="23"/>
  <c r="AU3" i="23"/>
  <c r="F225" i="23" s="1"/>
  <c r="H86" i="23"/>
  <c r="M174" i="23"/>
  <c r="B228" i="23"/>
  <c r="P3" i="23"/>
  <c r="D174" i="23" s="1"/>
  <c r="H51" i="23"/>
  <c r="T84" i="23"/>
  <c r="H116" i="23"/>
  <c r="B201" i="23"/>
  <c r="B85" i="23"/>
  <c r="T45" i="10"/>
  <c r="T47" i="10"/>
  <c r="T46" i="10"/>
  <c r="T44" i="10"/>
  <c r="AI118" i="23" l="1"/>
  <c r="H52" i="23"/>
  <c r="T83" i="23"/>
  <c r="T118" i="23"/>
  <c r="H118" i="23"/>
  <c r="P14" i="23"/>
  <c r="D185" i="23" s="1"/>
  <c r="H84" i="23"/>
  <c r="T52" i="23"/>
  <c r="D168" i="23" s="1"/>
  <c r="H191" i="23"/>
  <c r="D191" i="23"/>
  <c r="D235" i="23"/>
  <c r="H235" i="23"/>
  <c r="D216" i="23"/>
  <c r="H216" i="23"/>
  <c r="D221" i="23"/>
  <c r="H221" i="23"/>
  <c r="W46" i="23"/>
  <c r="Q44" i="23" s="1"/>
  <c r="D162" i="23"/>
  <c r="H192" i="23"/>
  <c r="D192" i="23"/>
  <c r="D234" i="23"/>
  <c r="H234" i="23"/>
  <c r="D209" i="23"/>
  <c r="H209" i="23"/>
  <c r="AR7" i="23"/>
  <c r="F212" i="23" s="1"/>
  <c r="H77" i="23"/>
  <c r="B212" i="23"/>
  <c r="D201" i="23"/>
  <c r="H201" i="23"/>
  <c r="AI6" i="23"/>
  <c r="F143" i="23" s="1"/>
  <c r="D143" i="23"/>
  <c r="AU7" i="23"/>
  <c r="F229" i="23" s="1"/>
  <c r="B229" i="23"/>
  <c r="H111" i="23"/>
  <c r="H45" i="23"/>
  <c r="AO7" i="23"/>
  <c r="F195" i="23" s="1"/>
  <c r="B195" i="23"/>
  <c r="D194" i="23"/>
  <c r="BH170" i="23"/>
  <c r="H194" i="23"/>
  <c r="AI7" i="23"/>
  <c r="F144" i="23" s="1"/>
  <c r="D144" i="23"/>
  <c r="B214" i="23"/>
  <c r="AR9" i="23"/>
  <c r="F214" i="23" s="1"/>
  <c r="BH173" i="23"/>
  <c r="BH174" i="23"/>
  <c r="AL173" i="23"/>
  <c r="D238" i="23"/>
  <c r="H238" i="23"/>
  <c r="H173" i="23"/>
  <c r="F173" i="23"/>
  <c r="H208" i="23"/>
  <c r="D208" i="23"/>
  <c r="D178" i="23"/>
  <c r="U169" i="23"/>
  <c r="F190" i="23"/>
  <c r="H190" i="23"/>
  <c r="H217" i="23"/>
  <c r="D217" i="23"/>
  <c r="H198" i="23"/>
  <c r="D198" i="23"/>
  <c r="D224" i="23"/>
  <c r="I106" i="23"/>
  <c r="AU2" i="23"/>
  <c r="W45" i="23"/>
  <c r="U173" i="23" s="1"/>
  <c r="D161" i="23"/>
  <c r="V82" i="23"/>
  <c r="S98" i="23"/>
  <c r="V81" i="23"/>
  <c r="Q76" i="23"/>
  <c r="V140" i="23" s="1"/>
  <c r="D156" i="23"/>
  <c r="U40" i="23"/>
  <c r="AL2" i="23"/>
  <c r="B220" i="23"/>
  <c r="H85" i="23"/>
  <c r="AR15" i="23"/>
  <c r="F220" i="23" s="1"/>
  <c r="P2" i="23"/>
  <c r="D173" i="23" s="1"/>
  <c r="Q4" i="23"/>
  <c r="V77" i="23"/>
  <c r="D145" i="23"/>
  <c r="AI8" i="23"/>
  <c r="F145" i="23" s="1"/>
  <c r="B180" i="23"/>
  <c r="AF9" i="23"/>
  <c r="F180" i="23" s="1"/>
  <c r="H180" i="23"/>
  <c r="B197" i="23"/>
  <c r="AO9" i="23"/>
  <c r="F197" i="23" s="1"/>
  <c r="H47" i="23"/>
  <c r="D152" i="23"/>
  <c r="AI15" i="23"/>
  <c r="F152" i="23" s="1"/>
  <c r="H214" i="23"/>
  <c r="D214" i="23"/>
  <c r="H203" i="23"/>
  <c r="D203" i="23"/>
  <c r="D215" i="23"/>
  <c r="H215" i="23"/>
  <c r="AW170" i="23"/>
  <c r="AL170" i="23"/>
  <c r="H231" i="23"/>
  <c r="D231" i="23"/>
  <c r="Z2" i="10" a="1"/>
  <c r="Z2" i="10" s="1"/>
  <c r="U142" i="10"/>
  <c r="K15" i="10"/>
  <c r="P15" i="10" s="1"/>
  <c r="T84" i="10"/>
  <c r="M174" i="10"/>
  <c r="N6" i="10" a="1"/>
  <c r="N6" i="10" s="1"/>
  <c r="X6" i="10"/>
  <c r="S6" i="10"/>
  <c r="Q2" i="10"/>
  <c r="M9" i="10"/>
  <c r="E31" i="10"/>
  <c r="U140" i="10"/>
  <c r="T71" i="10"/>
  <c r="E49" i="10"/>
  <c r="E66" i="10"/>
  <c r="E65" i="10"/>
  <c r="AO2" i="10"/>
  <c r="H190" i="10" s="1"/>
  <c r="H78" i="10"/>
  <c r="S145" i="10"/>
  <c r="Q141" i="10"/>
  <c r="N77" i="10"/>
  <c r="V2" i="10"/>
  <c r="AA2" i="10"/>
  <c r="L2" i="10"/>
  <c r="I40" i="10"/>
  <c r="I72" i="10"/>
  <c r="AJ106" i="10"/>
  <c r="I106" i="10"/>
  <c r="U106" i="10"/>
  <c r="AI107" i="10"/>
  <c r="T107" i="10"/>
  <c r="T108" i="10"/>
  <c r="Q110" i="10"/>
  <c r="Q111" i="10"/>
  <c r="Q113" i="10"/>
  <c r="Q112" i="10"/>
  <c r="T112" i="10"/>
  <c r="H112" i="10"/>
  <c r="N82" i="10"/>
  <c r="N81" i="10"/>
  <c r="N50" i="10"/>
  <c r="N51" i="10"/>
  <c r="B112" i="10"/>
  <c r="N46" i="10"/>
  <c r="AR2" i="10"/>
  <c r="N40" i="10"/>
  <c r="T40" i="10" s="1"/>
  <c r="U40" i="10" s="1"/>
  <c r="N71" i="10"/>
  <c r="U71" i="10" s="1"/>
  <c r="S98" i="10" s="1"/>
  <c r="H72" i="10"/>
  <c r="N106" i="10"/>
  <c r="AB112" i="10"/>
  <c r="AF125" i="10"/>
  <c r="Q127" i="10"/>
  <c r="Q129" i="10"/>
  <c r="Q133" i="10"/>
  <c r="AF129" i="10"/>
  <c r="AF127" i="10"/>
  <c r="AB107" i="10"/>
  <c r="AB108" i="10"/>
  <c r="AB109" i="10"/>
  <c r="AB110" i="10"/>
  <c r="AB114" i="10"/>
  <c r="AI114" i="10" s="1"/>
  <c r="AB115" i="10"/>
  <c r="AB116" i="10"/>
  <c r="AI116" i="10" s="1"/>
  <c r="AB117" i="10"/>
  <c r="AB118" i="10"/>
  <c r="AB120" i="10"/>
  <c r="AB106" i="10"/>
  <c r="AI106" i="10" s="1"/>
  <c r="AI120" i="10"/>
  <c r="AF112" i="10"/>
  <c r="AF111" i="10"/>
  <c r="AI109" i="10"/>
  <c r="N41" i="10"/>
  <c r="N42" i="10"/>
  <c r="N43" i="10"/>
  <c r="T43" i="10"/>
  <c r="N44" i="10"/>
  <c r="W44" i="10" s="1"/>
  <c r="N45" i="10"/>
  <c r="W45" i="10" s="1"/>
  <c r="U173" i="10" s="1"/>
  <c r="Q45" i="10"/>
  <c r="Q46" i="10"/>
  <c r="N47" i="10"/>
  <c r="Q47" i="10"/>
  <c r="N48" i="10"/>
  <c r="Q48" i="10"/>
  <c r="T48" i="10"/>
  <c r="N117" i="10"/>
  <c r="T117" i="10" s="1"/>
  <c r="N116" i="10"/>
  <c r="N112" i="10"/>
  <c r="N107" i="10"/>
  <c r="N108" i="10"/>
  <c r="N109" i="10"/>
  <c r="N110" i="10"/>
  <c r="N114" i="10"/>
  <c r="T114" i="10" s="1"/>
  <c r="N118" i="10"/>
  <c r="N120" i="10"/>
  <c r="T120" i="10" s="1"/>
  <c r="T106" i="10"/>
  <c r="T109" i="10"/>
  <c r="M207" i="10"/>
  <c r="E21" i="10"/>
  <c r="W171" i="10"/>
  <c r="BJ171" i="10"/>
  <c r="AY171" i="10"/>
  <c r="AN171" i="10"/>
  <c r="BJ173" i="10"/>
  <c r="AY173" i="10"/>
  <c r="AN173" i="10"/>
  <c r="W173" i="10"/>
  <c r="M140" i="10"/>
  <c r="M141" i="10"/>
  <c r="M139" i="10"/>
  <c r="P8" i="10"/>
  <c r="D179" i="10" s="1"/>
  <c r="P10" i="10"/>
  <c r="D181" i="10" s="1"/>
  <c r="P11" i="10"/>
  <c r="D182" i="10" s="1"/>
  <c r="P12" i="10"/>
  <c r="D183" i="10" s="1"/>
  <c r="P13" i="10"/>
  <c r="D184" i="10" s="1"/>
  <c r="P16" i="10"/>
  <c r="D187" i="10" s="1"/>
  <c r="D175" i="10"/>
  <c r="D176" i="10"/>
  <c r="H219" i="23" l="1"/>
  <c r="D219" i="23"/>
  <c r="D229" i="23"/>
  <c r="U174" i="23"/>
  <c r="H229" i="23"/>
  <c r="Q51" i="23"/>
  <c r="U141" i="23"/>
  <c r="U144" i="23" s="1"/>
  <c r="V141" i="23"/>
  <c r="D236" i="23"/>
  <c r="H236" i="23"/>
  <c r="F224" i="23"/>
  <c r="H224" i="23"/>
  <c r="H197" i="23"/>
  <c r="D197" i="23"/>
  <c r="H220" i="23"/>
  <c r="D220" i="23"/>
  <c r="AI14" i="23"/>
  <c r="F151" i="23" s="1"/>
  <c r="D151" i="23"/>
  <c r="H212" i="23"/>
  <c r="D212" i="23"/>
  <c r="U171" i="23"/>
  <c r="AL171" i="23"/>
  <c r="D202" i="23"/>
  <c r="H202" i="23"/>
  <c r="D195" i="23"/>
  <c r="H195" i="23"/>
  <c r="U170" i="23"/>
  <c r="H156" i="23"/>
  <c r="F156" i="23"/>
  <c r="AJ2" i="23"/>
  <c r="AL2" i="10"/>
  <c r="S174" i="10"/>
  <c r="S173" i="10" s="1"/>
  <c r="M159" i="10" s="1"/>
  <c r="V1" i="10"/>
  <c r="U2" i="10" s="1"/>
  <c r="V4" i="10" s="1"/>
  <c r="V71" i="10"/>
  <c r="S172" i="10"/>
  <c r="S171" i="10" s="1"/>
  <c r="M210" i="10" s="1"/>
  <c r="B9" i="10"/>
  <c r="M190" i="10"/>
  <c r="Q145" i="10"/>
  <c r="E47" i="10"/>
  <c r="E46" i="10"/>
  <c r="E28" i="10"/>
  <c r="E26" i="10"/>
  <c r="E24" i="10"/>
  <c r="E64" i="10"/>
  <c r="E63" i="10"/>
  <c r="AG142" i="10"/>
  <c r="AB142" i="10"/>
  <c r="X141" i="10"/>
  <c r="W160" i="10"/>
  <c r="B15" i="10"/>
  <c r="AZ2" i="10"/>
  <c r="M164" i="10"/>
  <c r="M163" i="10"/>
  <c r="M162" i="10"/>
  <c r="M161" i="10"/>
  <c r="M160" i="10"/>
  <c r="H161" i="10"/>
  <c r="H162" i="10"/>
  <c r="H163" i="10"/>
  <c r="E111" i="10"/>
  <c r="U151" i="10"/>
  <c r="E62" i="10"/>
  <c r="E61" i="10"/>
  <c r="E60" i="10"/>
  <c r="E59" i="10"/>
  <c r="E58" i="10"/>
  <c r="E23" i="10"/>
  <c r="E22" i="10"/>
  <c r="E20" i="10"/>
  <c r="Q49" i="10"/>
  <c r="Q78" i="10"/>
  <c r="AZ1" i="10"/>
  <c r="AZ3" i="10"/>
  <c r="Q50" i="10"/>
  <c r="B7" i="10"/>
  <c r="B234" i="10"/>
  <c r="B235" i="10"/>
  <c r="M228" i="10"/>
  <c r="M229" i="10"/>
  <c r="M230" i="10"/>
  <c r="M231" i="10"/>
  <c r="M232" i="10"/>
  <c r="M233" i="10"/>
  <c r="M234" i="10"/>
  <c r="M235" i="10"/>
  <c r="M236" i="10"/>
  <c r="M237" i="10"/>
  <c r="M238" i="10"/>
  <c r="M227" i="10"/>
  <c r="M211" i="10"/>
  <c r="M212" i="10"/>
  <c r="M213" i="10"/>
  <c r="M214" i="10"/>
  <c r="M215" i="10"/>
  <c r="M216" i="10"/>
  <c r="M217" i="10"/>
  <c r="M218" i="10"/>
  <c r="M219" i="10"/>
  <c r="M220" i="10"/>
  <c r="M221" i="10"/>
  <c r="M194" i="10"/>
  <c r="M195" i="10"/>
  <c r="M196" i="10"/>
  <c r="M197" i="10"/>
  <c r="M198" i="10"/>
  <c r="M199" i="10"/>
  <c r="M200" i="10"/>
  <c r="M201" i="10"/>
  <c r="M202" i="10"/>
  <c r="M203" i="10"/>
  <c r="M204" i="10"/>
  <c r="M193" i="10"/>
  <c r="M177" i="10"/>
  <c r="M178" i="10"/>
  <c r="M179" i="10"/>
  <c r="M180" i="10"/>
  <c r="M181" i="10"/>
  <c r="M182" i="10"/>
  <c r="M183" i="10"/>
  <c r="M184" i="10"/>
  <c r="M185" i="10"/>
  <c r="M186" i="10"/>
  <c r="M187" i="10"/>
  <c r="M176" i="10"/>
  <c r="M165" i="10"/>
  <c r="M166" i="10"/>
  <c r="M167" i="10"/>
  <c r="M168" i="10"/>
  <c r="M169" i="10"/>
  <c r="M170" i="10"/>
  <c r="K6" i="10"/>
  <c r="P6" i="10" s="1"/>
  <c r="D177" i="10" s="1"/>
  <c r="M157" i="10"/>
  <c r="M158" i="10"/>
  <c r="M156" i="10"/>
  <c r="D158" i="10"/>
  <c r="D157" i="10"/>
  <c r="D147" i="10"/>
  <c r="D146" i="10"/>
  <c r="D142" i="10"/>
  <c r="B120" i="10"/>
  <c r="B238" i="10" s="1"/>
  <c r="B118" i="10"/>
  <c r="AU14" i="10" s="1"/>
  <c r="F236" i="10" s="1"/>
  <c r="B117" i="10"/>
  <c r="B116" i="10"/>
  <c r="B115" i="10"/>
  <c r="H233" i="10" s="1"/>
  <c r="B114" i="10"/>
  <c r="B232" i="10" s="1"/>
  <c r="B113" i="10"/>
  <c r="AU9" i="10" s="1"/>
  <c r="F231" i="10" s="1"/>
  <c r="B230" i="10"/>
  <c r="B110" i="10"/>
  <c r="B109" i="10"/>
  <c r="AU5" i="10" s="1"/>
  <c r="F227" i="10" s="1"/>
  <c r="B108" i="10"/>
  <c r="M226" i="10" s="1"/>
  <c r="B107" i="10"/>
  <c r="M225" i="10" s="1"/>
  <c r="B106" i="10"/>
  <c r="B224" i="10" s="1"/>
  <c r="B86" i="10"/>
  <c r="AR16" i="10" s="1"/>
  <c r="F221" i="10" s="1"/>
  <c r="N85" i="10"/>
  <c r="N84" i="10"/>
  <c r="B84" i="10"/>
  <c r="B219" i="10" s="1"/>
  <c r="N83" i="10"/>
  <c r="B151" i="10" s="1"/>
  <c r="B83" i="10"/>
  <c r="AR13" i="10" s="1"/>
  <c r="F218" i="10" s="1"/>
  <c r="B82" i="10"/>
  <c r="B217" i="10" s="1"/>
  <c r="B81" i="10"/>
  <c r="B216" i="10" s="1"/>
  <c r="N80" i="10"/>
  <c r="B80" i="10"/>
  <c r="B215" i="10" s="1"/>
  <c r="N79" i="10"/>
  <c r="B79" i="10"/>
  <c r="AR9" i="10" s="1"/>
  <c r="F214" i="10" s="1"/>
  <c r="N78" i="10"/>
  <c r="E78" i="10"/>
  <c r="B78" i="10"/>
  <c r="B213" i="10" s="1"/>
  <c r="B145" i="10"/>
  <c r="E77" i="10"/>
  <c r="H80" i="10" s="1"/>
  <c r="Q77" i="10"/>
  <c r="N76" i="10"/>
  <c r="B144" i="10" s="1"/>
  <c r="B76" i="10"/>
  <c r="AR6" i="10" s="1"/>
  <c r="F211" i="10" s="1"/>
  <c r="N75" i="10"/>
  <c r="B75" i="10"/>
  <c r="B210" i="10" s="1"/>
  <c r="N74" i="10"/>
  <c r="B142" i="10" s="1"/>
  <c r="B74" i="10"/>
  <c r="AR4" i="10" s="1"/>
  <c r="F209" i="10" s="1"/>
  <c r="N73" i="10"/>
  <c r="B141" i="10" s="1"/>
  <c r="B73" i="10"/>
  <c r="B208" i="10" s="1"/>
  <c r="N72" i="10"/>
  <c r="B140" i="10" s="1"/>
  <c r="B72" i="10"/>
  <c r="B207" i="10" s="1"/>
  <c r="N54" i="10"/>
  <c r="H170" i="10" s="1"/>
  <c r="B54" i="10"/>
  <c r="B204" i="10" s="1"/>
  <c r="N53" i="10"/>
  <c r="B169" i="10" s="1"/>
  <c r="N52" i="10"/>
  <c r="B52" i="10"/>
  <c r="H167" i="10"/>
  <c r="B51" i="10"/>
  <c r="B166" i="10"/>
  <c r="B50" i="10"/>
  <c r="N49" i="10"/>
  <c r="AL11" i="10" s="1"/>
  <c r="F165" i="10" s="1"/>
  <c r="B49" i="10"/>
  <c r="H49" i="10" s="1"/>
  <c r="H164" i="10"/>
  <c r="B48" i="10"/>
  <c r="B198" i="10" s="1"/>
  <c r="B163" i="10"/>
  <c r="B47" i="10"/>
  <c r="B197" i="10" s="1"/>
  <c r="W46" i="10"/>
  <c r="B46" i="10"/>
  <c r="AO8" i="10" s="1"/>
  <c r="F196" i="10" s="1"/>
  <c r="H160" i="10"/>
  <c r="B44" i="10"/>
  <c r="AL5" i="10"/>
  <c r="F159" i="10" s="1"/>
  <c r="B43" i="10"/>
  <c r="H43" i="10" s="1"/>
  <c r="H193" i="10" s="1"/>
  <c r="H158" i="10"/>
  <c r="B42" i="10"/>
  <c r="H42" i="10" s="1"/>
  <c r="H157" i="10"/>
  <c r="B41" i="10"/>
  <c r="AO3" i="10" s="1"/>
  <c r="F191" i="10" s="1"/>
  <c r="B156" i="10"/>
  <c r="B40" i="10"/>
  <c r="H40" i="10" s="1"/>
  <c r="BH165" i="10"/>
  <c r="BF165" i="10"/>
  <c r="AW165" i="10"/>
  <c r="AU165" i="10"/>
  <c r="AL165" i="10"/>
  <c r="AJ165" i="10"/>
  <c r="W165" i="10"/>
  <c r="U165" i="10"/>
  <c r="BH164" i="10"/>
  <c r="BF164" i="10"/>
  <c r="AW164" i="10"/>
  <c r="AU164" i="10"/>
  <c r="AL164" i="10"/>
  <c r="AJ164" i="10"/>
  <c r="W164" i="10"/>
  <c r="U164" i="10"/>
  <c r="BH163" i="10"/>
  <c r="BF163" i="10"/>
  <c r="AW163" i="10"/>
  <c r="AU163" i="10"/>
  <c r="AL163" i="10"/>
  <c r="AJ163" i="10"/>
  <c r="W163" i="10"/>
  <c r="U163" i="10"/>
  <c r="BH162" i="10"/>
  <c r="BF162" i="10"/>
  <c r="AW162" i="10"/>
  <c r="AU162" i="10"/>
  <c r="AL162" i="10"/>
  <c r="AJ162" i="10"/>
  <c r="W162" i="10"/>
  <c r="U162" i="10"/>
  <c r="BH161" i="10"/>
  <c r="AW161" i="10"/>
  <c r="AU161" i="10"/>
  <c r="AL161" i="10"/>
  <c r="AJ161" i="10"/>
  <c r="W161" i="10"/>
  <c r="U161" i="10"/>
  <c r="BH160" i="10"/>
  <c r="BF160" i="10"/>
  <c r="AW160" i="10"/>
  <c r="AU160" i="10"/>
  <c r="AL160" i="10"/>
  <c r="AJ160" i="10"/>
  <c r="U160" i="10"/>
  <c r="K16" i="10"/>
  <c r="H187" i="10" s="1"/>
  <c r="K14" i="10"/>
  <c r="H185" i="10" s="1"/>
  <c r="B184" i="10"/>
  <c r="U152" i="10"/>
  <c r="K12" i="10"/>
  <c r="H183" i="10" s="1"/>
  <c r="K11" i="10"/>
  <c r="H182" i="10" s="1"/>
  <c r="AI10" i="10"/>
  <c r="F147" i="10" s="1"/>
  <c r="K10" i="10"/>
  <c r="B181" i="10" s="1"/>
  <c r="AI9" i="10"/>
  <c r="F146" i="10" s="1"/>
  <c r="K9" i="10"/>
  <c r="H180" i="10" s="1"/>
  <c r="K8" i="10"/>
  <c r="H179" i="10" s="1"/>
  <c r="AI5" i="10"/>
  <c r="F142" i="10" s="1"/>
  <c r="X4" i="10"/>
  <c r="S4" i="10"/>
  <c r="N4" i="10"/>
  <c r="K5" i="10"/>
  <c r="B176" i="10" s="1"/>
  <c r="K4" i="10"/>
  <c r="H175" i="10" s="1"/>
  <c r="K3" i="10"/>
  <c r="K2" i="10"/>
  <c r="H226" i="1"/>
  <c r="H227" i="1"/>
  <c r="H228" i="1"/>
  <c r="H229" i="1"/>
  <c r="H230" i="1"/>
  <c r="H231" i="1"/>
  <c r="H232" i="1"/>
  <c r="H233" i="1"/>
  <c r="H234" i="1"/>
  <c r="H235" i="1"/>
  <c r="H236" i="1"/>
  <c r="H237" i="1"/>
  <c r="H238" i="1"/>
  <c r="H225" i="1"/>
  <c r="H224" i="1"/>
  <c r="H207" i="1"/>
  <c r="F225" i="1"/>
  <c r="F226" i="1"/>
  <c r="F227" i="1"/>
  <c r="F228" i="1"/>
  <c r="F229" i="1"/>
  <c r="F230" i="1"/>
  <c r="F231" i="1"/>
  <c r="F232" i="1"/>
  <c r="F233" i="1"/>
  <c r="F234" i="1"/>
  <c r="F235" i="1"/>
  <c r="F236" i="1"/>
  <c r="F237" i="1"/>
  <c r="F238" i="1"/>
  <c r="F224" i="1"/>
  <c r="D225" i="1"/>
  <c r="D226" i="1"/>
  <c r="D227" i="1"/>
  <c r="D228" i="1"/>
  <c r="D229" i="1"/>
  <c r="D230" i="1"/>
  <c r="D231" i="1"/>
  <c r="D232" i="1"/>
  <c r="D233" i="1"/>
  <c r="D234" i="1"/>
  <c r="D235" i="1"/>
  <c r="D236" i="1"/>
  <c r="D237" i="1"/>
  <c r="D238" i="1"/>
  <c r="D224" i="1"/>
  <c r="B224" i="1"/>
  <c r="B225" i="1"/>
  <c r="B226" i="1"/>
  <c r="B227" i="1"/>
  <c r="B228" i="1"/>
  <c r="B229" i="1"/>
  <c r="B230" i="1"/>
  <c r="B231" i="1"/>
  <c r="B232" i="1"/>
  <c r="B233" i="1"/>
  <c r="B234" i="1"/>
  <c r="B235" i="1"/>
  <c r="B236" i="1"/>
  <c r="B237" i="1"/>
  <c r="B238" i="1"/>
  <c r="N226" i="1"/>
  <c r="N225" i="1"/>
  <c r="N224" i="1"/>
  <c r="H209" i="1"/>
  <c r="H210" i="1"/>
  <c r="H211" i="1"/>
  <c r="H212" i="1"/>
  <c r="H213" i="1"/>
  <c r="H214" i="1"/>
  <c r="H215" i="1"/>
  <c r="H216" i="1"/>
  <c r="H217" i="1"/>
  <c r="H218" i="1"/>
  <c r="H219" i="1"/>
  <c r="H220" i="1"/>
  <c r="H221" i="1"/>
  <c r="H208" i="1"/>
  <c r="H190" i="1"/>
  <c r="F208" i="1"/>
  <c r="F209" i="1"/>
  <c r="F210" i="1"/>
  <c r="F211" i="1"/>
  <c r="F212" i="1"/>
  <c r="F213" i="1"/>
  <c r="F214" i="1"/>
  <c r="F215" i="1"/>
  <c r="F216" i="1"/>
  <c r="F217" i="1"/>
  <c r="F218" i="1"/>
  <c r="F219" i="1"/>
  <c r="F220" i="1"/>
  <c r="F221" i="1"/>
  <c r="BH4" i="1"/>
  <c r="BH5" i="1"/>
  <c r="BH6" i="1"/>
  <c r="BH7" i="1"/>
  <c r="BH8" i="1"/>
  <c r="BH9" i="1"/>
  <c r="BH10" i="1"/>
  <c r="BH11" i="1"/>
  <c r="BH12" i="1"/>
  <c r="BH13" i="1"/>
  <c r="BH14" i="1"/>
  <c r="BH15" i="1"/>
  <c r="BH16" i="1"/>
  <c r="BH3" i="1"/>
  <c r="BE4" i="1"/>
  <c r="BE5" i="1"/>
  <c r="BE6" i="1"/>
  <c r="BE7" i="1"/>
  <c r="BE8" i="1"/>
  <c r="BE9" i="1"/>
  <c r="BE10" i="1"/>
  <c r="BE11" i="1"/>
  <c r="BE12" i="1"/>
  <c r="BE13" i="1"/>
  <c r="BE14" i="1"/>
  <c r="BE15" i="1"/>
  <c r="BE16" i="1"/>
  <c r="BE3" i="1"/>
  <c r="BB4" i="1"/>
  <c r="BB5" i="1"/>
  <c r="BB6" i="1"/>
  <c r="BB7" i="1"/>
  <c r="BB8" i="1"/>
  <c r="BB9" i="1"/>
  <c r="F197" i="1" s="1"/>
  <c r="BB10" i="1"/>
  <c r="F198" i="1" s="1"/>
  <c r="BB11" i="1"/>
  <c r="F199" i="1" s="1"/>
  <c r="BB12" i="1"/>
  <c r="F200" i="1" s="1"/>
  <c r="BB13" i="1"/>
  <c r="F201" i="1" s="1"/>
  <c r="BB14" i="1"/>
  <c r="F202" i="1" s="1"/>
  <c r="BB15" i="1"/>
  <c r="F203" i="1" s="1"/>
  <c r="BB16" i="1"/>
  <c r="BB3" i="1"/>
  <c r="F207" i="1"/>
  <c r="D208" i="1"/>
  <c r="D209" i="1"/>
  <c r="D210" i="1"/>
  <c r="D211" i="1"/>
  <c r="D212" i="1"/>
  <c r="D213" i="1"/>
  <c r="D214" i="1"/>
  <c r="D215" i="1"/>
  <c r="D216" i="1"/>
  <c r="D217" i="1"/>
  <c r="D218" i="1"/>
  <c r="D219" i="1"/>
  <c r="D220" i="1"/>
  <c r="D221" i="1"/>
  <c r="D207" i="1"/>
  <c r="B208" i="1"/>
  <c r="B209" i="1"/>
  <c r="B210" i="1"/>
  <c r="B211" i="1"/>
  <c r="B212" i="1"/>
  <c r="B213" i="1"/>
  <c r="B214" i="1"/>
  <c r="B215" i="1"/>
  <c r="B216" i="1"/>
  <c r="B217" i="1"/>
  <c r="B218" i="1"/>
  <c r="B219" i="1"/>
  <c r="B220" i="1"/>
  <c r="B221" i="1"/>
  <c r="B207" i="1"/>
  <c r="N209" i="1"/>
  <c r="N208" i="1"/>
  <c r="N207" i="1"/>
  <c r="N191" i="1"/>
  <c r="H192" i="1"/>
  <c r="H193" i="1"/>
  <c r="H194" i="1"/>
  <c r="H195" i="1"/>
  <c r="H196" i="1"/>
  <c r="H197" i="1"/>
  <c r="H198" i="1"/>
  <c r="H199" i="1"/>
  <c r="H200" i="1"/>
  <c r="H201" i="1"/>
  <c r="H202" i="1"/>
  <c r="H203" i="1"/>
  <c r="H204" i="1"/>
  <c r="H191" i="1"/>
  <c r="H173" i="1"/>
  <c r="F191" i="1"/>
  <c r="F192" i="1"/>
  <c r="F193" i="1"/>
  <c r="F194" i="1"/>
  <c r="F195" i="1"/>
  <c r="F196" i="1"/>
  <c r="F204" i="1"/>
  <c r="F190" i="1"/>
  <c r="H41" i="1"/>
  <c r="D192" i="1"/>
  <c r="D193" i="1"/>
  <c r="D194" i="1"/>
  <c r="D195" i="1"/>
  <c r="D196" i="1"/>
  <c r="D197" i="1"/>
  <c r="D198" i="1"/>
  <c r="D199" i="1"/>
  <c r="D200" i="1"/>
  <c r="D201" i="1"/>
  <c r="D202" i="1"/>
  <c r="D203" i="1"/>
  <c r="D204" i="1"/>
  <c r="D190" i="1"/>
  <c r="B191" i="1"/>
  <c r="B192" i="1"/>
  <c r="B193" i="1"/>
  <c r="B194" i="1"/>
  <c r="B195" i="1"/>
  <c r="B196" i="1"/>
  <c r="B197" i="1"/>
  <c r="B198" i="1"/>
  <c r="B199" i="1"/>
  <c r="B200" i="1"/>
  <c r="B201" i="1"/>
  <c r="B202" i="1"/>
  <c r="B203" i="1"/>
  <c r="B204" i="1"/>
  <c r="B190" i="1"/>
  <c r="N192" i="1"/>
  <c r="N190" i="1"/>
  <c r="H175" i="1"/>
  <c r="H176" i="1"/>
  <c r="H177" i="1"/>
  <c r="H178" i="1"/>
  <c r="H179" i="1"/>
  <c r="H180" i="1"/>
  <c r="H181" i="1"/>
  <c r="H182" i="1"/>
  <c r="H183" i="1"/>
  <c r="H184" i="1"/>
  <c r="H185" i="1"/>
  <c r="H186" i="1"/>
  <c r="H187" i="1"/>
  <c r="H174" i="1"/>
  <c r="AY2" i="1"/>
  <c r="AV2" i="1"/>
  <c r="AS2" i="1"/>
  <c r="F173" i="1" s="1"/>
  <c r="F174" i="1"/>
  <c r="F175" i="1"/>
  <c r="F176" i="1"/>
  <c r="F177" i="1"/>
  <c r="F178" i="1"/>
  <c r="F179" i="1"/>
  <c r="F180" i="1"/>
  <c r="F181" i="1"/>
  <c r="F182" i="1"/>
  <c r="F183" i="1"/>
  <c r="F184" i="1"/>
  <c r="F185" i="1"/>
  <c r="F186" i="1"/>
  <c r="F187" i="1"/>
  <c r="Q3" i="1"/>
  <c r="D175" i="1"/>
  <c r="D176" i="1"/>
  <c r="D177" i="1"/>
  <c r="D178" i="1"/>
  <c r="D179" i="1"/>
  <c r="D180" i="1"/>
  <c r="D181" i="1"/>
  <c r="D182" i="1"/>
  <c r="D183" i="1"/>
  <c r="D184" i="1"/>
  <c r="D185" i="1"/>
  <c r="D186" i="1"/>
  <c r="D187" i="1"/>
  <c r="B174" i="1"/>
  <c r="B175" i="1"/>
  <c r="B176" i="1"/>
  <c r="B177" i="1"/>
  <c r="B178" i="1"/>
  <c r="B179" i="1"/>
  <c r="B180" i="1"/>
  <c r="B181" i="1"/>
  <c r="B182" i="1"/>
  <c r="B183" i="1"/>
  <c r="B184" i="1"/>
  <c r="B185" i="1"/>
  <c r="B186" i="1"/>
  <c r="B187" i="1"/>
  <c r="B173" i="1"/>
  <c r="N175" i="1"/>
  <c r="N174" i="1"/>
  <c r="N173" i="1"/>
  <c r="N157" i="1"/>
  <c r="N158" i="1"/>
  <c r="N156" i="1"/>
  <c r="H158" i="1"/>
  <c r="H159" i="1"/>
  <c r="H160" i="1"/>
  <c r="H161" i="1"/>
  <c r="H162" i="1"/>
  <c r="H163" i="1"/>
  <c r="H164" i="1"/>
  <c r="H165" i="1"/>
  <c r="H166" i="1"/>
  <c r="H167" i="1"/>
  <c r="H168" i="1"/>
  <c r="H169" i="1"/>
  <c r="H170" i="1"/>
  <c r="H157" i="1"/>
  <c r="H141" i="1"/>
  <c r="H142" i="1"/>
  <c r="H143" i="1"/>
  <c r="H144" i="1"/>
  <c r="H145" i="1"/>
  <c r="H146" i="1"/>
  <c r="H147" i="1"/>
  <c r="H148" i="1"/>
  <c r="H149" i="1"/>
  <c r="H150" i="1"/>
  <c r="H151" i="1"/>
  <c r="H152" i="1"/>
  <c r="H153" i="1"/>
  <c r="H140" i="1"/>
  <c r="H156" i="1"/>
  <c r="H139" i="1"/>
  <c r="F157" i="1"/>
  <c r="F158" i="1"/>
  <c r="F159" i="1"/>
  <c r="F160" i="1"/>
  <c r="F161" i="1"/>
  <c r="F162" i="1"/>
  <c r="F163" i="1"/>
  <c r="F164" i="1"/>
  <c r="F165" i="1"/>
  <c r="F166" i="1"/>
  <c r="F167" i="1"/>
  <c r="F168" i="1"/>
  <c r="F169" i="1"/>
  <c r="F170" i="1"/>
  <c r="F156" i="1"/>
  <c r="U43" i="1"/>
  <c r="D159" i="1" s="1"/>
  <c r="D157" i="1"/>
  <c r="D158" i="1"/>
  <c r="D160" i="1"/>
  <c r="D161" i="1"/>
  <c r="D162" i="1"/>
  <c r="D163" i="1"/>
  <c r="D164" i="1"/>
  <c r="D165" i="1"/>
  <c r="D166" i="1"/>
  <c r="D167" i="1"/>
  <c r="D168" i="1"/>
  <c r="D169" i="1"/>
  <c r="D170" i="1"/>
  <c r="D156" i="1"/>
  <c r="B157" i="1"/>
  <c r="B158" i="1"/>
  <c r="B159" i="1"/>
  <c r="B160" i="1"/>
  <c r="B161" i="1"/>
  <c r="B162" i="1"/>
  <c r="B163" i="1"/>
  <c r="B164" i="1"/>
  <c r="B165" i="1"/>
  <c r="B166" i="1"/>
  <c r="B167" i="1"/>
  <c r="B168" i="1"/>
  <c r="B169" i="1"/>
  <c r="B170" i="1"/>
  <c r="B156" i="1"/>
  <c r="N141" i="1"/>
  <c r="N140" i="1"/>
  <c r="N139" i="1"/>
  <c r="F140" i="1"/>
  <c r="F141" i="1"/>
  <c r="F142" i="1"/>
  <c r="F143" i="1"/>
  <c r="F144" i="1"/>
  <c r="F145" i="1"/>
  <c r="F146" i="1"/>
  <c r="F147" i="1"/>
  <c r="F148" i="1"/>
  <c r="F149" i="1"/>
  <c r="F150" i="1"/>
  <c r="F151" i="1"/>
  <c r="F152" i="1"/>
  <c r="F153" i="1"/>
  <c r="D140" i="1"/>
  <c r="D141" i="1"/>
  <c r="D142" i="1"/>
  <c r="D143" i="1"/>
  <c r="D144" i="1"/>
  <c r="D145" i="1"/>
  <c r="D146" i="1"/>
  <c r="D147" i="1"/>
  <c r="D148" i="1"/>
  <c r="D149" i="1"/>
  <c r="D150" i="1"/>
  <c r="D151" i="1"/>
  <c r="D152" i="1"/>
  <c r="D153" i="1"/>
  <c r="D139" i="1"/>
  <c r="B140" i="1"/>
  <c r="B141" i="1"/>
  <c r="B142" i="1"/>
  <c r="B143" i="1"/>
  <c r="B144" i="1"/>
  <c r="B145" i="1"/>
  <c r="B146" i="1"/>
  <c r="B147" i="1"/>
  <c r="B148" i="1"/>
  <c r="B149" i="1"/>
  <c r="B150" i="1"/>
  <c r="B151" i="1"/>
  <c r="B152" i="1"/>
  <c r="B153" i="1"/>
  <c r="B139" i="1"/>
  <c r="B117" i="1"/>
  <c r="B115" i="1"/>
  <c r="B112" i="1"/>
  <c r="O49" i="1"/>
  <c r="H47" i="1"/>
  <c r="B47" i="1"/>
  <c r="H72" i="1"/>
  <c r="B72" i="1"/>
  <c r="H76" i="1"/>
  <c r="B76" i="1"/>
  <c r="H78" i="1"/>
  <c r="B78" i="1"/>
  <c r="BW28" i="1"/>
  <c r="BA29" i="1"/>
  <c r="BA28" i="1"/>
  <c r="B15" i="1"/>
  <c r="Q15" i="1" s="1"/>
  <c r="B7" i="1"/>
  <c r="B77" i="1" s="1"/>
  <c r="BW20" i="1"/>
  <c r="BW21" i="1"/>
  <c r="BW22" i="1"/>
  <c r="BW23" i="1"/>
  <c r="BW24" i="1"/>
  <c r="BW19" i="1"/>
  <c r="BU21" i="1"/>
  <c r="BU22" i="1"/>
  <c r="BU23" i="1"/>
  <c r="BU24" i="1"/>
  <c r="BU19" i="1"/>
  <c r="AP4" i="1"/>
  <c r="AM4" i="1"/>
  <c r="E77" i="1"/>
  <c r="R47" i="1"/>
  <c r="AI4" i="1"/>
  <c r="R76" i="1"/>
  <c r="AI12" i="1"/>
  <c r="E111" i="1"/>
  <c r="BL24" i="1"/>
  <c r="BL23" i="1"/>
  <c r="BL22" i="1"/>
  <c r="BL21" i="1"/>
  <c r="BL20" i="1"/>
  <c r="BL19" i="1"/>
  <c r="BJ24" i="1"/>
  <c r="BJ23" i="1"/>
  <c r="BJ22" i="1"/>
  <c r="BJ21" i="1"/>
  <c r="BJ20" i="1"/>
  <c r="BJ19" i="1"/>
  <c r="AY19" i="1"/>
  <c r="BA20" i="1"/>
  <c r="BA21" i="1"/>
  <c r="BA22" i="1"/>
  <c r="BA23" i="1"/>
  <c r="BA24" i="1"/>
  <c r="BA19" i="1"/>
  <c r="AY20" i="1"/>
  <c r="BA33" i="1" s="1"/>
  <c r="AY21" i="1"/>
  <c r="AY22" i="1"/>
  <c r="AY23" i="1"/>
  <c r="AY24" i="1"/>
  <c r="AI8" i="1"/>
  <c r="AS10" i="1"/>
  <c r="AS11" i="1"/>
  <c r="AV5" i="1"/>
  <c r="AV9" i="1"/>
  <c r="AV10" i="1"/>
  <c r="AY5" i="1"/>
  <c r="AY12" i="1"/>
  <c r="AY13" i="1"/>
  <c r="AY14" i="1"/>
  <c r="K7" i="1"/>
  <c r="AS7" i="1" s="1"/>
  <c r="O72" i="1"/>
  <c r="U72" i="1" s="1"/>
  <c r="AV3" i="1" s="1"/>
  <c r="O73" i="1"/>
  <c r="O74" i="1"/>
  <c r="O75" i="1"/>
  <c r="BW31" i="1" s="1"/>
  <c r="O76" i="1"/>
  <c r="O77" i="1"/>
  <c r="O78" i="1"/>
  <c r="O79" i="1"/>
  <c r="O80" i="1"/>
  <c r="U80" i="1" s="1"/>
  <c r="AV11" i="1" s="1"/>
  <c r="O81" i="1"/>
  <c r="U81" i="1" s="1"/>
  <c r="AV12" i="1" s="1"/>
  <c r="O82" i="1"/>
  <c r="U82" i="1" s="1"/>
  <c r="AV13" i="1" s="1"/>
  <c r="O83" i="1"/>
  <c r="U83" i="1" s="1"/>
  <c r="AV14" i="1" s="1"/>
  <c r="O84" i="1"/>
  <c r="O85" i="1"/>
  <c r="O71" i="1"/>
  <c r="U71" i="1" s="1"/>
  <c r="K6" i="1"/>
  <c r="AS6" i="1" s="1"/>
  <c r="K14" i="1"/>
  <c r="AS14" i="1" s="1"/>
  <c r="K16" i="1"/>
  <c r="AS16" i="1" s="1"/>
  <c r="K15" i="1"/>
  <c r="AS15" i="1" s="1"/>
  <c r="AK19" i="1"/>
  <c r="U49" i="1"/>
  <c r="K3" i="1"/>
  <c r="AS3" i="1" s="1"/>
  <c r="K4" i="1"/>
  <c r="AS4" i="1" s="1"/>
  <c r="K5" i="1"/>
  <c r="AS5" i="1" s="1"/>
  <c r="K8" i="1"/>
  <c r="AS8" i="1" s="1"/>
  <c r="K9" i="1"/>
  <c r="AS9" i="1" s="1"/>
  <c r="K10" i="1"/>
  <c r="K11" i="1"/>
  <c r="K12" i="1"/>
  <c r="AS12" i="1" s="1"/>
  <c r="K13" i="1"/>
  <c r="AS13" i="1" s="1"/>
  <c r="K2" i="1"/>
  <c r="AB2" i="1"/>
  <c r="AA2" i="1" s="1"/>
  <c r="W2" i="1"/>
  <c r="V2" i="1" s="1"/>
  <c r="N7" i="1"/>
  <c r="Y7" i="1"/>
  <c r="T7" i="1"/>
  <c r="D174" i="1"/>
  <c r="Q6" i="1"/>
  <c r="B107" i="1"/>
  <c r="H107" i="1" s="1"/>
  <c r="B108" i="1"/>
  <c r="H108" i="1" s="1"/>
  <c r="B109" i="1"/>
  <c r="H109" i="1" s="1"/>
  <c r="B110" i="1"/>
  <c r="H110" i="1" s="1"/>
  <c r="H112" i="1"/>
  <c r="E110" i="1" s="1"/>
  <c r="B113" i="1"/>
  <c r="H113" i="1" s="1"/>
  <c r="B114" i="1"/>
  <c r="H114" i="1" s="1"/>
  <c r="H115" i="1"/>
  <c r="B116" i="1"/>
  <c r="H116" i="1" s="1"/>
  <c r="H117" i="1"/>
  <c r="B118" i="1"/>
  <c r="H118" i="1" s="1"/>
  <c r="B120" i="1"/>
  <c r="H120" i="1" s="1"/>
  <c r="B106" i="1"/>
  <c r="H106" i="1" s="1"/>
  <c r="BH2" i="1" s="1"/>
  <c r="Q8" i="1"/>
  <c r="Q9" i="1"/>
  <c r="Q10" i="1"/>
  <c r="Q11" i="1"/>
  <c r="Q12" i="1"/>
  <c r="Q13" i="1"/>
  <c r="Q14" i="1"/>
  <c r="Q16" i="1"/>
  <c r="U84" i="1"/>
  <c r="AV15" i="1" s="1"/>
  <c r="U85" i="1"/>
  <c r="AV16" i="1" s="1"/>
  <c r="O41" i="1"/>
  <c r="AY3" i="1" s="1"/>
  <c r="O42" i="1"/>
  <c r="AY4" i="1" s="1"/>
  <c r="O43" i="1"/>
  <c r="O44" i="1"/>
  <c r="AY6" i="1" s="1"/>
  <c r="O45" i="1"/>
  <c r="AY7" i="1" s="1"/>
  <c r="O46" i="1"/>
  <c r="AY8" i="1" s="1"/>
  <c r="O47" i="1"/>
  <c r="U47" i="1" s="1"/>
  <c r="O48" i="1"/>
  <c r="U48" i="1" s="1"/>
  <c r="O50" i="1"/>
  <c r="U50" i="1" s="1"/>
  <c r="O51" i="1"/>
  <c r="U51" i="1" s="1"/>
  <c r="O52" i="1"/>
  <c r="U52" i="1" s="1"/>
  <c r="O53" i="1"/>
  <c r="U53" i="1" s="1"/>
  <c r="O54" i="1"/>
  <c r="U54" i="1" s="1"/>
  <c r="O40" i="1"/>
  <c r="U40" i="1" s="1"/>
  <c r="BE2" i="1"/>
  <c r="B73" i="1"/>
  <c r="H73" i="1" s="1"/>
  <c r="B74" i="1"/>
  <c r="B75" i="1"/>
  <c r="BW30" i="1"/>
  <c r="E76" i="1"/>
  <c r="B79" i="1"/>
  <c r="B80" i="1"/>
  <c r="B81" i="1"/>
  <c r="H81" i="1" s="1"/>
  <c r="B82" i="1"/>
  <c r="H82" i="1" s="1"/>
  <c r="B83" i="1"/>
  <c r="H83" i="1" s="1"/>
  <c r="B84" i="1"/>
  <c r="H84" i="1" s="1"/>
  <c r="B86" i="1"/>
  <c r="H86" i="1" s="1"/>
  <c r="B41" i="1"/>
  <c r="D191" i="1" s="1"/>
  <c r="B42" i="1"/>
  <c r="H42" i="1" s="1"/>
  <c r="B43" i="1"/>
  <c r="H43" i="1" s="1"/>
  <c r="B44" i="1"/>
  <c r="H44" i="1" s="1"/>
  <c r="BW29" i="1" s="1"/>
  <c r="B46" i="1"/>
  <c r="H46" i="1" s="1"/>
  <c r="B48" i="1"/>
  <c r="H48" i="1" s="1"/>
  <c r="B49" i="1"/>
  <c r="H49" i="1" s="1"/>
  <c r="B50" i="1"/>
  <c r="H50" i="1" s="1"/>
  <c r="B51" i="1"/>
  <c r="H51" i="1" s="1"/>
  <c r="B52" i="1"/>
  <c r="H52" i="1" s="1"/>
  <c r="B53" i="1"/>
  <c r="H53" i="1" s="1"/>
  <c r="B54" i="1"/>
  <c r="H54" i="1" s="1"/>
  <c r="B40" i="1"/>
  <c r="H40" i="1" s="1"/>
  <c r="BB2" i="1" s="1"/>
  <c r="O6" i="4"/>
  <c r="B41" i="4"/>
  <c r="B42" i="4"/>
  <c r="B43" i="4"/>
  <c r="B44" i="4"/>
  <c r="B45" i="4"/>
  <c r="B46" i="4"/>
  <c r="B47" i="4"/>
  <c r="E45" i="4" s="1"/>
  <c r="B48" i="4"/>
  <c r="B49" i="4"/>
  <c r="B50" i="4"/>
  <c r="B51" i="4"/>
  <c r="B52" i="4"/>
  <c r="B53" i="4"/>
  <c r="B54" i="4"/>
  <c r="AF9" i="4"/>
  <c r="H2" i="4"/>
  <c r="H116" i="4"/>
  <c r="H115" i="4"/>
  <c r="S112" i="4"/>
  <c r="P110" i="4" s="1"/>
  <c r="P115" i="4" s="1"/>
  <c r="P112" i="4"/>
  <c r="H112" i="4"/>
  <c r="E112" i="4"/>
  <c r="S111" i="4"/>
  <c r="P111" i="4"/>
  <c r="H111" i="4"/>
  <c r="E111" i="4"/>
  <c r="S110" i="4"/>
  <c r="H110" i="4"/>
  <c r="E110" i="4"/>
  <c r="H109" i="4"/>
  <c r="S108" i="4"/>
  <c r="H108" i="4"/>
  <c r="S107" i="4"/>
  <c r="S82" i="4"/>
  <c r="H82" i="4"/>
  <c r="S81" i="4"/>
  <c r="H81" i="4"/>
  <c r="P79" i="4"/>
  <c r="M79" i="4"/>
  <c r="V78" i="4"/>
  <c r="P78" i="4"/>
  <c r="M78" i="4"/>
  <c r="S78" i="4" s="1"/>
  <c r="H78" i="4"/>
  <c r="E78" i="4"/>
  <c r="P77" i="4"/>
  <c r="M77" i="4"/>
  <c r="S77" i="4" s="1"/>
  <c r="V77" i="4" s="1"/>
  <c r="H77" i="4"/>
  <c r="E77" i="4"/>
  <c r="B77" i="4"/>
  <c r="S76" i="4"/>
  <c r="V76" i="4" s="1"/>
  <c r="P76" i="4"/>
  <c r="M76" i="4"/>
  <c r="E76" i="4"/>
  <c r="B76" i="4"/>
  <c r="H76" i="4" s="1"/>
  <c r="S75" i="4"/>
  <c r="H75" i="4"/>
  <c r="S72" i="4"/>
  <c r="E47" i="4"/>
  <c r="E46" i="4"/>
  <c r="H41" i="4"/>
  <c r="AI26" i="4"/>
  <c r="AK24" i="4"/>
  <c r="AK26" i="4" s="1"/>
  <c r="AI24" i="4"/>
  <c r="AK23" i="4"/>
  <c r="AI23" i="4"/>
  <c r="AK22" i="4"/>
  <c r="AI22" i="4"/>
  <c r="AK21" i="4"/>
  <c r="AI21" i="4"/>
  <c r="AK20" i="4"/>
  <c r="AI20" i="4"/>
  <c r="AK19" i="4"/>
  <c r="AI19" i="4"/>
  <c r="AI29" i="4" s="1"/>
  <c r="O15" i="4"/>
  <c r="O14" i="4"/>
  <c r="AF8" i="4"/>
  <c r="O7" i="4"/>
  <c r="W5" i="4"/>
  <c r="R5" i="4"/>
  <c r="L5" i="4"/>
  <c r="AG4" i="4"/>
  <c r="O3" i="4"/>
  <c r="AM2" i="4"/>
  <c r="AJ2" i="4"/>
  <c r="Y2" i="4"/>
  <c r="AF8" i="3"/>
  <c r="AF9" i="3"/>
  <c r="S75" i="3"/>
  <c r="M79" i="3"/>
  <c r="M78" i="3"/>
  <c r="S108" i="3"/>
  <c r="H108" i="3"/>
  <c r="H116" i="3"/>
  <c r="H115" i="3"/>
  <c r="S112" i="3"/>
  <c r="P110" i="3" s="1"/>
  <c r="P115" i="3" s="1"/>
  <c r="P112" i="3"/>
  <c r="H112" i="3"/>
  <c r="E112" i="3"/>
  <c r="S111" i="3"/>
  <c r="P111" i="3"/>
  <c r="H111" i="3"/>
  <c r="E111" i="3"/>
  <c r="S110" i="3"/>
  <c r="H110" i="3"/>
  <c r="E110" i="3"/>
  <c r="H109" i="3"/>
  <c r="S107" i="3"/>
  <c r="S82" i="3"/>
  <c r="H82" i="3"/>
  <c r="S81" i="3"/>
  <c r="H81" i="3"/>
  <c r="P79" i="3"/>
  <c r="S78" i="3"/>
  <c r="V78" i="3" s="1"/>
  <c r="P78" i="3"/>
  <c r="H78" i="3"/>
  <c r="E78" i="3"/>
  <c r="P77" i="3"/>
  <c r="M77" i="3"/>
  <c r="S77" i="3" s="1"/>
  <c r="V77" i="3" s="1"/>
  <c r="E77" i="3"/>
  <c r="B77" i="3"/>
  <c r="H77" i="3" s="1"/>
  <c r="P76" i="3"/>
  <c r="M76" i="3"/>
  <c r="S76" i="3" s="1"/>
  <c r="V76" i="3" s="1"/>
  <c r="E76" i="3"/>
  <c r="B76" i="3"/>
  <c r="H76" i="3" s="1"/>
  <c r="H75" i="3"/>
  <c r="S72" i="3"/>
  <c r="E47" i="3"/>
  <c r="E46" i="3"/>
  <c r="E45" i="3"/>
  <c r="H41" i="3"/>
  <c r="AK24" i="3"/>
  <c r="AI24" i="3"/>
  <c r="AK23" i="3"/>
  <c r="AK26" i="3" s="1"/>
  <c r="AI23" i="3"/>
  <c r="AK22" i="3"/>
  <c r="AI22" i="3"/>
  <c r="AK21" i="3"/>
  <c r="AI21" i="3"/>
  <c r="AK20" i="3"/>
  <c r="AI20" i="3"/>
  <c r="AK19" i="3"/>
  <c r="AI19" i="3"/>
  <c r="AI29" i="3" s="1"/>
  <c r="O15" i="3"/>
  <c r="O14" i="3"/>
  <c r="O7" i="3"/>
  <c r="O6" i="3"/>
  <c r="W5" i="3"/>
  <c r="R5" i="3"/>
  <c r="L5" i="3"/>
  <c r="AG4" i="3"/>
  <c r="O3" i="3"/>
  <c r="AM2" i="3"/>
  <c r="AJ2" i="3"/>
  <c r="Y2" i="3"/>
  <c r="U76" i="1"/>
  <c r="AV7" i="1" s="1"/>
  <c r="U75" i="1"/>
  <c r="AV6" i="1" s="1"/>
  <c r="AK21" i="1"/>
  <c r="AK22" i="1"/>
  <c r="AK23" i="1"/>
  <c r="AK24" i="1"/>
  <c r="E112" i="1"/>
  <c r="U145" i="23" l="1"/>
  <c r="U146" i="23" s="1"/>
  <c r="S141" i="23" s="1"/>
  <c r="O140" i="23" s="1"/>
  <c r="T52" i="10"/>
  <c r="T83" i="10"/>
  <c r="Q44" i="10"/>
  <c r="H84" i="10"/>
  <c r="D168" i="10"/>
  <c r="H118" i="10"/>
  <c r="AI118" i="10"/>
  <c r="T118" i="10"/>
  <c r="P14" i="10"/>
  <c r="D185" i="10" s="1"/>
  <c r="H52" i="10"/>
  <c r="D202" i="10" s="1"/>
  <c r="AA1" i="10"/>
  <c r="B218" i="10"/>
  <c r="AB113" i="10"/>
  <c r="N113" i="10"/>
  <c r="T113" i="10" s="1"/>
  <c r="K7" i="10"/>
  <c r="AB111" i="10"/>
  <c r="N111" i="10"/>
  <c r="D186" i="10"/>
  <c r="AB119" i="10"/>
  <c r="AI119" i="10" s="1"/>
  <c r="N119" i="10"/>
  <c r="T119" i="10" s="1"/>
  <c r="P7" i="10"/>
  <c r="D178" i="10" s="1"/>
  <c r="B178" i="10"/>
  <c r="B233" i="10"/>
  <c r="T85" i="10"/>
  <c r="B153" i="10"/>
  <c r="H147" i="10"/>
  <c r="B147" i="10"/>
  <c r="H159" i="10"/>
  <c r="AL13" i="10"/>
  <c r="F167" i="10" s="1"/>
  <c r="B119" i="10"/>
  <c r="B237" i="10" s="1"/>
  <c r="B228" i="10"/>
  <c r="H152" i="10"/>
  <c r="B152" i="10"/>
  <c r="AF2" i="10"/>
  <c r="F173" i="10" s="1"/>
  <c r="H143" i="10"/>
  <c r="B143" i="10"/>
  <c r="T80" i="10"/>
  <c r="D148" i="10" s="1"/>
  <c r="B148" i="10"/>
  <c r="B227" i="10"/>
  <c r="H169" i="10"/>
  <c r="Q1" i="10"/>
  <c r="P9" i="10"/>
  <c r="D180" i="10" s="1"/>
  <c r="H168" i="10"/>
  <c r="H146" i="10"/>
  <c r="B146" i="10"/>
  <c r="AF3" i="10"/>
  <c r="F174" i="10" s="1"/>
  <c r="P3" i="10"/>
  <c r="D174" i="10" s="1"/>
  <c r="H149" i="10"/>
  <c r="B149" i="10"/>
  <c r="H166" i="10"/>
  <c r="H150" i="10"/>
  <c r="B150" i="10"/>
  <c r="H165" i="10"/>
  <c r="B236" i="10"/>
  <c r="B226" i="10"/>
  <c r="H74" i="10"/>
  <c r="H41" i="10"/>
  <c r="M173" i="10"/>
  <c r="H215" i="10"/>
  <c r="D215" i="10"/>
  <c r="M175" i="10"/>
  <c r="M209" i="10"/>
  <c r="B225" i="10"/>
  <c r="M224" i="10"/>
  <c r="AI2" i="10"/>
  <c r="H139" i="10" s="1"/>
  <c r="B209" i="10"/>
  <c r="M192" i="10"/>
  <c r="M191" i="10"/>
  <c r="M208" i="10"/>
  <c r="AR14" i="10"/>
  <c r="F219" i="10" s="1"/>
  <c r="B231" i="10"/>
  <c r="BH172" i="10"/>
  <c r="AL14" i="10"/>
  <c r="F168" i="10" s="1"/>
  <c r="H181" i="10"/>
  <c r="AL8" i="10"/>
  <c r="F162" i="10" s="1"/>
  <c r="AO5" i="10"/>
  <c r="F193" i="10" s="1"/>
  <c r="B192" i="10"/>
  <c r="H109" i="10"/>
  <c r="AR5" i="10"/>
  <c r="F210" i="10" s="1"/>
  <c r="AW169" i="10"/>
  <c r="AU12" i="10"/>
  <c r="F234" i="10" s="1"/>
  <c r="AL10" i="10"/>
  <c r="F164" i="10" s="1"/>
  <c r="H81" i="10"/>
  <c r="D216" i="10" s="1"/>
  <c r="H148" i="10"/>
  <c r="AU3" i="10"/>
  <c r="F225" i="10" s="1"/>
  <c r="AU11" i="10"/>
  <c r="F233" i="10" s="1"/>
  <c r="D159" i="10"/>
  <c r="H47" i="10"/>
  <c r="D197" i="10" s="1"/>
  <c r="B182" i="10"/>
  <c r="AF8" i="10"/>
  <c r="F179" i="10" s="1"/>
  <c r="AU13" i="10"/>
  <c r="F235" i="10" s="1"/>
  <c r="H140" i="10"/>
  <c r="AL4" i="10"/>
  <c r="F158" i="10" s="1"/>
  <c r="AO9" i="10"/>
  <c r="F197" i="10" s="1"/>
  <c r="B53" i="10"/>
  <c r="B203" i="10" s="1"/>
  <c r="AR10" i="10"/>
  <c r="F215" i="10" s="1"/>
  <c r="U172" i="10"/>
  <c r="AR11" i="10"/>
  <c r="F216" i="10" s="1"/>
  <c r="T72" i="10"/>
  <c r="AI3" i="10" s="1"/>
  <c r="F140" i="10" s="1"/>
  <c r="B139" i="10"/>
  <c r="B157" i="10"/>
  <c r="AF14" i="10"/>
  <c r="F185" i="10" s="1"/>
  <c r="AO4" i="10"/>
  <c r="F192" i="10" s="1"/>
  <c r="AR12" i="10"/>
  <c r="F217" i="10" s="1"/>
  <c r="AL174" i="10"/>
  <c r="B85" i="10"/>
  <c r="H85" i="10" s="1"/>
  <c r="H220" i="10" s="1"/>
  <c r="B165" i="10"/>
  <c r="B185" i="10"/>
  <c r="D192" i="10"/>
  <c r="H192" i="10"/>
  <c r="AO14" i="10"/>
  <c r="F202" i="10" s="1"/>
  <c r="T77" i="10"/>
  <c r="Q75" i="10" s="1"/>
  <c r="D230" i="10"/>
  <c r="B168" i="10"/>
  <c r="T53" i="10"/>
  <c r="D169" i="10" s="1"/>
  <c r="D213" i="10"/>
  <c r="H113" i="10"/>
  <c r="D231" i="10" s="1"/>
  <c r="AU8" i="10"/>
  <c r="F230" i="10" s="1"/>
  <c r="AF11" i="10"/>
  <c r="F182" i="10" s="1"/>
  <c r="T49" i="10"/>
  <c r="D165" i="10" s="1"/>
  <c r="H83" i="10"/>
  <c r="B193" i="10"/>
  <c r="B214" i="10"/>
  <c r="B221" i="10"/>
  <c r="H86" i="10"/>
  <c r="H106" i="10"/>
  <c r="AL3" i="10"/>
  <c r="F157" i="10" s="1"/>
  <c r="T75" i="10"/>
  <c r="AI6" i="10" s="1"/>
  <c r="F143" i="10" s="1"/>
  <c r="H107" i="10"/>
  <c r="H225" i="10" s="1"/>
  <c r="B159" i="10"/>
  <c r="H178" i="10"/>
  <c r="T81" i="10"/>
  <c r="V81" i="10" s="1"/>
  <c r="D161" i="10"/>
  <c r="AR8" i="10"/>
  <c r="F213" i="10" s="1"/>
  <c r="AF7" i="10"/>
  <c r="F178" i="10" s="1"/>
  <c r="AO11" i="10"/>
  <c r="F199" i="10" s="1"/>
  <c r="H142" i="10"/>
  <c r="B162" i="10"/>
  <c r="B173" i="10"/>
  <c r="B179" i="10"/>
  <c r="B199" i="10"/>
  <c r="AR3" i="10"/>
  <c r="F208" i="10" s="1"/>
  <c r="AL7" i="10"/>
  <c r="F161" i="10" s="1"/>
  <c r="BH169" i="10"/>
  <c r="T50" i="10"/>
  <c r="D166" i="10" s="1"/>
  <c r="H151" i="10"/>
  <c r="D162" i="10"/>
  <c r="B202" i="10"/>
  <c r="D233" i="10"/>
  <c r="H235" i="10"/>
  <c r="B190" i="10"/>
  <c r="H145" i="10"/>
  <c r="B174" i="10"/>
  <c r="AL169" i="10"/>
  <c r="U167" i="10"/>
  <c r="D190" i="10"/>
  <c r="W167" i="10"/>
  <c r="B191" i="10"/>
  <c r="AL9" i="10"/>
  <c r="F163" i="10" s="1"/>
  <c r="AO13" i="10"/>
  <c r="F201" i="10" s="1"/>
  <c r="H51" i="10"/>
  <c r="H119" i="10"/>
  <c r="AU16" i="10"/>
  <c r="F238" i="10" s="1"/>
  <c r="H120" i="10"/>
  <c r="B201" i="10"/>
  <c r="B175" i="10"/>
  <c r="AF4" i="10"/>
  <c r="F175" i="10" s="1"/>
  <c r="D163" i="10"/>
  <c r="H144" i="10"/>
  <c r="T76" i="10"/>
  <c r="H177" i="10"/>
  <c r="B177" i="10"/>
  <c r="AF13" i="10"/>
  <c r="F184" i="10" s="1"/>
  <c r="B196" i="10"/>
  <c r="H46" i="10"/>
  <c r="D234" i="10"/>
  <c r="H234" i="10"/>
  <c r="AW174" i="10"/>
  <c r="AW173" i="10"/>
  <c r="H199" i="10"/>
  <c r="D199" i="10"/>
  <c r="T73" i="10"/>
  <c r="H141" i="10"/>
  <c r="H108" i="10"/>
  <c r="AF6" i="10"/>
  <c r="F177" i="10" s="1"/>
  <c r="AU15" i="10"/>
  <c r="F237" i="10" s="1"/>
  <c r="AL15" i="10"/>
  <c r="F169" i="10" s="1"/>
  <c r="H184" i="10"/>
  <c r="H73" i="10"/>
  <c r="B187" i="10"/>
  <c r="AF16" i="10"/>
  <c r="F187" i="10" s="1"/>
  <c r="AO12" i="10"/>
  <c r="F200" i="10" s="1"/>
  <c r="B200" i="10"/>
  <c r="AU4" i="10"/>
  <c r="F226" i="10" s="1"/>
  <c r="AL6" i="10"/>
  <c r="F160" i="10" s="1"/>
  <c r="AO6" i="10"/>
  <c r="F194" i="10" s="1"/>
  <c r="B194" i="10"/>
  <c r="H50" i="10"/>
  <c r="AO16" i="10"/>
  <c r="F204" i="10" s="1"/>
  <c r="H54" i="10"/>
  <c r="D228" i="10"/>
  <c r="H228" i="10"/>
  <c r="B211" i="10"/>
  <c r="H48" i="10"/>
  <c r="AO10" i="10"/>
  <c r="F198" i="10" s="1"/>
  <c r="AU10" i="10"/>
  <c r="F232" i="10" s="1"/>
  <c r="H114" i="10"/>
  <c r="AF5" i="10"/>
  <c r="F176" i="10" s="1"/>
  <c r="H176" i="10"/>
  <c r="AF10" i="10"/>
  <c r="F181" i="10" s="1"/>
  <c r="H44" i="10"/>
  <c r="AL12" i="10"/>
  <c r="F166" i="10" s="1"/>
  <c r="D153" i="10"/>
  <c r="AI16" i="10"/>
  <c r="F153" i="10" s="1"/>
  <c r="B160" i="10"/>
  <c r="AU6" i="10"/>
  <c r="F228" i="10" s="1"/>
  <c r="AF9" i="10"/>
  <c r="F180" i="10" s="1"/>
  <c r="AL16" i="10"/>
  <c r="F170" i="10" s="1"/>
  <c r="D164" i="10"/>
  <c r="D167" i="10"/>
  <c r="T54" i="10"/>
  <c r="D170" i="10" s="1"/>
  <c r="B77" i="10"/>
  <c r="B158" i="10"/>
  <c r="B180" i="10"/>
  <c r="B183" i="10"/>
  <c r="D193" i="10"/>
  <c r="AF12" i="10"/>
  <c r="F183" i="10" s="1"/>
  <c r="B45" i="10"/>
  <c r="B111" i="10"/>
  <c r="B229" i="10" s="1"/>
  <c r="H153" i="10"/>
  <c r="B161" i="10"/>
  <c r="B164" i="10"/>
  <c r="B167" i="10"/>
  <c r="B170" i="10"/>
  <c r="H174" i="10"/>
  <c r="BA30" i="1"/>
  <c r="BL31" i="1"/>
  <c r="BL30" i="1"/>
  <c r="BL28" i="1"/>
  <c r="B85" i="1"/>
  <c r="H85" i="1" s="1"/>
  <c r="BA31" i="1"/>
  <c r="BL29" i="1"/>
  <c r="BL32" i="1"/>
  <c r="BL33" i="1"/>
  <c r="AY16" i="1"/>
  <c r="AY15" i="1"/>
  <c r="Q7" i="1"/>
  <c r="AY11" i="1"/>
  <c r="B111" i="1"/>
  <c r="B45" i="1"/>
  <c r="H45" i="1" s="1"/>
  <c r="AY10" i="1"/>
  <c r="B119" i="1"/>
  <c r="H119" i="1" s="1"/>
  <c r="AY9" i="1"/>
  <c r="AK29" i="1"/>
  <c r="AK28" i="1"/>
  <c r="R2" i="1"/>
  <c r="Q2" i="1" s="1"/>
  <c r="D173" i="1" s="1"/>
  <c r="H111" i="1"/>
  <c r="AI31" i="4"/>
  <c r="AI32" i="4"/>
  <c r="AI30" i="4"/>
  <c r="AI28" i="4"/>
  <c r="AI31" i="3"/>
  <c r="AI26" i="3"/>
  <c r="AI28" i="3"/>
  <c r="AI30" i="3"/>
  <c r="AI32" i="3"/>
  <c r="U73" i="1"/>
  <c r="AV4" i="1" s="1"/>
  <c r="U77" i="1"/>
  <c r="R77" i="1"/>
  <c r="U45" i="1"/>
  <c r="X45" i="1" s="1"/>
  <c r="AK20" i="1"/>
  <c r="AK26" i="1" s="1"/>
  <c r="AM20" i="1"/>
  <c r="AM21" i="1"/>
  <c r="AM22" i="1"/>
  <c r="AM23" i="1"/>
  <c r="AM24" i="1"/>
  <c r="AM19" i="1"/>
  <c r="U46" i="1"/>
  <c r="X46" i="1" s="1"/>
  <c r="R44" i="1" s="1"/>
  <c r="U44" i="1"/>
  <c r="X44" i="1" s="1"/>
  <c r="Z144" i="23" l="1"/>
  <c r="AC144" i="23"/>
  <c r="Q76" i="10"/>
  <c r="V140" i="10" s="1"/>
  <c r="V77" i="10"/>
  <c r="AA4" i="10"/>
  <c r="U141" i="10"/>
  <c r="V141" i="10"/>
  <c r="H202" i="10"/>
  <c r="Q51" i="10"/>
  <c r="U169" i="10"/>
  <c r="D139" i="10"/>
  <c r="AI11" i="10"/>
  <c r="F148" i="10" s="1"/>
  <c r="AD2" i="10"/>
  <c r="N7" i="10"/>
  <c r="H173" i="10"/>
  <c r="F139" i="10"/>
  <c r="AG2" i="10"/>
  <c r="D156" i="10"/>
  <c r="AJ2" i="10"/>
  <c r="H209" i="10"/>
  <c r="D209" i="10"/>
  <c r="D225" i="10"/>
  <c r="AI8" i="10"/>
  <c r="F145" i="10" s="1"/>
  <c r="AO15" i="10"/>
  <c r="F203" i="10" s="1"/>
  <c r="H53" i="10"/>
  <c r="AR15" i="10"/>
  <c r="F220" i="10" s="1"/>
  <c r="H216" i="10"/>
  <c r="B220" i="10"/>
  <c r="D143" i="10"/>
  <c r="D145" i="10"/>
  <c r="D220" i="10"/>
  <c r="AW170" i="10"/>
  <c r="H197" i="10"/>
  <c r="E76" i="10"/>
  <c r="D140" i="10"/>
  <c r="D207" i="10"/>
  <c r="H221" i="10"/>
  <c r="D221" i="10"/>
  <c r="D235" i="10"/>
  <c r="D219" i="10"/>
  <c r="H219" i="10"/>
  <c r="AI12" i="10"/>
  <c r="F149" i="10" s="1"/>
  <c r="D149" i="10"/>
  <c r="E110" i="10"/>
  <c r="H111" i="10" s="1"/>
  <c r="U174" i="10" s="1"/>
  <c r="H230" i="10"/>
  <c r="H227" i="10"/>
  <c r="D227" i="10"/>
  <c r="D224" i="10"/>
  <c r="AU2" i="10"/>
  <c r="H218" i="10"/>
  <c r="D218" i="10"/>
  <c r="H231" i="10"/>
  <c r="H213" i="10"/>
  <c r="D151" i="10"/>
  <c r="AI14" i="10"/>
  <c r="F151" i="10" s="1"/>
  <c r="H204" i="10"/>
  <c r="D204" i="10"/>
  <c r="D144" i="10"/>
  <c r="AI7" i="10"/>
  <c r="F144" i="10" s="1"/>
  <c r="BH171" i="10"/>
  <c r="D211" i="10"/>
  <c r="AL172" i="10"/>
  <c r="H211" i="10"/>
  <c r="AI4" i="10"/>
  <c r="F141" i="10" s="1"/>
  <c r="D141" i="10"/>
  <c r="H217" i="10"/>
  <c r="D217" i="10"/>
  <c r="AU7" i="10"/>
  <c r="F229" i="10" s="1"/>
  <c r="H198" i="10"/>
  <c r="D198" i="10"/>
  <c r="D210" i="10"/>
  <c r="H210" i="10"/>
  <c r="AI13" i="10"/>
  <c r="F150" i="10" s="1"/>
  <c r="D150" i="10"/>
  <c r="D203" i="10"/>
  <c r="H203" i="10"/>
  <c r="D160" i="10"/>
  <c r="H186" i="10"/>
  <c r="AF15" i="10"/>
  <c r="F186" i="10" s="1"/>
  <c r="B186" i="10"/>
  <c r="H226" i="10"/>
  <c r="D226" i="10"/>
  <c r="H196" i="10"/>
  <c r="D196" i="10"/>
  <c r="D200" i="10"/>
  <c r="H200" i="10"/>
  <c r="H191" i="10"/>
  <c r="D191" i="10"/>
  <c r="H208" i="10"/>
  <c r="D208" i="10"/>
  <c r="AI15" i="10"/>
  <c r="F152" i="10" s="1"/>
  <c r="D152" i="10"/>
  <c r="H45" i="10"/>
  <c r="U170" i="10" s="1"/>
  <c r="AO7" i="10"/>
  <c r="F195" i="10" s="1"/>
  <c r="B195" i="10"/>
  <c r="D194" i="10"/>
  <c r="AL170" i="10"/>
  <c r="BH170" i="10"/>
  <c r="H194" i="10"/>
  <c r="H238" i="10"/>
  <c r="D238" i="10"/>
  <c r="H237" i="10"/>
  <c r="D237" i="10"/>
  <c r="H232" i="10"/>
  <c r="D232" i="10"/>
  <c r="AW171" i="10"/>
  <c r="AR7" i="10"/>
  <c r="F212" i="10" s="1"/>
  <c r="B212" i="10"/>
  <c r="H236" i="10"/>
  <c r="D236" i="10"/>
  <c r="AW172" i="10"/>
  <c r="H201" i="10"/>
  <c r="D201" i="10"/>
  <c r="F190" i="10"/>
  <c r="F139" i="1"/>
  <c r="BW33" i="1"/>
  <c r="BW32" i="1"/>
  <c r="BA32" i="1"/>
  <c r="R75" i="1"/>
  <c r="R80" i="1" s="1"/>
  <c r="AV8" i="1"/>
  <c r="AK32" i="1"/>
  <c r="AK33" i="1"/>
  <c r="B2" i="3"/>
  <c r="O2" i="3" s="1"/>
  <c r="AK31" i="1"/>
  <c r="H2" i="3"/>
  <c r="AM26" i="1"/>
  <c r="R46" i="1"/>
  <c r="R45" i="1"/>
  <c r="H75" i="1"/>
  <c r="H77" i="1"/>
  <c r="AK30" i="1" s="1"/>
  <c r="Y5" i="1"/>
  <c r="T5" i="1"/>
  <c r="N5" i="1"/>
  <c r="E45" i="1"/>
  <c r="E78" i="1"/>
  <c r="E47" i="1"/>
  <c r="E46" i="1"/>
  <c r="Q80" i="10" l="1"/>
  <c r="Q79" i="10"/>
  <c r="H156" i="10"/>
  <c r="F156" i="10"/>
  <c r="D212" i="10"/>
  <c r="H79" i="10"/>
  <c r="H207" i="10"/>
  <c r="F207" i="10"/>
  <c r="F224" i="10"/>
  <c r="H224" i="10"/>
  <c r="H229" i="10"/>
  <c r="D229" i="10"/>
  <c r="H195" i="10"/>
  <c r="D195" i="10"/>
  <c r="BH174" i="10"/>
  <c r="AL173" i="10"/>
  <c r="BH173" i="10"/>
  <c r="E2" i="4"/>
  <c r="E2" i="3"/>
  <c r="T2" i="3" s="1"/>
  <c r="B2" i="4"/>
  <c r="H212" i="10" l="1"/>
  <c r="AL171" i="10"/>
  <c r="U171" i="10"/>
  <c r="H214" i="10"/>
  <c r="D214" i="10"/>
  <c r="B40" i="4"/>
  <c r="O2" i="4"/>
  <c r="T2" i="4"/>
  <c r="M106" i="4"/>
  <c r="P2" i="10" l="1"/>
  <c r="D173" i="10" s="1"/>
  <c r="Q4" i="10" l="1"/>
  <c r="U145" i="10" l="1"/>
  <c r="V142" i="10"/>
  <c r="U144" i="10"/>
  <c r="Z144" i="10" l="1"/>
  <c r="U146" i="10"/>
  <c r="S141" i="10" s="1"/>
  <c r="AC144" i="10"/>
  <c r="O140" i="1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<sst xmlns="http://schemas.openxmlformats.org/spreadsheetml/2006/main" count="7508" uniqueCount="471">
  <si>
    <t>Nom:</t>
  </si>
  <si>
    <t>PV</t>
  </si>
  <si>
    <t>Mana</t>
  </si>
  <si>
    <t>Vigueur</t>
  </si>
  <si>
    <t>Rage</t>
  </si>
  <si>
    <t>armure physique</t>
  </si>
  <si>
    <t>Armure physique</t>
  </si>
  <si>
    <t>Armure magique</t>
  </si>
  <si>
    <t>% coup critique</t>
  </si>
  <si>
    <t>% esquive</t>
  </si>
  <si>
    <t>Puissance physique</t>
  </si>
  <si>
    <t>Puissance des sorts</t>
  </si>
  <si>
    <t>Régénération de PV</t>
  </si>
  <si>
    <t>Régénération de Mana</t>
  </si>
  <si>
    <t>Vitesse</t>
  </si>
  <si>
    <t>Aggro</t>
  </si>
  <si>
    <t>Régénération de Vigueur</t>
  </si>
  <si>
    <t>Spécificité 1</t>
  </si>
  <si>
    <t>Spécificité 2</t>
  </si>
  <si>
    <t>Spécificité 3</t>
  </si>
  <si>
    <t>Compétence 1</t>
  </si>
  <si>
    <t>Compétence 2</t>
  </si>
  <si>
    <t>Compétence 3</t>
  </si>
  <si>
    <t>Compétence 4</t>
  </si>
  <si>
    <t>Compétence 5</t>
  </si>
  <si>
    <t>Compétence 6</t>
  </si>
  <si>
    <t>Compétence 7</t>
  </si>
  <si>
    <t>Compétence 8</t>
  </si>
  <si>
    <t>Compétence 9</t>
  </si>
  <si>
    <t>Compétence 10</t>
  </si>
  <si>
    <t>Thalia Ent</t>
  </si>
  <si>
    <t>Nombre de heals sur Seb</t>
  </si>
  <si>
    <t>Nombre de heals sur Tank</t>
  </si>
  <si>
    <t>Nombre de heals sur moi</t>
  </si>
  <si>
    <t>"+ 10 puissance des sorts par DOT, + 10 par HOT"</t>
  </si>
  <si>
    <t>Armure physique:</t>
  </si>
  <si>
    <t>Essence Régénératrice : Effet : Applique un effet de soins périodiques légers à la cible pendant 3 tours</t>
  </si>
  <si>
    <t>cout en mana</t>
  </si>
  <si>
    <t>montant du soin:</t>
  </si>
  <si>
    <t>Rameau Guérisseur : Effet : applique un effet de soins périodiques modérés à la cible pendant 4 tours. Cette attaque a 67% de chances de se répéter et de se cumuler sur la cible, puis encore 33%. Soins</t>
  </si>
  <si>
    <t>Croissance Bienfaisante : Effet : Stimule la régénération de PV de la cible, appliquant un effet de soins périodiques importants pendant 3 tours</t>
  </si>
  <si>
    <t>Sève Régénératrice : Effet : Soigne la cible de manière significative. Peut être lancé uniquement si la cible possède déjà 3 effets de soins périodiques. Si la cible est déjà affectée par un HOT, cette attaque réinitialise la durée de tous les HOT présents</t>
  </si>
  <si>
    <t xml:space="preserve">Fleur de l'Espoir : Effet : Fait pousser des fleurs au sol pendant 5 tours. Les fleurs rendent des points de vie modérés aux alliés dans cette zone mais réduisent leur esquive de 4%. </t>
  </si>
  <si>
    <t>esquive</t>
  </si>
  <si>
    <t>Arbre de Vie : Effet : Crée une aura curative autour d'Elowen, appliquant un effet de soins légers à tous les alliés pendant 2 tours. Favorise la régénération de mana d'Elowen</t>
  </si>
  <si>
    <t>Éveil de l'Espérance : Effet : Soigne modérément la cible. Réinitialise la durée des HOT déjà présents sur la cible</t>
  </si>
  <si>
    <t>Reconnexion Arbustive (Favorise la Régénération de Mana d'Elowen) : Effet : Restaure une quantité modérée de mana à Elowen. Pendant 3 tours, 50% des soins d'Elowen sont infligés sous forme de dégâts aux ennemis proches</t>
  </si>
  <si>
    <t>Feuillage Réparateur : Effet : Applique un effet de soins périodiques importants à la cible pendant 4 tours. Favorise la régénération de mana pour tout le groupe</t>
  </si>
  <si>
    <t xml:space="preserve">Éveil de la Forêt (Ultime) : Effet : Libère une vague d'énergie régénératrice, appliquant des effets de soins périodiques importants à tous les alliés pendant 4 tours. Les soins sont augmentés de +20% pour chaque HOT sur la cible alliée. Cette attaque annule également tous les effets néfastes sur la cible. </t>
  </si>
  <si>
    <t>dégats infligés</t>
  </si>
  <si>
    <t>50% des soins</t>
  </si>
  <si>
    <t>compétence utilisée:</t>
  </si>
  <si>
    <t>Cible:</t>
  </si>
  <si>
    <t>Thalia</t>
  </si>
  <si>
    <t>montant du soin des HOTS en cours:</t>
  </si>
  <si>
    <t>Thraïn</t>
  </si>
  <si>
    <t>Régénération de Mana tours précédents toujours actifs</t>
  </si>
  <si>
    <t>Ennemi</t>
  </si>
  <si>
    <t>Thalia Mage sombre</t>
  </si>
  <si>
    <t>"+10 puissance des sorts"</t>
  </si>
  <si>
    <t>Ombre Dévorante : Effet : Inflige des dégâts magiques moyens à la cible et applique une altération de "Sombres Tourments" pendant 3 tours, infligeant des dégâts magiques à chaque tour</t>
  </si>
  <si>
    <t xml:space="preserve">Morsure de l'Ombre : Effet : Attaque rapide qui inflige des dégâts modérés et ajoute une altération de "Saignement des Ténèbres" pendant 4 tours, provoquant des dégâts périodiques. </t>
  </si>
  <si>
    <t xml:space="preserve">Voile d'Ombre : Effet : Crée une barrière d'ombre autour d'Elowen, réduisant les dégâts subis pendant 2 tours. Si la barrière absorbe des dégâts, elle applique une altération de "Morsure Persistante" infligeant des dégâts sur la durée. </t>
  </si>
  <si>
    <t>Déflagration d'Ombre : Effet : Une explosion d'ombre inflige des dégâts magiques aux ennemis adjacents. Si l'attaque touche une cible affectée par un DOT, elle réinitialise la durée de tous les DOT présents sur la cible</t>
  </si>
  <si>
    <t xml:space="preserve">Lien Sombre : Effet : Inflige des dégâts modérés et transfère une partie de ces dégâts sous forme de soins à Elowen. Applique une altération de "Vampirisme Sombre" sur la cible, drainant la vie à chaque tour. </t>
  </si>
  <si>
    <t xml:space="preserve">Emprise Obscure : Effet : Inflige des dégâts et applique une altération de "Ralentissement des Ombres" réduisant la vitesse d'action de la cible pendant 3 tours. Si la cible est déjà affectée par un DOT, cette attaque réinitialise la durée de tous les DOT présents. </t>
  </si>
  <si>
    <t>nombre de tours restants?</t>
  </si>
  <si>
    <t xml:space="preserve">Appel des Abysses : Effet : Invoque des ténèbres pour attaquer tous les ennemis, infligeant des dégâts magiques et appliquant une altération de "Marque Profonde" sur la cible, augmentant les dégâts des DOT. </t>
  </si>
  <si>
    <t xml:space="preserve">Éclipse Mordante : Effet : Une attaque puissante qui inflige des dégâts importants et ajoute une altération de "Festin des Ombres" à la cible, augmentant les dégâts des DOT de manière significative.  Si la cible est déjà affectée par un DOT, cette attaque réinitialise la durée de tous les DOT présents.  </t>
  </si>
  <si>
    <t xml:space="preserve">Symbiose Siphonnante : Effet : Elowen établit un lien symbiotique avec la cible, drainant une partie des dégâts infligés par les DOT sur cette cible pour soigner l'allié avec le moins de points de vie. Pendant 3 tours, les dégâts des DOT appliqués à la cible sont convertis en soins pour l'allié nécessitant le plus d'assistance, renforçant ainsi l'aspect de soutien du Sorcier de l'Ombre. </t>
  </si>
  <si>
    <t>"Dévoration des Ombres" augmentant les dégâts des DOT. Apogée des Ténèbres (Ultime) : Effet : Libère une explosion d'énergie ténébreuse infligeant des dégâts magiques massifs à toutes les cibles ennemies. Réinitialise la durée de tous les DOT présents sur les cibles touchées et augmente significativement les dégâts des DOT pendant plusieurs tours</t>
  </si>
  <si>
    <t>dégats</t>
  </si>
  <si>
    <t>Montant des dégats infligés par les DOT tour précédent</t>
  </si>
  <si>
    <t>Nombres de DOT sur la cible tour précédent</t>
  </si>
  <si>
    <t>Tour restant pour chaque DOT (dans l'ordre) (exemple compétence 1 : 2 )</t>
  </si>
  <si>
    <t>montant des dégats infligés</t>
  </si>
  <si>
    <t>compétence utilisée</t>
  </si>
  <si>
    <t>critique?</t>
  </si>
  <si>
    <t>esquive?</t>
  </si>
  <si>
    <t>Thalia Ours</t>
  </si>
  <si>
    <t>point de vie groupe</t>
  </si>
  <si>
    <t>"+10%"</t>
  </si>
  <si>
    <t xml:space="preserve">1.	Frappe Colossale :
o	Effet : Une attaque puissante qui inflige des dégâts physiques importants à la cible principale. Augmente l'aggro </t>
  </si>
  <si>
    <t>2.	Rugissement Intimidant :
o	Effet : Émet un rugissement qui attire l'attention des ennemis, augmentant significativement l'aggro d'Elowen. Les ennemis affectés subissent une réduction de vitesse d'action pendant 2 tours</t>
  </si>
  <si>
    <t>4.	Coup de Griffe Déchirant :
o	Effet : Attaque rapide qui inflige des dégâts physiques légers, mais applique une altération de "Saignement Sauvage" à la cible, provoquant des dégâts périodiques.</t>
  </si>
  <si>
    <t>rage</t>
  </si>
  <si>
    <t>vitesse</t>
  </si>
  <si>
    <t>-</t>
  </si>
  <si>
    <t>3.	Charge Impétueuse :
o	Effet : Thalia charge violemment la cible, infligeant des dégâts physiques modérés et étourdissant l'ennemi touché pendant 1 tour.</t>
  </si>
  <si>
    <t>5.	Défense Impénétrable :
o	Effet : Thalia adopte une posture défensive, augmentant considérablement sa résistance physique et réduisant les dégâts physiques subis pendant 2 tours. Réduit également la vitesse d'action de l'ennemi attaquant Thalia</t>
  </si>
  <si>
    <t>6.	Tourbillon Furieux :
o	Effet : Thalia effectue un tourbillon furieux, infligeant des dégâts physiques modérés à tous les ennemis adjacents. Augmente l'aggro sur tous les ennemis touchés.</t>
  </si>
  <si>
    <t>7.	Écrasement Massif :
o	Effet : Thalia effectue un écrasement massif, infligeant des dégâts physiques importants à tous les ennemis dans une zone ciblée. Applique une altération de "Choc Terrifiant", réduisant la vitesse d'action des ennemis touchés.</t>
  </si>
  <si>
    <t>8.	Protection Épaisse :
o	Effet : Thalia renforce sa défense, réduisant les dégâts physiques subis pendant 3 tours. Applique également une altération de "Résistance Renforcée", augmentant la résistance physique.</t>
  </si>
  <si>
    <t>9.	Furie Ursine :
o	Effet : Thalia entre dans une rage incontrôlable, augmentant considérablement sa puissance d'attaque physique pendant 2 tours. Applique une altération de "Furie Déchaînée", augmentant les chances de coup critique.</t>
  </si>
  <si>
    <t>10.	Courroux de l'Ours (Ultime) :
o	Effet : Thalia libère tout son courroux, infligeant des dégâts physiques massifs à la cible principale et appliquant une altération de "Vulnérabilité Dévastatrice", augmentant les dégâts subis par la cible pendant plusieurs tours. Cette attaque peut être utilisée uniquement tous les 10 tours.</t>
  </si>
  <si>
    <t>armure magique</t>
  </si>
  <si>
    <t>puissance physique</t>
  </si>
  <si>
    <t>coup critique</t>
  </si>
  <si>
    <t>Armure boss</t>
  </si>
  <si>
    <t>Soins</t>
  </si>
  <si>
    <t>Critique?</t>
  </si>
  <si>
    <t>bloquer?</t>
  </si>
  <si>
    <t>chance de bloquer 10%</t>
  </si>
  <si>
    <t>Erebor, Obscure ou spirituelle?</t>
  </si>
  <si>
    <t>Inspiration</t>
  </si>
  <si>
    <t>1.Erebor</t>
  </si>
  <si>
    <t>2.Obscure</t>
  </si>
  <si>
    <t>3.Spirituelle</t>
  </si>
  <si>
    <t>par tour</t>
  </si>
  <si>
    <t>Inspiration choisie:</t>
  </si>
  <si>
    <t>Armure après compétence</t>
  </si>
  <si>
    <t>Armure physique Inspiration</t>
  </si>
  <si>
    <t>Armure magique Inspiration</t>
  </si>
  <si>
    <t>PP après</t>
  </si>
  <si>
    <t>dégats subis</t>
  </si>
  <si>
    <t>compétence 2</t>
  </si>
  <si>
    <t>compétence 1</t>
  </si>
  <si>
    <t>compétence 3</t>
  </si>
  <si>
    <t>compétence 4</t>
  </si>
  <si>
    <t>compétence 5</t>
  </si>
  <si>
    <t>compétence 6</t>
  </si>
  <si>
    <t>Points de vie perdu</t>
  </si>
  <si>
    <t>dégats P subis avant armure</t>
  </si>
  <si>
    <t>dégats M subis avant armure</t>
  </si>
  <si>
    <t>dégats P infligés par le boss</t>
  </si>
  <si>
    <t>dégats M infligés par le boss</t>
  </si>
  <si>
    <t>dégats P</t>
  </si>
  <si>
    <t>Dégats M</t>
  </si>
  <si>
    <t xml:space="preserve">	Frappe Cinglante :
o	Effet : Attaque de base qui inflige des dégâts physiques à la cible. Génère 5 points de rage.</t>
  </si>
  <si>
    <t>Bouclier Défensif :
o	Effet : Thrain adopte une posture défensive, bloquant partiellement les attaques ennemies. Génère de l'aggro et 3 points de rage.</t>
  </si>
  <si>
    <t xml:space="preserve">	Fracas Marteau :
o	Effet : Thrain frappe le sol avec son marteau, infligeant des dégâts physiques à tous les ennemis adjacents. Génère de l'aggro et 5 points de rage.attaques modérés et étourdissant l'ennemi touché pendant 1 tour.</t>
  </si>
  <si>
    <t>blocage</t>
  </si>
  <si>
    <t>Coup Puissant :
o	Effet : Une attaque puissante qui inflige des dégâts physiques importants à la cible. Consomme 10 points de rage.</t>
  </si>
  <si>
    <t>Provocation Féroce :
o	Effet : Thrain provoque les ennemis, attirant leur attention. Génère de l'aggro et 8 points de rage.</t>
  </si>
  <si>
    <t>+</t>
  </si>
  <si>
    <t>Enchaînement Furieux :
o	Effet : Thrain effectue une série d'attaques rapides, infligeant des dégâts physiques à la cible. Consomme 15 points de rage.</t>
  </si>
  <si>
    <t>Protection naine :
o	Effet : Thrain se repli dans son armure, augmentant l'armure physique et magique de 75% au prochain tour. Génère 10 points de rage.</t>
  </si>
  <si>
    <t>Fureur Déchaînée :
o	Effet : Thrain libère sa fureur, augmentant ses dégâts physiques et générant de l'aggro. Consomme 20 points de rage.</t>
  </si>
  <si>
    <t>Tourbillon Destructeur :
o	Effet : Thrain exécute un tourbillon dévastateur, infligeant des dégâts physiques à tous les ennemis autour de lui. Génère de l'aggro et 15 points de rage.</t>
  </si>
  <si>
    <t>10.	Courroux de l'Ours (Ultime) :
o	Effet : Thalia libère tout son courroux, infligeant des dégâts physiques massifs à la cible principale et appliquant une altération de "Vulnérabilité Dévastatrice", augmentant les dégâts subis par la cible pendant plusieurs tours. aumente de 75% les chances de bloquer la prochaine attaque. Cette attaque peut être utilisée uniquement tous les 10 tours.</t>
  </si>
  <si>
    <t>Bloquer</t>
  </si>
  <si>
    <t>dégats subis par le boss +20% pendant 2 tours</t>
  </si>
  <si>
    <t>dégats P infligés totaux</t>
  </si>
  <si>
    <t>dégats M infligés totaux</t>
  </si>
  <si>
    <t>dégats reçus par Thalia en Ent=</t>
  </si>
  <si>
    <t>dégats reçus par Thalia en Sorcier=</t>
  </si>
  <si>
    <t>dégats reçus par Thalia en Ours=</t>
  </si>
  <si>
    <t>dégats reçus par Seb</t>
  </si>
  <si>
    <t>Dégats reçus par Thraïn</t>
  </si>
  <si>
    <t>Compétence 11</t>
  </si>
  <si>
    <t>Compétence 12</t>
  </si>
  <si>
    <t>Lame Fusionnelle  - Effets : Inflige des dégâts modérés à une cible unique. - Cible : Un ennemi au corps à corps. - Dégâts : 35 points physiques. - Description : Azrak allie la force brutale des Uruk-hai à l'agilité des Elfes pour frapper un ennemi proche avec une attaque puissante et précise.</t>
  </si>
  <si>
    <t>Furie du Mordor  - Effets : Augmente les dégâts physiques d'Azrak et des alliés proches. - Cible : Azrak et alliés dans une petite zone autour de lui. - Bonus de dégâts : +30% pendant 3 tours. - Description : Puisant dans la rage du Mordor, Azrak libère une aura de combat qui booste sa force et celle de ses alliés, les rendant plus redoutables au combat. tous les 6 tours</t>
  </si>
  <si>
    <t>Fléau Sylvestre - Effets : Réduit l'armure physique de la cible et inflige des dégâts physiques. - Cible : Un ennemi à moyenne portée. - Réduction d'armure : -25% pendant 4 tours. - Dégâts : 30 points physiques. - Description : Azrak utilise une ancienne technique elfique pour affaiblir la défense physique de son adversaire tout en infligeant des dégâts, exploitant la faiblesse de l'armure ennemie..</t>
  </si>
  <si>
    <t>Sculpture Élémentaire - Effets : Inflige des dégâts de zone modérés à élevés. - Cible : Ennemis dans une zone moyenne. - Dégâts : 50 points magiques. - Description : Azrak canalise son énergie dans une sculpture élémentaire, la faisant exploser pour infliger des dégâts magiques aux ennemis alentour, montrant sa maîtrise artistique et magique.</t>
  </si>
  <si>
    <t>Chaînes de la Rage - Effets : Immobilise et ralentit l'ennemi, infligeant des dégâts physiques. - Cible : Un ennemi à courte ou moyenne portée. - Dégâts : 40 points physiques. - Description : Azrak invoque des chaînes maudites qui enserrent et paralysent sa cible, réduisant considérablement sa vitesse de déplacement tout en infligeant des dommages.</t>
  </si>
  <si>
    <t>Flèche de la Montagne du Destin - Effets : Inflige des dégâts physiques et un effet de brûlure. - Cible : Un ennemi à longue portée. - Dégâts : 80 points physiques. - Description : Azrak tire une flèche enflammée, enracinée dans la magie de la Montagne du Destin, brûlant la cible avec des flammes persistantes qui infligent des dégâts sur la durée</t>
  </si>
  <si>
    <t>Fracas des Abysses - Effets : Provoque des dégâts physiques de zone et réduit l'esquive des ennemis touchés. - Cible : Ennemis dans une zone autour d'Azrak. - Dégâts : 70 points physiques. - Description : En frappant le sol avec une force inouïe, Azrak provoque une onde de choc sismique qui désoriente ses ennemis et réduit leur capacité à esquiver les attaques.</t>
  </si>
  <si>
    <t>Récupération Mordorienne - Effets : Régénère la santé et le mana, crée des dagues améliorées pour chaque ennemi vaincu. - Cible : Azrak (auto-régénération), ennemis vaincus pour les dagues. - Dégâts : Variables selon le nombre d'ennemis vaincus. - Description : Azrak absorbe l'énergie des ennemis vaincus pour se soigner et récupérer du mana, tout en créant des dagues magiques renforcées, témoignant de sa capacité à tirer parti des chutes ennemies.</t>
  </si>
  <si>
    <t xml:space="preserve">Lame de Morgul* - Effets : Augmente les dégâts en fonction de la perte de santé d'Azrak. - Cible : Un ennemi au corps à corps. - Dégâts : Variables, augmentent avec la perte de santé. - Description : Une attaque risquée où Azrak utilise sa propre santé pour renforcer la puissance de sa lame, infligeant des dégâts croissants au fur et à mesure que sa santé diminue. </t>
  </si>
  <si>
    <t>Éclipse du Mordor - Effets : Inflige des dégâts de zone et augmente les capacités d'Azrak. - Cible : Ennemis dans une large zone autour d'Azrak. - Dégâts : 150 points magiques de zone. - Description : Azrak invoque une éclipse sombre, boostant ses propres capacités tout en infligeant des dégâts considérables aux ennemis alentour, représentant la puissance ultime de sa connexion avec le Mordor.</t>
  </si>
  <si>
    <t xml:space="preserve">Malédiction de Morgul- Effets : Inflige des dégâts magiques sur la durée et réduit la résistance magique de la cible. - Cible : Un ennemi à moyenne portée. - Dégâts : 45 points magiques par tour pendant 3 tours. - Description : Azrak lance une malédiction ancienne qui affaiblit la défense magique de sa cible tout en lui infligeant des dégâts continus, exploitant les arts sombres du Mordor. </t>
  </si>
  <si>
    <t>Briseur d'Égide - Effets : Réduit l'armure magique de la cible et inflige des dégâts légers. - Cible : Un ennemi à moyenne portée. - Réduction d'armure : -20% pendant 4 tours. - Dégâts : 20 points magiques. - Description : Avec une frappe magique ciblée, Azrak affaiblit les défenses magiques de son ennemi, rendant celui-ci plus vulnérable aux attaques magiques ultérieures.</t>
  </si>
  <si>
    <t>Armuse physique boss</t>
  </si>
  <si>
    <t>Esquive boss</t>
  </si>
  <si>
    <t>Dégats des DOT toujours présentes</t>
  </si>
  <si>
    <t>Nombre de tour restant</t>
  </si>
  <si>
    <t>Point de vie</t>
  </si>
  <si>
    <t>Armure magique boss</t>
  </si>
  <si>
    <t>Dégats avec DOT:</t>
  </si>
  <si>
    <t>Thalia Cerf</t>
  </si>
  <si>
    <t xml:space="preserve">•	Charge Fulgurante :
o	Effet : Elowen charge violemment la cible, infligeant des dégâts physiques modérés. Applique une altération de "Bousculade" réduisant la précision de l'ennemi touché pendant 2 tours.o </t>
  </si>
  <si>
    <t>•	Cornes Aiguisées :
o	Effet : Attaque rapide qui inflige des dégâts physiques légers, mais ajoute une altération de "Lacération Profonde" à la cible, augmentant les dégâts des attaques physiques pendant 3 tours.</t>
  </si>
  <si>
    <t>•	Danse Sylvestre :
o	Effet : Elowen danse gracieusement, augmentant sa vitesse d'action pendant 2 tours et appliquant une altération de "Lueur Féerique" à tous les alliés, augmentant leur esquive.</t>
  </si>
  <si>
    <t>•	Feinte Élégante :
o	Effet : Elowen réalise une feinte habile, infligeant des dégâts physiques légers et désorientant la cible, réduisant sa précision pendant 1 tour.</t>
  </si>
  <si>
    <t>•	Foulée Légère :
o	Effet : Elowen se déplace avec une agilité déconcertante, esquivant les attaques ennemies. Augmente l'esquive d'Elowen pendant 2 tours et applique une altération de "Confusion Sylvestre" aux ennemis attaquants, réduisant leur précision.</t>
  </si>
  <si>
    <t>•	Cascade de Sabots :
o	Effet : Elowen exécute une série rapide de coups de sabots, infligeant des dégâts physiques modérés à la cible principale et appliquant une altération de "Contusions Foudroyantes" augmentant les chances de coup critique pour les attaques suivantes.</t>
  </si>
  <si>
    <t>•	Brume Enchantée :
o	Effet : Elowen libère une brume mystique, réduisant la précision des ennemis dans la zone ciblée. Applique également une altération de "Voile Mystique" à Elowen, augmentant son esquive pendant 2 tours.</t>
  </si>
  <si>
    <t>•	Galop Éclair :
o	Effet : Elowen charge rapidement à travers le champ de bataille, infligeant des dégâts physiques légers à tous les ennemis adjacents. Applique une altération de "Frénésie Forestière" augmentant la vitesse d'action d'Elowen pendant 1 tour.</t>
  </si>
  <si>
    <t>•	Tempête de Bois :
o	Effet : Elowen invoque une tempête de bois autour d'elle, infligeant des dégâts physiques modérés à tous les ennemis dans la zone ciblée. Applique une altération de "Étourdissement Végétal" étourdissant les ennemis touchés pendant 1 tour.</t>
  </si>
  <si>
    <t>Furie du Cerf (Ultime) :
o	Effet : Elowen libère la fureur du cerf, chargeant violemment la cible principale et infligeant des dégâts physiques massifs. Applique une altération de "Déchirure Bestiale", augmentant les dégâts subis par la cible pendant plusieurs tours. Cette attaque peut être utilisée uniquement tous les 10 tours.</t>
  </si>
  <si>
    <t>dégats du boss subis +10%</t>
  </si>
  <si>
    <t>esquive groupe</t>
  </si>
  <si>
    <t>vitesse groupe</t>
  </si>
  <si>
    <t>33% de chance étourdis</t>
  </si>
  <si>
    <t>dégats du boss subis +40% pendant 2 tours</t>
  </si>
  <si>
    <t>Azrak Ombresang</t>
  </si>
  <si>
    <t xml:space="preserve">butin: </t>
  </si>
  <si>
    <t>fragment de métal (commun)</t>
  </si>
  <si>
    <t>métaux</t>
  </si>
  <si>
    <t>Gemme</t>
  </si>
  <si>
    <t>Plante</t>
  </si>
  <si>
    <t>racine de vigueur</t>
  </si>
  <si>
    <t>Baie de lumière</t>
  </si>
  <si>
    <t>Mousse d'endurance</t>
  </si>
  <si>
    <t>fleur d'éveil</t>
  </si>
  <si>
    <t>petite gemme brute: 4  (commun)</t>
  </si>
  <si>
    <t>Cristal luminescent (+10% soins a mettre sur arme)</t>
  </si>
  <si>
    <t>Champignons rares (pour le soins. +20%)</t>
  </si>
  <si>
    <t>grimoire</t>
  </si>
  <si>
    <t>Grimoire ancien</t>
  </si>
  <si>
    <t>divers</t>
  </si>
  <si>
    <t>Poignée de pièces anciennes</t>
  </si>
  <si>
    <t>Rune</t>
  </si>
  <si>
    <t>Potions</t>
  </si>
  <si>
    <t>potion de guérison ancienne</t>
  </si>
  <si>
    <t>poussière enchantement</t>
  </si>
  <si>
    <t>Essence magique luminescente</t>
  </si>
  <si>
    <t>Herbes Mystérieuses (effet +30%)</t>
  </si>
  <si>
    <t>Gemme de Dunarow (15% armure magique, +20% puissance des sorts)</t>
  </si>
  <si>
    <t>or Thalia</t>
  </si>
  <si>
    <t>or Azrak</t>
  </si>
  <si>
    <t>Azrak</t>
  </si>
  <si>
    <t>or Thraïn</t>
  </si>
  <si>
    <t>cuivre</t>
  </si>
  <si>
    <t>potion 30 mana</t>
  </si>
  <si>
    <t>herbes séchées: 3</t>
  </si>
  <si>
    <t xml:space="preserve">herbe de soin </t>
  </si>
  <si>
    <t>Parchemin pour reccet de potion</t>
  </si>
  <si>
    <t>Rune de l'éveil(+15 puissance des sorts)</t>
  </si>
  <si>
    <t>Gemme du crépuscule (20 PV, 10 mana, et 7%)</t>
  </si>
  <si>
    <t>épée (+5 ataque)</t>
  </si>
  <si>
    <t>brassard (+2 armure physique)</t>
  </si>
  <si>
    <t>pendentif (5% CC)</t>
  </si>
  <si>
    <t>collier (armure magique 15%)</t>
  </si>
  <si>
    <t>HEAL</t>
  </si>
  <si>
    <t>Tranfo ours, aigle et Cerf</t>
  </si>
  <si>
    <t xml:space="preserve">puissance physique </t>
  </si>
  <si>
    <t xml:space="preserve">armure </t>
  </si>
  <si>
    <t>régénération de mana</t>
  </si>
  <si>
    <t>après pouvoir elfique</t>
  </si>
  <si>
    <t>"+5 dégats"</t>
  </si>
  <si>
    <t>Excès de heal</t>
  </si>
  <si>
    <t>"+1 de dégats magique par excès de soin"</t>
  </si>
  <si>
    <t>attaque utilisée?</t>
  </si>
  <si>
    <t>Crit</t>
  </si>
  <si>
    <t>Esq</t>
  </si>
  <si>
    <t>3 (120/200)</t>
  </si>
  <si>
    <t>3 (130/200)</t>
  </si>
  <si>
    <t>3 (110/200)</t>
  </si>
  <si>
    <t>(bonus forme ent)</t>
  </si>
  <si>
    <t>bouclier (10 armure physique, chance bloquer +10)</t>
  </si>
  <si>
    <t>Tissu</t>
  </si>
  <si>
    <t>Soie d'araignée montagne (reistance feu + eau)</t>
  </si>
  <si>
    <t>Racine de coeur de montagne (regeneration de PV)</t>
  </si>
  <si>
    <t>Gemme du crépuscule (50 PV, 20 mana, et 7%CC)</t>
  </si>
  <si>
    <t>Rune de l'éveil(+30%puissance des sorts, 15% chance ignoré l'armure magique, 10% de chance de déclancer un second impact à 50% de la valeur)</t>
  </si>
  <si>
    <t>Bonus</t>
  </si>
  <si>
    <t>cible? (1=Azrak, 2=Thraïn, 3= Ent, 4= Mage sombre, 5= ours, 6=mage Sombre, 7=aigle)</t>
  </si>
  <si>
    <t>Heal infligé:</t>
  </si>
  <si>
    <t>potion +10 Puissance physique 1 tour</t>
  </si>
  <si>
    <t>Rune commune +2 armure</t>
  </si>
  <si>
    <t>Rune de feu +5 dégats magique + physique</t>
  </si>
  <si>
    <t>Herbe de sagesse</t>
  </si>
  <si>
    <t>herbe de soin : 2</t>
  </si>
  <si>
    <t>petite gemme puissance magique +5</t>
  </si>
  <si>
    <t>petite gemme précision +1% coup critique</t>
  </si>
  <si>
    <t>poussière hative (+5% vitesse)</t>
  </si>
  <si>
    <t>fer: 10</t>
  </si>
  <si>
    <t>épée (+35 attaque physique + CC 5%)</t>
  </si>
  <si>
    <t>Chaussure (vitesse 20%)</t>
  </si>
  <si>
    <t>potion de force supérieure +30</t>
  </si>
  <si>
    <t>Rune de protection avancé +40</t>
  </si>
  <si>
    <t>Rune de feu supérieur (attaque physique et magique 25)</t>
  </si>
  <si>
    <t>Herbe de mana supérieure (+50 mana)</t>
  </si>
  <si>
    <t>Herbe de régénération supérieure (+50 PV)</t>
  </si>
  <si>
    <t>Gemme de puissance magique: + 40 puissance des sorts*</t>
  </si>
  <si>
    <t>Gemme de chance de critique 5%</t>
  </si>
  <si>
    <t>poussière hative (+10% vitesse)</t>
  </si>
  <si>
    <t>Patron de couture Robe archimage</t>
  </si>
  <si>
    <t>Forge</t>
  </si>
  <si>
    <t>Patron épée légendaire</t>
  </si>
  <si>
    <t>Orichalque: 5</t>
  </si>
  <si>
    <t>étourdit un ennemi faible</t>
  </si>
  <si>
    <t>Ennemi 1</t>
  </si>
  <si>
    <t>Ennemi 2</t>
  </si>
  <si>
    <t>Ennemi 3</t>
  </si>
  <si>
    <t>potion 30 PV</t>
  </si>
  <si>
    <t>rune de proctection (armure magique 15)</t>
  </si>
  <si>
    <t>potion 50 mana</t>
  </si>
  <si>
    <t>Gemme éclat de lune (puissance des sorts +20%)</t>
  </si>
  <si>
    <t>épée du gobelin (+20physique, CC+5%)</t>
  </si>
  <si>
    <t>Recette de potion pour faire des potions de force</t>
  </si>
  <si>
    <t>dégats reçus par Thalia en Cerf</t>
  </si>
  <si>
    <t>épée (puissance physique 15, CC5%)</t>
  </si>
  <si>
    <t>potion +20pv : 2</t>
  </si>
  <si>
    <t>poussière célèste : 2</t>
  </si>
  <si>
    <t>Gemme de saphir (puissance magique +20, armure magique +15, CC 7%)</t>
  </si>
  <si>
    <t>Patron de couture Robe effet mystère</t>
  </si>
  <si>
    <t>métal d'or</t>
  </si>
  <si>
    <t>bloquer? 20%</t>
  </si>
  <si>
    <t>6 (90/240)</t>
  </si>
  <si>
    <t>Ennemi 4</t>
  </si>
  <si>
    <t>Ennemi 5</t>
  </si>
  <si>
    <t>Herbe de récup +20 mana + dégats magique +20%</t>
  </si>
  <si>
    <t>Gemme de puissance magique: 5%</t>
  </si>
  <si>
    <t>Gemme de récupération de mana : +20%</t>
  </si>
  <si>
    <t>potion de soin supérieure +100 PV: 2</t>
  </si>
  <si>
    <t>potion 80 mana</t>
  </si>
  <si>
    <t>plastron enchanté (armure physique 60 , puissance magique 20)</t>
  </si>
  <si>
    <t>baton enchanté (puissance magique 20, 20%regen mana)</t>
  </si>
  <si>
    <t>Torse (armure+50 physique, total vigueur +20)</t>
  </si>
  <si>
    <t>torse (40 armure physique)</t>
  </si>
  <si>
    <t>Marteau du destin (40 puissance physique +2% esquive)</t>
  </si>
  <si>
    <t>Mode Combat</t>
  </si>
  <si>
    <t>Situation initiale</t>
  </si>
  <si>
    <t>Situation après attaque donnée</t>
  </si>
  <si>
    <t>Situation après attaque reçue</t>
  </si>
  <si>
    <t>Situation après soins reçus</t>
  </si>
  <si>
    <t>Situation fin de tour</t>
  </si>
  <si>
    <t>Situation début de tour</t>
  </si>
  <si>
    <t>Thalia Ombre</t>
  </si>
  <si>
    <t>Puissance physique 2 tours</t>
  </si>
  <si>
    <t>DOT 15</t>
  </si>
  <si>
    <t>3 tours</t>
  </si>
  <si>
    <t>dégats +25% quand PV-50%</t>
  </si>
  <si>
    <t>DOT 3 tours</t>
  </si>
  <si>
    <t>DOT 4 tours</t>
  </si>
  <si>
    <t>DOT 20 pendant  3 tours</t>
  </si>
  <si>
    <t>Bouclier</t>
  </si>
  <si>
    <t>Heal 50% des dégats infligés</t>
  </si>
  <si>
    <t>Croissance Bienfaisante : Effet : Stimule la régénération de PV du groupe, appliquant un effet de soins périodiques modérés pendant 3 tours sur tous les alliés</t>
  </si>
  <si>
    <t>Nombres de DOT sur la cible 2 tour précédent</t>
  </si>
  <si>
    <t>anneau épique de régénération (PV+5, mana+2)</t>
  </si>
  <si>
    <t>amulette de protection magique (armure magique +25)</t>
  </si>
  <si>
    <t>herbe de soin : 5</t>
  </si>
  <si>
    <t>gemme rare</t>
  </si>
  <si>
    <t>Gemme de protection magique (absorbe les 50 premiers dégats magiques)</t>
  </si>
  <si>
    <t>Parchemin pour recette de potion</t>
  </si>
  <si>
    <t>Recette de: Potion de revitalisation débordante: restaure 100% pv + mana. + double regen mana, pv et rigueur pendant 10 tours</t>
  </si>
  <si>
    <t>Cape de Valar (contre attaque 10%, drain de vie 10% dégats si CC, chaque CC, réduit l'armure de 10% pendant 5 tours)</t>
  </si>
  <si>
    <t>épée du gobelin (+20 physique, CC+5%)</t>
  </si>
  <si>
    <t>frapper 2 fois? 15%</t>
  </si>
  <si>
    <t>coup critique annuler? 20%</t>
  </si>
  <si>
    <t>torse (40 armure physique, 20% d'annuler un coup critique)</t>
  </si>
  <si>
    <t>chapeau enchanteur (10% dégats magiques, et réduction cout des sorts 10%</t>
  </si>
  <si>
    <t>Collier  de protection magique (armure magique 25)</t>
  </si>
  <si>
    <t>Brassard de régèn (+4 PV et +4 mana)</t>
  </si>
  <si>
    <t>Rune d'écho ancien (armure physique et magique +20,  15% de répéter l'attaque sur un autre ennemi)</t>
  </si>
  <si>
    <t>30% pendant 2 T</t>
  </si>
  <si>
    <t>Si santé totale groupe entre 0-25%, régénération de vie +10, réduction 50% effets négatifs</t>
  </si>
  <si>
    <t>% vie Azrak</t>
  </si>
  <si>
    <t>10 (170/500)</t>
  </si>
  <si>
    <t>10(50/500)</t>
  </si>
  <si>
    <t>épéé (+45 dégats magiques, +50 point de vie de base)</t>
  </si>
  <si>
    <t>bague épique de résistance magique +35</t>
  </si>
  <si>
    <t>poussière épique: 3</t>
  </si>
  <si>
    <t>si heal après attaque dans le même tour</t>
  </si>
  <si>
    <t>rage gagnéé par Thraïn</t>
  </si>
  <si>
    <t>Rage gagnée ours</t>
  </si>
  <si>
    <t>50% de chance de contre attaque si j'esquive. La contre attaque ne coute pas de vigueur</t>
  </si>
  <si>
    <t>3T</t>
  </si>
  <si>
    <t>50% d'ignorer l'armure de la cible</t>
  </si>
  <si>
    <t>2T</t>
  </si>
  <si>
    <t>4T</t>
  </si>
  <si>
    <t>aggro générée:</t>
  </si>
  <si>
    <t>Idée Aigle: je m'envole, ce qui augmente mon esquive de 80%, et augmente ma chance de coup critique de 50% pour la prochaine attaque</t>
  </si>
  <si>
    <t>Idée requin passif: attiré par le sang, réduit les chances d'esquives de la cible de 50% si elle est blessée. Sans pitié: si la cible &lt;33% de PV, dégats de cette attaque x5 (utilisable tous les 3 tours)</t>
  </si>
  <si>
    <t>Éveil de l'Espérance : Effet : Soigne modérément la cible et annule un effet néfaste. Réinitialise la durée des HOT déjà présents sur la cible</t>
  </si>
  <si>
    <t xml:space="preserve">Fleur de l'Espoir : Effet : Fait pousser des fleurs au sol pendant 5 tours. Les fleurs rendent des points de vie modérés aux alliés dans cette zone mais réduisent leur esquive de 5%. </t>
  </si>
  <si>
    <t>Forme de Thalia?</t>
  </si>
  <si>
    <t>Ent</t>
  </si>
  <si>
    <t>Mage sombre</t>
  </si>
  <si>
    <t>ours</t>
  </si>
  <si>
    <t>cerf</t>
  </si>
  <si>
    <t>aigle</t>
  </si>
  <si>
    <t>requin</t>
  </si>
  <si>
    <t>Puissance physique +5% pour le groupe</t>
  </si>
  <si>
    <t xml:space="preserve">Buff de groupe: esquive +5 et coup critique +5 </t>
  </si>
  <si>
    <t>Buff de groupe: dégats infligés +4%</t>
  </si>
  <si>
    <t>Thalia Aigle</t>
  </si>
  <si>
    <t>Coup critique</t>
  </si>
  <si>
    <t>Buff de groupe</t>
  </si>
  <si>
    <t>vitesse + 10</t>
  </si>
  <si>
    <t>Vent Chanceux :
Effet : Envoie une rafale de vent chanceux, augmentant les chances de coup critique pour tous les alliés pendant un tour. Inflige des dégâts physiques à une cible.</t>
  </si>
  <si>
    <t>coup critique groupe</t>
  </si>
  <si>
    <t>30% pendant 1 T</t>
  </si>
  <si>
    <t>Coup critique groupe</t>
  </si>
  <si>
    <t>30% 2T</t>
  </si>
  <si>
    <t>dégats groupe</t>
  </si>
  <si>
    <t xml:space="preserve">esquive </t>
  </si>
  <si>
    <t>15% de chance d'étourdir (ennemis faibles)</t>
  </si>
  <si>
    <t>Éclipse Bénéfique (Ultime) :
Effet : Plonge le champ de bataille dans une éclipse bénéfique. Pendant trois tours, augmente massivement les chances de coup critique et les dégâts des alliés, réduit le temps de recharge des compétences et inflige des dégâts critiques à une cible ennemie principale</t>
  </si>
  <si>
    <t>Cri du Faucon:
Effet: Émet un cri perçant qui revigore le groupe et blesse l'adversaire</t>
  </si>
  <si>
    <t>vigueur groupe</t>
  </si>
  <si>
    <t>Griffes Acérées:
Effet: Attaque rapide avec les griffes, profitant des faibles de l'adversaire. Inflige des dégâts physiques à l'ennemi. Si l'ennemi a subi un coup critique au tour prédédent, dégats x3</t>
  </si>
  <si>
    <t>x3</t>
  </si>
  <si>
    <t>dégats si critique au tour précédent</t>
  </si>
  <si>
    <t>1 tour +35% de chance coup critique</t>
  </si>
  <si>
    <t>30% de double attaque du groupe pendant 2 tours</t>
  </si>
  <si>
    <t>Réduit le temps de recharge de l'ultime de tout le groupe de 1 tour</t>
  </si>
  <si>
    <t>Lueur Céleste :
Effet : Irradie une lueur céleste, augmentant les chances de double attaque des alliés pour le prochain tour. Inflige des dégâts magiques à une cible.</t>
  </si>
  <si>
    <t>Rafale Éolienne:
Effet: Libère une rafale d'énergie éolienne, touchant plusieurs ennemis à la fois avec des dégâts physiques. Les ennemis touchés subissent une chance d'étourdissement</t>
  </si>
  <si>
    <t>Vent Ascendant:
Utilisable uniquement après une esquive. Puissante attaque surprise qui a de grandes chances d'être critique</t>
  </si>
  <si>
    <t>Thalia Requin</t>
  </si>
  <si>
    <t>Idée requin passif: attiré par le sang, réduit les chances d'esquives de la cible de 50% si elle est blessée</t>
  </si>
  <si>
    <t>Buff de groupe: dégats</t>
  </si>
  <si>
    <t>dégats physique et magique</t>
  </si>
  <si>
    <t>Chant des Profondeurs :
Effet : Émet un chant mystique des profondeurs, infligeant des dégâts magiques à tous les ennemis. Les dégâts augmentent en fonction de votre intelligence.</t>
  </si>
  <si>
    <t>dégats +1 pour chaque 100 mana</t>
  </si>
  <si>
    <t>si dans l'eau</t>
  </si>
  <si>
    <t xml:space="preserve">vitesse </t>
  </si>
  <si>
    <t>•	Charge Fulgurante :
o	Effet : Thalia charge violemment la cible, infligeant des dégâts physiques modérés. 50% de chance de relancer l'attaque</t>
  </si>
  <si>
    <t>•	Danse Sylvestre :
o	Effet : Thalia danse gracieusement, augmentant sa vitesse d'action et celle de ses alliés pendant 4 tours et appliquant une altération de "Lueur Féerique" à tous les alliés, augmentant leur esquive.</t>
  </si>
  <si>
    <t>•	Feinte Élégante :
o	Effet : Thalia réalise une feinte habile, infligeant des dégâts physiques légers et désorientant la cible, réduisant sa précision pendant 1 tour.</t>
  </si>
  <si>
    <t>•	Cascade de Sabots :
o	Effet : Thalia exécute une série rapide de coups de sabots, infligeant des dégâts physiques modérés à la cible principale et appliquant une altération de "Contusions Foudroyantes" augmentant les chances de coup critique pour les attaques suivantes.</t>
  </si>
  <si>
    <t>•	Galop Éclair :
o	Effet : Thalia charge rapidement à travers le champ de bataille, infligeant des dégâts physiques légers à tous les ennemis adjacents. Applique une altération de "Frénésie Forestière" augmentant la vitesse d'action d'Thalia pendant 1 tour.</t>
  </si>
  <si>
    <t>•	Tempête de Bois :
o	Effet : Thalia invoque une tempête de bois autour d'elle, infligeant des dégâts physiques modérés à tous les ennemis dans la zone ciblée. Applique une altération de "Étourdissement Végétal" étourdissant les ennemis touchés pendant 1 tour.</t>
  </si>
  <si>
    <t>Furie du Cerf (Ultime) :
o	Effet : Thalia libère la fureur du cerf, chargeant violemment la cible principale et infligeant des dégâts physiques massifs. Applique une altération de "Déchirure Bestiale", augmentant les dégâts subis par la cible pendant plusieurs tours. Cette attaque peut être utilisée uniquement tous les 10 tours.</t>
  </si>
  <si>
    <t>1.	Plongée Mortelle :
o	Effet : Thalia plonge du ciel, infligeant des dégâts physiques importants à la cible principale.  Augmente la puissance physique de la prochaine attaque de 25</t>
  </si>
  <si>
    <t xml:space="preserve">Sombre Abyssal (Ultime) :
•	Effet : Thalia plonge dans les profondeurs obscures de l'océan, disparaissant temporairement du champ de bataille. Pendant ce temps, une ombre abyssale engloutit tous les ennemis, infligeant des dégâts physiques massifs à chaque ennemi. À la fin de son tour d'absence, Thalia réapparaît, bénéficiant d'un buff de vitesse d'action et augmentant ses dégâts pour les tours suivants. </t>
  </si>
  <si>
    <t>esquive 100%</t>
  </si>
  <si>
    <t>dégats pendant 3 tours</t>
  </si>
  <si>
    <t>Éclair Fulgurant :
Effet : Libère un éclair sous-marin, infligeant des dégâts magiques à une cible unique. Les dégâts augmentent en fonction de votre intelligence.</t>
  </si>
  <si>
    <t>•	Morsure perfide :
o	Effet : Thalia lacère la cible, infligeant des dégâts physiques à la cible principale. Si la cible à 80% de PV ou plus, double les dégats</t>
  </si>
  <si>
    <t>dégats x2 si la cible à 80% de PV ou plus</t>
  </si>
  <si>
    <t>•	Lance-Tsunami 
o Effet : Thalia lance un tsunami sur la cible principale, infligeant des dégâts physiques modérés et repoussant l'ennemi.</t>
  </si>
  <si>
    <t>dégats +1 pour chaque 10 d'armure physique</t>
  </si>
  <si>
    <t>Vengeance aquatique :
Effet : Réduit de 1 le temps de recharge de l'ultime pour tous les membres du groupe.  Augmente l'armure physique de Thalia de 20% pendant 2 tours</t>
  </si>
  <si>
    <t>Sans pitié: 
Effet: si la cible &lt;33% de PV, dégats de cette attaque x5 (utilisable tous les 4 tours)</t>
  </si>
  <si>
    <t>Entraide de la fosse
Effet: gagne le bonus de puissance physique d'un allié (utilisable tous les 5 tours)</t>
  </si>
  <si>
    <t>Sacrifice Océanique
Effet: une attaque redoutable qui déchiquète la cible. Thalia transfère ensuite l'intégralité de sa vigueur à un allié</t>
  </si>
  <si>
    <t>transfère la totalité de la vigueur</t>
  </si>
  <si>
    <t>double attaque?</t>
  </si>
  <si>
    <t>Réduction ultime de 1T</t>
  </si>
  <si>
    <t>Rage Abyssale :
Effet : S'entoure d'une aura de rage abyssale, augmentant vos dégâts physiques et magiques pendant tours.</t>
  </si>
  <si>
    <t>Ultime - 1 tour</t>
  </si>
  <si>
    <t>armure physique 2 tours</t>
  </si>
  <si>
    <t>bonus dégats tours restants?</t>
  </si>
  <si>
    <t>Vie Thraïn</t>
  </si>
  <si>
    <t>% vie groupe</t>
  </si>
  <si>
    <t>Vie Thalia</t>
  </si>
  <si>
    <t>montant des dégatsde l'attaque</t>
  </si>
  <si>
    <t>montant dégats infligés (bonus)</t>
  </si>
  <si>
    <t>entre 0-25% PV, esquive +10, entre 25-50% esquive +5, entre 50-75% CC+5, entre 75%-100% CC+10</t>
  </si>
  <si>
    <t>% coup critique bonus</t>
  </si>
  <si>
    <t>% esquive bonus</t>
  </si>
  <si>
    <t>Excès de soin</t>
  </si>
  <si>
    <t>contre attaquer 10%</t>
  </si>
  <si>
    <t>début de tour</t>
  </si>
  <si>
    <t>Fin de tour</t>
  </si>
  <si>
    <t>Danse Astrale :
Effet : Danse dans les cieux, améliorant les mouvements des alliés. Réduit le temps de recharge des compétences des alliés et inflige des dégâts physiques à une cible. Utilisable tous les 4 tours</t>
  </si>
  <si>
    <t>Physique</t>
  </si>
  <si>
    <t>Magique</t>
  </si>
  <si>
    <t>Armure boss 5T</t>
  </si>
  <si>
    <t>•	Barrière de bois:
o	Effet : Thalia baisse la tête et charge avec ses bois. Augmente l'armure d'Thalia pendant 2 tours et inflige des dégats modérés</t>
  </si>
  <si>
    <t>armure</t>
  </si>
  <si>
    <t>dégats du boss subis +10% pendant 3 T</t>
  </si>
  <si>
    <t>dégats des DOT +25% 3T</t>
  </si>
  <si>
    <t>cout mana</t>
  </si>
  <si>
    <t xml:space="preserve">Symbiose Siphonnante : Effet : Thalia établit un lien symbiotique avec la cible, drainant une partie des dégâts infligés par les DOT sur cette cible pour soigner l'allié avec le moins de points de vie. Pendant 3 tours, les dégâts des DOT appliqués à la cible sont convertis en soins pour l'allié nécessitant le plus d'assistance, renforçant ainsi l'aspect de soutien du Sorcier de l'Ombre. </t>
  </si>
  <si>
    <t>Heal 100% DOT</t>
  </si>
  <si>
    <t>dégats des DOT +50% 3T</t>
  </si>
  <si>
    <t>Dégats Azrak</t>
  </si>
  <si>
    <t>Dégats Thraïn</t>
  </si>
  <si>
    <t>Dégats Thalïa</t>
  </si>
  <si>
    <t>5T</t>
  </si>
  <si>
    <t>Arbre de Vie : Effet : Crée une aura curative autour d'Thalia, appliquant un effet de soins légers à tous les alliés pendant 2 tours. Favorise la régénération de mana d'Thalia</t>
  </si>
  <si>
    <t>Reconnexion Arbustive (Favorise la Régénération de Mana d'Thalia) : Effet : Restaure une quantité modérée de mana à Thalia. Pendant 3 tours, 50% des soins d'Thalia sont infligés sous forme de dégâts aux ennemis proches. Utilisable tous les 5 tours</t>
  </si>
  <si>
    <t>groupe</t>
  </si>
  <si>
    <t>Regen à retirer??</t>
  </si>
  <si>
    <t>dégats P avant armure</t>
  </si>
  <si>
    <t>dégats M avant armure</t>
  </si>
  <si>
    <t>PP après compétence</t>
  </si>
  <si>
    <t>% PP bonus</t>
  </si>
  <si>
    <t>Vie Boss début du tour</t>
  </si>
  <si>
    <t>Envol sournois :
Effet : S'envole rapidement dans les airs, augmentant les chances d'esquive et de coup critique des prochaines attaques</t>
  </si>
  <si>
    <t>coup critique 3T</t>
  </si>
  <si>
    <t>50% contre attaque si esquive</t>
  </si>
  <si>
    <t>Malus boss?</t>
  </si>
  <si>
    <t>2.	Rugissement Intimidant :
o	Effet : Émet un rugissement qui attire l'attention des ennemis, augmentant significativement l'aggro d'Thalia. Augmente également la vitesse d'action pendant 2 tours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</si>
</sst>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sz val="11"/>
      <color theme="1"/>
      <name val="Calibri"/>
      <family val="2"/>
      <scheme val="minor"/>
    </font>
    <font>
      <sz val="8"/>
      <name val="Calibri"/>
      <family val="2"/>
      <scheme val="minor"/>
    </font>
    <font>
      <b/>
      <sz val="12"/>
      <color theme="1"/>
      <name val="Calibri"/>
      <family val="2"/>
      <scheme val="minor"/>
    </font>
    <font>
      <b/>
      <sz val="28"/>
      <color theme="1"/>
      <name val="Calibri"/>
      <family val="2"/>
      <scheme val="minor"/>
    </font>
    <font>
      <b/>
      <sz val="16"/>
      <color theme="1"/>
      <name val="Calibri"/>
      <family val="2"/>
      <scheme val="minor"/>
    </font>
    <font>
      <b/>
      <sz val="20"/>
      <color theme="1"/>
      <name val="Calibri"/>
      <family val="2"/>
      <scheme val="minor"/>
    </font>
    <font>
      <b/>
      <sz val="14"/>
      <color theme="1"/>
      <name val="Calibri"/>
      <family val="2"/>
      <scheme val="minor"/>
    </font>
    <font>
      <sz val="11"/>
      <color theme="1"/>
      <name val="Calibri"/>
      <family val="2"/>
      <scheme val="minor"/>
    </font>
    <font>
      <sz val="12"/>
      <color theme="1"/>
      <name val="Calibri"/>
      <family val="2"/>
      <scheme val="minor"/>
    </font>
  </fonts>
  <fills count="53">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rgb="FFF19191"/>
        <bgColor indexed="64"/>
      </patternFill>
    </fill>
    <fill>
      <patternFill patternType="solid">
        <fgColor theme="4" tint="0.59999389629810485"/>
        <bgColor indexed="64"/>
      </patternFill>
    </fill>
    <fill>
      <patternFill patternType="solid">
        <fgColor rgb="FF00B050"/>
        <bgColor indexed="64"/>
      </patternFill>
    </fill>
    <fill>
      <patternFill patternType="solid">
        <fgColor theme="7" tint="0.79998168889431442"/>
        <bgColor indexed="64"/>
      </patternFill>
    </fill>
    <fill>
      <patternFill patternType="solid">
        <fgColor rgb="FFC1FFEA"/>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rgb="FFEFA9E8"/>
        <bgColor indexed="64"/>
      </patternFill>
    </fill>
    <fill>
      <patternFill patternType="solid">
        <fgColor rgb="FFFF0066"/>
        <bgColor indexed="64"/>
      </patternFill>
    </fill>
    <fill>
      <patternFill patternType="solid">
        <fgColor rgb="FFFF89B9"/>
        <bgColor indexed="64"/>
      </patternFill>
    </fill>
    <fill>
      <patternFill patternType="solid">
        <fgColor theme="5" tint="-0.249977111117893"/>
        <bgColor indexed="64"/>
      </patternFill>
    </fill>
    <fill>
      <patternFill patternType="solid">
        <fgColor rgb="FFEB7321"/>
        <bgColor indexed="64"/>
      </patternFill>
    </fill>
    <fill>
      <patternFill patternType="solid">
        <fgColor rgb="FF92D050"/>
        <bgColor indexed="64"/>
      </patternFill>
    </fill>
    <fill>
      <patternFill patternType="solid">
        <fgColor theme="6" tint="0.79998168889431442"/>
        <bgColor indexed="64"/>
      </patternFill>
    </fill>
    <fill>
      <patternFill patternType="solid">
        <fgColor rgb="FFFF4B94"/>
        <bgColor indexed="64"/>
      </patternFill>
    </fill>
    <fill>
      <patternFill patternType="solid">
        <fgColor rgb="FFF06666"/>
        <bgColor indexed="64"/>
      </patternFill>
    </fill>
    <fill>
      <patternFill patternType="solid">
        <fgColor rgb="FFE274AB"/>
        <bgColor indexed="64"/>
      </patternFill>
    </fill>
    <fill>
      <patternFill patternType="solid">
        <fgColor rgb="FFFF0000"/>
        <bgColor indexed="64"/>
      </patternFill>
    </fill>
    <fill>
      <patternFill patternType="solid">
        <fgColor rgb="FFC87944"/>
        <bgColor indexed="64"/>
      </patternFill>
    </fill>
    <fill>
      <patternFill patternType="solid">
        <fgColor rgb="FFF49C0C"/>
        <bgColor indexed="64"/>
      </patternFill>
    </fill>
    <fill>
      <patternFill patternType="solid">
        <fgColor rgb="FF9966FF"/>
        <bgColor indexed="64"/>
      </patternFill>
    </fill>
    <fill>
      <patternFill patternType="solid">
        <fgColor theme="3" tint="0.59999389629810485"/>
        <bgColor indexed="64"/>
      </patternFill>
    </fill>
    <fill>
      <patternFill patternType="solid">
        <fgColor rgb="FFCC99FF"/>
        <bgColor indexed="64"/>
      </patternFill>
    </fill>
    <fill>
      <patternFill patternType="solid">
        <fgColor rgb="FF68EE78"/>
        <bgColor indexed="64"/>
      </patternFill>
    </fill>
    <fill>
      <patternFill patternType="solid">
        <fgColor theme="5" tint="0.79998168889431442"/>
        <bgColor indexed="64"/>
      </patternFill>
    </fill>
    <fill>
      <patternFill patternType="solid">
        <fgColor rgb="FF795CE2"/>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rgb="FF7030A0"/>
        <bgColor indexed="64"/>
      </patternFill>
    </fill>
    <fill>
      <patternFill patternType="solid">
        <fgColor rgb="FF99FF33"/>
        <bgColor indexed="64"/>
      </patternFill>
    </fill>
    <fill>
      <patternFill patternType="solid">
        <fgColor rgb="FFFF9966"/>
        <bgColor indexed="64"/>
      </patternFill>
    </fill>
    <fill>
      <patternFill patternType="solid">
        <fgColor theme="0" tint="-4.9989318521683403E-2"/>
        <bgColor indexed="64"/>
      </patternFill>
    </fill>
    <fill>
      <patternFill patternType="solid">
        <fgColor theme="8" tint="0.39997558519241921"/>
        <bgColor indexed="64"/>
      </patternFill>
    </fill>
    <fill>
      <patternFill patternType="solid">
        <fgColor rgb="FFFFC000"/>
        <bgColor indexed="64"/>
      </patternFill>
    </fill>
    <fill>
      <patternFill patternType="solid">
        <fgColor rgb="FFAE78D6"/>
        <bgColor indexed="64"/>
      </patternFill>
    </fill>
    <fill>
      <patternFill patternType="solid">
        <fgColor theme="0" tint="-0.14999847407452621"/>
        <bgColor indexed="64"/>
      </patternFill>
    </fill>
    <fill>
      <patternFill patternType="solid">
        <fgColor theme="6" tint="0.39997558519241921"/>
        <bgColor indexed="64"/>
      </patternFill>
    </fill>
    <fill>
      <patternFill patternType="solid">
        <fgColor rgb="FF00B0F0"/>
        <bgColor indexed="64"/>
      </patternFill>
    </fill>
    <fill>
      <patternFill patternType="solid">
        <fgColor rgb="FF43E543"/>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6D6D"/>
        <bgColor indexed="64"/>
      </patternFill>
    </fill>
    <fill>
      <patternFill patternType="solid">
        <fgColor rgb="FF5DBFB8"/>
        <bgColor indexed="64"/>
      </patternFill>
    </fill>
    <fill>
      <patternFill patternType="solid">
        <fgColor rgb="FFFF99CC"/>
        <bgColor indexed="64"/>
      </patternFill>
    </fill>
    <fill>
      <patternFill patternType="solid">
        <fgColor rgb="FFDD98E8"/>
        <bgColor indexed="64"/>
      </patternFill>
    </fill>
    <fill>
      <patternFill patternType="solid">
        <fgColor theme="7" tint="-0.249977111117893"/>
        <bgColor indexed="64"/>
      </patternFill>
    </fill>
  </fills>
  <borders count="1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s>
  <cellStyleXfs count="2">
    <xf numFmtId="0" fontId="0" fillId="0" borderId="0"/>
    <xf numFmtId="9" fontId="8" fillId="0" borderId="0" applyFont="0" applyFill="0" applyBorder="0" applyAlignment="0" applyProtection="0"/>
  </cellStyleXfs>
  <cellXfs count="465">
    <xf numFmtId="0" fontId="0" fillId="0" borderId="0" xfId="0"/>
    <xf numFmtId="0" fontId="0" fillId="2" borderId="0" xfId="0" applyFill="1"/>
    <xf numFmtId="0" fontId="0" fillId="3" borderId="0" xfId="0" applyFill="1"/>
    <xf numFmtId="9" fontId="0" fillId="0" borderId="0" xfId="0" applyNumberFormat="1"/>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top"/>
    </xf>
    <xf numFmtId="0" fontId="0" fillId="0" borderId="0" xfId="0" applyAlignment="1">
      <alignment horizontal="left" vertical="top"/>
    </xf>
    <xf numFmtId="0" fontId="0" fillId="0" borderId="0" xfId="0" applyAlignment="1"/>
    <xf numFmtId="0" fontId="0" fillId="6" borderId="0" xfId="0" applyFill="1"/>
    <xf numFmtId="0" fontId="0" fillId="0" borderId="1" xfId="0" applyBorder="1" applyAlignment="1">
      <alignment horizontal="center" vertical="center"/>
    </xf>
    <xf numFmtId="0" fontId="0" fillId="4" borderId="2" xfId="0" applyFill="1" applyBorder="1" applyAlignment="1">
      <alignment horizontal="left" vertical="top"/>
    </xf>
    <xf numFmtId="0" fontId="0" fillId="7" borderId="2" xfId="0" applyFill="1" applyBorder="1" applyAlignment="1">
      <alignment vertical="top" wrapText="1"/>
    </xf>
    <xf numFmtId="0" fontId="0" fillId="4" borderId="5" xfId="0" applyFill="1" applyBorder="1" applyAlignment="1">
      <alignment horizontal="left" vertical="top"/>
    </xf>
    <xf numFmtId="0" fontId="0" fillId="7" borderId="5" xfId="0" applyFill="1" applyBorder="1" applyAlignment="1">
      <alignment vertical="top" wrapText="1"/>
    </xf>
    <xf numFmtId="0" fontId="0" fillId="6" borderId="8" xfId="0" applyFill="1" applyBorder="1" applyAlignment="1">
      <alignment vertical="top" wrapText="1"/>
    </xf>
    <xf numFmtId="0" fontId="0" fillId="0" borderId="8" xfId="0" applyBorder="1" applyAlignment="1">
      <alignment vertical="top" wrapText="1"/>
    </xf>
    <xf numFmtId="0" fontId="0" fillId="6" borderId="5" xfId="0" applyFill="1" applyBorder="1" applyAlignment="1">
      <alignment vertical="top" wrapText="1"/>
    </xf>
    <xf numFmtId="0" fontId="0" fillId="5" borderId="8" xfId="0" applyFill="1" applyBorder="1" applyAlignment="1">
      <alignment horizontal="left" vertical="top"/>
    </xf>
    <xf numFmtId="0" fontId="0" fillId="5" borderId="8" xfId="0" applyFill="1" applyBorder="1" applyAlignment="1">
      <alignment vertical="top"/>
    </xf>
    <xf numFmtId="0" fontId="0" fillId="6" borderId="8" xfId="0" applyFill="1" applyBorder="1" applyAlignment="1">
      <alignment vertical="top"/>
    </xf>
    <xf numFmtId="0" fontId="0" fillId="8" borderId="8" xfId="0" applyFill="1" applyBorder="1" applyAlignment="1">
      <alignment vertical="top" wrapText="1"/>
    </xf>
    <xf numFmtId="0" fontId="0" fillId="0" borderId="1" xfId="0" applyBorder="1" applyAlignment="1">
      <alignment horizontal="center"/>
    </xf>
    <xf numFmtId="0" fontId="0" fillId="7" borderId="2" xfId="0" applyFill="1" applyBorder="1" applyAlignment="1">
      <alignment horizontal="left" vertical="top" wrapText="1"/>
    </xf>
    <xf numFmtId="1" fontId="0" fillId="0" borderId="0" xfId="0" applyNumberFormat="1"/>
    <xf numFmtId="0" fontId="1" fillId="7" borderId="3" xfId="0" applyFont="1" applyFill="1" applyBorder="1" applyAlignment="1">
      <alignment horizontal="center" vertical="center" wrapText="1"/>
    </xf>
    <xf numFmtId="0" fontId="1" fillId="7" borderId="6" xfId="0" applyFont="1" applyFill="1" applyBorder="1" applyAlignment="1">
      <alignment horizontal="center" vertical="center" wrapText="1"/>
    </xf>
    <xf numFmtId="9" fontId="1" fillId="8" borderId="9" xfId="0" applyNumberFormat="1" applyFont="1" applyFill="1" applyBorder="1" applyAlignment="1">
      <alignment horizontal="center" vertical="center" wrapText="1"/>
    </xf>
    <xf numFmtId="0" fontId="1" fillId="0" borderId="9" xfId="0" applyFont="1" applyBorder="1" applyAlignment="1">
      <alignment horizontal="center" vertical="center" wrapText="1"/>
    </xf>
    <xf numFmtId="0" fontId="1" fillId="6" borderId="6" xfId="0" applyFont="1" applyFill="1" applyBorder="1" applyAlignment="1">
      <alignment horizontal="center" vertical="center" wrapText="1"/>
    </xf>
    <xf numFmtId="0" fontId="0" fillId="0" borderId="1" xfId="0" applyBorder="1"/>
    <xf numFmtId="0" fontId="0" fillId="9" borderId="0" xfId="0" applyFill="1"/>
    <xf numFmtId="0" fontId="0" fillId="9" borderId="0" xfId="0" applyFill="1" applyAlignment="1">
      <alignment horizontal="left" vertical="center"/>
    </xf>
    <xf numFmtId="0" fontId="0" fillId="0" borderId="0" xfId="0" applyFill="1"/>
    <xf numFmtId="0" fontId="0" fillId="0" borderId="0" xfId="0" applyFill="1" applyAlignment="1">
      <alignment horizontal="left" vertical="center"/>
    </xf>
    <xf numFmtId="0" fontId="0" fillId="9" borderId="11" xfId="0" applyFill="1" applyBorder="1"/>
    <xf numFmtId="0" fontId="0" fillId="9" borderId="12" xfId="0" applyFill="1" applyBorder="1"/>
    <xf numFmtId="0" fontId="0" fillId="9" borderId="12" xfId="0" applyFill="1" applyBorder="1" applyAlignment="1">
      <alignment horizontal="left" vertical="center"/>
    </xf>
    <xf numFmtId="0" fontId="0" fillId="9" borderId="7" xfId="0" applyFill="1" applyBorder="1"/>
    <xf numFmtId="0" fontId="0" fillId="9" borderId="9" xfId="0" applyFill="1" applyBorder="1" applyAlignment="1">
      <alignment horizontal="left" vertical="center"/>
    </xf>
    <xf numFmtId="0" fontId="0" fillId="9" borderId="1" xfId="0" applyFill="1" applyBorder="1"/>
    <xf numFmtId="0" fontId="0" fillId="9" borderId="3" xfId="0" applyFill="1" applyBorder="1"/>
    <xf numFmtId="0" fontId="0" fillId="10" borderId="1" xfId="0" applyFill="1" applyBorder="1"/>
    <xf numFmtId="0" fontId="0" fillId="10" borderId="3" xfId="0" applyFill="1" applyBorder="1"/>
    <xf numFmtId="0" fontId="0" fillId="10" borderId="11" xfId="0" applyFill="1" applyBorder="1"/>
    <xf numFmtId="0" fontId="0" fillId="10" borderId="12" xfId="0" applyFill="1" applyBorder="1"/>
    <xf numFmtId="0" fontId="0" fillId="10" borderId="12" xfId="0" applyFill="1" applyBorder="1" applyAlignment="1">
      <alignment horizontal="left" vertical="center"/>
    </xf>
    <xf numFmtId="0" fontId="0" fillId="10" borderId="7" xfId="0" applyFill="1" applyBorder="1"/>
    <xf numFmtId="0" fontId="0" fillId="10" borderId="9" xfId="0" applyFill="1" applyBorder="1" applyAlignment="1">
      <alignment horizontal="left" vertical="center"/>
    </xf>
    <xf numFmtId="0" fontId="0" fillId="11" borderId="1" xfId="0" applyFill="1" applyBorder="1"/>
    <xf numFmtId="0" fontId="0" fillId="11" borderId="3" xfId="0" applyFill="1" applyBorder="1"/>
    <xf numFmtId="0" fontId="0" fillId="11" borderId="11" xfId="0" applyFill="1" applyBorder="1"/>
    <xf numFmtId="0" fontId="0" fillId="11" borderId="12" xfId="0" applyFill="1" applyBorder="1"/>
    <xf numFmtId="0" fontId="0" fillId="11" borderId="12" xfId="0" applyFill="1" applyBorder="1" applyAlignment="1">
      <alignment horizontal="left" vertical="center"/>
    </xf>
    <xf numFmtId="0" fontId="0" fillId="11" borderId="7" xfId="0" applyFill="1" applyBorder="1"/>
    <xf numFmtId="0" fontId="0" fillId="11" borderId="9" xfId="0" applyFill="1" applyBorder="1" applyAlignment="1">
      <alignment horizontal="left" vertical="center"/>
    </xf>
    <xf numFmtId="0" fontId="0" fillId="9" borderId="0" xfId="0" applyFill="1" applyAlignment="1">
      <alignment horizontal="center" vertical="center"/>
    </xf>
    <xf numFmtId="0" fontId="0" fillId="12" borderId="0" xfId="0" applyFill="1" applyAlignment="1">
      <alignment horizontal="left" vertical="top" wrapText="1"/>
    </xf>
    <xf numFmtId="0" fontId="0" fillId="13" borderId="1" xfId="0" applyFill="1" applyBorder="1"/>
    <xf numFmtId="0" fontId="0" fillId="13" borderId="3" xfId="0" applyFill="1" applyBorder="1"/>
    <xf numFmtId="0" fontId="0" fillId="13" borderId="11" xfId="0" applyFill="1" applyBorder="1"/>
    <xf numFmtId="0" fontId="0" fillId="13" borderId="12" xfId="0" applyFill="1" applyBorder="1"/>
    <xf numFmtId="0" fontId="0" fillId="13" borderId="12" xfId="0" applyFill="1" applyBorder="1" applyAlignment="1">
      <alignment horizontal="left" vertical="center"/>
    </xf>
    <xf numFmtId="0" fontId="0" fillId="13" borderId="7" xfId="0" applyFill="1" applyBorder="1"/>
    <xf numFmtId="0" fontId="0" fillId="13" borderId="9" xfId="0" applyFill="1" applyBorder="1" applyAlignment="1">
      <alignment horizontal="left" vertical="center"/>
    </xf>
    <xf numFmtId="0" fontId="0" fillId="0" borderId="4" xfId="0" applyBorder="1" applyAlignment="1">
      <alignment horizontal="center" vertical="center"/>
    </xf>
    <xf numFmtId="0" fontId="0" fillId="0" borderId="11" xfId="0" applyFill="1" applyBorder="1" applyAlignment="1">
      <alignment horizontal="center" vertical="center" wrapText="1"/>
    </xf>
    <xf numFmtId="0" fontId="0" fillId="10" borderId="11" xfId="0" applyFill="1" applyBorder="1" applyAlignment="1">
      <alignment horizontal="center" vertical="center" wrapText="1"/>
    </xf>
    <xf numFmtId="0" fontId="0" fillId="10" borderId="0" xfId="0" applyFill="1"/>
    <xf numFmtId="0" fontId="0" fillId="14" borderId="0" xfId="0" applyFill="1"/>
    <xf numFmtId="0" fontId="0" fillId="15" borderId="0" xfId="0" applyFill="1"/>
    <xf numFmtId="0" fontId="0" fillId="15" borderId="0" xfId="0" applyFill="1" applyAlignment="1">
      <alignment wrapText="1"/>
    </xf>
    <xf numFmtId="0" fontId="0" fillId="0" borderId="0" xfId="0" applyAlignment="1">
      <alignment vertical="center" wrapText="1"/>
    </xf>
    <xf numFmtId="9" fontId="0" fillId="12" borderId="0" xfId="0" applyNumberFormat="1" applyFill="1"/>
    <xf numFmtId="0" fontId="0" fillId="12" borderId="0" xfId="0" applyFill="1"/>
    <xf numFmtId="0" fontId="0" fillId="5" borderId="2" xfId="0" applyFill="1" applyBorder="1" applyAlignment="1">
      <alignment vertical="top"/>
    </xf>
    <xf numFmtId="0" fontId="0" fillId="5" borderId="3" xfId="0" applyFill="1" applyBorder="1" applyAlignment="1">
      <alignment horizontal="left" vertical="top"/>
    </xf>
    <xf numFmtId="0" fontId="0" fillId="0" borderId="1" xfId="0" applyBorder="1" applyAlignment="1">
      <alignment horizontal="center" vertical="center" wrapText="1"/>
    </xf>
    <xf numFmtId="0" fontId="0" fillId="0" borderId="2" xfId="0" applyBorder="1" applyAlignment="1">
      <alignment horizontal="left" vertical="top"/>
    </xf>
    <xf numFmtId="0" fontId="0" fillId="0" borderId="3" xfId="0" applyBorder="1" applyAlignment="1">
      <alignment horizontal="left" vertical="top"/>
    </xf>
    <xf numFmtId="9" fontId="0" fillId="0" borderId="2" xfId="0" applyNumberFormat="1" applyBorder="1" applyAlignment="1">
      <alignment horizontal="left" vertical="top"/>
    </xf>
    <xf numFmtId="0" fontId="0" fillId="16" borderId="0" xfId="0" applyFill="1"/>
    <xf numFmtId="9" fontId="0" fillId="16" borderId="0" xfId="0" applyNumberFormat="1" applyFill="1"/>
    <xf numFmtId="9" fontId="1" fillId="17" borderId="2" xfId="0" applyNumberFormat="1" applyFont="1" applyFill="1" applyBorder="1"/>
    <xf numFmtId="9" fontId="0" fillId="18" borderId="3" xfId="0" applyNumberFormat="1" applyFill="1" applyBorder="1"/>
    <xf numFmtId="0" fontId="0" fillId="13" borderId="2" xfId="0" applyFill="1" applyBorder="1" applyAlignment="1">
      <alignment horizontal="left" vertical="top"/>
    </xf>
    <xf numFmtId="0" fontId="0" fillId="13" borderId="3" xfId="0" applyFill="1" applyBorder="1" applyAlignment="1">
      <alignment horizontal="left" vertical="top"/>
    </xf>
    <xf numFmtId="9" fontId="0" fillId="13" borderId="3" xfId="0" applyNumberFormat="1" applyFill="1" applyBorder="1"/>
    <xf numFmtId="9" fontId="0" fillId="5" borderId="8" xfId="0" applyNumberFormat="1" applyFill="1" applyBorder="1" applyAlignment="1">
      <alignment vertical="top" wrapText="1"/>
    </xf>
    <xf numFmtId="9" fontId="0" fillId="19" borderId="0" xfId="0" applyNumberFormat="1" applyFill="1"/>
    <xf numFmtId="0" fontId="0" fillId="17" borderId="0" xfId="0" applyFill="1"/>
    <xf numFmtId="1" fontId="0" fillId="11" borderId="12" xfId="0" applyNumberFormat="1" applyFill="1" applyBorder="1"/>
    <xf numFmtId="0" fontId="0" fillId="11" borderId="12" xfId="0" applyFill="1" applyBorder="1" applyAlignment="1">
      <alignment horizontal="center"/>
    </xf>
    <xf numFmtId="0" fontId="0" fillId="11" borderId="0" xfId="0" applyFill="1" applyBorder="1" applyAlignment="1">
      <alignment horizontal="center" wrapText="1"/>
    </xf>
    <xf numFmtId="0" fontId="0" fillId="13" borderId="0" xfId="0" applyFill="1" applyBorder="1"/>
    <xf numFmtId="0" fontId="0" fillId="20" borderId="0" xfId="0" applyFill="1"/>
    <xf numFmtId="0" fontId="0" fillId="21" borderId="0" xfId="0" applyFill="1"/>
    <xf numFmtId="0" fontId="0" fillId="22" borderId="0" xfId="0" applyFill="1"/>
    <xf numFmtId="0" fontId="0" fillId="20" borderId="0" xfId="0" applyFill="1" applyAlignment="1"/>
    <xf numFmtId="0" fontId="0" fillId="15" borderId="0" xfId="0" applyFill="1" applyAlignment="1"/>
    <xf numFmtId="0" fontId="0" fillId="23" borderId="0" xfId="0" applyFill="1"/>
    <xf numFmtId="0" fontId="0" fillId="0" borderId="0" xfId="0" applyFill="1" applyBorder="1" applyAlignment="1">
      <alignment horizontal="left" vertical="top"/>
    </xf>
    <xf numFmtId="0" fontId="0" fillId="0" borderId="0" xfId="0" applyFill="1" applyAlignment="1">
      <alignment wrapText="1"/>
    </xf>
    <xf numFmtId="0" fontId="0" fillId="0" borderId="0" xfId="0" applyFill="1" applyAlignment="1">
      <alignment vertical="center" wrapText="1"/>
    </xf>
    <xf numFmtId="0" fontId="0" fillId="21" borderId="5" xfId="0" applyFill="1" applyBorder="1" applyAlignment="1">
      <alignment horizontal="left" vertical="top"/>
    </xf>
    <xf numFmtId="0" fontId="0" fillId="21" borderId="2" xfId="0" applyFill="1" applyBorder="1" applyAlignment="1">
      <alignment horizontal="left" vertical="top"/>
    </xf>
    <xf numFmtId="0" fontId="0" fillId="16" borderId="2" xfId="0" applyFill="1" applyBorder="1" applyAlignment="1">
      <alignment horizontal="left" vertical="top"/>
    </xf>
    <xf numFmtId="0" fontId="0" fillId="24" borderId="2" xfId="0" applyFill="1" applyBorder="1" applyAlignment="1">
      <alignment horizontal="left" vertical="top"/>
    </xf>
    <xf numFmtId="0" fontId="0" fillId="24" borderId="3" xfId="0" applyFill="1" applyBorder="1" applyAlignment="1">
      <alignment horizontal="left" vertical="top"/>
    </xf>
    <xf numFmtId="0" fontId="0" fillId="25" borderId="2" xfId="0" applyFill="1" applyBorder="1" applyAlignment="1">
      <alignment horizontal="left" vertical="top"/>
    </xf>
    <xf numFmtId="0" fontId="0" fillId="25" borderId="3" xfId="0" applyFill="1" applyBorder="1" applyAlignment="1">
      <alignment horizontal="left" vertical="top"/>
    </xf>
    <xf numFmtId="0" fontId="0" fillId="26" borderId="2" xfId="0" applyFill="1" applyBorder="1" applyAlignment="1">
      <alignment horizontal="left" vertical="top"/>
    </xf>
    <xf numFmtId="9" fontId="0" fillId="16" borderId="0" xfId="0" applyNumberFormat="1" applyFill="1" applyAlignment="1">
      <alignment vertical="top"/>
    </xf>
    <xf numFmtId="0" fontId="0" fillId="27" borderId="0" xfId="0" applyFill="1" applyBorder="1" applyAlignment="1">
      <alignment horizontal="left" vertical="top"/>
    </xf>
    <xf numFmtId="0" fontId="0" fillId="27" borderId="0" xfId="0" applyFill="1"/>
    <xf numFmtId="0" fontId="0" fillId="28" borderId="0" xfId="0" applyFill="1"/>
    <xf numFmtId="1" fontId="0" fillId="26" borderId="2" xfId="0" applyNumberFormat="1" applyFill="1" applyBorder="1" applyAlignment="1">
      <alignment horizontal="left" vertical="top"/>
    </xf>
    <xf numFmtId="0" fontId="0" fillId="14" borderId="0" xfId="0" applyFill="1" applyAlignment="1">
      <alignment wrapText="1"/>
    </xf>
    <xf numFmtId="0" fontId="0" fillId="22" borderId="0" xfId="0" applyFill="1" applyAlignment="1">
      <alignment wrapText="1"/>
    </xf>
    <xf numFmtId="0" fontId="0" fillId="0" borderId="0" xfId="0" applyFill="1" applyBorder="1"/>
    <xf numFmtId="9" fontId="0" fillId="0" borderId="0" xfId="0" applyNumberFormat="1" applyFill="1" applyBorder="1" applyAlignment="1">
      <alignment vertical="top" wrapText="1"/>
    </xf>
    <xf numFmtId="9" fontId="0" fillId="0" borderId="0" xfId="0" applyNumberFormat="1" applyFill="1" applyBorder="1"/>
    <xf numFmtId="1" fontId="0" fillId="0" borderId="0" xfId="0" applyNumberFormat="1" applyFill="1" applyBorder="1"/>
    <xf numFmtId="0" fontId="0" fillId="29" borderId="2" xfId="0" applyFill="1" applyBorder="1" applyAlignment="1">
      <alignment horizontal="left" vertical="top"/>
    </xf>
    <xf numFmtId="9" fontId="0" fillId="26" borderId="2" xfId="0" applyNumberFormat="1" applyFill="1" applyBorder="1" applyAlignment="1">
      <alignment horizontal="left" vertical="top"/>
    </xf>
    <xf numFmtId="0" fontId="0" fillId="0" borderId="0" xfId="0" applyFill="1" applyBorder="1" applyAlignment="1">
      <alignment horizontal="center" vertical="center"/>
    </xf>
    <xf numFmtId="9" fontId="0" fillId="0" borderId="0" xfId="0" applyNumberFormat="1" applyAlignment="1">
      <alignment horizontal="center" vertical="center"/>
    </xf>
    <xf numFmtId="0" fontId="0" fillId="11" borderId="0" xfId="0" applyFill="1"/>
    <xf numFmtId="0" fontId="0" fillId="0" borderId="2" xfId="0" applyFill="1" applyBorder="1" applyAlignment="1">
      <alignment horizontal="left" vertical="top"/>
    </xf>
    <xf numFmtId="0" fontId="0" fillId="21" borderId="11" xfId="0" applyFill="1" applyBorder="1" applyAlignment="1">
      <alignment horizontal="center" vertical="center" wrapText="1"/>
    </xf>
    <xf numFmtId="0" fontId="0" fillId="30" borderId="0" xfId="0" applyFill="1"/>
    <xf numFmtId="0" fontId="3" fillId="0" borderId="0" xfId="0" applyFont="1"/>
    <xf numFmtId="0" fontId="0" fillId="11" borderId="2" xfId="0" applyFill="1" applyBorder="1" applyAlignment="1">
      <alignment horizontal="left" vertical="top"/>
    </xf>
    <xf numFmtId="9" fontId="0" fillId="11" borderId="3" xfId="0" applyNumberFormat="1" applyFill="1" applyBorder="1" applyAlignment="1">
      <alignment horizontal="left" vertical="top"/>
    </xf>
    <xf numFmtId="9" fontId="0" fillId="25" borderId="3" xfId="0" applyNumberFormat="1" applyFill="1" applyBorder="1" applyAlignment="1">
      <alignment horizontal="left" vertical="top"/>
    </xf>
    <xf numFmtId="0" fontId="0" fillId="9" borderId="12" xfId="0" applyFill="1" applyBorder="1" applyAlignment="1">
      <alignment horizontal="center"/>
    </xf>
    <xf numFmtId="0" fontId="0" fillId="9" borderId="12" xfId="0" applyFill="1" applyBorder="1" applyAlignment="1">
      <alignment horizontal="center" vertical="center"/>
    </xf>
    <xf numFmtId="0" fontId="0" fillId="10" borderId="12" xfId="0" applyFill="1" applyBorder="1" applyAlignment="1">
      <alignment horizontal="center" vertical="center"/>
    </xf>
    <xf numFmtId="0" fontId="0" fillId="10" borderId="12" xfId="0" applyFill="1" applyBorder="1" applyAlignment="1">
      <alignment horizontal="center"/>
    </xf>
    <xf numFmtId="0" fontId="0" fillId="11" borderId="12" xfId="0" applyFill="1" applyBorder="1" applyAlignment="1">
      <alignment horizontal="center" vertical="center"/>
    </xf>
    <xf numFmtId="0" fontId="0" fillId="31" borderId="0" xfId="0" applyFill="1"/>
    <xf numFmtId="0" fontId="0" fillId="18" borderId="0" xfId="0" applyFill="1"/>
    <xf numFmtId="0" fontId="0" fillId="25" borderId="0" xfId="0" applyFill="1"/>
    <xf numFmtId="0" fontId="0" fillId="32" borderId="0" xfId="0" applyFill="1"/>
    <xf numFmtId="0" fontId="0" fillId="33" borderId="0" xfId="0" applyFill="1" applyBorder="1"/>
    <xf numFmtId="0" fontId="0" fillId="33" borderId="0" xfId="0" applyFill="1"/>
    <xf numFmtId="0" fontId="0" fillId="34" borderId="0" xfId="0" applyFill="1"/>
    <xf numFmtId="0" fontId="0" fillId="28" borderId="0" xfId="0" applyFont="1" applyFill="1"/>
    <xf numFmtId="0" fontId="0" fillId="35" borderId="0" xfId="0" applyFill="1"/>
    <xf numFmtId="0" fontId="0" fillId="7" borderId="0" xfId="0" applyFill="1"/>
    <xf numFmtId="0" fontId="0" fillId="36" borderId="0" xfId="0" applyFill="1"/>
    <xf numFmtId="0" fontId="0" fillId="37" borderId="0" xfId="0" applyFill="1"/>
    <xf numFmtId="9" fontId="0" fillId="0" borderId="0" xfId="0" applyNumberFormat="1" applyFill="1" applyAlignment="1">
      <alignment horizontal="left" vertical="top"/>
    </xf>
    <xf numFmtId="0" fontId="0" fillId="4" borderId="0" xfId="0" applyFill="1"/>
    <xf numFmtId="1" fontId="0" fillId="0" borderId="0" xfId="0" applyNumberFormat="1" applyFill="1"/>
    <xf numFmtId="0" fontId="0" fillId="0" borderId="0" xfId="0" applyFill="1" applyAlignment="1">
      <alignment horizontal="left" vertical="top"/>
    </xf>
    <xf numFmtId="0" fontId="0" fillId="0" borderId="0" xfId="0" applyAlignment="1">
      <alignment horizontal="left"/>
    </xf>
    <xf numFmtId="0" fontId="0" fillId="13" borderId="12" xfId="0" applyFill="1" applyBorder="1" applyAlignment="1">
      <alignment horizontal="center" vertical="center"/>
    </xf>
    <xf numFmtId="9" fontId="0" fillId="13" borderId="12" xfId="0" applyNumberFormat="1" applyFill="1" applyBorder="1" applyAlignment="1">
      <alignment horizontal="center" vertical="center"/>
    </xf>
    <xf numFmtId="0" fontId="0" fillId="13" borderId="9" xfId="0" applyFill="1" applyBorder="1" applyAlignment="1">
      <alignment horizontal="center" vertical="center"/>
    </xf>
    <xf numFmtId="0" fontId="0" fillId="9" borderId="9" xfId="0" applyFill="1" applyBorder="1" applyAlignment="1">
      <alignment horizontal="center" vertical="center"/>
    </xf>
    <xf numFmtId="9" fontId="0" fillId="0" borderId="0" xfId="0" applyNumberFormat="1" applyAlignment="1">
      <alignment horizontal="left" vertical="top"/>
    </xf>
    <xf numFmtId="0" fontId="0" fillId="23" borderId="12" xfId="0" applyFill="1" applyBorder="1"/>
    <xf numFmtId="1" fontId="0" fillId="4" borderId="0" xfId="0" applyNumberFormat="1" applyFill="1"/>
    <xf numFmtId="0" fontId="0" fillId="11" borderId="11" xfId="0" applyFill="1" applyBorder="1" applyAlignment="1">
      <alignment horizontal="center" vertical="center"/>
    </xf>
    <xf numFmtId="0" fontId="0" fillId="38" borderId="0" xfId="0" applyFill="1"/>
    <xf numFmtId="9" fontId="0" fillId="38" borderId="0" xfId="0" applyNumberFormat="1" applyFill="1" applyAlignment="1">
      <alignment horizontal="left" vertical="top"/>
    </xf>
    <xf numFmtId="0" fontId="0" fillId="38" borderId="0" xfId="0" applyFill="1" applyAlignment="1">
      <alignment horizontal="left"/>
    </xf>
    <xf numFmtId="0" fontId="0" fillId="38" borderId="0" xfId="0" applyFill="1" applyAlignment="1">
      <alignment horizontal="left" vertical="top"/>
    </xf>
    <xf numFmtId="1" fontId="0" fillId="11" borderId="11" xfId="0" applyNumberFormat="1" applyFill="1" applyBorder="1" applyAlignment="1">
      <alignment horizontal="center" vertical="center"/>
    </xf>
    <xf numFmtId="0" fontId="0" fillId="9" borderId="12" xfId="0" applyFill="1" applyBorder="1" applyAlignment="1">
      <alignment horizontal="center" wrapText="1"/>
    </xf>
    <xf numFmtId="0" fontId="0" fillId="10" borderId="12" xfId="0" applyFill="1" applyBorder="1" applyAlignment="1">
      <alignment horizontal="center" vertical="center" wrapText="1"/>
    </xf>
    <xf numFmtId="0" fontId="0" fillId="11" borderId="11" xfId="0" applyFill="1" applyBorder="1" applyAlignment="1">
      <alignment wrapText="1"/>
    </xf>
    <xf numFmtId="0" fontId="3" fillId="23" borderId="0" xfId="0" applyFont="1" applyFill="1" applyAlignment="1">
      <alignment horizontal="center" vertical="center" wrapText="1"/>
    </xf>
    <xf numFmtId="0" fontId="0" fillId="12" borderId="10" xfId="0" applyFill="1" applyBorder="1" applyAlignment="1">
      <alignment horizontal="left" vertical="top" wrapText="1"/>
    </xf>
    <xf numFmtId="0" fontId="0" fillId="7" borderId="10" xfId="0" applyFill="1" applyBorder="1" applyAlignment="1">
      <alignment horizontal="left" vertical="top" wrapText="1"/>
    </xf>
    <xf numFmtId="0" fontId="0" fillId="6" borderId="10" xfId="0" applyFill="1" applyBorder="1" applyAlignment="1">
      <alignment vertical="top" wrapText="1"/>
    </xf>
    <xf numFmtId="0" fontId="0" fillId="4" borderId="10" xfId="0" applyFill="1" applyBorder="1" applyAlignment="1">
      <alignment horizontal="left" vertical="top"/>
    </xf>
    <xf numFmtId="0" fontId="0" fillId="7" borderId="10" xfId="0" applyFill="1" applyBorder="1" applyAlignment="1">
      <alignment vertical="top" wrapText="1"/>
    </xf>
    <xf numFmtId="0" fontId="1" fillId="7" borderId="10" xfId="0" applyFont="1" applyFill="1" applyBorder="1" applyAlignment="1">
      <alignment horizontal="center" vertical="center" wrapText="1"/>
    </xf>
    <xf numFmtId="0" fontId="0" fillId="6" borderId="10" xfId="0" applyFill="1" applyBorder="1" applyAlignment="1">
      <alignment vertical="top"/>
    </xf>
    <xf numFmtId="0" fontId="0" fillId="8" borderId="10" xfId="0" applyFill="1" applyBorder="1" applyAlignment="1">
      <alignment vertical="top" wrapText="1"/>
    </xf>
    <xf numFmtId="9" fontId="1" fillId="8" borderId="10" xfId="0" applyNumberFormat="1" applyFont="1" applyFill="1" applyBorder="1" applyAlignment="1">
      <alignment horizontal="center" vertical="center" wrapText="1"/>
    </xf>
    <xf numFmtId="0" fontId="0" fillId="0" borderId="10" xfId="0" applyBorder="1" applyAlignment="1">
      <alignment vertical="top" wrapText="1"/>
    </xf>
    <xf numFmtId="0" fontId="1" fillId="0" borderId="10" xfId="0" applyFont="1" applyBorder="1" applyAlignment="1">
      <alignment horizontal="center" vertical="center" wrapText="1"/>
    </xf>
    <xf numFmtId="0" fontId="1" fillId="6" borderId="10" xfId="0" applyFont="1" applyFill="1" applyBorder="1" applyAlignment="1">
      <alignment horizontal="center" vertical="center" wrapText="1"/>
    </xf>
    <xf numFmtId="0" fontId="0" fillId="5" borderId="10" xfId="0" applyFill="1" applyBorder="1" applyAlignment="1">
      <alignment horizontal="left" vertical="top"/>
    </xf>
    <xf numFmtId="0" fontId="0" fillId="5" borderId="10" xfId="0" applyFill="1" applyBorder="1" applyAlignment="1">
      <alignment vertical="top"/>
    </xf>
    <xf numFmtId="0" fontId="0" fillId="10" borderId="9" xfId="0" applyFill="1" applyBorder="1" applyAlignment="1">
      <alignment horizontal="center"/>
    </xf>
    <xf numFmtId="9" fontId="0" fillId="0" borderId="0" xfId="0" applyNumberFormat="1" applyFill="1" applyAlignment="1">
      <alignment horizontal="left" vertical="center"/>
    </xf>
    <xf numFmtId="1" fontId="0" fillId="9" borderId="12" xfId="0" applyNumberFormat="1" applyFill="1" applyBorder="1"/>
    <xf numFmtId="1" fontId="0" fillId="38" borderId="0" xfId="0" applyNumberFormat="1" applyFill="1" applyAlignment="1">
      <alignment horizontal="left"/>
    </xf>
    <xf numFmtId="0" fontId="0" fillId="10" borderId="11" xfId="0" applyFill="1" applyBorder="1" applyAlignment="1">
      <alignment horizontal="center" vertical="center"/>
    </xf>
    <xf numFmtId="0" fontId="0" fillId="10" borderId="4" xfId="0" applyFill="1" applyBorder="1" applyAlignment="1">
      <alignment horizontal="center" vertical="center"/>
    </xf>
    <xf numFmtId="0" fontId="0" fillId="10" borderId="7" xfId="0" applyFill="1" applyBorder="1" applyAlignment="1">
      <alignment horizontal="center" vertical="center"/>
    </xf>
    <xf numFmtId="0" fontId="0" fillId="10" borderId="4" xfId="0" applyFill="1" applyBorder="1" applyAlignment="1">
      <alignment vertical="center"/>
    </xf>
    <xf numFmtId="0" fontId="0" fillId="10" borderId="6" xfId="0" applyFill="1" applyBorder="1" applyAlignment="1">
      <alignment vertical="center"/>
    </xf>
    <xf numFmtId="0" fontId="0" fillId="10" borderId="13" xfId="0" applyFill="1" applyBorder="1" applyAlignment="1">
      <alignment vertical="center"/>
    </xf>
    <xf numFmtId="0" fontId="0" fillId="10" borderId="14" xfId="0" applyFill="1" applyBorder="1" applyAlignment="1">
      <alignment horizontal="center" vertical="center"/>
    </xf>
    <xf numFmtId="0" fontId="0" fillId="10" borderId="15" xfId="0" applyFill="1" applyBorder="1" applyAlignment="1">
      <alignment horizontal="center" vertical="center"/>
    </xf>
    <xf numFmtId="1" fontId="0" fillId="11" borderId="12" xfId="0" applyNumberFormat="1" applyFill="1" applyBorder="1" applyAlignment="1">
      <alignment horizontal="center" vertical="center"/>
    </xf>
    <xf numFmtId="0" fontId="0" fillId="11" borderId="13" xfId="0" applyFill="1" applyBorder="1" applyAlignment="1">
      <alignment horizontal="center" vertical="center"/>
    </xf>
    <xf numFmtId="0" fontId="0" fillId="11" borderId="6" xfId="0" applyFill="1" applyBorder="1" applyAlignment="1">
      <alignment horizontal="center" vertical="center"/>
    </xf>
    <xf numFmtId="0" fontId="0" fillId="11" borderId="14" xfId="0" applyFill="1" applyBorder="1" applyAlignment="1">
      <alignment horizontal="center" vertical="center"/>
    </xf>
    <xf numFmtId="0" fontId="0" fillId="11" borderId="15" xfId="0" applyFill="1" applyBorder="1" applyAlignment="1">
      <alignment horizontal="center" vertical="center"/>
    </xf>
    <xf numFmtId="1" fontId="0" fillId="11" borderId="9" xfId="0" applyNumberFormat="1" applyFill="1" applyBorder="1" applyAlignment="1">
      <alignment horizontal="center" vertical="center"/>
    </xf>
    <xf numFmtId="0" fontId="0" fillId="11" borderId="4" xfId="0" applyFill="1" applyBorder="1" applyAlignment="1">
      <alignment horizontal="center" vertical="center"/>
    </xf>
    <xf numFmtId="0" fontId="0" fillId="11" borderId="7" xfId="0" applyFill="1" applyBorder="1" applyAlignment="1">
      <alignment horizontal="center" vertical="center"/>
    </xf>
    <xf numFmtId="0" fontId="0" fillId="11" borderId="9" xfId="0" applyFill="1" applyBorder="1" applyAlignment="1">
      <alignment horizontal="center" vertical="center"/>
    </xf>
    <xf numFmtId="0" fontId="0" fillId="11" borderId="0" xfId="0" applyFill="1" applyBorder="1" applyAlignment="1">
      <alignment horizontal="center" vertical="center"/>
    </xf>
    <xf numFmtId="0" fontId="0" fillId="11" borderId="5" xfId="0" applyFill="1" applyBorder="1" applyAlignment="1">
      <alignment horizontal="center" vertical="center"/>
    </xf>
    <xf numFmtId="0" fontId="0" fillId="11" borderId="8" xfId="0" applyFill="1" applyBorder="1" applyAlignment="1">
      <alignment horizontal="center" vertical="center"/>
    </xf>
    <xf numFmtId="0" fontId="0" fillId="9" borderId="13" xfId="0" applyFill="1" applyBorder="1" applyAlignment="1">
      <alignment horizontal="center" vertical="center"/>
    </xf>
    <xf numFmtId="0" fontId="0" fillId="9" borderId="4" xfId="0" applyFill="1" applyBorder="1" applyAlignment="1">
      <alignment horizontal="center" vertical="center"/>
    </xf>
    <xf numFmtId="0" fontId="0" fillId="9" borderId="5" xfId="0" applyFill="1" applyBorder="1" applyAlignment="1">
      <alignment horizontal="center" vertical="center"/>
    </xf>
    <xf numFmtId="0" fontId="0" fillId="9" borderId="14" xfId="0" applyFill="1" applyBorder="1" applyAlignment="1">
      <alignment horizontal="center" vertical="center"/>
    </xf>
    <xf numFmtId="0" fontId="0" fillId="9" borderId="11" xfId="0" applyFill="1" applyBorder="1" applyAlignment="1">
      <alignment horizontal="center" vertical="center"/>
    </xf>
    <xf numFmtId="0" fontId="0" fillId="9" borderId="0" xfId="0" applyFill="1" applyBorder="1" applyAlignment="1">
      <alignment horizontal="center" vertical="center"/>
    </xf>
    <xf numFmtId="1" fontId="0" fillId="9" borderId="9" xfId="0" applyNumberFormat="1" applyFill="1" applyBorder="1" applyAlignment="1">
      <alignment horizontal="center" vertical="center"/>
    </xf>
    <xf numFmtId="0" fontId="0" fillId="9" borderId="15" xfId="0" applyFill="1" applyBorder="1" applyAlignment="1">
      <alignment horizontal="center" vertical="center"/>
    </xf>
    <xf numFmtId="0" fontId="0" fillId="9" borderId="7" xfId="0" applyFill="1" applyBorder="1" applyAlignment="1">
      <alignment horizontal="center" vertical="center"/>
    </xf>
    <xf numFmtId="0" fontId="0" fillId="9" borderId="8" xfId="0" applyFill="1" applyBorder="1" applyAlignment="1">
      <alignment horizontal="center" vertical="center"/>
    </xf>
    <xf numFmtId="0" fontId="0" fillId="9" borderId="13" xfId="0" applyFill="1" applyBorder="1" applyAlignment="1">
      <alignment horizontal="center"/>
    </xf>
    <xf numFmtId="0" fontId="0" fillId="9" borderId="14" xfId="0" applyFill="1" applyBorder="1" applyAlignment="1">
      <alignment horizontal="center"/>
    </xf>
    <xf numFmtId="0" fontId="0" fillId="9" borderId="15" xfId="0" applyFill="1" applyBorder="1" applyAlignment="1">
      <alignment horizontal="center"/>
    </xf>
    <xf numFmtId="0" fontId="0" fillId="26" borderId="2" xfId="0" applyFill="1" applyBorder="1" applyAlignment="1">
      <alignment horizontal="left" vertical="top" wrapText="1"/>
    </xf>
    <xf numFmtId="0" fontId="0" fillId="41" borderId="0" xfId="0" applyFill="1"/>
    <xf numFmtId="0" fontId="0" fillId="42" borderId="2" xfId="0" applyFill="1" applyBorder="1" applyAlignment="1">
      <alignment vertical="top"/>
    </xf>
    <xf numFmtId="0" fontId="0" fillId="42" borderId="3" xfId="0" applyFill="1" applyBorder="1" applyAlignment="1">
      <alignment horizontal="left" vertical="top"/>
    </xf>
    <xf numFmtId="0" fontId="0" fillId="7" borderId="0" xfId="0" applyFill="1" applyBorder="1"/>
    <xf numFmtId="0" fontId="0" fillId="43" borderId="0" xfId="0" applyFill="1"/>
    <xf numFmtId="0" fontId="0" fillId="28" borderId="0" xfId="0" applyFill="1" applyBorder="1" applyAlignment="1">
      <alignment horizontal="center"/>
    </xf>
    <xf numFmtId="1" fontId="0" fillId="4" borderId="2" xfId="0" applyNumberFormat="1" applyFill="1" applyBorder="1" applyAlignment="1">
      <alignment horizontal="left" vertical="top"/>
    </xf>
    <xf numFmtId="0" fontId="0" fillId="44" borderId="0" xfId="0" applyFill="1"/>
    <xf numFmtId="0" fontId="0" fillId="45" borderId="0" xfId="0" applyFill="1"/>
    <xf numFmtId="1" fontId="0" fillId="9" borderId="0" xfId="0" applyNumberFormat="1" applyFill="1" applyAlignment="1">
      <alignment horizontal="center" vertical="center"/>
    </xf>
    <xf numFmtId="0" fontId="0" fillId="18" borderId="0" xfId="0" applyFill="1" applyAlignment="1">
      <alignment horizontal="right"/>
    </xf>
    <xf numFmtId="1" fontId="0" fillId="11" borderId="12" xfId="0" applyNumberFormat="1" applyFill="1" applyBorder="1" applyAlignment="1">
      <alignment horizontal="center" vertical="center"/>
    </xf>
    <xf numFmtId="1" fontId="0" fillId="9" borderId="11" xfId="0" applyNumberFormat="1" applyFill="1" applyBorder="1" applyAlignment="1">
      <alignment horizontal="center" vertical="center"/>
    </xf>
    <xf numFmtId="0" fontId="0" fillId="9" borderId="11" xfId="0" applyFill="1" applyBorder="1" applyAlignment="1">
      <alignment horizontal="center" vertical="center"/>
    </xf>
    <xf numFmtId="0" fontId="0" fillId="11" borderId="11" xfId="0" applyFill="1" applyBorder="1" applyAlignment="1">
      <alignment horizontal="center" vertical="center"/>
    </xf>
    <xf numFmtId="0" fontId="0" fillId="0" borderId="4" xfId="0" applyBorder="1" applyAlignment="1">
      <alignment horizontal="center" vertical="center"/>
    </xf>
    <xf numFmtId="164" fontId="0" fillId="0" borderId="0" xfId="0" applyNumberFormat="1"/>
    <xf numFmtId="1" fontId="0" fillId="0" borderId="0" xfId="0" applyNumberFormat="1" applyAlignment="1"/>
    <xf numFmtId="1" fontId="0" fillId="0" borderId="4" xfId="0" applyNumberFormat="1" applyBorder="1" applyAlignment="1">
      <alignment horizontal="center" vertical="center"/>
    </xf>
    <xf numFmtId="1" fontId="0" fillId="0" borderId="1" xfId="0" applyNumberFormat="1" applyBorder="1" applyAlignment="1">
      <alignment horizontal="center" vertical="center"/>
    </xf>
    <xf numFmtId="1" fontId="0" fillId="0" borderId="11" xfId="0" applyNumberFormat="1" applyFill="1" applyBorder="1" applyAlignment="1">
      <alignment horizontal="center" vertical="center" wrapText="1"/>
    </xf>
    <xf numFmtId="1" fontId="0" fillId="10" borderId="1" xfId="0" applyNumberFormat="1" applyFill="1" applyBorder="1"/>
    <xf numFmtId="1" fontId="0" fillId="10" borderId="11" xfId="0" applyNumberFormat="1" applyFill="1" applyBorder="1"/>
    <xf numFmtId="1" fontId="0" fillId="10" borderId="7" xfId="0" applyNumberFormat="1" applyFill="1" applyBorder="1"/>
    <xf numFmtId="1" fontId="0" fillId="21" borderId="11" xfId="0" applyNumberFormat="1" applyFill="1" applyBorder="1" applyAlignment="1">
      <alignment horizontal="center" vertical="center" wrapText="1"/>
    </xf>
    <xf numFmtId="1" fontId="0" fillId="10" borderId="4" xfId="0" applyNumberFormat="1" applyFill="1" applyBorder="1" applyAlignment="1">
      <alignment vertical="center"/>
    </xf>
    <xf numFmtId="1" fontId="0" fillId="10" borderId="14" xfId="0" applyNumberFormat="1" applyFill="1" applyBorder="1" applyAlignment="1">
      <alignment horizontal="center" vertical="center"/>
    </xf>
    <xf numFmtId="1" fontId="0" fillId="11" borderId="6" xfId="0" applyNumberFormat="1" applyFill="1" applyBorder="1" applyAlignment="1">
      <alignment horizontal="center" vertical="center"/>
    </xf>
    <xf numFmtId="1" fontId="0" fillId="9" borderId="13" xfId="0" applyNumberFormat="1" applyFill="1" applyBorder="1" applyAlignment="1">
      <alignment horizontal="center" vertical="center"/>
    </xf>
    <xf numFmtId="1" fontId="0" fillId="9" borderId="14" xfId="0" applyNumberFormat="1" applyFill="1" applyBorder="1" applyAlignment="1">
      <alignment horizontal="center" vertical="center"/>
    </xf>
    <xf numFmtId="1" fontId="0" fillId="9" borderId="4" xfId="0" applyNumberFormat="1" applyFill="1" applyBorder="1" applyAlignment="1">
      <alignment horizontal="center" vertical="center"/>
    </xf>
    <xf numFmtId="1" fontId="0" fillId="10" borderId="12" xfId="0" applyNumberFormat="1" applyFill="1" applyBorder="1" applyAlignment="1">
      <alignment horizontal="center" vertical="center"/>
    </xf>
    <xf numFmtId="0" fontId="0" fillId="5" borderId="2" xfId="0" applyFill="1" applyBorder="1" applyAlignment="1">
      <alignment horizontal="left" vertical="top"/>
    </xf>
    <xf numFmtId="9" fontId="0" fillId="16" borderId="2" xfId="0" applyNumberFormat="1" applyFill="1" applyBorder="1" applyAlignment="1">
      <alignment horizontal="left" vertical="top"/>
    </xf>
    <xf numFmtId="9" fontId="0" fillId="24" borderId="3" xfId="0" applyNumberFormat="1" applyFill="1" applyBorder="1" applyAlignment="1">
      <alignment horizontal="left" vertical="top"/>
    </xf>
    <xf numFmtId="0" fontId="0" fillId="43" borderId="0" xfId="0" applyFill="1" applyAlignment="1">
      <alignment vertical="top"/>
    </xf>
    <xf numFmtId="0" fontId="0" fillId="0" borderId="4" xfId="0" applyBorder="1" applyAlignment="1">
      <alignment horizontal="center" vertical="center"/>
    </xf>
    <xf numFmtId="0" fontId="0" fillId="29" borderId="0" xfId="0" applyFill="1" applyBorder="1" applyAlignment="1">
      <alignment horizontal="left" vertical="top"/>
    </xf>
    <xf numFmtId="0" fontId="7" fillId="46" borderId="0" xfId="0" applyFont="1" applyFill="1" applyAlignment="1">
      <alignment horizontal="center" vertical="center"/>
    </xf>
    <xf numFmtId="0" fontId="7" fillId="12" borderId="0" xfId="0" applyFont="1" applyFill="1" applyAlignment="1">
      <alignment horizontal="center" vertical="center"/>
    </xf>
    <xf numFmtId="0" fontId="0" fillId="40" borderId="2" xfId="0" applyFill="1" applyBorder="1" applyAlignment="1">
      <alignment horizontal="left" vertical="top"/>
    </xf>
    <xf numFmtId="0" fontId="0" fillId="40" borderId="0" xfId="0" applyFill="1"/>
    <xf numFmtId="0" fontId="0" fillId="42" borderId="2" xfId="0" applyFill="1" applyBorder="1" applyAlignment="1">
      <alignment horizontal="left" vertical="top"/>
    </xf>
    <xf numFmtId="0" fontId="0" fillId="21" borderId="0" xfId="0" applyFill="1" applyAlignment="1">
      <alignment vertical="top"/>
    </xf>
    <xf numFmtId="0" fontId="0" fillId="42" borderId="0" xfId="0" applyFill="1" applyAlignment="1">
      <alignment vertical="top"/>
    </xf>
    <xf numFmtId="0" fontId="0" fillId="42" borderId="0" xfId="0" applyFill="1" applyAlignment="1">
      <alignment horizontal="left" vertical="top"/>
    </xf>
    <xf numFmtId="0" fontId="0" fillId="46" borderId="0" xfId="0" applyFill="1" applyAlignment="1">
      <alignment vertical="top"/>
    </xf>
    <xf numFmtId="0" fontId="0" fillId="46" borderId="0" xfId="0" applyFill="1" applyAlignment="1">
      <alignment horizontal="left" vertical="top"/>
    </xf>
    <xf numFmtId="10" fontId="0" fillId="29" borderId="2" xfId="0" applyNumberFormat="1" applyFill="1" applyBorder="1" applyAlignment="1">
      <alignment horizontal="left" vertical="top"/>
    </xf>
    <xf numFmtId="0" fontId="0" fillId="21" borderId="0" xfId="0" applyFill="1" applyAlignment="1">
      <alignment vertical="top" wrapText="1"/>
    </xf>
    <xf numFmtId="0" fontId="0" fillId="9" borderId="12" xfId="0" applyFill="1" applyBorder="1" applyAlignment="1">
      <alignment horizontal="center" vertical="center"/>
    </xf>
    <xf numFmtId="0" fontId="0" fillId="9" borderId="9" xfId="0" applyFill="1" applyBorder="1" applyAlignment="1">
      <alignment horizontal="center" vertical="center"/>
    </xf>
    <xf numFmtId="0" fontId="0" fillId="36" borderId="2" xfId="0" applyFill="1" applyBorder="1" applyAlignment="1">
      <alignment horizontal="left" vertical="top"/>
    </xf>
    <xf numFmtId="9" fontId="0" fillId="42" borderId="2" xfId="0" applyNumberFormat="1" applyFill="1" applyBorder="1" applyAlignment="1">
      <alignment horizontal="left" vertical="top"/>
    </xf>
    <xf numFmtId="0" fontId="0" fillId="0" borderId="0" xfId="0" applyFill="1" applyAlignment="1">
      <alignment vertical="top"/>
    </xf>
    <xf numFmtId="0" fontId="0" fillId="29" borderId="5" xfId="0" applyFill="1" applyBorder="1" applyAlignment="1">
      <alignment horizontal="left" vertical="top"/>
    </xf>
    <xf numFmtId="0" fontId="0" fillId="21" borderId="2" xfId="0" applyFill="1" applyBorder="1" applyAlignment="1">
      <alignment vertical="top" wrapText="1"/>
    </xf>
    <xf numFmtId="9" fontId="0" fillId="21" borderId="2" xfId="0" applyNumberFormat="1" applyFill="1" applyBorder="1" applyAlignment="1">
      <alignment vertical="top"/>
    </xf>
    <xf numFmtId="0" fontId="0" fillId="0" borderId="2" xfId="0" applyFill="1" applyBorder="1" applyAlignment="1">
      <alignment vertical="top"/>
    </xf>
    <xf numFmtId="0" fontId="0" fillId="0" borderId="3" xfId="0" applyFill="1" applyBorder="1" applyAlignment="1">
      <alignment horizontal="left" vertical="top"/>
    </xf>
    <xf numFmtId="10" fontId="0" fillId="0" borderId="3" xfId="0" applyNumberFormat="1" applyFill="1" applyBorder="1" applyAlignment="1">
      <alignment horizontal="left" vertical="top"/>
    </xf>
    <xf numFmtId="10" fontId="0" fillId="13" borderId="3" xfId="0" applyNumberFormat="1" applyFill="1" applyBorder="1" applyAlignment="1">
      <alignment horizontal="left" vertical="top"/>
    </xf>
    <xf numFmtId="1" fontId="0" fillId="25" borderId="3" xfId="0" applyNumberFormat="1" applyFill="1" applyBorder="1" applyAlignment="1">
      <alignment horizontal="left" vertical="top"/>
    </xf>
    <xf numFmtId="0" fontId="0" fillId="44" borderId="2" xfId="0" applyFill="1" applyBorder="1" applyAlignment="1">
      <alignment horizontal="left" vertical="top"/>
    </xf>
    <xf numFmtId="10" fontId="0" fillId="11" borderId="2" xfId="0" applyNumberFormat="1" applyFill="1" applyBorder="1" applyAlignment="1">
      <alignment horizontal="left" vertical="top"/>
    </xf>
    <xf numFmtId="10" fontId="0" fillId="21" borderId="0" xfId="0" applyNumberFormat="1" applyFill="1" applyAlignment="1">
      <alignment horizontal="left" vertical="top" wrapText="1"/>
    </xf>
    <xf numFmtId="9" fontId="0" fillId="0" borderId="2" xfId="0" applyNumberFormat="1" applyFill="1" applyBorder="1" applyAlignment="1">
      <alignment vertical="top"/>
    </xf>
    <xf numFmtId="9" fontId="0" fillId="0" borderId="3" xfId="0" applyNumberFormat="1" applyFill="1" applyBorder="1" applyAlignment="1">
      <alignment horizontal="left" vertical="top"/>
    </xf>
    <xf numFmtId="9" fontId="0" fillId="16" borderId="5" xfId="1" applyFont="1" applyFill="1" applyBorder="1" applyAlignment="1">
      <alignment vertical="top"/>
    </xf>
    <xf numFmtId="0" fontId="0" fillId="0" borderId="0" xfId="0" applyFill="1" applyAlignment="1">
      <alignment vertical="top" wrapText="1"/>
    </xf>
    <xf numFmtId="0" fontId="0" fillId="47" borderId="0" xfId="0" applyFill="1" applyAlignment="1">
      <alignment vertical="top"/>
    </xf>
    <xf numFmtId="0" fontId="0" fillId="47" borderId="0" xfId="0" applyFill="1"/>
    <xf numFmtId="1" fontId="0" fillId="4" borderId="2" xfId="0" applyNumberFormat="1" applyFill="1" applyBorder="1" applyAlignment="1">
      <alignment horizontal="left" vertical="top" indent="1"/>
    </xf>
    <xf numFmtId="0" fontId="0" fillId="16" borderId="5" xfId="0" applyFill="1" applyBorder="1" applyAlignment="1">
      <alignment vertical="top" wrapText="1"/>
    </xf>
    <xf numFmtId="0" fontId="0" fillId="36" borderId="0" xfId="0" applyFill="1" applyAlignment="1">
      <alignment horizontal="center" vertical="center"/>
    </xf>
    <xf numFmtId="10" fontId="0" fillId="0" borderId="0" xfId="0" applyNumberFormat="1" applyAlignment="1">
      <alignment horizontal="center" vertical="center"/>
    </xf>
    <xf numFmtId="1" fontId="0" fillId="11" borderId="13" xfId="0" applyNumberFormat="1" applyFill="1" applyBorder="1"/>
    <xf numFmtId="0" fontId="0" fillId="11" borderId="6" xfId="0" applyFill="1" applyBorder="1"/>
    <xf numFmtId="1" fontId="0" fillId="11" borderId="14" xfId="0" applyNumberFormat="1" applyFill="1" applyBorder="1"/>
    <xf numFmtId="1" fontId="0" fillId="11" borderId="15" xfId="0" applyNumberFormat="1" applyFill="1" applyBorder="1"/>
    <xf numFmtId="1" fontId="0" fillId="11" borderId="9" xfId="0" applyNumberFormat="1" applyFill="1" applyBorder="1"/>
    <xf numFmtId="9" fontId="0" fillId="13" borderId="2" xfId="0" applyNumberFormat="1" applyFill="1" applyBorder="1"/>
    <xf numFmtId="0" fontId="0" fillId="11" borderId="13" xfId="0" applyFill="1" applyBorder="1"/>
    <xf numFmtId="0" fontId="0" fillId="11" borderId="14" xfId="0" applyFill="1" applyBorder="1"/>
    <xf numFmtId="0" fontId="0" fillId="11" borderId="15" xfId="0" applyFill="1" applyBorder="1"/>
    <xf numFmtId="0" fontId="0" fillId="10" borderId="13" xfId="0" applyFill="1" applyBorder="1"/>
    <xf numFmtId="0" fontId="0" fillId="10" borderId="14" xfId="0" applyFill="1" applyBorder="1"/>
    <xf numFmtId="0" fontId="0" fillId="10" borderId="15" xfId="0" applyFill="1" applyBorder="1"/>
    <xf numFmtId="0" fontId="0" fillId="10" borderId="9" xfId="0" applyFill="1" applyBorder="1"/>
    <xf numFmtId="0" fontId="0" fillId="9" borderId="4" xfId="0" applyFill="1" applyBorder="1"/>
    <xf numFmtId="0" fontId="0" fillId="9" borderId="6" xfId="0" applyFill="1" applyBorder="1"/>
    <xf numFmtId="1" fontId="0" fillId="9" borderId="12" xfId="0" applyNumberFormat="1" applyFill="1" applyBorder="1" applyAlignment="1">
      <alignment horizontal="center" vertical="center"/>
    </xf>
    <xf numFmtId="0" fontId="0" fillId="9" borderId="9" xfId="0" applyFill="1" applyBorder="1" applyAlignment="1">
      <alignment horizontal="center"/>
    </xf>
    <xf numFmtId="0" fontId="0" fillId="9" borderId="13" xfId="0" applyFill="1" applyBorder="1"/>
    <xf numFmtId="0" fontId="0" fillId="11" borderId="8" xfId="0" applyFill="1" applyBorder="1" applyAlignment="1">
      <alignment horizontal="left" vertical="top"/>
    </xf>
    <xf numFmtId="0" fontId="3" fillId="48" borderId="0" xfId="0" applyFont="1" applyFill="1"/>
    <xf numFmtId="0" fontId="0" fillId="40" borderId="0" xfId="0" applyFill="1" applyAlignment="1">
      <alignment horizontal="center" vertical="center"/>
    </xf>
    <xf numFmtId="0" fontId="9" fillId="23" borderId="0" xfId="0" applyFont="1" applyFill="1"/>
    <xf numFmtId="0" fontId="9" fillId="23" borderId="12" xfId="0" applyFont="1" applyFill="1" applyBorder="1"/>
    <xf numFmtId="0" fontId="1" fillId="28" borderId="0" xfId="0" applyFont="1" applyFill="1"/>
    <xf numFmtId="0" fontId="1" fillId="45" borderId="0" xfId="0" applyFont="1" applyFill="1" applyAlignment="1">
      <alignment horizontal="center" vertical="center"/>
    </xf>
    <xf numFmtId="1" fontId="0" fillId="36" borderId="0" xfId="0" applyNumberFormat="1" applyFill="1" applyAlignment="1">
      <alignment horizontal="center" vertical="center"/>
    </xf>
    <xf numFmtId="1" fontId="0" fillId="0" borderId="0" xfId="0" applyNumberFormat="1" applyAlignment="1">
      <alignment horizontal="center" vertical="center"/>
    </xf>
    <xf numFmtId="0" fontId="1" fillId="0" borderId="0" xfId="0" applyFont="1" applyAlignment="1">
      <alignment horizontal="left"/>
    </xf>
    <xf numFmtId="1" fontId="3" fillId="48" borderId="0" xfId="0" applyNumberFormat="1" applyFont="1" applyFill="1"/>
    <xf numFmtId="1" fontId="0" fillId="9" borderId="11" xfId="0" applyNumberFormat="1" applyFill="1" applyBorder="1" applyAlignment="1">
      <alignment horizontal="center" vertical="center"/>
    </xf>
    <xf numFmtId="0" fontId="0" fillId="9" borderId="12" xfId="0" applyFill="1" applyBorder="1" applyAlignment="1">
      <alignment horizontal="center" vertical="center"/>
    </xf>
    <xf numFmtId="0" fontId="0" fillId="9" borderId="4" xfId="0" applyFill="1" applyBorder="1" applyAlignment="1">
      <alignment horizontal="center" vertical="center"/>
    </xf>
    <xf numFmtId="0" fontId="0" fillId="9" borderId="11" xfId="0" applyFill="1" applyBorder="1" applyAlignment="1">
      <alignment horizontal="center" vertical="center"/>
    </xf>
    <xf numFmtId="0" fontId="0" fillId="9" borderId="9" xfId="0" applyFill="1" applyBorder="1" applyAlignment="1">
      <alignment horizontal="center" vertical="center"/>
    </xf>
    <xf numFmtId="1" fontId="0" fillId="11" borderId="9" xfId="0" applyNumberFormat="1" applyFill="1" applyBorder="1" applyAlignment="1">
      <alignment horizontal="center" vertical="center"/>
    </xf>
    <xf numFmtId="1" fontId="0" fillId="11" borderId="11" xfId="0" applyNumberFormat="1" applyFill="1" applyBorder="1" applyAlignment="1">
      <alignment horizontal="center" vertical="center"/>
    </xf>
    <xf numFmtId="1" fontId="0" fillId="11" borderId="12" xfId="0" applyNumberFormat="1" applyFill="1" applyBorder="1" applyAlignment="1">
      <alignment horizontal="center" vertical="center"/>
    </xf>
    <xf numFmtId="0" fontId="0" fillId="11" borderId="4" xfId="0" applyFill="1" applyBorder="1" applyAlignment="1">
      <alignment horizontal="center" vertical="center"/>
    </xf>
    <xf numFmtId="0" fontId="0" fillId="11" borderId="6" xfId="0" applyFill="1" applyBorder="1" applyAlignment="1">
      <alignment horizontal="center" vertical="center"/>
    </xf>
    <xf numFmtId="0" fontId="0" fillId="11" borderId="11" xfId="0" applyFill="1" applyBorder="1" applyAlignment="1">
      <alignment horizontal="center" vertical="center"/>
    </xf>
    <xf numFmtId="0" fontId="0" fillId="11" borderId="12" xfId="0" applyFill="1" applyBorder="1" applyAlignment="1">
      <alignment horizontal="center" vertical="center"/>
    </xf>
    <xf numFmtId="0" fontId="0" fillId="10" borderId="11" xfId="0" applyFill="1" applyBorder="1" applyAlignment="1">
      <alignment horizontal="center" vertical="center"/>
    </xf>
    <xf numFmtId="0" fontId="0" fillId="10" borderId="4" xfId="0" applyFill="1" applyBorder="1" applyAlignment="1">
      <alignment horizontal="center" vertical="center"/>
    </xf>
    <xf numFmtId="0" fontId="0" fillId="11" borderId="0" xfId="0" applyFill="1" applyBorder="1" applyAlignment="1">
      <alignment horizontal="center" wrapText="1"/>
    </xf>
    <xf numFmtId="0" fontId="0" fillId="0" borderId="4" xfId="0" applyBorder="1" applyAlignment="1">
      <alignment horizontal="center" vertical="center"/>
    </xf>
    <xf numFmtId="0" fontId="0" fillId="9" borderId="7" xfId="0" applyFill="1" applyBorder="1" applyAlignment="1">
      <alignment horizontal="center" vertical="center"/>
    </xf>
    <xf numFmtId="0" fontId="0" fillId="11" borderId="7" xfId="0" applyFill="1" applyBorder="1" applyAlignment="1">
      <alignment horizontal="center" vertical="center"/>
    </xf>
    <xf numFmtId="0" fontId="0" fillId="11" borderId="9" xfId="0" applyFill="1" applyBorder="1" applyAlignment="1">
      <alignment horizontal="center" vertical="center"/>
    </xf>
    <xf numFmtId="0" fontId="0" fillId="10" borderId="12" xfId="0" applyFill="1" applyBorder="1" applyAlignment="1">
      <alignment horizontal="center" vertical="center"/>
    </xf>
    <xf numFmtId="0" fontId="0" fillId="10" borderId="7" xfId="0" applyFill="1" applyBorder="1" applyAlignment="1">
      <alignment horizontal="center" vertical="center"/>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wrapText="1"/>
    </xf>
    <xf numFmtId="0" fontId="0" fillId="0" borderId="8" xfId="0" applyBorder="1" applyAlignment="1">
      <alignment horizontal="center" wrapText="1"/>
    </xf>
    <xf numFmtId="0" fontId="0" fillId="0" borderId="2" xfId="0" applyBorder="1" applyAlignment="1">
      <alignment horizont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11" borderId="11" xfId="0" applyFill="1" applyBorder="1" applyAlignment="1">
      <alignment horizontal="center" wrapText="1"/>
    </xf>
    <xf numFmtId="0" fontId="0" fillId="11" borderId="0" xfId="0" applyFill="1" applyBorder="1" applyAlignment="1">
      <alignment horizontal="center" wrapText="1"/>
    </xf>
    <xf numFmtId="0" fontId="0" fillId="0" borderId="11" xfId="0" applyFill="1" applyBorder="1" applyAlignment="1">
      <alignment horizontal="center" wrapText="1"/>
    </xf>
    <xf numFmtId="0" fontId="0" fillId="0" borderId="0" xfId="0" applyFill="1" applyBorder="1" applyAlignment="1">
      <alignment horizontal="center" wrapText="1"/>
    </xf>
    <xf numFmtId="0" fontId="0" fillId="0" borderId="5" xfId="0" applyBorder="1" applyAlignment="1">
      <alignment horizontal="center" vertical="top" wrapText="1"/>
    </xf>
    <xf numFmtId="0" fontId="0" fillId="12" borderId="10" xfId="0" applyFill="1" applyBorder="1" applyAlignment="1">
      <alignment horizontal="center"/>
    </xf>
    <xf numFmtId="0" fontId="0" fillId="12" borderId="10" xfId="0" applyFill="1" applyBorder="1" applyAlignment="1">
      <alignment horizontal="center" vertical="top" wrapText="1"/>
    </xf>
    <xf numFmtId="0" fontId="0" fillId="0" borderId="2" xfId="0" applyBorder="1" applyAlignment="1">
      <alignment horizontal="center" vertical="center"/>
    </xf>
    <xf numFmtId="0" fontId="5" fillId="15" borderId="11" xfId="0" applyFont="1" applyFill="1" applyBorder="1" applyAlignment="1">
      <alignment horizontal="center" vertical="center" wrapText="1"/>
    </xf>
    <xf numFmtId="0" fontId="5" fillId="15" borderId="0" xfId="0" applyFont="1" applyFill="1" applyBorder="1" applyAlignment="1">
      <alignment horizontal="center" vertical="center" wrapText="1"/>
    </xf>
    <xf numFmtId="0" fontId="4" fillId="23" borderId="0" xfId="0" applyFont="1" applyFill="1" applyAlignment="1">
      <alignment horizontal="center" vertical="center"/>
    </xf>
    <xf numFmtId="0" fontId="0" fillId="0" borderId="0" xfId="0" applyAlignment="1">
      <alignment horizontal="center" vertical="center" wrapText="1"/>
    </xf>
    <xf numFmtId="0" fontId="0" fillId="0" borderId="0" xfId="0" applyBorder="1" applyAlignment="1">
      <alignment horizontal="center" vertical="center" wrapText="1"/>
    </xf>
    <xf numFmtId="0" fontId="0" fillId="10" borderId="11" xfId="0" applyFill="1" applyBorder="1" applyAlignment="1">
      <alignment horizontal="center" vertical="center"/>
    </xf>
    <xf numFmtId="0" fontId="0" fillId="10" borderId="0" xfId="0" applyFill="1" applyBorder="1" applyAlignment="1">
      <alignment horizontal="center" vertical="center"/>
    </xf>
    <xf numFmtId="0" fontId="0" fillId="10" borderId="4" xfId="0" applyFill="1" applyBorder="1" applyAlignment="1">
      <alignment horizontal="center" vertical="center"/>
    </xf>
    <xf numFmtId="0" fontId="0" fillId="10" borderId="5" xfId="0" applyFill="1" applyBorder="1" applyAlignment="1">
      <alignment horizontal="center" vertical="center"/>
    </xf>
    <xf numFmtId="0" fontId="6" fillId="39" borderId="1" xfId="0" applyFont="1" applyFill="1" applyBorder="1" applyAlignment="1">
      <alignment horizontal="center" vertical="center"/>
    </xf>
    <xf numFmtId="0" fontId="6" fillId="39" borderId="3" xfId="0" applyFont="1" applyFill="1" applyBorder="1" applyAlignment="1">
      <alignment horizontal="center" vertical="center"/>
    </xf>
    <xf numFmtId="0" fontId="5" fillId="18" borderId="1" xfId="0" applyFont="1" applyFill="1" applyBorder="1" applyAlignment="1">
      <alignment horizontal="center" vertical="center" wrapText="1"/>
    </xf>
    <xf numFmtId="0" fontId="5" fillId="18" borderId="3" xfId="0" applyFont="1" applyFill="1" applyBorder="1" applyAlignment="1">
      <alignment horizontal="center" vertical="center" wrapText="1"/>
    </xf>
    <xf numFmtId="0" fontId="5" fillId="40" borderId="1" xfId="0" applyFont="1" applyFill="1" applyBorder="1" applyAlignment="1">
      <alignment horizontal="center" vertical="center" wrapText="1"/>
    </xf>
    <xf numFmtId="0" fontId="5" fillId="40" borderId="3" xfId="0" applyFont="1" applyFill="1" applyBorder="1" applyAlignment="1">
      <alignment horizontal="center" vertical="center" wrapText="1"/>
    </xf>
    <xf numFmtId="0" fontId="5" fillId="40" borderId="5" xfId="0" applyFont="1" applyFill="1" applyBorder="1" applyAlignment="1">
      <alignment horizontal="center" vertical="center" wrapText="1"/>
    </xf>
    <xf numFmtId="0" fontId="5" fillId="40" borderId="6" xfId="0" applyFont="1" applyFill="1" applyBorder="1" applyAlignment="1">
      <alignment horizontal="center" vertical="center" wrapText="1"/>
    </xf>
    <xf numFmtId="1" fontId="0" fillId="11" borderId="11" xfId="0" applyNumberFormat="1" applyFill="1" applyBorder="1" applyAlignment="1">
      <alignment horizontal="center" vertical="center"/>
    </xf>
    <xf numFmtId="1" fontId="0" fillId="11" borderId="12" xfId="0" applyNumberFormat="1" applyFill="1" applyBorder="1" applyAlignment="1">
      <alignment horizontal="center" vertical="center"/>
    </xf>
    <xf numFmtId="0" fontId="0" fillId="11" borderId="4" xfId="0" applyFill="1" applyBorder="1" applyAlignment="1">
      <alignment horizontal="center" vertical="center"/>
    </xf>
    <xf numFmtId="0" fontId="0" fillId="11" borderId="6" xfId="0" applyFill="1" applyBorder="1" applyAlignment="1">
      <alignment horizontal="center" vertical="center"/>
    </xf>
    <xf numFmtId="0" fontId="0" fillId="11" borderId="11" xfId="0" applyFill="1" applyBorder="1" applyAlignment="1">
      <alignment horizontal="center" vertical="center"/>
    </xf>
    <xf numFmtId="0" fontId="0" fillId="11" borderId="12" xfId="0" applyFill="1" applyBorder="1" applyAlignment="1">
      <alignment horizontal="center" vertical="center"/>
    </xf>
    <xf numFmtId="1" fontId="0" fillId="9" borderId="11" xfId="0" applyNumberFormat="1" applyFill="1" applyBorder="1" applyAlignment="1">
      <alignment horizontal="center" vertical="center"/>
    </xf>
    <xf numFmtId="0" fontId="0" fillId="9" borderId="12" xfId="0" applyFill="1" applyBorder="1" applyAlignment="1">
      <alignment horizontal="center" vertical="center"/>
    </xf>
    <xf numFmtId="0" fontId="0" fillId="9" borderId="4" xfId="0" applyFill="1" applyBorder="1" applyAlignment="1">
      <alignment horizontal="center" vertical="center"/>
    </xf>
    <xf numFmtId="0" fontId="0" fillId="9" borderId="6" xfId="0" applyFill="1" applyBorder="1" applyAlignment="1">
      <alignment horizontal="center" vertical="center"/>
    </xf>
    <xf numFmtId="0" fontId="0" fillId="9" borderId="11" xfId="0" applyFill="1" applyBorder="1" applyAlignment="1">
      <alignment horizontal="center" vertical="center"/>
    </xf>
    <xf numFmtId="1" fontId="0" fillId="11" borderId="7" xfId="0" applyNumberFormat="1" applyFill="1" applyBorder="1" applyAlignment="1">
      <alignment horizontal="center" vertical="center"/>
    </xf>
    <xf numFmtId="1" fontId="0" fillId="11" borderId="9" xfId="0" applyNumberFormat="1" applyFill="1" applyBorder="1" applyAlignment="1">
      <alignment horizontal="center" vertical="center"/>
    </xf>
    <xf numFmtId="1" fontId="0" fillId="9" borderId="7" xfId="0" applyNumberFormat="1" applyFill="1" applyBorder="1" applyAlignment="1">
      <alignment horizontal="center" vertical="center"/>
    </xf>
    <xf numFmtId="0" fontId="0" fillId="9" borderId="9" xfId="0" applyFill="1" applyBorder="1" applyAlignment="1">
      <alignment horizontal="center" vertical="center"/>
    </xf>
    <xf numFmtId="0" fontId="0" fillId="0" borderId="2" xfId="0" applyBorder="1" applyAlignment="1">
      <alignment horizontal="center" vertical="top" wrapText="1"/>
    </xf>
    <xf numFmtId="0" fontId="0" fillId="12" borderId="2" xfId="0" applyFill="1" applyBorder="1" applyAlignment="1">
      <alignment horizontal="center"/>
    </xf>
    <xf numFmtId="0" fontId="0" fillId="12" borderId="5" xfId="0" applyFill="1" applyBorder="1" applyAlignment="1">
      <alignment horizontal="center" vertical="top" wrapText="1"/>
    </xf>
    <xf numFmtId="0" fontId="0" fillId="12" borderId="0" xfId="0" applyFill="1" applyAlignment="1">
      <alignment horizontal="center" vertical="top" wrapText="1"/>
    </xf>
    <xf numFmtId="0" fontId="0" fillId="10" borderId="12" xfId="0" applyFill="1" applyBorder="1" applyAlignment="1">
      <alignment horizontal="center" vertical="center"/>
    </xf>
    <xf numFmtId="0" fontId="0" fillId="10" borderId="7" xfId="0" applyFill="1" applyBorder="1" applyAlignment="1">
      <alignment horizontal="center" vertical="center"/>
    </xf>
    <xf numFmtId="0" fontId="0" fillId="10" borderId="9" xfId="0" applyFill="1" applyBorder="1" applyAlignment="1">
      <alignment horizontal="center" vertical="center"/>
    </xf>
    <xf numFmtId="0" fontId="0" fillId="11" borderId="7" xfId="0" applyFill="1" applyBorder="1" applyAlignment="1">
      <alignment horizontal="center" vertical="center"/>
    </xf>
    <xf numFmtId="0" fontId="0" fillId="11" borderId="9" xfId="0" applyFill="1" applyBorder="1" applyAlignment="1">
      <alignment horizontal="center" vertical="center"/>
    </xf>
    <xf numFmtId="0" fontId="0" fillId="9" borderId="7" xfId="0" applyFill="1" applyBorder="1" applyAlignment="1">
      <alignment horizontal="center" vertical="center"/>
    </xf>
    <xf numFmtId="0" fontId="0" fillId="13" borderId="0" xfId="0" applyFill="1" applyBorder="1" applyAlignment="1">
      <alignment horizontal="center" vertical="center"/>
    </xf>
    <xf numFmtId="0" fontId="0" fillId="15" borderId="0" xfId="0" applyFill="1" applyAlignment="1">
      <alignment horizontal="center" vertical="center"/>
    </xf>
    <xf numFmtId="0" fontId="0" fillId="20" borderId="0" xfId="0" applyFill="1" applyAlignment="1">
      <alignment horizontal="center" vertical="center"/>
    </xf>
    <xf numFmtId="0" fontId="0" fillId="14" borderId="0" xfId="0" applyFill="1" applyAlignment="1">
      <alignment horizontal="center" vertical="center"/>
    </xf>
    <xf numFmtId="0" fontId="0" fillId="22" borderId="0" xfId="0" applyFill="1" applyAlignment="1">
      <alignment horizontal="center" vertical="center"/>
    </xf>
    <xf numFmtId="0" fontId="0" fillId="13" borderId="1" xfId="0" applyFill="1" applyBorder="1" applyAlignment="1">
      <alignment vertical="center"/>
    </xf>
    <xf numFmtId="0" fontId="0" fillId="13" borderId="3" xfId="0" applyFill="1" applyBorder="1" applyAlignment="1">
      <alignment vertical="center"/>
    </xf>
    <xf numFmtId="0" fontId="0" fillId="13" borderId="11" xfId="0" applyFill="1" applyBorder="1" applyAlignment="1">
      <alignment vertical="center"/>
    </xf>
    <xf numFmtId="0" fontId="0" fillId="13" borderId="7" xfId="0" applyFill="1" applyBorder="1" applyAlignment="1">
      <alignment vertical="center"/>
    </xf>
    <xf numFmtId="0" fontId="3" fillId="44" borderId="8" xfId="0" applyFont="1" applyFill="1" applyBorder="1" applyAlignment="1">
      <alignment horizontal="center" vertical="center" wrapText="1"/>
    </xf>
    <xf numFmtId="0" fontId="0" fillId="36" borderId="0" xfId="0" applyFill="1" applyAlignment="1">
      <alignment horizontal="left" vertical="top"/>
    </xf>
    <xf numFmtId="10" fontId="0" fillId="0" borderId="0" xfId="0" applyNumberFormat="1" applyAlignment="1">
      <alignment horizontal="left" vertical="top"/>
    </xf>
    <xf numFmtId="0" fontId="0" fillId="40" borderId="0" xfId="0" applyFill="1" applyAlignment="1">
      <alignment horizontal="left" vertical="top"/>
    </xf>
    <xf numFmtId="0" fontId="9" fillId="36" borderId="0" xfId="0" applyFont="1" applyFill="1" applyAlignment="1">
      <alignment horizontal="left" vertical="top"/>
    </xf>
    <xf numFmtId="0" fontId="9" fillId="0" borderId="0" xfId="0" applyFont="1" applyFill="1" applyAlignment="1">
      <alignment horizontal="left" vertical="top"/>
    </xf>
    <xf numFmtId="9" fontId="0" fillId="16" borderId="3" xfId="0" applyNumberFormat="1" applyFill="1" applyBorder="1" applyAlignment="1">
      <alignment horizontal="left" vertical="top"/>
    </xf>
    <xf numFmtId="0" fontId="0" fillId="4" borderId="0" xfId="0" applyFill="1" applyAlignment="1">
      <alignment horizontal="left" vertical="top"/>
    </xf>
    <xf numFmtId="0" fontId="1" fillId="0" borderId="0" xfId="0" applyFont="1"/>
    <xf numFmtId="0" fontId="3" fillId="0" borderId="0" xfId="0" applyFont="1" applyAlignment="1">
      <alignment horizontal="center" vertical="center"/>
    </xf>
    <xf numFmtId="0" fontId="1" fillId="0" borderId="0" xfId="0" applyFont="1" applyAlignment="1">
      <alignment horizontal="center" vertical="center"/>
    </xf>
    <xf numFmtId="1" fontId="1" fillId="0" borderId="0" xfId="0" applyNumberFormat="1" applyFont="1" applyAlignment="1">
      <alignment horizontal="center" vertical="center"/>
    </xf>
    <xf numFmtId="0" fontId="0" fillId="6" borderId="10" xfId="0" applyFill="1" applyBorder="1" applyAlignment="1">
      <alignment horizontal="left" wrapText="1"/>
    </xf>
    <xf numFmtId="0" fontId="0" fillId="0" borderId="16" xfId="0" applyBorder="1" applyAlignment="1">
      <alignment horizontal="left" vertical="top"/>
    </xf>
    <xf numFmtId="0" fontId="3" fillId="4" borderId="0" xfId="0" applyFont="1" applyFill="1"/>
    <xf numFmtId="1" fontId="0" fillId="9" borderId="12" xfId="0" applyNumberFormat="1" applyFill="1" applyBorder="1" applyAlignment="1">
      <alignment horizontal="center"/>
    </xf>
    <xf numFmtId="1" fontId="0" fillId="20" borderId="0" xfId="0" applyNumberFormat="1" applyFill="1"/>
    <xf numFmtId="1" fontId="0" fillId="23" borderId="0" xfId="0" applyNumberFormat="1" applyFill="1"/>
    <xf numFmtId="0" fontId="0" fillId="49" borderId="4" xfId="0" applyFill="1" applyBorder="1" applyAlignment="1">
      <alignment vertical="center"/>
    </xf>
    <xf numFmtId="0" fontId="0" fillId="4" borderId="5" xfId="0" applyFill="1" applyBorder="1" applyAlignment="1">
      <alignment horizontal="center" vertical="center"/>
    </xf>
    <xf numFmtId="0" fontId="0" fillId="49" borderId="11" xfId="0" applyFill="1" applyBorder="1" applyAlignment="1">
      <alignment vertical="center"/>
    </xf>
    <xf numFmtId="0" fontId="0" fillId="4" borderId="0" xfId="0" applyFill="1" applyBorder="1" applyAlignment="1">
      <alignment horizontal="center" vertical="center"/>
    </xf>
    <xf numFmtId="0" fontId="0" fillId="49" borderId="7" xfId="0" applyFill="1" applyBorder="1" applyAlignment="1">
      <alignment vertical="center"/>
    </xf>
    <xf numFmtId="0" fontId="0" fillId="4" borderId="8" xfId="0" applyFill="1" applyBorder="1" applyAlignment="1">
      <alignment horizontal="center" vertical="center"/>
    </xf>
    <xf numFmtId="1" fontId="0" fillId="4" borderId="9" xfId="0" applyNumberFormat="1" applyFill="1" applyBorder="1" applyAlignment="1">
      <alignment horizontal="center" vertical="center"/>
    </xf>
    <xf numFmtId="1" fontId="0" fillId="4" borderId="6" xfId="0" applyNumberFormat="1" applyFill="1" applyBorder="1" applyAlignment="1">
      <alignment horizontal="center" vertical="center"/>
    </xf>
    <xf numFmtId="1" fontId="0" fillId="4" borderId="12" xfId="0" applyNumberFormat="1" applyFill="1" applyBorder="1" applyAlignment="1">
      <alignment horizontal="center" vertical="center"/>
    </xf>
    <xf numFmtId="1" fontId="0" fillId="13" borderId="12" xfId="0" applyNumberFormat="1" applyFill="1" applyBorder="1" applyAlignment="1">
      <alignment horizontal="center" vertical="center"/>
    </xf>
    <xf numFmtId="9" fontId="0" fillId="17" borderId="0" xfId="0" applyNumberFormat="1" applyFill="1"/>
    <xf numFmtId="0" fontId="0" fillId="11" borderId="0" xfId="0" applyFill="1" applyAlignment="1">
      <alignment horizontal="left" vertical="top"/>
    </xf>
    <xf numFmtId="9" fontId="0" fillId="36" borderId="0" xfId="0" applyNumberFormat="1" applyFill="1" applyAlignment="1">
      <alignment horizontal="center" vertical="center"/>
    </xf>
    <xf numFmtId="9" fontId="0" fillId="0" borderId="0" xfId="0" applyNumberFormat="1" applyFill="1"/>
    <xf numFmtId="0" fontId="0" fillId="0" borderId="0" xfId="0" applyFont="1" applyAlignment="1">
      <alignment horizontal="center" vertical="center"/>
    </xf>
    <xf numFmtId="1" fontId="0" fillId="9" borderId="9" xfId="0" applyNumberFormat="1" applyFill="1" applyBorder="1"/>
    <xf numFmtId="0" fontId="0" fillId="48" borderId="0" xfId="0" applyFill="1"/>
    <xf numFmtId="0" fontId="0" fillId="50" borderId="0" xfId="0" applyFill="1"/>
    <xf numFmtId="14" fontId="0" fillId="0" borderId="0" xfId="0" applyNumberFormat="1"/>
    <xf numFmtId="0" fontId="1" fillId="0" borderId="0" xfId="0" applyFont="1" applyAlignment="1">
      <alignment horizontal="center"/>
    </xf>
    <xf numFmtId="0" fontId="0" fillId="52" borderId="11" xfId="0" applyFill="1" applyBorder="1" applyAlignment="1">
      <alignment horizontal="center" wrapText="1"/>
    </xf>
    <xf numFmtId="0" fontId="0" fillId="52" borderId="0" xfId="0" applyFill="1" applyBorder="1" applyAlignment="1">
      <alignment horizontal="center" wrapText="1"/>
    </xf>
    <xf numFmtId="1" fontId="0" fillId="52" borderId="0" xfId="0" applyNumberFormat="1" applyFill="1" applyAlignment="1">
      <alignment horizontal="center" vertical="center"/>
    </xf>
    <xf numFmtId="0" fontId="0" fillId="51" borderId="11" xfId="0" applyFill="1" applyBorder="1" applyAlignment="1">
      <alignment horizontal="center" wrapText="1"/>
    </xf>
    <xf numFmtId="0" fontId="0" fillId="51" borderId="0" xfId="0" applyFill="1" applyBorder="1" applyAlignment="1">
      <alignment horizontal="center" wrapText="1"/>
    </xf>
    <xf numFmtId="1" fontId="0" fillId="51" borderId="0" xfId="0" applyNumberFormat="1" applyFill="1" applyBorder="1" applyAlignment="1">
      <alignment horizontal="center" vertical="center" wrapText="1"/>
    </xf>
  </cellXfs>
  <cellStyles count="2">
    <cellStyle name="Normal" xfId="0" builtinId="0"/>
    <cellStyle name="Percent" xfId="1" builtinId="5"/>
  </cellStyles>
  <dxfs count="184">
    <dxf>
      <fill>
        <patternFill>
          <bgColor rgb="FFB07BD7"/>
        </patternFill>
      </fill>
    </dxf>
    <dxf>
      <fill>
        <patternFill>
          <bgColor theme="8" tint="-0.24994659260841701"/>
        </patternFill>
      </fill>
    </dxf>
    <dxf>
      <fill>
        <patternFill>
          <bgColor theme="8" tint="-0.24994659260841701"/>
        </patternFill>
      </fill>
    </dxf>
    <dxf>
      <fill>
        <patternFill>
          <bgColor theme="8" tint="-0.24994659260841701"/>
        </patternFill>
      </fill>
    </dxf>
    <dxf>
      <fill>
        <patternFill>
          <bgColor theme="2"/>
        </patternFill>
      </fill>
    </dxf>
    <dxf>
      <fill>
        <patternFill>
          <bgColor rgb="FFFF7C80"/>
        </patternFill>
      </fill>
    </dxf>
    <dxf>
      <fill>
        <patternFill>
          <bgColor rgb="FFFFC000"/>
        </patternFill>
      </fill>
    </dxf>
    <dxf>
      <fill>
        <patternFill>
          <bgColor theme="7" tint="-0.24994659260841701"/>
        </patternFill>
      </fill>
    </dxf>
    <dxf>
      <fill>
        <patternFill>
          <bgColor theme="7" tint="-0.24994659260841701"/>
        </patternFill>
      </fill>
    </dxf>
    <dxf>
      <fill>
        <patternFill>
          <bgColor theme="7" tint="-0.24994659260841701"/>
        </patternFill>
      </fill>
    </dxf>
    <dxf>
      <fill>
        <patternFill>
          <bgColor rgb="FF8D42C6"/>
        </patternFill>
      </fill>
    </dxf>
    <dxf>
      <fill>
        <patternFill>
          <bgColor rgb="FFE373E6"/>
        </patternFill>
      </fill>
    </dxf>
    <dxf>
      <fill>
        <patternFill>
          <bgColor theme="7" tint="0.59996337778862885"/>
        </patternFill>
      </fill>
    </dxf>
    <dxf>
      <fill>
        <patternFill>
          <bgColor rgb="FFDD98E8"/>
        </patternFill>
      </fill>
    </dxf>
    <dxf>
      <fill>
        <patternFill>
          <bgColor rgb="FFE373E6"/>
        </patternFill>
      </fill>
    </dxf>
    <dxf>
      <fill>
        <patternFill>
          <bgColor theme="7" tint="-0.24994659260841701"/>
        </patternFill>
      </fill>
    </dxf>
    <dxf>
      <fill>
        <patternFill>
          <bgColor theme="7" tint="0.59996337778862885"/>
        </patternFill>
      </fill>
    </dxf>
    <dxf>
      <fill>
        <patternFill>
          <bgColor rgb="FFE888DF"/>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9933FF"/>
        </patternFill>
      </fill>
    </dxf>
    <dxf>
      <fill>
        <patternFill>
          <bgColor rgb="FFFF5050"/>
        </patternFill>
      </fill>
    </dxf>
    <dxf>
      <fill>
        <patternFill>
          <bgColor theme="7" tint="0.59996337778862885"/>
        </patternFill>
      </fill>
    </dxf>
    <dxf>
      <fill>
        <patternFill>
          <bgColor rgb="FF7030A0"/>
        </patternFill>
      </fill>
    </dxf>
    <dxf>
      <fill>
        <patternFill>
          <bgColor rgb="FF7030A0"/>
        </patternFill>
      </fill>
    </dxf>
    <dxf>
      <fill>
        <patternFill>
          <bgColor theme="7" tint="-0.24994659260841701"/>
        </patternFill>
      </fill>
    </dxf>
    <dxf>
      <fill>
        <patternFill>
          <bgColor rgb="FFFF0000"/>
        </patternFill>
      </fill>
    </dxf>
    <dxf>
      <fill>
        <patternFill>
          <bgColor rgb="FF0070C0"/>
        </patternFill>
      </fill>
    </dxf>
    <dxf>
      <fill>
        <patternFill>
          <bgColor rgb="FF7030A0"/>
        </patternFill>
      </fill>
    </dxf>
    <dxf>
      <fill>
        <patternFill>
          <bgColor rgb="FF00B0F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7C80"/>
        </patternFill>
      </fill>
    </dxf>
    <dxf>
      <fill>
        <patternFill>
          <bgColor rgb="FFFFC000"/>
        </patternFill>
      </fill>
    </dxf>
    <dxf>
      <fill>
        <patternFill>
          <bgColor theme="7" tint="-0.24994659260841701"/>
        </patternFill>
      </fill>
    </dxf>
    <dxf>
      <fill>
        <patternFill>
          <bgColor theme="7" tint="-0.24994659260841701"/>
        </patternFill>
      </fill>
    </dxf>
    <dxf>
      <fill>
        <patternFill>
          <bgColor theme="7" tint="-0.24994659260841701"/>
        </patternFill>
      </fill>
    </dxf>
    <dxf>
      <fill>
        <patternFill>
          <bgColor rgb="FF8D42C6"/>
        </patternFill>
      </fill>
    </dxf>
    <dxf>
      <fill>
        <patternFill>
          <bgColor rgb="FFE373E6"/>
        </patternFill>
      </fill>
    </dxf>
    <dxf>
      <fill>
        <patternFill>
          <bgColor theme="7" tint="0.59996337778862885"/>
        </patternFill>
      </fill>
    </dxf>
    <dxf>
      <fill>
        <patternFill>
          <bgColor rgb="FFDD98E8"/>
        </patternFill>
      </fill>
    </dxf>
    <dxf>
      <fill>
        <patternFill>
          <bgColor rgb="FFE373E6"/>
        </patternFill>
      </fill>
    </dxf>
    <dxf>
      <fill>
        <patternFill>
          <bgColor theme="7" tint="-0.24994659260841701"/>
        </patternFill>
      </fill>
    </dxf>
    <dxf>
      <fill>
        <patternFill>
          <bgColor theme="7" tint="0.59996337778862885"/>
        </patternFill>
      </fill>
    </dxf>
    <dxf>
      <fill>
        <patternFill>
          <bgColor rgb="FFE888DF"/>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9933FF"/>
        </patternFill>
      </fill>
    </dxf>
    <dxf>
      <fill>
        <patternFill>
          <bgColor rgb="FFFF5050"/>
        </patternFill>
      </fill>
    </dxf>
    <dxf>
      <fill>
        <patternFill>
          <bgColor theme="7" tint="0.59996337778862885"/>
        </patternFill>
      </fill>
    </dxf>
    <dxf>
      <fill>
        <patternFill>
          <bgColor rgb="FF7030A0"/>
        </patternFill>
      </fill>
    </dxf>
    <dxf>
      <fill>
        <patternFill>
          <bgColor rgb="FF7030A0"/>
        </patternFill>
      </fill>
    </dxf>
    <dxf>
      <fill>
        <patternFill>
          <bgColor theme="7" tint="-0.24994659260841701"/>
        </patternFill>
      </fill>
    </dxf>
    <dxf>
      <fill>
        <patternFill>
          <bgColor rgb="FFFF0000"/>
        </patternFill>
      </fill>
    </dxf>
    <dxf>
      <fill>
        <patternFill>
          <bgColor rgb="FF0070C0"/>
        </patternFill>
      </fill>
    </dxf>
    <dxf>
      <fill>
        <patternFill>
          <bgColor rgb="FF7030A0"/>
        </patternFill>
      </fill>
    </dxf>
    <dxf>
      <fill>
        <patternFill>
          <bgColor rgb="FF00B0F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C000"/>
        </patternFill>
      </fill>
    </dxf>
    <dxf>
      <fill>
        <patternFill>
          <bgColor theme="7" tint="-0.24994659260841701"/>
        </patternFill>
      </fill>
    </dxf>
    <dxf>
      <fill>
        <patternFill>
          <bgColor theme="7" tint="-0.24994659260841701"/>
        </patternFill>
      </fill>
    </dxf>
    <dxf>
      <fill>
        <patternFill>
          <bgColor theme="7" tint="-0.24994659260841701"/>
        </patternFill>
      </fill>
    </dxf>
    <dxf>
      <fill>
        <patternFill>
          <bgColor rgb="FF8D42C6"/>
        </patternFill>
      </fill>
    </dxf>
    <dxf>
      <fill>
        <patternFill>
          <bgColor rgb="FFE373E6"/>
        </patternFill>
      </fill>
    </dxf>
    <dxf>
      <fill>
        <patternFill>
          <bgColor theme="7" tint="0.59996337778862885"/>
        </patternFill>
      </fill>
    </dxf>
    <dxf>
      <fill>
        <patternFill>
          <bgColor rgb="FFDD98E8"/>
        </patternFill>
      </fill>
    </dxf>
    <dxf>
      <fill>
        <patternFill>
          <bgColor rgb="FFE373E6"/>
        </patternFill>
      </fill>
    </dxf>
    <dxf>
      <fill>
        <patternFill>
          <bgColor theme="7" tint="-0.24994659260841701"/>
        </patternFill>
      </fill>
    </dxf>
    <dxf>
      <fill>
        <patternFill>
          <bgColor theme="7" tint="0.59996337778862885"/>
        </patternFill>
      </fill>
    </dxf>
    <dxf>
      <fill>
        <patternFill>
          <bgColor rgb="FFE888DF"/>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9933FF"/>
        </patternFill>
      </fill>
    </dxf>
    <dxf>
      <fill>
        <patternFill>
          <bgColor rgb="FFFF5050"/>
        </patternFill>
      </fill>
    </dxf>
    <dxf>
      <fill>
        <patternFill>
          <bgColor theme="7" tint="0.59996337778862885"/>
        </patternFill>
      </fill>
    </dxf>
    <dxf>
      <fill>
        <patternFill>
          <bgColor rgb="FF7030A0"/>
        </patternFill>
      </fill>
    </dxf>
    <dxf>
      <fill>
        <patternFill>
          <bgColor rgb="FF7030A0"/>
        </patternFill>
      </fill>
    </dxf>
    <dxf>
      <fill>
        <patternFill>
          <bgColor theme="7" tint="-0.24994659260841701"/>
        </patternFill>
      </fill>
    </dxf>
    <dxf>
      <fill>
        <patternFill>
          <bgColor rgb="FFFF0000"/>
        </patternFill>
      </fill>
    </dxf>
    <dxf>
      <fill>
        <patternFill>
          <bgColor rgb="FF0070C0"/>
        </patternFill>
      </fill>
    </dxf>
    <dxf>
      <fill>
        <patternFill>
          <bgColor rgb="FF7030A0"/>
        </patternFill>
      </fill>
    </dxf>
    <dxf>
      <fill>
        <patternFill>
          <bgColor rgb="FF00B0F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s>
  <tableStyles count="0" defaultTableStyle="TableStyleMedium2" defaultPivotStyle="PivotStyleLight16"/>
  <colors>
    <mruColors>
      <color rgb="FFDD98E8"/>
      <color rgb="FFB07BD7"/>
      <color rgb="FFFF7C80"/>
      <color rgb="FF8D42C6"/>
      <color rgb="FFFF99CC"/>
      <color rgb="FFE373E6"/>
      <color rgb="FFFF6D6D"/>
      <color rgb="FF43E543"/>
      <color rgb="FFE888DF"/>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02BB8-424B-4177-AFB0-827CAB3D2685}">
  <dimension ref="A1:BJ238"/>
  <sheetViews>
    <sheetView tabSelected="1" topLeftCell="L134" zoomScale="55" zoomScaleNormal="55" workbookViewId="0">
      <selection activeCell="T156" sqref="T156"/>
    </sheetView>
  </sheetViews>
  <sheetFormatPr defaultRowHeight="14.5" x14ac:dyDescent="0.35"/>
  <cols>
    <col min="1" max="1" width="20.1796875" customWidth="1"/>
    <col min="2" max="2" width="17.1796875" customWidth="1"/>
    <col min="3" max="3" width="44.36328125" customWidth="1"/>
    <col min="4" max="4" width="28.6328125" customWidth="1"/>
    <col min="5" max="5" width="16.81640625" customWidth="1"/>
    <col min="6" max="6" width="34.453125" customWidth="1"/>
    <col min="7" max="7" width="18.90625" customWidth="1"/>
    <col min="8" max="8" width="16.90625" customWidth="1"/>
    <col min="9" max="9" width="23.90625" customWidth="1"/>
    <col min="10" max="10" width="18.90625" customWidth="1"/>
    <col min="11" max="11" width="14.36328125" customWidth="1"/>
    <col min="12" max="12" width="19.08984375" customWidth="1"/>
    <col min="13" max="13" width="24.36328125" style="25" customWidth="1"/>
    <col min="14" max="14" width="22.7265625" customWidth="1"/>
    <col min="15" max="15" width="66.81640625" customWidth="1"/>
    <col min="16" max="16" width="34.81640625" customWidth="1"/>
    <col min="17" max="17" width="14" customWidth="1"/>
    <col min="18" max="18" width="18.08984375" bestFit="1" customWidth="1"/>
    <col min="19" max="19" width="20.08984375" customWidth="1"/>
    <col min="20" max="20" width="20.26953125" customWidth="1"/>
    <col min="21" max="21" width="21.1796875" customWidth="1"/>
    <col min="22" max="22" width="16.1796875" customWidth="1"/>
    <col min="23" max="23" width="18.08984375" bestFit="1" customWidth="1"/>
    <col min="24" max="24" width="10.26953125" customWidth="1"/>
    <col min="25" max="25" width="16.81640625" customWidth="1"/>
    <col min="27" max="27" width="20.6328125" customWidth="1"/>
    <col min="28" max="28" width="13.7265625" customWidth="1"/>
    <col min="29" max="29" width="7.36328125" customWidth="1"/>
    <col min="30" max="30" width="83.81640625" customWidth="1"/>
    <col min="31" max="31" width="31.08984375" customWidth="1"/>
    <col min="32" max="32" width="10.7265625" customWidth="1"/>
    <col min="33" max="33" width="12.36328125" customWidth="1"/>
    <col min="34" max="34" width="16.6328125" customWidth="1"/>
    <col min="35" max="35" width="13.36328125" customWidth="1"/>
    <col min="36" max="36" width="21.6328125" customWidth="1"/>
    <col min="37" max="37" width="21.54296875" bestFit="1" customWidth="1"/>
    <col min="38" max="38" width="11.6328125" customWidth="1"/>
    <col min="40" max="40" width="21.54296875" bestFit="1" customWidth="1"/>
    <col min="41" max="41" width="14.7265625" customWidth="1"/>
    <col min="45" max="45" width="25.6328125" bestFit="1" customWidth="1"/>
    <col min="46" max="46" width="12.08984375" customWidth="1"/>
    <col min="47" max="47" width="23.54296875" customWidth="1"/>
    <col min="48" max="48" width="17.453125" customWidth="1"/>
    <col min="49" max="49" width="12" customWidth="1"/>
    <col min="50" max="50" width="24.90625" customWidth="1"/>
    <col min="51" max="51" width="16" customWidth="1"/>
    <col min="52" max="52" width="11.26953125" customWidth="1"/>
    <col min="53" max="53" width="20.36328125" customWidth="1"/>
    <col min="54" max="54" width="16.6328125" customWidth="1"/>
    <col min="56" max="56" width="32.81640625" customWidth="1"/>
    <col min="57" max="57" width="41.1796875" customWidth="1"/>
    <col min="59" max="59" width="21.54296875" bestFit="1" customWidth="1"/>
    <col min="60" max="60" width="33.453125" customWidth="1"/>
    <col min="61" max="61" width="47" bestFit="1" customWidth="1"/>
    <col min="62" max="62" width="23.26953125" customWidth="1"/>
    <col min="63" max="63" width="18.90625" customWidth="1"/>
    <col min="64" max="64" width="9.453125" customWidth="1"/>
    <col min="67" max="67" width="14.54296875" customWidth="1"/>
    <col min="68" max="68" width="18" customWidth="1"/>
    <col min="71" max="73" width="8.7265625" customWidth="1"/>
    <col min="74" max="74" width="17.453125" customWidth="1"/>
    <col min="75" max="75" width="16.54296875" customWidth="1"/>
    <col min="76" max="76" width="23.26953125" customWidth="1"/>
    <col min="77" max="77" width="24.453125" customWidth="1"/>
    <col min="78" max="79" width="8.7265625" customWidth="1"/>
    <col min="80" max="80" width="22.81640625" customWidth="1"/>
    <col min="81" max="81" width="48.08984375" customWidth="1"/>
    <col min="82" max="82" width="26.08984375" customWidth="1"/>
    <col min="83" max="83" width="29.08984375" customWidth="1"/>
    <col min="84" max="84" width="20.1796875" customWidth="1"/>
    <col min="85" max="85" width="56.453125" customWidth="1"/>
    <col min="86" max="86" width="24.54296875" customWidth="1"/>
  </cols>
  <sheetData>
    <row r="1" spans="1:62" ht="15" thickBot="1" x14ac:dyDescent="0.4">
      <c r="A1" s="41" t="s">
        <v>0</v>
      </c>
      <c r="B1" s="42" t="s">
        <v>53</v>
      </c>
      <c r="C1" s="157" t="s">
        <v>342</v>
      </c>
      <c r="D1" s="43" t="s">
        <v>0</v>
      </c>
      <c r="E1" s="44" t="s">
        <v>186</v>
      </c>
      <c r="F1" s="157" t="s">
        <v>342</v>
      </c>
      <c r="G1" s="50" t="s">
        <v>0</v>
      </c>
      <c r="H1" s="51" t="s">
        <v>55</v>
      </c>
      <c r="I1" s="157" t="s">
        <v>343</v>
      </c>
      <c r="J1" s="41" t="s">
        <v>0</v>
      </c>
      <c r="K1" s="42" t="s">
        <v>30</v>
      </c>
      <c r="L1" s="301" t="s">
        <v>431</v>
      </c>
      <c r="N1" s="150" t="s">
        <v>225</v>
      </c>
      <c r="O1" s="213" t="s">
        <v>0</v>
      </c>
      <c r="P1" s="317" t="s">
        <v>30</v>
      </c>
      <c r="Q1" s="328">
        <f>N6+K2</f>
        <v>802.5</v>
      </c>
      <c r="T1" s="43" t="s">
        <v>0</v>
      </c>
      <c r="U1" s="44" t="s">
        <v>212</v>
      </c>
      <c r="V1" s="301">
        <f>S6+N71</f>
        <v>600</v>
      </c>
      <c r="Y1" s="50" t="s">
        <v>0</v>
      </c>
      <c r="Z1" s="51" t="s">
        <v>55</v>
      </c>
      <c r="AA1" s="328">
        <f>X6+N40</f>
        <v>827.99999999999989</v>
      </c>
      <c r="AC1" s="142" t="s">
        <v>347</v>
      </c>
      <c r="AD1" s="142"/>
      <c r="AE1" s="41" t="s">
        <v>0</v>
      </c>
      <c r="AF1" s="42" t="s">
        <v>30</v>
      </c>
      <c r="AG1" s="156"/>
      <c r="AH1" s="43" t="s">
        <v>0</v>
      </c>
      <c r="AI1" s="44" t="s">
        <v>186</v>
      </c>
      <c r="AJ1" s="157"/>
      <c r="AK1" s="50" t="s">
        <v>0</v>
      </c>
      <c r="AL1" s="51" t="s">
        <v>55</v>
      </c>
      <c r="AN1" s="32" t="s">
        <v>0</v>
      </c>
      <c r="AO1" s="32" t="s">
        <v>58</v>
      </c>
      <c r="AQ1" s="32" t="s">
        <v>0</v>
      </c>
      <c r="AR1" s="32" t="s">
        <v>79</v>
      </c>
      <c r="AT1" s="32" t="s">
        <v>0</v>
      </c>
      <c r="AU1" s="32" t="s">
        <v>170</v>
      </c>
      <c r="AX1" s="141" t="s">
        <v>187</v>
      </c>
      <c r="AY1" s="145" t="s">
        <v>210</v>
      </c>
      <c r="AZ1" s="146">
        <f>425+166-65-45</f>
        <v>481</v>
      </c>
      <c r="BA1" s="144" t="s">
        <v>189</v>
      </c>
      <c r="BB1" s="143" t="s">
        <v>190</v>
      </c>
      <c r="BC1" s="142" t="s">
        <v>191</v>
      </c>
      <c r="BD1" s="149" t="s">
        <v>199</v>
      </c>
      <c r="BE1" s="69" t="s">
        <v>201</v>
      </c>
      <c r="BF1" s="97" t="s">
        <v>203</v>
      </c>
      <c r="BG1" s="150" t="s">
        <v>204</v>
      </c>
      <c r="BH1" s="151" t="s">
        <v>206</v>
      </c>
      <c r="BI1" s="71" t="s">
        <v>242</v>
      </c>
      <c r="BJ1" s="144" t="s">
        <v>270</v>
      </c>
    </row>
    <row r="2" spans="1:62" x14ac:dyDescent="0.35">
      <c r="A2" s="36" t="s">
        <v>1</v>
      </c>
      <c r="B2" s="136">
        <v>605</v>
      </c>
      <c r="C2" s="154" t="s">
        <v>324</v>
      </c>
      <c r="D2" s="45" t="s">
        <v>1</v>
      </c>
      <c r="E2" s="138">
        <v>600</v>
      </c>
      <c r="F2" t="s">
        <v>223</v>
      </c>
      <c r="G2" s="52" t="s">
        <v>1</v>
      </c>
      <c r="H2" s="93">
        <v>720</v>
      </c>
      <c r="I2" s="116" t="s">
        <v>331</v>
      </c>
      <c r="J2" s="36" t="s">
        <v>1</v>
      </c>
      <c r="K2" s="136">
        <f>B2</f>
        <v>605</v>
      </c>
      <c r="L2" s="302">
        <f>K2/B2</f>
        <v>1</v>
      </c>
      <c r="M2" s="25" t="s">
        <v>99</v>
      </c>
      <c r="O2" s="216" t="s">
        <v>1</v>
      </c>
      <c r="P2" s="277">
        <f>IF(Q1&gt;B2,B2,K2+N6)</f>
        <v>605</v>
      </c>
      <c r="Q2" s="329">
        <f>IF(N3=1,$G$20+K2+$B$9+B35*10+E35,IF(N3=2,$G$21+K2+$B$9+B35*10+E35, IF(N3=3,$G$22+K2+$B$9+B35*10+E35,  IF(N3=4,$G$23+K2+$B$9+B35*10+E35,  IF(N3=5,$G$24+K2+$B$9+B35*10+E35,  IF(N3=6,$G$26+K2+$B$9+B35*10+E35,  IF(N3=7,$G$28+K2+$B$9+B35*10+E35,  IF(N3=9,$G$31+K2+$B$9+B35*10+E35,  IF(N3=10,$G$33+K2+$B$9+B35*10+E35,0)))))))))</f>
        <v>802.5</v>
      </c>
      <c r="T2" s="45" t="s">
        <v>1</v>
      </c>
      <c r="U2" s="46">
        <f>IF(J20="ours",IF(V1&gt;E2*1.1,E2*1.1,S6+N71),IF(V1&gt;E2,E2,S6+N71))</f>
        <v>600</v>
      </c>
      <c r="V2" s="6">
        <f>IF(S3=1,$G$20+E2+$B$9+B35*10+$E$35,IF(S3=2,$G$21+E2+$B$9+B35*10+$E$35, IF(S3=3,$G$22+E2+$B$9+B35*10+$E$35,  IF(S3=4,$G$23+E2+$B$9+B35*10+$E$35,  IF(S3=5,$G$24+E2+$B$9+B35*10+$E$35,  IF(S3=6,$G$26+E2+$B$9+B35*10+$E$35,  IF(S3=7,$G$28+E2+$B$9+B35*10+$E$35,  IF(S3=9,$G$31+E2+$B$9+B35*10+$E$35,  IF(S3=10,$G$33+E2+$B$9+B35*10+$E$35,0)))))))))</f>
        <v>0</v>
      </c>
      <c r="Y2" s="52" t="s">
        <v>1</v>
      </c>
      <c r="Z2" s="92" cm="1">
        <f t="array" ref="Z2">IF(J20="ours",IF(Q41=1,IF(AA1+X6&gt;H2*1.15*1.1,H2*1.15*1.1,N40+X6), IF(AA1+X6&gt;H2*1.1,H2*1.1,N40+X6)),IF(Q41=1,IF(AA1+X6&gt;H2*1.15,H2*1.15,N40+X6), IF(AA1+X6&gt;H2H2,N40+X6)))</f>
        <v>827.99999999999989</v>
      </c>
      <c r="AA2" s="6">
        <f>IF(Q41=1,(IF(X3=1,$G$20+H2*1.15+$B$9+$B$36*10+$E$36,IF(X3=2,$G$21+H2*1.15+$B$9+$B$36*10+$E$36, IF(X3=3,$G$22+H2*1.15+$B$9+$B$35606+$E$36,  IF(X3=4,$G$23+H2*1.15+$B$9+$B$36*10+$E$36,  IF(X3=5,$G$24+H2*1.15+$B$9+$B$36*10+$E$36,  IF(X3=6,$G$26+H2*1.15+$B$9+$B$36*10+$E$36,  IF(X3=7,$G$28+H2*1.15+$B$9+$B$36*10+$E$36,  IF(X3=9,$G$31+H2*1.15+$B$9+$B$36*10+$E$36,  IF(X3=10,$G$33+H2*1.15+$B$9+$B$36*10+$E$36,H2*1.15)))))))))),IF(X3=1,$G$20+H2+$B$9+$B$36*10+$E$36,IF(X3=2,$G$21+H2+$B$9+$B$36*10+$E$36, IF(X3=3,$G$22+H2+$B$9+$B$35606+$E$36,  IF(X3=4,$G$23+H2+$B$9+$B$36*10+$E$36,  IF(X3=5,$G$24+H2+$B$9+$B$36*10+$E$36,  IF(X3=6,$G$26+H2+$B$9+$B$36*10+$E$36,  IF(X3=7,$G$28+H2+$B$9+$B$36*10+$E$36,  IF(X3=9,$G$31+H2+$B$9+$B$36*10+$E$36,  IF(X3=10,$G$33+H2+$B$9+$B$36*10+$E$36,H2))))))))))</f>
        <v>827.99999999999989</v>
      </c>
      <c r="AC2" s="237" t="s">
        <v>1</v>
      </c>
      <c r="AD2" s="142">
        <f>IF(N6+AF2&gt;B2,B2,N6+AF2)</f>
        <v>605</v>
      </c>
      <c r="AE2" s="36" t="s">
        <v>1</v>
      </c>
      <c r="AF2" s="136">
        <f>K2-V169-AM169-AX169-BI169</f>
        <v>605</v>
      </c>
      <c r="AG2" s="237">
        <f>IF(AI2+S6&gt;E2,E2,AI2+S6)</f>
        <v>267</v>
      </c>
      <c r="AH2" s="45" t="s">
        <v>1</v>
      </c>
      <c r="AI2" s="138">
        <f>N71-V172-AM172-AX172-BI172</f>
        <v>267</v>
      </c>
      <c r="AJ2" s="237">
        <f>IF(Q41=1,IF(AL2+X6&gt;H2*1.15,H2*1.15,AL2+X6), IF(Q41=2,IF(AL2+X6&gt;H2,H2,AL2+X6), IF(Q41=3,IF(AL2+X6&gt;H2,H2,AL2+X6),"quelle inspiration?")))</f>
        <v>406.99999999999989</v>
      </c>
      <c r="AK2" s="52" t="s">
        <v>1</v>
      </c>
      <c r="AL2" s="170">
        <f>IF(Q38=3,(T40-V173*0.93-AM173*0.93-AX173*0.93-BI173*0.93),T40-V173-AM173-AX173-BI173)</f>
        <v>406.99999999999989</v>
      </c>
      <c r="AN2" s="32" t="s">
        <v>1</v>
      </c>
      <c r="AO2" s="57">
        <f>IF((H40-V170-AM170-AX170-BI170 + IF(E44=4,0.5*E45,0))&gt;B2,B2, H40-V170-AM170-AX170-BI170 + IF(E44=4,0.5*E45,0))</f>
        <v>605</v>
      </c>
      <c r="AQ2" s="32" t="s">
        <v>1</v>
      </c>
      <c r="AR2" s="236">
        <f>H72-V171-AM171-AX171-BI171</f>
        <v>665.5</v>
      </c>
      <c r="AT2" s="32" t="s">
        <v>1</v>
      </c>
      <c r="AU2" s="32">
        <f>H106-V174-AM174-AX174-BI174</f>
        <v>605</v>
      </c>
      <c r="AY2" s="145" t="s">
        <v>211</v>
      </c>
      <c r="AZ2" s="146">
        <f>375+167+50</f>
        <v>592</v>
      </c>
      <c r="BA2" s="2" t="s">
        <v>188</v>
      </c>
      <c r="BB2" s="2" t="s">
        <v>196</v>
      </c>
      <c r="BC2" s="2" t="s">
        <v>216</v>
      </c>
      <c r="BD2" s="116" t="s">
        <v>200</v>
      </c>
      <c r="BE2" s="147" t="s">
        <v>202</v>
      </c>
      <c r="BF2" s="152" t="s">
        <v>246</v>
      </c>
      <c r="BG2" s="116"/>
      <c r="BH2" s="147" t="s">
        <v>207</v>
      </c>
      <c r="BI2" s="147" t="s">
        <v>243</v>
      </c>
      <c r="BJ2" s="152" t="s">
        <v>271</v>
      </c>
    </row>
    <row r="3" spans="1:62" x14ac:dyDescent="0.35">
      <c r="A3" s="36" t="s">
        <v>2</v>
      </c>
      <c r="B3" s="136">
        <v>369</v>
      </c>
      <c r="C3" s="116" t="s">
        <v>299</v>
      </c>
      <c r="D3" s="45" t="s">
        <v>2</v>
      </c>
      <c r="E3" s="138">
        <v>141</v>
      </c>
      <c r="F3" t="s">
        <v>222</v>
      </c>
      <c r="G3" s="52" t="s">
        <v>2</v>
      </c>
      <c r="H3" s="93">
        <v>0</v>
      </c>
      <c r="I3" t="s">
        <v>241</v>
      </c>
      <c r="J3" s="36" t="s">
        <v>2</v>
      </c>
      <c r="K3" s="136">
        <f t="shared" ref="K3:K13" si="0">B3</f>
        <v>369</v>
      </c>
      <c r="M3" s="244" t="s">
        <v>51</v>
      </c>
      <c r="N3" s="25">
        <v>9</v>
      </c>
      <c r="O3" s="216" t="s">
        <v>2</v>
      </c>
      <c r="P3" s="277">
        <f>IF(N3=1,K3-$E$20,IF(N3=2,K3-$E$21,IF(N3=3,K3-$E$22,IF(N3=4,K3-$E$23,IF(N3=5,K3-$E$24,IF(N3=6,K3-$E$26,IF(N3=7,K3-$E$28,IF(N3=8,K3-$E$29,IF(N3=9,K3-$E$31,IF(N3=10,K3-$E$33,IF(S3=1,K3-$E$20,IF(S3=2,K3-$E$21,IF(S3=3,K3-$E$22,IF(S3=4,K3-$E$23,IF(S3=5,K3-$E$24,IF(S3=6,K3-$E$26,IF(S3=7,K3-$E$28,IF(S3=8,K3-$E$29,IF(S3=9,K3-$E$31,IF(S3=10,K3-$E$33,IF(X3=1, K3-$E$20, IF(X3=2,K3-$E$21,IF(X3=3, K3-$E$22,IF(X3=4, K3-$E$23,IF(X3=5, K3-$E$24,IF(X3=6, K3-$E$26,IF(X3=7, K3-$E$28,IF(X3=8, K3-$E$29,IF(X3=9, K3-$E$31,IF(X3=10, K3-$E$33,K3))))))))))))))))))))))))))))))</f>
        <v>279</v>
      </c>
      <c r="Q3" s="327" t="s">
        <v>437</v>
      </c>
      <c r="R3" s="9" t="s">
        <v>51</v>
      </c>
      <c r="T3" s="45" t="s">
        <v>2</v>
      </c>
      <c r="U3" s="46"/>
      <c r="V3" s="327" t="s">
        <v>437</v>
      </c>
      <c r="W3" s="9" t="s">
        <v>51</v>
      </c>
      <c r="Y3" s="52" t="s">
        <v>2</v>
      </c>
      <c r="Z3" s="53"/>
      <c r="AA3" s="327" t="s">
        <v>437</v>
      </c>
      <c r="AE3" s="36" t="s">
        <v>2</v>
      </c>
      <c r="AF3" s="136">
        <f t="shared" ref="AF3:AF16" si="1">K3</f>
        <v>369</v>
      </c>
      <c r="AG3" s="34"/>
      <c r="AH3" s="45" t="s">
        <v>2</v>
      </c>
      <c r="AI3" s="138">
        <f t="shared" ref="AI3:AI16" si="2">T72</f>
        <v>141</v>
      </c>
      <c r="AK3" s="52" t="s">
        <v>2</v>
      </c>
      <c r="AL3" s="170">
        <f t="shared" ref="AL3:AL16" si="3">N41</f>
        <v>0</v>
      </c>
      <c r="AN3" s="32" t="s">
        <v>2</v>
      </c>
      <c r="AO3" s="57">
        <f t="shared" ref="AO3:AO16" si="4">B41</f>
        <v>369</v>
      </c>
      <c r="AQ3" s="32" t="s">
        <v>2</v>
      </c>
      <c r="AR3" s="57">
        <f t="shared" ref="AR3:AR16" si="5">B73</f>
        <v>369</v>
      </c>
      <c r="AT3" s="32" t="s">
        <v>2</v>
      </c>
      <c r="AU3" s="32">
        <f t="shared" ref="AU3:AU16" si="6">B107</f>
        <v>369</v>
      </c>
      <c r="AY3" s="145" t="s">
        <v>213</v>
      </c>
      <c r="AZ3" s="146">
        <f>325+167-120-160-60</f>
        <v>152</v>
      </c>
      <c r="BA3" s="2" t="s">
        <v>214</v>
      </c>
      <c r="BB3" s="147" t="s">
        <v>197</v>
      </c>
      <c r="BC3" s="2" t="s">
        <v>325</v>
      </c>
      <c r="BF3" s="2" t="s">
        <v>251</v>
      </c>
      <c r="BG3" s="154" t="s">
        <v>215</v>
      </c>
      <c r="BH3" s="10" t="s">
        <v>286</v>
      </c>
      <c r="BI3" s="152" t="s">
        <v>269</v>
      </c>
    </row>
    <row r="4" spans="1:62" x14ac:dyDescent="0.35">
      <c r="A4" s="36" t="s">
        <v>3</v>
      </c>
      <c r="B4" s="136">
        <v>126</v>
      </c>
      <c r="C4" s="116" t="s">
        <v>344</v>
      </c>
      <c r="D4" s="45" t="s">
        <v>3</v>
      </c>
      <c r="E4" s="138">
        <v>445</v>
      </c>
      <c r="F4" s="116" t="s">
        <v>259</v>
      </c>
      <c r="G4" s="52" t="s">
        <v>3</v>
      </c>
      <c r="H4" s="93">
        <v>0</v>
      </c>
      <c r="I4" t="s">
        <v>260</v>
      </c>
      <c r="J4" s="36" t="s">
        <v>3</v>
      </c>
      <c r="K4" s="136">
        <f t="shared" si="0"/>
        <v>126</v>
      </c>
      <c r="M4" s="25" t="s">
        <v>100</v>
      </c>
      <c r="N4">
        <f ca="1">RANDBETWEEN(1,100)</f>
        <v>35</v>
      </c>
      <c r="O4" s="216" t="s">
        <v>3</v>
      </c>
      <c r="P4" s="277">
        <v>21</v>
      </c>
      <c r="Q4" s="327">
        <f>IF(Q1-P2&lt;0,0,Q1-P2)</f>
        <v>197.5</v>
      </c>
      <c r="R4" t="s">
        <v>100</v>
      </c>
      <c r="S4">
        <f ca="1">RANDBETWEEN(1,100)</f>
        <v>80</v>
      </c>
      <c r="T4" s="45" t="s">
        <v>3</v>
      </c>
      <c r="U4" s="46"/>
      <c r="V4" s="327">
        <f>IF(J20="ours",IF(V1-E2*1.1&gt;0,V1-U2,0), IF(V1-E2&gt;0, V1-U2,0))</f>
        <v>0</v>
      </c>
      <c r="W4" t="s">
        <v>100</v>
      </c>
      <c r="X4">
        <f ca="1">RANDBETWEEN(1,100)</f>
        <v>94</v>
      </c>
      <c r="Y4" s="52" t="s">
        <v>3</v>
      </c>
      <c r="Z4" s="53"/>
      <c r="AA4" s="327">
        <f>IF(AA1-Z2&lt;0,0,AA1-Z2)</f>
        <v>0</v>
      </c>
      <c r="AE4" s="36" t="s">
        <v>3</v>
      </c>
      <c r="AF4" s="136">
        <f t="shared" si="1"/>
        <v>126</v>
      </c>
      <c r="AG4" s="34"/>
      <c r="AH4" s="45" t="s">
        <v>3</v>
      </c>
      <c r="AI4" s="138">
        <f t="shared" si="2"/>
        <v>0</v>
      </c>
      <c r="AK4" s="52" t="s">
        <v>3</v>
      </c>
      <c r="AL4" s="170">
        <f t="shared" si="3"/>
        <v>0</v>
      </c>
      <c r="AN4" s="32" t="s">
        <v>3</v>
      </c>
      <c r="AO4" s="57">
        <f t="shared" si="4"/>
        <v>126</v>
      </c>
      <c r="AQ4" s="32" t="s">
        <v>3</v>
      </c>
      <c r="AR4" s="57">
        <f t="shared" si="5"/>
        <v>126</v>
      </c>
      <c r="AT4" s="32" t="s">
        <v>3</v>
      </c>
      <c r="AU4" s="32">
        <f t="shared" si="6"/>
        <v>126</v>
      </c>
      <c r="BA4" s="2" t="s">
        <v>258</v>
      </c>
      <c r="BB4" s="152" t="s">
        <v>209</v>
      </c>
      <c r="BC4" s="2" t="s">
        <v>192</v>
      </c>
      <c r="BF4" s="2" t="s">
        <v>252</v>
      </c>
      <c r="BG4" s="116" t="s">
        <v>328</v>
      </c>
      <c r="BH4" s="147" t="s">
        <v>257</v>
      </c>
      <c r="BI4" s="154" t="s">
        <v>288</v>
      </c>
    </row>
    <row r="5" spans="1:62" x14ac:dyDescent="0.35">
      <c r="A5" s="36" t="s">
        <v>4</v>
      </c>
      <c r="B5" s="136"/>
      <c r="C5" s="116" t="s">
        <v>300</v>
      </c>
      <c r="D5" s="45" t="s">
        <v>4</v>
      </c>
      <c r="E5" s="138"/>
      <c r="F5" s="116" t="s">
        <v>301</v>
      </c>
      <c r="G5" s="52" t="s">
        <v>4</v>
      </c>
      <c r="H5" s="93">
        <v>20</v>
      </c>
      <c r="I5" s="152" t="s">
        <v>334</v>
      </c>
      <c r="J5" s="36" t="s">
        <v>4</v>
      </c>
      <c r="K5" s="136">
        <f t="shared" si="0"/>
        <v>0</v>
      </c>
      <c r="M5" s="25" t="s">
        <v>52</v>
      </c>
      <c r="N5" t="s">
        <v>53</v>
      </c>
      <c r="O5" s="216" t="s">
        <v>4</v>
      </c>
      <c r="P5" s="277"/>
      <c r="R5" t="s">
        <v>52</v>
      </c>
      <c r="S5" t="s">
        <v>212</v>
      </c>
      <c r="T5" s="45" t="s">
        <v>4</v>
      </c>
      <c r="U5" s="46"/>
      <c r="W5" t="s">
        <v>52</v>
      </c>
      <c r="X5" t="s">
        <v>55</v>
      </c>
      <c r="Y5" s="52" t="s">
        <v>4</v>
      </c>
      <c r="Z5" s="53"/>
      <c r="AE5" s="36" t="s">
        <v>4</v>
      </c>
      <c r="AF5" s="136">
        <f t="shared" si="1"/>
        <v>0</v>
      </c>
      <c r="AG5" s="34"/>
      <c r="AH5" s="45" t="s">
        <v>4</v>
      </c>
      <c r="AI5" s="138">
        <f t="shared" si="2"/>
        <v>0</v>
      </c>
      <c r="AK5" s="52" t="s">
        <v>4</v>
      </c>
      <c r="AL5" s="170">
        <f t="shared" si="3"/>
        <v>20</v>
      </c>
      <c r="AN5" s="32" t="s">
        <v>4</v>
      </c>
      <c r="AO5" s="57">
        <f t="shared" si="4"/>
        <v>0</v>
      </c>
      <c r="AQ5" s="32" t="s">
        <v>4</v>
      </c>
      <c r="AR5" s="57">
        <f t="shared" si="5"/>
        <v>0</v>
      </c>
      <c r="AT5" s="32" t="s">
        <v>4</v>
      </c>
      <c r="AU5" s="32">
        <f t="shared" si="6"/>
        <v>0</v>
      </c>
      <c r="BA5" s="152" t="s">
        <v>272</v>
      </c>
      <c r="BB5" s="152" t="s">
        <v>245</v>
      </c>
      <c r="BC5" s="2" t="s">
        <v>193</v>
      </c>
      <c r="BF5" s="116" t="s">
        <v>262</v>
      </c>
      <c r="BG5" s="2" t="s">
        <v>285</v>
      </c>
      <c r="BH5" s="116" t="s">
        <v>268</v>
      </c>
    </row>
    <row r="6" spans="1:62" x14ac:dyDescent="0.35">
      <c r="A6" s="36" t="s">
        <v>6</v>
      </c>
      <c r="B6" s="136">
        <v>80</v>
      </c>
      <c r="C6" s="116" t="s">
        <v>335</v>
      </c>
      <c r="D6" s="45" t="s">
        <v>6</v>
      </c>
      <c r="E6" s="138">
        <v>60</v>
      </c>
      <c r="F6" s="116" t="s">
        <v>303</v>
      </c>
      <c r="G6" s="52" t="s">
        <v>6</v>
      </c>
      <c r="H6" s="93">
        <v>85</v>
      </c>
      <c r="I6" s="152" t="s">
        <v>330</v>
      </c>
      <c r="J6" s="36" t="s">
        <v>6</v>
      </c>
      <c r="K6" s="136">
        <f>B6+L6*B6</f>
        <v>108</v>
      </c>
      <c r="L6" s="3">
        <v>0.35</v>
      </c>
      <c r="M6" s="25" t="s">
        <v>249</v>
      </c>
      <c r="N6" cm="1">
        <f t="array" ref="N6">IF(N3=1,$G$20+$B$9+B34*10+E34,IF(N3=2,$G$21+$B$9+B34*10+E34, IF(N3=3,$G$22+$B$9+B34*10+E34,  IF(N3=4,$G$23+$B$9+B34*10+E3é4,  IF(N3=5,$G$24+$B$9+B34*10+E34,  IF(N3=6,$G$26+$B$9+B34*10+E34,  IF(N3=7,$G$28+$B$9+B34*10+E34,  IF(N3=9,$G$31+$B$9+B34*10+E34,  IF(N3=10,$G$33+G33*0.2*B34+$B$9+B34*10+E34,0)))))))))</f>
        <v>197.5</v>
      </c>
      <c r="O6" s="216" t="s">
        <v>6</v>
      </c>
      <c r="P6" s="277">
        <f>K6</f>
        <v>108</v>
      </c>
      <c r="R6" t="s">
        <v>249</v>
      </c>
      <c r="S6">
        <f>IF(S3=1,$G$20+$B$9+B35*10+E35,IF(S3=2,$G$21+$B$9+B35*10+E35, IF(S3=3,$G$22+$B$9+B35*10+E35,  IF(S3=4,$G$23+$B$9+B35*10+E35,  IF(S3=5,$G$24+$B$9+B35*10+E35,  IF(S3=6,$G$26+$B$9+B35*10+E35,  IF(S3=7,$G$28+$B$9+B35*10+E35,  IF(S3=9,$G$31+$B$9+B35*10+E35,  IF(S3=10,$G$33+G33*0.2*B35+$B$9+B35*10+E35,0)))))))))</f>
        <v>0</v>
      </c>
      <c r="T6" s="45" t="s">
        <v>6</v>
      </c>
      <c r="U6" s="46"/>
      <c r="W6" t="s">
        <v>249</v>
      </c>
      <c r="X6">
        <f>IF(X3=1,$G$20+$B$9+B36*10+E36,IF(X3=2,$G$21+$B$9+B36*10+E36, IF(X3=3,$G$22+$B$9+B36*10+E36,  IF(X3=4,$G$23+$B$9+B36*10+E36,  IF(X3=5,$G$24+$B$9+B36*10+E36,  IF(X3=6,$G$26+$B$9+B36*10+E36,  IF(X3=7,$G$28+$B$9+B36*10+E36,  IF(X3=9,$G$31+$B$9+B36*10+E36,  IF(X3=10,$G$33+G33*0.2*B36+$B$9+B36*10+E36,0)))))))))</f>
        <v>0</v>
      </c>
      <c r="Y6" s="52" t="s">
        <v>6</v>
      </c>
      <c r="Z6" s="53"/>
      <c r="AE6" s="36" t="s">
        <v>6</v>
      </c>
      <c r="AF6" s="136">
        <f t="shared" si="1"/>
        <v>108</v>
      </c>
      <c r="AG6" s="153"/>
      <c r="AH6" s="45" t="s">
        <v>6</v>
      </c>
      <c r="AI6" s="138">
        <f t="shared" si="2"/>
        <v>60</v>
      </c>
      <c r="AK6" s="52" t="s">
        <v>111</v>
      </c>
      <c r="AL6" s="170">
        <f t="shared" si="3"/>
        <v>85</v>
      </c>
      <c r="AN6" s="32" t="s">
        <v>6</v>
      </c>
      <c r="AO6" s="57">
        <f t="shared" si="4"/>
        <v>80</v>
      </c>
      <c r="AQ6" s="32" t="s">
        <v>6</v>
      </c>
      <c r="AR6" s="57">
        <f t="shared" si="5"/>
        <v>160</v>
      </c>
      <c r="AT6" s="32" t="s">
        <v>6</v>
      </c>
      <c r="AU6" s="32">
        <f t="shared" si="6"/>
        <v>80</v>
      </c>
      <c r="BA6" s="2" t="s">
        <v>289</v>
      </c>
      <c r="BB6" s="2" t="s">
        <v>255</v>
      </c>
      <c r="BC6" s="2" t="s">
        <v>194</v>
      </c>
      <c r="BF6" s="116" t="s">
        <v>263</v>
      </c>
      <c r="BG6" s="2" t="s">
        <v>250</v>
      </c>
      <c r="BH6" s="116" t="s">
        <v>346</v>
      </c>
    </row>
    <row r="7" spans="1:62" x14ac:dyDescent="0.35">
      <c r="A7" s="36" t="s">
        <v>7</v>
      </c>
      <c r="B7" s="136">
        <f>35</f>
        <v>35</v>
      </c>
      <c r="C7" s="116" t="s">
        <v>337</v>
      </c>
      <c r="D7" s="45" t="s">
        <v>7</v>
      </c>
      <c r="E7" s="138">
        <v>47</v>
      </c>
      <c r="F7" s="116" t="s">
        <v>323</v>
      </c>
      <c r="G7" s="52" t="s">
        <v>7</v>
      </c>
      <c r="H7" s="93">
        <v>45</v>
      </c>
      <c r="I7" s="10" t="s">
        <v>336</v>
      </c>
      <c r="J7" s="36" t="s">
        <v>7</v>
      </c>
      <c r="K7" s="136">
        <f>B7</f>
        <v>35</v>
      </c>
      <c r="M7" s="25" t="s">
        <v>355</v>
      </c>
      <c r="N7" s="25">
        <f>(N6+S6+X6)/100</f>
        <v>1.9750000000000001</v>
      </c>
      <c r="O7" s="216" t="s">
        <v>7</v>
      </c>
      <c r="P7" s="277">
        <f>K7</f>
        <v>35</v>
      </c>
      <c r="T7" s="45" t="s">
        <v>7</v>
      </c>
      <c r="U7" s="46"/>
      <c r="Y7" s="52" t="s">
        <v>7</v>
      </c>
      <c r="Z7" s="53"/>
      <c r="AE7" s="36" t="s">
        <v>7</v>
      </c>
      <c r="AF7" s="136">
        <f t="shared" si="1"/>
        <v>35</v>
      </c>
      <c r="AG7" s="153"/>
      <c r="AH7" s="45" t="s">
        <v>7</v>
      </c>
      <c r="AI7" s="138">
        <f t="shared" si="2"/>
        <v>47</v>
      </c>
      <c r="AK7" s="52" t="s">
        <v>112</v>
      </c>
      <c r="AL7" s="170">
        <f t="shared" si="3"/>
        <v>45</v>
      </c>
      <c r="AN7" s="32" t="s">
        <v>7</v>
      </c>
      <c r="AO7" s="57">
        <f t="shared" si="4"/>
        <v>35</v>
      </c>
      <c r="AQ7" s="32" t="s">
        <v>7</v>
      </c>
      <c r="AR7" s="57">
        <f t="shared" si="5"/>
        <v>35</v>
      </c>
      <c r="AT7" s="32" t="s">
        <v>7</v>
      </c>
      <c r="AU7" s="32">
        <f t="shared" si="6"/>
        <v>35</v>
      </c>
      <c r="BB7" s="2" t="s">
        <v>256</v>
      </c>
      <c r="BC7" s="116" t="s">
        <v>195</v>
      </c>
      <c r="BF7" s="154" t="s">
        <v>278</v>
      </c>
      <c r="BG7" s="116" t="s">
        <v>297</v>
      </c>
    </row>
    <row r="8" spans="1:62" x14ac:dyDescent="0.35">
      <c r="A8" s="36" t="s">
        <v>10</v>
      </c>
      <c r="B8" s="136">
        <v>10</v>
      </c>
      <c r="C8" s="34"/>
      <c r="D8" s="45" t="s">
        <v>10</v>
      </c>
      <c r="E8" s="138">
        <v>115</v>
      </c>
      <c r="F8" s="116" t="s">
        <v>345</v>
      </c>
      <c r="G8" s="52" t="s">
        <v>10</v>
      </c>
      <c r="H8" s="93">
        <v>30</v>
      </c>
      <c r="J8" s="36" t="s">
        <v>10</v>
      </c>
      <c r="K8" s="136">
        <f t="shared" si="0"/>
        <v>10</v>
      </c>
      <c r="O8" s="216" t="s">
        <v>10</v>
      </c>
      <c r="P8" s="277">
        <f t="shared" ref="P8:P13" si="7">B8</f>
        <v>10</v>
      </c>
      <c r="T8" s="45" t="s">
        <v>10</v>
      </c>
      <c r="U8" s="46"/>
      <c r="Y8" s="52" t="s">
        <v>10</v>
      </c>
      <c r="Z8" s="53"/>
      <c r="AE8" s="36" t="s">
        <v>10</v>
      </c>
      <c r="AF8" s="136">
        <f t="shared" si="1"/>
        <v>10</v>
      </c>
      <c r="AG8" s="34"/>
      <c r="AH8" s="45" t="s">
        <v>10</v>
      </c>
      <c r="AI8" s="138">
        <f t="shared" si="2"/>
        <v>115</v>
      </c>
      <c r="AK8" s="52" t="s">
        <v>10</v>
      </c>
      <c r="AL8" s="170">
        <f t="shared" si="3"/>
        <v>30</v>
      </c>
      <c r="AN8" s="32" t="s">
        <v>10</v>
      </c>
      <c r="AO8" s="57">
        <f t="shared" si="4"/>
        <v>10</v>
      </c>
      <c r="AQ8" s="32" t="s">
        <v>10</v>
      </c>
      <c r="AR8" s="57">
        <f t="shared" si="5"/>
        <v>25</v>
      </c>
      <c r="AT8" s="32" t="s">
        <v>10</v>
      </c>
      <c r="AU8" s="32">
        <f t="shared" si="6"/>
        <v>31.5</v>
      </c>
      <c r="BB8" s="116" t="s">
        <v>266</v>
      </c>
      <c r="BC8" s="148" t="s">
        <v>198</v>
      </c>
      <c r="BF8" s="116" t="s">
        <v>338</v>
      </c>
      <c r="BG8" s="116" t="s">
        <v>261</v>
      </c>
    </row>
    <row r="9" spans="1:62" x14ac:dyDescent="0.35">
      <c r="A9" s="36" t="s">
        <v>11</v>
      </c>
      <c r="B9" s="436">
        <f>125*1.1</f>
        <v>137.5</v>
      </c>
      <c r="C9" s="34"/>
      <c r="D9" s="45" t="s">
        <v>11</v>
      </c>
      <c r="E9" s="138">
        <v>15</v>
      </c>
      <c r="G9" s="52" t="s">
        <v>11</v>
      </c>
      <c r="H9" s="93">
        <v>0</v>
      </c>
      <c r="J9" s="36" t="s">
        <v>11</v>
      </c>
      <c r="K9" s="436">
        <f t="shared" si="0"/>
        <v>137.5</v>
      </c>
      <c r="M9" s="432" t="str">
        <f>IF(N3=5, "Regen mana", IF(N3=6, "Regen mana",IF(N3=8, "Regen mana",IF(N3=9, "Regen mana",""))))</f>
        <v>Regen mana</v>
      </c>
      <c r="O9" s="216" t="s">
        <v>11</v>
      </c>
      <c r="P9" s="277">
        <f t="shared" si="7"/>
        <v>137.5</v>
      </c>
      <c r="T9" s="45" t="s">
        <v>11</v>
      </c>
      <c r="U9" s="46"/>
      <c r="Y9" s="52" t="s">
        <v>11</v>
      </c>
      <c r="Z9" s="53"/>
      <c r="AE9" s="36" t="s">
        <v>11</v>
      </c>
      <c r="AF9" s="136">
        <f t="shared" si="1"/>
        <v>137.5</v>
      </c>
      <c r="AG9" s="34"/>
      <c r="AH9" s="45" t="s">
        <v>11</v>
      </c>
      <c r="AI9" s="138">
        <f t="shared" si="2"/>
        <v>35</v>
      </c>
      <c r="AK9" s="52" t="s">
        <v>11</v>
      </c>
      <c r="AL9" s="170">
        <f t="shared" si="3"/>
        <v>0</v>
      </c>
      <c r="AN9" s="32" t="s">
        <v>11</v>
      </c>
      <c r="AO9" s="57">
        <f t="shared" si="4"/>
        <v>147.5</v>
      </c>
      <c r="AQ9" s="32" t="s">
        <v>11</v>
      </c>
      <c r="AR9" s="57">
        <f t="shared" si="5"/>
        <v>137.5</v>
      </c>
      <c r="AT9" s="32" t="s">
        <v>11</v>
      </c>
      <c r="AU9" s="32">
        <f t="shared" si="6"/>
        <v>137.5</v>
      </c>
      <c r="BB9" s="116" t="s">
        <v>267</v>
      </c>
      <c r="BC9" s="116" t="s">
        <v>208</v>
      </c>
      <c r="BG9" s="154" t="s">
        <v>277</v>
      </c>
    </row>
    <row r="10" spans="1:62" x14ac:dyDescent="0.35">
      <c r="A10" s="36" t="s">
        <v>15</v>
      </c>
      <c r="B10" s="136"/>
      <c r="C10" s="34"/>
      <c r="D10" s="45" t="s">
        <v>15</v>
      </c>
      <c r="E10" s="138"/>
      <c r="G10" s="52" t="s">
        <v>15</v>
      </c>
      <c r="H10" s="93"/>
      <c r="J10" s="36" t="s">
        <v>15</v>
      </c>
      <c r="K10" s="136">
        <f t="shared" si="0"/>
        <v>0</v>
      </c>
      <c r="M10" s="25" t="str">
        <f>IF(N3=5,"Regen mana équipe 5T",IF(N3=9,"Regen mana équipe 4T",""))</f>
        <v>Regen mana équipe 4T</v>
      </c>
      <c r="O10" s="216" t="s">
        <v>15</v>
      </c>
      <c r="P10" s="277">
        <f t="shared" si="7"/>
        <v>0</v>
      </c>
      <c r="T10" s="45" t="s">
        <v>15</v>
      </c>
      <c r="U10" s="46"/>
      <c r="Y10" s="52" t="s">
        <v>15</v>
      </c>
      <c r="Z10" s="53"/>
      <c r="AE10" s="36" t="s">
        <v>15</v>
      </c>
      <c r="AF10" s="136">
        <f t="shared" si="1"/>
        <v>0</v>
      </c>
      <c r="AG10" s="34"/>
      <c r="AH10" s="45" t="s">
        <v>15</v>
      </c>
      <c r="AI10" s="138">
        <f t="shared" si="2"/>
        <v>0</v>
      </c>
      <c r="AK10" s="52" t="s">
        <v>15</v>
      </c>
      <c r="AL10" s="170">
        <f t="shared" si="3"/>
        <v>0</v>
      </c>
      <c r="AN10" s="32" t="s">
        <v>15</v>
      </c>
      <c r="AO10" s="57">
        <f t="shared" si="4"/>
        <v>0</v>
      </c>
      <c r="AQ10" s="32" t="s">
        <v>15</v>
      </c>
      <c r="AR10" s="57">
        <f t="shared" si="5"/>
        <v>0</v>
      </c>
      <c r="AT10" s="32" t="s">
        <v>15</v>
      </c>
      <c r="AU10" s="32">
        <f t="shared" si="6"/>
        <v>0</v>
      </c>
      <c r="BB10" s="152" t="s">
        <v>280</v>
      </c>
      <c r="BC10" s="2" t="s">
        <v>253</v>
      </c>
      <c r="BG10" s="154" t="s">
        <v>279</v>
      </c>
    </row>
    <row r="11" spans="1:62" x14ac:dyDescent="0.35">
      <c r="A11" s="36" t="s">
        <v>14</v>
      </c>
      <c r="B11" s="137">
        <v>25</v>
      </c>
      <c r="C11" s="35"/>
      <c r="D11" s="45" t="s">
        <v>14</v>
      </c>
      <c r="E11" s="138">
        <v>20</v>
      </c>
      <c r="G11" s="52" t="s">
        <v>14</v>
      </c>
      <c r="H11" s="140">
        <v>12</v>
      </c>
      <c r="I11" s="3">
        <v>0.2</v>
      </c>
      <c r="J11" s="36" t="s">
        <v>14</v>
      </c>
      <c r="K11" s="136">
        <f t="shared" si="0"/>
        <v>25</v>
      </c>
      <c r="O11" s="216" t="s">
        <v>14</v>
      </c>
      <c r="P11" s="277">
        <f t="shared" si="7"/>
        <v>25</v>
      </c>
      <c r="T11" s="45" t="s">
        <v>14</v>
      </c>
      <c r="U11" s="47"/>
      <c r="Y11" s="52" t="s">
        <v>14</v>
      </c>
      <c r="Z11" s="54"/>
      <c r="AE11" s="36" t="s">
        <v>14</v>
      </c>
      <c r="AF11" s="136">
        <f t="shared" si="1"/>
        <v>25</v>
      </c>
      <c r="AG11" s="35"/>
      <c r="AH11" s="45" t="s">
        <v>14</v>
      </c>
      <c r="AI11" s="138">
        <f t="shared" si="2"/>
        <v>20</v>
      </c>
      <c r="AK11" s="52" t="s">
        <v>14</v>
      </c>
      <c r="AL11" s="170">
        <f t="shared" si="3"/>
        <v>14.4</v>
      </c>
      <c r="AN11" s="32" t="s">
        <v>14</v>
      </c>
      <c r="AO11" s="57">
        <f t="shared" si="4"/>
        <v>25</v>
      </c>
      <c r="AQ11" s="32" t="s">
        <v>14</v>
      </c>
      <c r="AR11" s="57">
        <f t="shared" si="5"/>
        <v>25</v>
      </c>
      <c r="AT11" s="32" t="s">
        <v>14</v>
      </c>
      <c r="AU11" s="32">
        <f t="shared" si="6"/>
        <v>45</v>
      </c>
      <c r="BB11" s="152" t="s">
        <v>287</v>
      </c>
      <c r="BC11" s="116" t="s">
        <v>264</v>
      </c>
      <c r="BG11" s="154" t="s">
        <v>282</v>
      </c>
    </row>
    <row r="12" spans="1:62" x14ac:dyDescent="0.35">
      <c r="A12" s="36" t="s">
        <v>8</v>
      </c>
      <c r="B12" s="137">
        <v>20</v>
      </c>
      <c r="C12" s="35"/>
      <c r="D12" s="45" t="s">
        <v>8</v>
      </c>
      <c r="E12" s="138">
        <v>20</v>
      </c>
      <c r="G12" s="52" t="s">
        <v>8</v>
      </c>
      <c r="H12" s="140">
        <v>15</v>
      </c>
      <c r="J12" s="36" t="s">
        <v>8</v>
      </c>
      <c r="K12" s="136">
        <f t="shared" si="0"/>
        <v>20</v>
      </c>
      <c r="O12" s="216" t="s">
        <v>8</v>
      </c>
      <c r="P12" s="277">
        <f t="shared" si="7"/>
        <v>20</v>
      </c>
      <c r="T12" s="45" t="s">
        <v>8</v>
      </c>
      <c r="U12" s="47"/>
      <c r="Y12" s="52" t="s">
        <v>8</v>
      </c>
      <c r="Z12" s="54"/>
      <c r="AE12" s="36" t="s">
        <v>8</v>
      </c>
      <c r="AF12" s="136">
        <f t="shared" si="1"/>
        <v>20</v>
      </c>
      <c r="AG12" s="35"/>
      <c r="AH12" s="45" t="s">
        <v>8</v>
      </c>
      <c r="AI12" s="138">
        <f t="shared" si="2"/>
        <v>20</v>
      </c>
      <c r="AK12" s="52" t="s">
        <v>8</v>
      </c>
      <c r="AL12" s="170">
        <f t="shared" si="3"/>
        <v>15</v>
      </c>
      <c r="AN12" s="32" t="s">
        <v>8</v>
      </c>
      <c r="AO12" s="57">
        <f t="shared" si="4"/>
        <v>20</v>
      </c>
      <c r="AQ12" s="32" t="s">
        <v>8</v>
      </c>
      <c r="AR12" s="57">
        <f t="shared" si="5"/>
        <v>20</v>
      </c>
      <c r="AT12" s="32" t="s">
        <v>8</v>
      </c>
      <c r="AU12" s="32">
        <f t="shared" si="6"/>
        <v>20</v>
      </c>
      <c r="BB12" s="116" t="s">
        <v>295</v>
      </c>
      <c r="BC12" s="116" t="s">
        <v>265</v>
      </c>
      <c r="BG12" s="116" t="s">
        <v>298</v>
      </c>
    </row>
    <row r="13" spans="1:62" x14ac:dyDescent="0.35">
      <c r="A13" s="36" t="s">
        <v>9</v>
      </c>
      <c r="B13" s="137">
        <v>10</v>
      </c>
      <c r="C13" s="35"/>
      <c r="D13" s="45" t="s">
        <v>9</v>
      </c>
      <c r="E13" s="138">
        <v>9.5</v>
      </c>
      <c r="G13" s="52" t="s">
        <v>9</v>
      </c>
      <c r="H13" s="140">
        <v>5</v>
      </c>
      <c r="J13" s="36" t="s">
        <v>9</v>
      </c>
      <c r="K13" s="136">
        <f>IF(N3=5,B13-4,B13)</f>
        <v>10</v>
      </c>
      <c r="O13" s="216" t="s">
        <v>9</v>
      </c>
      <c r="P13" s="277">
        <f t="shared" si="7"/>
        <v>10</v>
      </c>
      <c r="T13" s="45" t="s">
        <v>9</v>
      </c>
      <c r="U13" s="47"/>
      <c r="Y13" s="52" t="s">
        <v>9</v>
      </c>
      <c r="Z13" s="54"/>
      <c r="AE13" s="36" t="s">
        <v>9</v>
      </c>
      <c r="AF13" s="136">
        <f t="shared" si="1"/>
        <v>10</v>
      </c>
      <c r="AG13" s="35"/>
      <c r="AH13" s="45" t="s">
        <v>9</v>
      </c>
      <c r="AI13" s="138">
        <f t="shared" si="2"/>
        <v>9.5</v>
      </c>
      <c r="AK13" s="52" t="s">
        <v>9</v>
      </c>
      <c r="AL13" s="170">
        <f t="shared" si="3"/>
        <v>5</v>
      </c>
      <c r="AN13" s="32" t="s">
        <v>9</v>
      </c>
      <c r="AO13" s="57">
        <f t="shared" si="4"/>
        <v>10</v>
      </c>
      <c r="AQ13" s="32" t="s">
        <v>9</v>
      </c>
      <c r="AR13" s="57">
        <f t="shared" si="5"/>
        <v>10</v>
      </c>
      <c r="AT13" s="32" t="s">
        <v>9</v>
      </c>
      <c r="AU13" s="32">
        <f t="shared" si="6"/>
        <v>15</v>
      </c>
      <c r="BB13" s="116" t="s">
        <v>296</v>
      </c>
      <c r="BC13" s="116" t="s">
        <v>294</v>
      </c>
      <c r="BG13" s="152" t="s">
        <v>329</v>
      </c>
    </row>
    <row r="14" spans="1:62" x14ac:dyDescent="0.35">
      <c r="A14" s="36" t="s">
        <v>12</v>
      </c>
      <c r="B14" s="137">
        <v>4</v>
      </c>
      <c r="C14" s="35"/>
      <c r="D14" s="45" t="s">
        <v>12</v>
      </c>
      <c r="E14" s="139">
        <v>10</v>
      </c>
      <c r="G14" s="52" t="s">
        <v>12</v>
      </c>
      <c r="H14" s="54"/>
      <c r="J14" s="36" t="s">
        <v>12</v>
      </c>
      <c r="K14" s="136">
        <f>B14+E18</f>
        <v>14</v>
      </c>
      <c r="O14" s="216" t="s">
        <v>12</v>
      </c>
      <c r="P14" s="277">
        <f>IF($V$71&lt;0.5,B14+10+E18, B14+E18)</f>
        <v>14</v>
      </c>
      <c r="T14" s="45" t="s">
        <v>12</v>
      </c>
      <c r="U14" s="47"/>
      <c r="Y14" s="52" t="s">
        <v>12</v>
      </c>
      <c r="Z14" s="54"/>
      <c r="AE14" s="36" t="s">
        <v>12</v>
      </c>
      <c r="AF14" s="136">
        <f t="shared" si="1"/>
        <v>14</v>
      </c>
      <c r="AG14" s="35"/>
      <c r="AH14" s="45" t="s">
        <v>12</v>
      </c>
      <c r="AI14" s="138">
        <f t="shared" si="2"/>
        <v>10</v>
      </c>
      <c r="AK14" s="52" t="s">
        <v>12</v>
      </c>
      <c r="AL14" s="170">
        <f t="shared" si="3"/>
        <v>0</v>
      </c>
      <c r="AN14" s="32" t="s">
        <v>12</v>
      </c>
      <c r="AO14" s="57">
        <f t="shared" si="4"/>
        <v>4</v>
      </c>
      <c r="AQ14" s="32" t="s">
        <v>12</v>
      </c>
      <c r="AR14" s="57">
        <f t="shared" si="5"/>
        <v>4</v>
      </c>
      <c r="AT14" s="32" t="s">
        <v>12</v>
      </c>
      <c r="AU14" s="32">
        <f t="shared" si="6"/>
        <v>4</v>
      </c>
      <c r="BB14" s="147" t="s">
        <v>326</v>
      </c>
    </row>
    <row r="15" spans="1:62" ht="15.5" x14ac:dyDescent="0.35">
      <c r="A15" s="36" t="s">
        <v>13</v>
      </c>
      <c r="B15" s="318">
        <f>21*1.2</f>
        <v>25.2</v>
      </c>
      <c r="C15" s="190"/>
      <c r="D15" s="45" t="s">
        <v>13</v>
      </c>
      <c r="E15" s="139">
        <v>12</v>
      </c>
      <c r="G15" s="52" t="s">
        <v>13</v>
      </c>
      <c r="H15" s="54"/>
      <c r="J15" s="36" t="s">
        <v>13</v>
      </c>
      <c r="K15" s="436">
        <f>IF(N3=5, B15+C18+E25,IF(N3=6, B15+C18+E27,IF(N3=8, B15+C18+G29,IF(N3=9, B15+C18+E32,IF(S3=9, B15+C18+E32,IF(X3=9, B15+C18+E32,B15+C18))))))</f>
        <v>40.200000000000003</v>
      </c>
      <c r="L15" s="435" t="s">
        <v>460</v>
      </c>
      <c r="O15" s="216" t="s">
        <v>13</v>
      </c>
      <c r="P15" s="277">
        <f>K15</f>
        <v>40.200000000000003</v>
      </c>
      <c r="T15" s="45" t="s">
        <v>13</v>
      </c>
      <c r="U15" s="47"/>
      <c r="Y15" s="52" t="s">
        <v>13</v>
      </c>
      <c r="Z15" s="54"/>
      <c r="AE15" s="36" t="s">
        <v>13</v>
      </c>
      <c r="AF15" s="136">
        <f t="shared" si="1"/>
        <v>40.200000000000003</v>
      </c>
      <c r="AG15" s="35"/>
      <c r="AH15" s="45" t="s">
        <v>13</v>
      </c>
      <c r="AI15" s="138">
        <f t="shared" si="2"/>
        <v>22</v>
      </c>
      <c r="AK15" s="52" t="s">
        <v>13</v>
      </c>
      <c r="AL15" s="170">
        <f t="shared" si="3"/>
        <v>0</v>
      </c>
      <c r="AN15" s="32" t="s">
        <v>13</v>
      </c>
      <c r="AO15" s="57">
        <f t="shared" si="4"/>
        <v>25.2</v>
      </c>
      <c r="AQ15" s="32" t="s">
        <v>13</v>
      </c>
      <c r="AR15" s="57">
        <f t="shared" si="5"/>
        <v>25.2</v>
      </c>
      <c r="AT15" s="32" t="s">
        <v>13</v>
      </c>
      <c r="AU15" s="32">
        <f t="shared" si="6"/>
        <v>25.2</v>
      </c>
      <c r="BB15" s="116" t="s">
        <v>327</v>
      </c>
    </row>
    <row r="16" spans="1:62" ht="15" thickBot="1" x14ac:dyDescent="0.4">
      <c r="A16" s="39" t="s">
        <v>16</v>
      </c>
      <c r="B16" s="161">
        <v>5</v>
      </c>
      <c r="C16" s="35"/>
      <c r="D16" s="48" t="s">
        <v>16</v>
      </c>
      <c r="E16" s="189">
        <v>10</v>
      </c>
      <c r="G16" s="55" t="s">
        <v>16</v>
      </c>
      <c r="H16" s="56"/>
      <c r="J16" s="39" t="s">
        <v>16</v>
      </c>
      <c r="K16" s="319">
        <f>B16</f>
        <v>5</v>
      </c>
      <c r="O16" s="220" t="s">
        <v>16</v>
      </c>
      <c r="P16" s="278">
        <f>B16</f>
        <v>5</v>
      </c>
      <c r="T16" s="48" t="s">
        <v>16</v>
      </c>
      <c r="U16" s="49"/>
      <c r="Y16" s="55" t="s">
        <v>16</v>
      </c>
      <c r="Z16" s="56"/>
      <c r="AE16" s="39" t="s">
        <v>16</v>
      </c>
      <c r="AF16" s="136">
        <f t="shared" si="1"/>
        <v>5</v>
      </c>
      <c r="AG16" s="35"/>
      <c r="AH16" s="48" t="s">
        <v>16</v>
      </c>
      <c r="AI16" s="138">
        <f t="shared" si="2"/>
        <v>10</v>
      </c>
      <c r="AK16" s="55" t="s">
        <v>16</v>
      </c>
      <c r="AL16" s="170">
        <f t="shared" si="3"/>
        <v>0</v>
      </c>
      <c r="AN16" s="32" t="s">
        <v>16</v>
      </c>
      <c r="AO16" s="57">
        <f t="shared" si="4"/>
        <v>5</v>
      </c>
      <c r="AQ16" s="32" t="s">
        <v>16</v>
      </c>
      <c r="AR16" s="57">
        <f t="shared" si="5"/>
        <v>5</v>
      </c>
      <c r="AT16" s="32" t="s">
        <v>16</v>
      </c>
      <c r="AU16" s="32">
        <f t="shared" si="6"/>
        <v>5</v>
      </c>
    </row>
    <row r="17" spans="1:10" x14ac:dyDescent="0.35">
      <c r="A17" t="s">
        <v>17</v>
      </c>
      <c r="B17" t="s">
        <v>226</v>
      </c>
    </row>
    <row r="18" spans="1:10" x14ac:dyDescent="0.35">
      <c r="A18" t="s">
        <v>18</v>
      </c>
      <c r="B18" s="1" t="s">
        <v>13</v>
      </c>
      <c r="C18" s="1">
        <v>5</v>
      </c>
      <c r="D18" s="2" t="s">
        <v>12</v>
      </c>
      <c r="E18" s="2">
        <v>10</v>
      </c>
      <c r="F18" t="s">
        <v>35</v>
      </c>
      <c r="G18" s="3">
        <v>0.35</v>
      </c>
    </row>
    <row r="19" spans="1:10" ht="15" thickBot="1" x14ac:dyDescent="0.4">
      <c r="A19" t="s">
        <v>19</v>
      </c>
      <c r="B19" t="s">
        <v>34</v>
      </c>
      <c r="E19" s="232">
        <v>0.9</v>
      </c>
    </row>
    <row r="20" spans="1:10" ht="41" customHeight="1" thickBot="1" x14ac:dyDescent="0.4">
      <c r="A20" s="23" t="s">
        <v>20</v>
      </c>
      <c r="B20" s="359" t="s">
        <v>36</v>
      </c>
      <c r="C20" s="359"/>
      <c r="D20" s="178" t="s">
        <v>37</v>
      </c>
      <c r="E20" s="178">
        <f>60*E19</f>
        <v>54</v>
      </c>
      <c r="F20" s="179" t="s">
        <v>38</v>
      </c>
      <c r="G20" s="180">
        <v>20</v>
      </c>
      <c r="H20" s="7" t="s">
        <v>351</v>
      </c>
      <c r="I20" s="265" t="s">
        <v>360</v>
      </c>
      <c r="J20" s="266" t="s">
        <v>361</v>
      </c>
    </row>
    <row r="21" spans="1:10" ht="73" customHeight="1" thickBot="1" x14ac:dyDescent="0.4">
      <c r="A21" s="11" t="s">
        <v>21</v>
      </c>
      <c r="B21" s="359" t="s">
        <v>39</v>
      </c>
      <c r="C21" s="359"/>
      <c r="D21" s="178" t="s">
        <v>37</v>
      </c>
      <c r="E21" s="178">
        <f>120*E19</f>
        <v>108</v>
      </c>
      <c r="F21" s="179" t="s">
        <v>38</v>
      </c>
      <c r="G21" s="180">
        <v>30</v>
      </c>
      <c r="H21" s="7" t="s">
        <v>354</v>
      </c>
      <c r="I21" s="266" t="s">
        <v>361</v>
      </c>
    </row>
    <row r="22" spans="1:10" ht="44" customHeight="1" thickBot="1" x14ac:dyDescent="0.4">
      <c r="A22" s="11" t="s">
        <v>22</v>
      </c>
      <c r="B22" s="359" t="s">
        <v>321</v>
      </c>
      <c r="C22" s="359"/>
      <c r="D22" s="178" t="s">
        <v>37</v>
      </c>
      <c r="E22" s="178">
        <f>150*E19</f>
        <v>135</v>
      </c>
      <c r="F22" s="179" t="s">
        <v>38</v>
      </c>
      <c r="G22" s="180">
        <v>15</v>
      </c>
      <c r="H22" s="7" t="s">
        <v>351</v>
      </c>
      <c r="I22" s="266" t="s">
        <v>362</v>
      </c>
    </row>
    <row r="23" spans="1:10" ht="87.5" customHeight="1" thickBot="1" x14ac:dyDescent="0.4">
      <c r="A23" s="11" t="s">
        <v>23</v>
      </c>
      <c r="B23" s="359" t="s">
        <v>41</v>
      </c>
      <c r="C23" s="359"/>
      <c r="D23" s="178" t="s">
        <v>37</v>
      </c>
      <c r="E23" s="178">
        <f>60*E19</f>
        <v>54</v>
      </c>
      <c r="F23" s="179" t="s">
        <v>38</v>
      </c>
      <c r="G23" s="180">
        <v>60</v>
      </c>
      <c r="H23" s="7"/>
      <c r="I23" s="266" t="s">
        <v>363</v>
      </c>
    </row>
    <row r="24" spans="1:10" ht="72.5" customHeight="1" x14ac:dyDescent="0.35">
      <c r="A24" s="355" t="s">
        <v>24</v>
      </c>
      <c r="B24" s="357" t="s">
        <v>359</v>
      </c>
      <c r="C24" s="357"/>
      <c r="D24" s="178" t="s">
        <v>37</v>
      </c>
      <c r="E24" s="178">
        <f>75*E19</f>
        <v>67.5</v>
      </c>
      <c r="F24" s="179" t="s">
        <v>38</v>
      </c>
      <c r="G24" s="180">
        <v>25</v>
      </c>
      <c r="H24" s="434" t="s">
        <v>456</v>
      </c>
      <c r="I24" s="266" t="s">
        <v>364</v>
      </c>
    </row>
    <row r="25" spans="1:10" ht="19" thickBot="1" x14ac:dyDescent="0.4">
      <c r="A25" s="356"/>
      <c r="B25" s="358"/>
      <c r="C25" s="358"/>
      <c r="D25" s="177" t="s">
        <v>13</v>
      </c>
      <c r="E25" s="181">
        <v>5</v>
      </c>
      <c r="F25" s="182" t="s">
        <v>43</v>
      </c>
      <c r="G25" s="183">
        <v>-0.05</v>
      </c>
      <c r="H25" s="434"/>
      <c r="I25" s="266" t="s">
        <v>365</v>
      </c>
    </row>
    <row r="26" spans="1:10" ht="72.5" customHeight="1" x14ac:dyDescent="0.35">
      <c r="A26" s="355" t="s">
        <v>25</v>
      </c>
      <c r="B26" s="357" t="s">
        <v>457</v>
      </c>
      <c r="C26" s="357"/>
      <c r="D26" s="178" t="s">
        <v>37</v>
      </c>
      <c r="E26" s="178">
        <f>50*E19</f>
        <v>45</v>
      </c>
      <c r="F26" s="179" t="s">
        <v>38</v>
      </c>
      <c r="G26" s="180">
        <v>15</v>
      </c>
      <c r="H26" s="434" t="s">
        <v>353</v>
      </c>
      <c r="I26" s="266" t="s">
        <v>366</v>
      </c>
    </row>
    <row r="27" spans="1:10" ht="15" thickBot="1" x14ac:dyDescent="0.4">
      <c r="A27" s="356"/>
      <c r="B27" s="358"/>
      <c r="C27" s="358"/>
      <c r="D27" s="177" t="s">
        <v>13</v>
      </c>
      <c r="E27" s="181">
        <v>15</v>
      </c>
      <c r="F27" s="184"/>
      <c r="G27" s="185"/>
      <c r="H27" s="434"/>
    </row>
    <row r="28" spans="1:10" ht="44" customHeight="1" thickBot="1" x14ac:dyDescent="0.4">
      <c r="A28" s="11" t="s">
        <v>26</v>
      </c>
      <c r="B28" s="359" t="s">
        <v>358</v>
      </c>
      <c r="C28" s="359"/>
      <c r="D28" s="178" t="s">
        <v>37</v>
      </c>
      <c r="E28" s="178">
        <f>80*E19</f>
        <v>72</v>
      </c>
      <c r="F28" s="179" t="s">
        <v>38</v>
      </c>
      <c r="G28" s="180">
        <v>50</v>
      </c>
      <c r="H28" s="142"/>
    </row>
    <row r="29" spans="1:10" ht="87" customHeight="1" x14ac:dyDescent="0.35">
      <c r="A29" s="360" t="s">
        <v>27</v>
      </c>
      <c r="B29" s="357" t="s">
        <v>458</v>
      </c>
      <c r="C29" s="357"/>
      <c r="D29" s="178" t="s">
        <v>37</v>
      </c>
      <c r="E29" s="178">
        <v>85</v>
      </c>
      <c r="F29" s="177" t="s">
        <v>13</v>
      </c>
      <c r="G29" s="186">
        <v>120</v>
      </c>
    </row>
    <row r="30" spans="1:10" ht="50.5" customHeight="1" thickBot="1" x14ac:dyDescent="0.4">
      <c r="A30" s="361"/>
      <c r="B30" s="358"/>
      <c r="C30" s="358"/>
      <c r="D30" s="187" t="s">
        <v>49</v>
      </c>
      <c r="E30" s="188" t="s">
        <v>50</v>
      </c>
      <c r="F30" s="184"/>
      <c r="G30" s="185"/>
      <c r="J30" s="428" t="s">
        <v>443</v>
      </c>
    </row>
    <row r="31" spans="1:10" ht="58" customHeight="1" x14ac:dyDescent="0.35">
      <c r="A31" s="355" t="s">
        <v>28</v>
      </c>
      <c r="B31" s="357" t="s">
        <v>47</v>
      </c>
      <c r="C31" s="357"/>
      <c r="D31" s="178" t="s">
        <v>37</v>
      </c>
      <c r="E31" s="178">
        <f>100*E19</f>
        <v>90</v>
      </c>
      <c r="F31" s="179" t="s">
        <v>38</v>
      </c>
      <c r="G31" s="180">
        <v>60</v>
      </c>
      <c r="H31" t="s">
        <v>354</v>
      </c>
    </row>
    <row r="32" spans="1:10" ht="15" thickBot="1" x14ac:dyDescent="0.4">
      <c r="A32" s="356"/>
      <c r="B32" s="358"/>
      <c r="C32" s="358"/>
      <c r="D32" s="177" t="s">
        <v>13</v>
      </c>
      <c r="E32" s="433">
        <v>10</v>
      </c>
      <c r="F32" s="184" t="s">
        <v>459</v>
      </c>
      <c r="G32" s="185"/>
    </row>
    <row r="33" spans="1:23" ht="102" customHeight="1" x14ac:dyDescent="0.35">
      <c r="A33" s="66" t="s">
        <v>29</v>
      </c>
      <c r="B33" s="366" t="s">
        <v>48</v>
      </c>
      <c r="C33" s="366"/>
      <c r="D33" s="178" t="s">
        <v>37</v>
      </c>
      <c r="E33" s="178"/>
      <c r="F33" s="179" t="s">
        <v>38</v>
      </c>
      <c r="G33" s="180">
        <v>80</v>
      </c>
      <c r="H33" t="s">
        <v>354</v>
      </c>
    </row>
    <row r="34" spans="1:23" ht="29" x14ac:dyDescent="0.35">
      <c r="A34" s="175" t="s">
        <v>33</v>
      </c>
      <c r="B34" s="367"/>
      <c r="C34" s="367"/>
      <c r="D34" s="176" t="s">
        <v>54</v>
      </c>
      <c r="E34" s="176"/>
      <c r="F34" s="177" t="s">
        <v>56</v>
      </c>
      <c r="G34" s="177"/>
      <c r="H34" t="s">
        <v>66</v>
      </c>
    </row>
    <row r="35" spans="1:23" ht="29" x14ac:dyDescent="0.35">
      <c r="A35" s="175" t="s">
        <v>31</v>
      </c>
      <c r="B35" s="368"/>
      <c r="C35" s="368"/>
      <c r="D35" s="176" t="s">
        <v>54</v>
      </c>
      <c r="E35" s="176"/>
      <c r="F35" s="177" t="s">
        <v>56</v>
      </c>
      <c r="G35" s="177"/>
    </row>
    <row r="36" spans="1:23" ht="29" x14ac:dyDescent="0.35">
      <c r="A36" s="175" t="s">
        <v>32</v>
      </c>
      <c r="B36" s="368"/>
      <c r="C36" s="368"/>
      <c r="D36" s="176" t="s">
        <v>54</v>
      </c>
      <c r="E36" s="176"/>
      <c r="F36" s="177" t="s">
        <v>56</v>
      </c>
      <c r="G36" s="177"/>
    </row>
    <row r="37" spans="1:23" ht="15" thickBot="1" x14ac:dyDescent="0.4">
      <c r="P37" t="s">
        <v>104</v>
      </c>
    </row>
    <row r="38" spans="1:23" ht="15" thickBot="1" x14ac:dyDescent="0.4">
      <c r="P38" s="31" t="s">
        <v>105</v>
      </c>
      <c r="Q38" s="84">
        <v>0.15</v>
      </c>
      <c r="R38" s="85">
        <v>0.15</v>
      </c>
    </row>
    <row r="39" spans="1:23" ht="15" customHeight="1" thickBot="1" x14ac:dyDescent="0.4">
      <c r="A39" s="41" t="s">
        <v>0</v>
      </c>
      <c r="B39" s="42" t="s">
        <v>58</v>
      </c>
      <c r="G39" s="316" t="s">
        <v>0</v>
      </c>
      <c r="H39" s="317" t="s">
        <v>58</v>
      </c>
      <c r="I39" s="301" t="s">
        <v>431</v>
      </c>
      <c r="M39" s="303" t="s">
        <v>0</v>
      </c>
      <c r="N39" s="304" t="s">
        <v>55</v>
      </c>
      <c r="P39" t="s">
        <v>106</v>
      </c>
      <c r="Q39" s="89">
        <v>0.15</v>
      </c>
      <c r="R39" s="308">
        <v>0.15</v>
      </c>
      <c r="S39" s="309" t="s">
        <v>0</v>
      </c>
      <c r="T39" s="304" t="s">
        <v>55</v>
      </c>
      <c r="U39" s="301" t="s">
        <v>429</v>
      </c>
    </row>
    <row r="40" spans="1:23" ht="15" customHeight="1" x14ac:dyDescent="0.35">
      <c r="A40" s="36" t="s">
        <v>1</v>
      </c>
      <c r="B40" s="37">
        <f>B2</f>
        <v>605</v>
      </c>
      <c r="G40" s="36" t="s">
        <v>1</v>
      </c>
      <c r="H40" s="277">
        <f>B40</f>
        <v>605</v>
      </c>
      <c r="I40" s="302">
        <f>H40/B2</f>
        <v>1</v>
      </c>
      <c r="M40" s="305" t="s">
        <v>1</v>
      </c>
      <c r="N40" s="92">
        <f>IF(J20="ours",IF(Q41=1,H2*1.15*1.1,IF(Q41=2,H2*1.1,IF(Q41=3,H2*1.1,0))), IF(Q41=1,H2*1.15,IF(Q41=2,H2,IF(Q41=3,H2,0))))</f>
        <v>827.99999999999989</v>
      </c>
      <c r="P40" t="s">
        <v>107</v>
      </c>
      <c r="Q40" s="90">
        <v>7.0000000000000007E-2</v>
      </c>
      <c r="R40" s="2">
        <v>10</v>
      </c>
      <c r="S40" s="310" t="s">
        <v>1</v>
      </c>
      <c r="T40" s="92">
        <f>N40</f>
        <v>827.99999999999989</v>
      </c>
      <c r="U40" s="302">
        <f>IF(J20="ours",IF(Q41=1, T40/(H2*1.1*1.15), T40/(H2*1.1)), IF(Q41=1, T40/(H2*1.15), T40/(H2)))</f>
        <v>1</v>
      </c>
    </row>
    <row r="41" spans="1:23" ht="15" customHeight="1" x14ac:dyDescent="0.35">
      <c r="A41" s="36" t="s">
        <v>2</v>
      </c>
      <c r="B41" s="37">
        <f t="shared" ref="B41:B54" si="8">B3</f>
        <v>369</v>
      </c>
      <c r="G41" s="36" t="s">
        <v>2</v>
      </c>
      <c r="H41" s="318">
        <f>IF(E44=1,B41-E58,IF(E44=2,B41-E59, IF(E44=3, B41-E60, IF(E44=4, B41-E61, IF(E44=5, B41-E62, IF(E44=6, B41-E63, IF(E44=7, B41-E64, IF(E44=8, B41-E65, IF(E44=9, B41-E66, IF(E44=10, B41-E67,B41))))))))))</f>
        <v>369</v>
      </c>
      <c r="M41" s="305" t="s">
        <v>2</v>
      </c>
      <c r="N41" s="92">
        <f t="shared" ref="N41:N48" si="9">H3</f>
        <v>0</v>
      </c>
      <c r="P41" t="s">
        <v>109</v>
      </c>
      <c r="Q41" s="25">
        <v>1</v>
      </c>
      <c r="S41" s="310" t="s">
        <v>2</v>
      </c>
      <c r="T41" s="53">
        <v>0</v>
      </c>
    </row>
    <row r="42" spans="1:23" ht="15" customHeight="1" x14ac:dyDescent="0.35">
      <c r="A42" s="36" t="s">
        <v>3</v>
      </c>
      <c r="B42" s="37">
        <f t="shared" si="8"/>
        <v>126</v>
      </c>
      <c r="G42" s="36" t="s">
        <v>3</v>
      </c>
      <c r="H42" s="277">
        <f>B42</f>
        <v>126</v>
      </c>
      <c r="M42" s="305" t="s">
        <v>3</v>
      </c>
      <c r="N42" s="92">
        <f t="shared" si="9"/>
        <v>0</v>
      </c>
      <c r="S42" s="310" t="s">
        <v>3</v>
      </c>
      <c r="T42" s="53">
        <v>0</v>
      </c>
    </row>
    <row r="43" spans="1:23" ht="15" customHeight="1" x14ac:dyDescent="0.35">
      <c r="A43" s="36" t="s">
        <v>4</v>
      </c>
      <c r="B43" s="37">
        <f t="shared" si="8"/>
        <v>0</v>
      </c>
      <c r="G43" s="36" t="s">
        <v>4</v>
      </c>
      <c r="H43" s="277">
        <f>B43</f>
        <v>0</v>
      </c>
      <c r="M43" s="305" t="s">
        <v>4</v>
      </c>
      <c r="N43" s="92">
        <f t="shared" si="9"/>
        <v>20</v>
      </c>
      <c r="P43" t="s">
        <v>76</v>
      </c>
      <c r="Q43" s="25">
        <v>10</v>
      </c>
      <c r="S43" s="310" t="s">
        <v>4</v>
      </c>
      <c r="T43" s="92">
        <f>IF(Q43=1, N43+Q58,IF(Q43=2, N43+Q59, IF(Q43=3, N43+Q60, IF(Q43=4, N43+Q61, IF(Q43=6,N43+Q63, IF(Q43=7, N43+Q64,0))))))</f>
        <v>0</v>
      </c>
    </row>
    <row r="44" spans="1:23" ht="15" customHeight="1" x14ac:dyDescent="0.35">
      <c r="A44" s="36" t="s">
        <v>6</v>
      </c>
      <c r="B44" s="37">
        <f t="shared" si="8"/>
        <v>80</v>
      </c>
      <c r="C44" s="153"/>
      <c r="D44" t="s">
        <v>76</v>
      </c>
      <c r="G44" s="36" t="s">
        <v>6</v>
      </c>
      <c r="H44" s="277">
        <f>B44</f>
        <v>80</v>
      </c>
      <c r="M44" s="305" t="s">
        <v>6</v>
      </c>
      <c r="N44" s="92">
        <f t="shared" si="9"/>
        <v>85</v>
      </c>
      <c r="P44" t="s">
        <v>75</v>
      </c>
      <c r="Q44" s="25">
        <f>IF(J20="requin",IF(Q43=1,(W46+S58)*1.04,IF(Q43=3,(W46+S60)*1.04,IF(Q43=5,(W46+S62)*1.04,IF(Q43=7,(W46+S64)*1.04,IF(Q43=9,(W46+S66)*1.04,IF(Q43=10,(W46+S67)*1.04,0)))))),IF(Q43=1,W46+S58,IF(Q43=3,W46+S60,IF(Q43=5,W46+S62,IF(Q43=7,W46+S64,IF(Q43=9,W46+S66,IF(Q43=10,W46+S67,0)))))))</f>
        <v>30</v>
      </c>
      <c r="S44" s="310" t="s">
        <v>111</v>
      </c>
      <c r="T44" s="92">
        <f>IF(Q41=1,N44*1.15,IF(Q41=2,N44,IF(Q41=3,N44,0)))</f>
        <v>97.749999999999986</v>
      </c>
      <c r="U44" s="459" t="s">
        <v>110</v>
      </c>
      <c r="V44" s="460"/>
      <c r="W44" s="461">
        <f>IF(Q43=8,T44+S65,T44)</f>
        <v>97.749999999999986</v>
      </c>
    </row>
    <row r="45" spans="1:23" ht="15" customHeight="1" x14ac:dyDescent="0.35">
      <c r="A45" s="36" t="s">
        <v>7</v>
      </c>
      <c r="B45" s="37">
        <f t="shared" si="8"/>
        <v>35</v>
      </c>
      <c r="C45" s="153"/>
      <c r="D45" t="s">
        <v>75</v>
      </c>
      <c r="E45" s="25">
        <f>IF(E44=1,B47+G58+B68*10+D68,IF(E44=2,B47+G59+B68*10+D68, IF(E44=3,B47+G60+B68*10+D68,  IF(E44=4,B47+G61+B68*10+D68,  IF(E44=5,B47+G62+B68*10+D68,  IF(E44=6,B47+G63+B68*10+D68,  IF(E44=7,B47+G64+B68*10+D68,  IF(E44=8,B47+G65+B68*10+D68*1.25,  IF(E44=9,B47+G66+B68*10+D68,IF(E44=10,B47+G67+B68*10+D68*1.5,0))))))))))</f>
        <v>0</v>
      </c>
      <c r="G45" s="36" t="s">
        <v>7</v>
      </c>
      <c r="H45" s="277">
        <f>B45+B45*C45</f>
        <v>35</v>
      </c>
      <c r="M45" s="305" t="s">
        <v>7</v>
      </c>
      <c r="N45" s="92">
        <f t="shared" si="9"/>
        <v>45</v>
      </c>
      <c r="O45" s="330">
        <v>1.05</v>
      </c>
      <c r="P45" t="s">
        <v>77</v>
      </c>
      <c r="Q45">
        <f t="shared" ref="Q45:Q50" ca="1" si="10">RANDBETWEEN(1,100)</f>
        <v>8</v>
      </c>
      <c r="S45" s="310" t="s">
        <v>112</v>
      </c>
      <c r="T45" s="92">
        <f>IF(Q41=1,(N45*1.15)*1.05,IF(Q41=2,N45*1.05,IF(Q41=3,N45*1.05,0)))</f>
        <v>54.337499999999991</v>
      </c>
      <c r="U45" s="459" t="s">
        <v>110</v>
      </c>
      <c r="V45" s="460"/>
      <c r="W45" s="461">
        <f>IF(Q43=8,T45+U65,T45)</f>
        <v>54.337499999999991</v>
      </c>
    </row>
    <row r="46" spans="1:23" ht="20.5" customHeight="1" x14ac:dyDescent="0.35">
      <c r="A46" s="36" t="s">
        <v>10</v>
      </c>
      <c r="B46" s="37">
        <f t="shared" si="8"/>
        <v>10</v>
      </c>
      <c r="D46" t="s">
        <v>77</v>
      </c>
      <c r="E46">
        <f ca="1">RANDBETWEEN(1,100)</f>
        <v>64</v>
      </c>
      <c r="G46" s="36" t="s">
        <v>10</v>
      </c>
      <c r="H46" s="277">
        <f t="shared" ref="H46" si="11">B46</f>
        <v>10</v>
      </c>
      <c r="M46" s="305" t="s">
        <v>10</v>
      </c>
      <c r="N46" s="92">
        <f>IF(J20="cerf",H8*1.05,H8)</f>
        <v>30</v>
      </c>
      <c r="P46" t="s">
        <v>78</v>
      </c>
      <c r="Q46">
        <f t="shared" ca="1" si="10"/>
        <v>40</v>
      </c>
      <c r="S46" s="310" t="s">
        <v>10</v>
      </c>
      <c r="T46" s="53">
        <f>IF(Q41=2,N46*1.15,IF(Q41=1,N46,IF(Q41=3,N46,0)))</f>
        <v>30</v>
      </c>
      <c r="U46" s="462" t="s">
        <v>463</v>
      </c>
      <c r="V46" s="463"/>
      <c r="W46" s="464">
        <f>IF(Q43=4,T46+S61,T46)</f>
        <v>30</v>
      </c>
    </row>
    <row r="47" spans="1:23" ht="15" customHeight="1" x14ac:dyDescent="0.35">
      <c r="A47" s="36" t="s">
        <v>11</v>
      </c>
      <c r="B47" s="37">
        <f>B9+C47</f>
        <v>147.5</v>
      </c>
      <c r="C47" s="157">
        <v>10</v>
      </c>
      <c r="D47" t="s">
        <v>78</v>
      </c>
      <c r="E47">
        <f ca="1">RANDBETWEEN(1,100)</f>
        <v>80</v>
      </c>
      <c r="G47" s="36" t="s">
        <v>11</v>
      </c>
      <c r="H47" s="277">
        <f>B47</f>
        <v>147.5</v>
      </c>
      <c r="M47" s="305" t="s">
        <v>11</v>
      </c>
      <c r="N47" s="92">
        <f t="shared" si="9"/>
        <v>0</v>
      </c>
      <c r="P47" t="s">
        <v>290</v>
      </c>
      <c r="Q47">
        <f t="shared" ca="1" si="10"/>
        <v>46</v>
      </c>
      <c r="S47" s="310" t="s">
        <v>11</v>
      </c>
      <c r="T47" s="92">
        <f>N47</f>
        <v>0</v>
      </c>
    </row>
    <row r="48" spans="1:23" ht="15" customHeight="1" x14ac:dyDescent="0.35">
      <c r="A48" s="36" t="s">
        <v>15</v>
      </c>
      <c r="B48" s="37">
        <f t="shared" si="8"/>
        <v>0</v>
      </c>
      <c r="G48" s="36" t="s">
        <v>15</v>
      </c>
      <c r="H48" s="277">
        <f>B48</f>
        <v>0</v>
      </c>
      <c r="M48" s="305" t="s">
        <v>15</v>
      </c>
      <c r="N48" s="92">
        <f t="shared" si="9"/>
        <v>0</v>
      </c>
      <c r="P48" t="s">
        <v>438</v>
      </c>
      <c r="Q48">
        <f t="shared" ca="1" si="10"/>
        <v>14</v>
      </c>
      <c r="S48" s="310" t="s">
        <v>15</v>
      </c>
      <c r="T48" s="92">
        <f>N48</f>
        <v>0</v>
      </c>
    </row>
    <row r="49" spans="1:22" ht="15.5" x14ac:dyDescent="0.35">
      <c r="A49" s="36" t="s">
        <v>14</v>
      </c>
      <c r="B49" s="37">
        <f t="shared" si="8"/>
        <v>25</v>
      </c>
      <c r="D49" s="431" t="str">
        <f>IF(E44=8, "Bonus dégats 3 tours", IF(E44=10,"Bonus dégats 3 tours",""))</f>
        <v/>
      </c>
      <c r="E49" s="430" t="str">
        <f>IF(E44=4, "HEAL", IF(E44=9,"HEAL",""))</f>
        <v/>
      </c>
      <c r="G49" s="36" t="s">
        <v>14</v>
      </c>
      <c r="H49" s="277">
        <f t="shared" ref="H49:H54" si="12">B49</f>
        <v>25</v>
      </c>
      <c r="M49" s="305" t="s">
        <v>14</v>
      </c>
      <c r="N49" s="92">
        <f>H11+O49*H11</f>
        <v>14.4</v>
      </c>
      <c r="O49" s="3">
        <v>0.2</v>
      </c>
      <c r="P49" t="s">
        <v>332</v>
      </c>
      <c r="Q49">
        <f t="shared" ca="1" si="10"/>
        <v>50</v>
      </c>
      <c r="S49" s="310" t="s">
        <v>14</v>
      </c>
      <c r="T49" s="92">
        <f>IF(Q41=2,N49*1.15,IF(Q41=1,N49,IF(Q41=3,N49,0)))</f>
        <v>14.4</v>
      </c>
      <c r="U49" s="364"/>
      <c r="V49" s="365"/>
    </row>
    <row r="50" spans="1:22" x14ac:dyDescent="0.35">
      <c r="A50" s="36" t="s">
        <v>8</v>
      </c>
      <c r="B50" s="37">
        <f t="shared" si="8"/>
        <v>20</v>
      </c>
      <c r="D50" s="458" t="str">
        <f>IF(E44=3, "Bouclier 60 PV","")</f>
        <v/>
      </c>
      <c r="G50" s="36" t="s">
        <v>8</v>
      </c>
      <c r="H50" s="277">
        <f t="shared" si="12"/>
        <v>20</v>
      </c>
      <c r="M50" s="305" t="s">
        <v>8</v>
      </c>
      <c r="N50" s="92">
        <f>IF(J20="aigle",H12+5,H12)</f>
        <v>15</v>
      </c>
      <c r="P50" t="s">
        <v>333</v>
      </c>
      <c r="Q50">
        <f t="shared" ca="1" si="10"/>
        <v>55</v>
      </c>
      <c r="S50" s="310" t="s">
        <v>8</v>
      </c>
      <c r="T50" s="92">
        <f>IF(Q43=9,N50+S66,0)+N50</f>
        <v>15</v>
      </c>
    </row>
    <row r="51" spans="1:22" x14ac:dyDescent="0.35">
      <c r="A51" s="36" t="s">
        <v>9</v>
      </c>
      <c r="B51" s="37">
        <f t="shared" si="8"/>
        <v>10</v>
      </c>
      <c r="G51" s="36" t="s">
        <v>9</v>
      </c>
      <c r="H51" s="277">
        <f t="shared" si="12"/>
        <v>10</v>
      </c>
      <c r="M51" s="305" t="s">
        <v>9</v>
      </c>
      <c r="N51" s="92">
        <f>IF(J20="aigle",H13+5,H13)</f>
        <v>5</v>
      </c>
      <c r="P51" s="25" t="s">
        <v>355</v>
      </c>
      <c r="Q51" s="25">
        <f>Q44/100 + IF(Q43=2,10,IF(Q43=3,10,IF(Q43=4,10, IF(Q43=6,10,0))))</f>
        <v>0.3</v>
      </c>
      <c r="S51" s="310" t="s">
        <v>9</v>
      </c>
      <c r="T51" s="92">
        <f>IF(N3=5,N51-5,N51)</f>
        <v>5</v>
      </c>
    </row>
    <row r="52" spans="1:22" x14ac:dyDescent="0.35">
      <c r="A52" s="36" t="s">
        <v>12</v>
      </c>
      <c r="B52" s="37">
        <f t="shared" si="8"/>
        <v>4</v>
      </c>
      <c r="G52" s="36" t="s">
        <v>12</v>
      </c>
      <c r="H52" s="277">
        <f>IF($V$71&lt;0.5,B52+10, B52)</f>
        <v>4</v>
      </c>
      <c r="M52" s="305" t="s">
        <v>12</v>
      </c>
      <c r="N52" s="92">
        <f>H14</f>
        <v>0</v>
      </c>
      <c r="S52" s="310" t="s">
        <v>12</v>
      </c>
      <c r="T52" s="92">
        <f>IF($V$71&lt;0.5, IF(Q41=3,10+N53+10,N53+10),N53)</f>
        <v>0</v>
      </c>
    </row>
    <row r="53" spans="1:22" x14ac:dyDescent="0.35">
      <c r="A53" s="36" t="s">
        <v>13</v>
      </c>
      <c r="B53" s="37">
        <f t="shared" si="8"/>
        <v>25.2</v>
      </c>
      <c r="G53" s="36" t="s">
        <v>13</v>
      </c>
      <c r="H53" s="277">
        <f t="shared" si="12"/>
        <v>25.2</v>
      </c>
      <c r="M53" s="305" t="s">
        <v>13</v>
      </c>
      <c r="N53" s="92">
        <f>H15</f>
        <v>0</v>
      </c>
      <c r="S53" s="310" t="s">
        <v>13</v>
      </c>
      <c r="T53" s="92">
        <f>N53</f>
        <v>0</v>
      </c>
    </row>
    <row r="54" spans="1:22" ht="15" thickBot="1" x14ac:dyDescent="0.4">
      <c r="A54" s="39" t="s">
        <v>16</v>
      </c>
      <c r="B54" s="37">
        <f t="shared" si="8"/>
        <v>5</v>
      </c>
      <c r="G54" s="39" t="s">
        <v>16</v>
      </c>
      <c r="H54" s="278">
        <f t="shared" si="12"/>
        <v>5</v>
      </c>
      <c r="M54" s="306" t="s">
        <v>16</v>
      </c>
      <c r="N54" s="307">
        <f>H16</f>
        <v>0</v>
      </c>
      <c r="P54" t="str">
        <f>IF(Q43=4, "Bonus puissance","")</f>
        <v/>
      </c>
      <c r="S54" s="311" t="s">
        <v>16</v>
      </c>
      <c r="T54" s="307">
        <f>N54</f>
        <v>0</v>
      </c>
    </row>
    <row r="55" spans="1:22" x14ac:dyDescent="0.35">
      <c r="A55" t="s">
        <v>17</v>
      </c>
      <c r="M55" s="25" t="s">
        <v>17</v>
      </c>
      <c r="N55" s="82" t="s">
        <v>102</v>
      </c>
      <c r="O55" s="83"/>
      <c r="V55" s="8"/>
    </row>
    <row r="56" spans="1:22" x14ac:dyDescent="0.35">
      <c r="A56" t="s">
        <v>18</v>
      </c>
      <c r="B56" t="s">
        <v>59</v>
      </c>
      <c r="D56" s="34"/>
      <c r="M56" s="25" t="s">
        <v>18</v>
      </c>
      <c r="N56" t="s">
        <v>103</v>
      </c>
      <c r="V56" s="8"/>
    </row>
    <row r="57" spans="1:22" ht="15" thickBot="1" x14ac:dyDescent="0.4">
      <c r="A57" t="s">
        <v>19</v>
      </c>
      <c r="B57" t="s">
        <v>34</v>
      </c>
      <c r="D57" s="232" t="s">
        <v>449</v>
      </c>
      <c r="E57" s="232">
        <v>0.9</v>
      </c>
      <c r="M57" s="25" t="s">
        <v>19</v>
      </c>
      <c r="N57" t="s">
        <v>95</v>
      </c>
      <c r="O57" s="449">
        <v>0.05</v>
      </c>
      <c r="P57" t="s">
        <v>108</v>
      </c>
      <c r="V57" s="8"/>
    </row>
    <row r="58" spans="1:22" ht="53" customHeight="1" thickBot="1" x14ac:dyDescent="0.4">
      <c r="A58" s="11" t="s">
        <v>20</v>
      </c>
      <c r="B58" s="359" t="s">
        <v>60</v>
      </c>
      <c r="C58" s="359"/>
      <c r="D58" s="12" t="s">
        <v>37</v>
      </c>
      <c r="E58" s="233">
        <f>45*E57</f>
        <v>40.5</v>
      </c>
      <c r="F58" s="76" t="s">
        <v>71</v>
      </c>
      <c r="G58" s="77">
        <v>15</v>
      </c>
      <c r="H58" s="97" t="s">
        <v>316</v>
      </c>
      <c r="I58" s="97"/>
      <c r="J58" s="428" t="s">
        <v>443</v>
      </c>
      <c r="M58" s="245" t="s">
        <v>20</v>
      </c>
      <c r="N58" s="359" t="s">
        <v>128</v>
      </c>
      <c r="O58" s="359"/>
      <c r="P58" s="106" t="s">
        <v>85</v>
      </c>
      <c r="Q58" s="106">
        <v>5</v>
      </c>
      <c r="R58" s="76" t="s">
        <v>71</v>
      </c>
      <c r="S58" s="76">
        <v>35</v>
      </c>
      <c r="V58" s="422" t="s">
        <v>442</v>
      </c>
    </row>
    <row r="59" spans="1:22" ht="44" customHeight="1" thickBot="1" x14ac:dyDescent="0.4">
      <c r="A59" s="11" t="s">
        <v>21</v>
      </c>
      <c r="B59" s="359" t="s">
        <v>61</v>
      </c>
      <c r="C59" s="359"/>
      <c r="D59" s="12" t="s">
        <v>37</v>
      </c>
      <c r="E59" s="233">
        <f>105*E57</f>
        <v>94.5</v>
      </c>
      <c r="F59" s="76" t="s">
        <v>71</v>
      </c>
      <c r="G59" s="77">
        <v>30</v>
      </c>
      <c r="H59" s="97" t="s">
        <v>317</v>
      </c>
      <c r="I59" s="97"/>
      <c r="J59" s="428" t="s">
        <v>443</v>
      </c>
      <c r="M59" s="246" t="s">
        <v>21</v>
      </c>
      <c r="N59" s="359" t="s">
        <v>129</v>
      </c>
      <c r="O59" s="359"/>
      <c r="P59" s="106" t="s">
        <v>85</v>
      </c>
      <c r="Q59" s="106">
        <v>5</v>
      </c>
      <c r="R59" s="113" t="s">
        <v>131</v>
      </c>
      <c r="S59" s="113">
        <v>0.2</v>
      </c>
      <c r="T59" s="114" t="s">
        <v>15</v>
      </c>
      <c r="U59" s="115">
        <v>10</v>
      </c>
      <c r="V59" s="8"/>
    </row>
    <row r="60" spans="1:22" ht="58" customHeight="1" thickBot="1" x14ac:dyDescent="0.4">
      <c r="A60" s="11" t="s">
        <v>22</v>
      </c>
      <c r="B60" s="359" t="s">
        <v>62</v>
      </c>
      <c r="C60" s="359"/>
      <c r="D60" s="12" t="s">
        <v>37</v>
      </c>
      <c r="E60" s="233">
        <f>75*E57</f>
        <v>67.5</v>
      </c>
      <c r="F60" s="228" t="s">
        <v>319</v>
      </c>
      <c r="G60" s="229">
        <v>60</v>
      </c>
      <c r="H60" s="97" t="s">
        <v>318</v>
      </c>
      <c r="I60" s="97"/>
      <c r="M60" s="246" t="s">
        <v>22</v>
      </c>
      <c r="N60" s="359" t="s">
        <v>130</v>
      </c>
      <c r="O60" s="359"/>
      <c r="P60" s="106" t="s">
        <v>85</v>
      </c>
      <c r="Q60" s="106">
        <v>10</v>
      </c>
      <c r="R60" s="76" t="s">
        <v>71</v>
      </c>
      <c r="S60" s="76">
        <v>25</v>
      </c>
      <c r="T60" s="114" t="s">
        <v>15</v>
      </c>
      <c r="U60" s="115">
        <v>10</v>
      </c>
      <c r="V60" s="422" t="s">
        <v>442</v>
      </c>
    </row>
    <row r="61" spans="1:22" ht="56" customHeight="1" thickBot="1" x14ac:dyDescent="0.4">
      <c r="A61" s="11" t="s">
        <v>23</v>
      </c>
      <c r="B61" s="353" t="s">
        <v>64</v>
      </c>
      <c r="C61" s="369"/>
      <c r="D61" s="12" t="s">
        <v>37</v>
      </c>
      <c r="E61" s="233">
        <f>105*E57</f>
        <v>94.5</v>
      </c>
      <c r="F61" s="76" t="s">
        <v>71</v>
      </c>
      <c r="G61" s="77">
        <v>50</v>
      </c>
      <c r="H61" s="230" t="s">
        <v>320</v>
      </c>
      <c r="I61" s="150"/>
      <c r="J61" s="428" t="s">
        <v>443</v>
      </c>
      <c r="M61" s="246" t="s">
        <v>23</v>
      </c>
      <c r="N61" s="359" t="s">
        <v>137</v>
      </c>
      <c r="O61" s="359"/>
      <c r="P61" s="106" t="s">
        <v>85</v>
      </c>
      <c r="Q61" s="106">
        <v>-12</v>
      </c>
      <c r="R61" s="226" t="s">
        <v>312</v>
      </c>
      <c r="S61" s="117">
        <v>45</v>
      </c>
      <c r="T61" s="114" t="s">
        <v>15</v>
      </c>
      <c r="U61" s="115">
        <v>10</v>
      </c>
      <c r="V61" s="8"/>
    </row>
    <row r="62" spans="1:22" ht="69" customHeight="1" thickBot="1" x14ac:dyDescent="0.4">
      <c r="A62" s="11" t="s">
        <v>24</v>
      </c>
      <c r="B62" s="353" t="s">
        <v>63</v>
      </c>
      <c r="C62" s="353"/>
      <c r="D62" s="12" t="s">
        <v>37</v>
      </c>
      <c r="E62" s="233">
        <f>150*E57</f>
        <v>135</v>
      </c>
      <c r="F62" s="76" t="s">
        <v>71</v>
      </c>
      <c r="G62" s="77">
        <v>35</v>
      </c>
      <c r="H62" s="234"/>
      <c r="J62" s="428" t="s">
        <v>443</v>
      </c>
      <c r="M62" s="246" t="s">
        <v>24</v>
      </c>
      <c r="N62" s="359" t="s">
        <v>132</v>
      </c>
      <c r="O62" s="359"/>
      <c r="P62" s="106" t="s">
        <v>85</v>
      </c>
      <c r="Q62" s="106">
        <v>-2</v>
      </c>
      <c r="R62" s="76" t="s">
        <v>71</v>
      </c>
      <c r="S62" s="76"/>
      <c r="V62" s="422" t="s">
        <v>442</v>
      </c>
    </row>
    <row r="63" spans="1:22" ht="68" customHeight="1" thickBot="1" x14ac:dyDescent="0.4">
      <c r="A63" s="11" t="s">
        <v>25</v>
      </c>
      <c r="B63" s="359" t="s">
        <v>65</v>
      </c>
      <c r="C63" s="359"/>
      <c r="D63" s="12" t="s">
        <v>37</v>
      </c>
      <c r="E63" s="233">
        <f>100*E57</f>
        <v>90</v>
      </c>
      <c r="F63" s="76" t="s">
        <v>71</v>
      </c>
      <c r="G63" s="77">
        <v>45</v>
      </c>
      <c r="H63" s="234"/>
      <c r="J63" s="428" t="s">
        <v>443</v>
      </c>
      <c r="M63" s="246" t="s">
        <v>25</v>
      </c>
      <c r="N63" s="359" t="s">
        <v>133</v>
      </c>
      <c r="O63" s="359"/>
      <c r="P63" s="106" t="s">
        <v>85</v>
      </c>
      <c r="Q63" s="106">
        <v>5</v>
      </c>
      <c r="R63" s="114" t="s">
        <v>15</v>
      </c>
      <c r="S63" s="115">
        <v>10</v>
      </c>
      <c r="V63" s="8"/>
    </row>
    <row r="64" spans="1:22" ht="57" customHeight="1" thickBot="1" x14ac:dyDescent="0.4">
      <c r="A64" s="11" t="s">
        <v>26</v>
      </c>
      <c r="B64" s="353" t="s">
        <v>67</v>
      </c>
      <c r="C64" s="353"/>
      <c r="D64" s="12" t="s">
        <v>37</v>
      </c>
      <c r="E64" s="233">
        <f>120*E57</f>
        <v>108</v>
      </c>
      <c r="F64" s="76" t="s">
        <v>71</v>
      </c>
      <c r="G64" s="77">
        <v>20</v>
      </c>
      <c r="J64" s="428" t="s">
        <v>443</v>
      </c>
      <c r="M64" s="246" t="s">
        <v>26</v>
      </c>
      <c r="N64" s="359" t="s">
        <v>135</v>
      </c>
      <c r="O64" s="359"/>
      <c r="P64" s="106" t="s">
        <v>85</v>
      </c>
      <c r="Q64" s="106">
        <v>-2</v>
      </c>
      <c r="R64" s="76" t="s">
        <v>71</v>
      </c>
      <c r="S64" s="76"/>
      <c r="V64" s="422" t="s">
        <v>442</v>
      </c>
    </row>
    <row r="65" spans="1:22" ht="73" customHeight="1" thickBot="1" x14ac:dyDescent="0.4">
      <c r="A65" s="78" t="s">
        <v>27</v>
      </c>
      <c r="B65" s="353" t="s">
        <v>68</v>
      </c>
      <c r="C65" s="353"/>
      <c r="D65" s="12" t="s">
        <v>37</v>
      </c>
      <c r="E65" s="233">
        <f>120*E57</f>
        <v>108</v>
      </c>
      <c r="F65" s="76" t="s">
        <v>71</v>
      </c>
      <c r="G65" s="77">
        <v>70</v>
      </c>
      <c r="H65" s="97" t="s">
        <v>448</v>
      </c>
      <c r="I65" s="234"/>
      <c r="J65" s="428" t="s">
        <v>443</v>
      </c>
      <c r="M65" s="246" t="s">
        <v>27</v>
      </c>
      <c r="N65" s="359" t="s">
        <v>136</v>
      </c>
      <c r="O65" s="359"/>
      <c r="P65" s="106" t="s">
        <v>85</v>
      </c>
      <c r="Q65" s="106">
        <v>5</v>
      </c>
      <c r="R65" s="107" t="s">
        <v>5</v>
      </c>
      <c r="S65" s="107">
        <v>150</v>
      </c>
      <c r="T65" s="108" t="s">
        <v>95</v>
      </c>
      <c r="U65" s="109">
        <v>150</v>
      </c>
      <c r="V65" s="8"/>
    </row>
    <row r="66" spans="1:22" ht="88" customHeight="1" thickBot="1" x14ac:dyDescent="0.4">
      <c r="A66" s="11" t="s">
        <v>28</v>
      </c>
      <c r="B66" s="359" t="s">
        <v>450</v>
      </c>
      <c r="C66" s="359"/>
      <c r="D66" s="12" t="s">
        <v>37</v>
      </c>
      <c r="E66" s="12">
        <f>90*E57</f>
        <v>81</v>
      </c>
      <c r="F66" s="76" t="s">
        <v>71</v>
      </c>
      <c r="G66" s="77"/>
      <c r="H66" s="150" t="s">
        <v>451</v>
      </c>
      <c r="I66" t="s">
        <v>351</v>
      </c>
      <c r="J66" s="428" t="s">
        <v>443</v>
      </c>
      <c r="M66" s="246" t="s">
        <v>28</v>
      </c>
      <c r="N66" s="353" t="s">
        <v>138</v>
      </c>
      <c r="O66" s="353"/>
      <c r="P66" s="106" t="s">
        <v>85</v>
      </c>
      <c r="Q66" s="106">
        <v>-2</v>
      </c>
      <c r="R66" s="76" t="s">
        <v>71</v>
      </c>
      <c r="S66" s="76"/>
      <c r="T66" s="114" t="s">
        <v>15</v>
      </c>
      <c r="U66" s="115"/>
      <c r="V66" s="422" t="s">
        <v>442</v>
      </c>
    </row>
    <row r="67" spans="1:22" ht="88" customHeight="1" thickBot="1" x14ac:dyDescent="0.4">
      <c r="A67" s="11" t="s">
        <v>29</v>
      </c>
      <c r="B67" s="353" t="s">
        <v>70</v>
      </c>
      <c r="C67" s="353"/>
      <c r="D67" s="12" t="s">
        <v>37</v>
      </c>
      <c r="E67" s="12"/>
      <c r="F67" s="76" t="s">
        <v>71</v>
      </c>
      <c r="G67" s="77">
        <v>150</v>
      </c>
      <c r="H67" s="97" t="s">
        <v>452</v>
      </c>
      <c r="I67" s="97"/>
      <c r="J67" s="428" t="s">
        <v>443</v>
      </c>
      <c r="M67" s="246" t="s">
        <v>29</v>
      </c>
      <c r="N67" s="359" t="s">
        <v>139</v>
      </c>
      <c r="O67" s="359"/>
      <c r="P67" s="113" t="s">
        <v>140</v>
      </c>
      <c r="Q67" s="113">
        <v>0.75</v>
      </c>
      <c r="R67" s="76" t="s">
        <v>71</v>
      </c>
      <c r="S67" s="76"/>
      <c r="T67" s="116" t="s">
        <v>141</v>
      </c>
      <c r="U67" s="116"/>
      <c r="V67" s="422" t="s">
        <v>442</v>
      </c>
    </row>
    <row r="68" spans="1:22" ht="97" customHeight="1" thickBot="1" x14ac:dyDescent="0.4">
      <c r="A68" s="68" t="s">
        <v>73</v>
      </c>
      <c r="B68" s="69"/>
      <c r="C68" s="72" t="s">
        <v>72</v>
      </c>
      <c r="D68" s="71"/>
      <c r="E68" s="73" t="s">
        <v>74</v>
      </c>
      <c r="G68" s="16" t="s">
        <v>56</v>
      </c>
      <c r="H68" s="16"/>
      <c r="M68" s="247"/>
      <c r="N68" s="34"/>
      <c r="O68" s="103"/>
      <c r="P68" s="34"/>
      <c r="Q68" s="104"/>
      <c r="R68" s="34"/>
      <c r="V68" s="8"/>
    </row>
    <row r="69" spans="1:22" ht="58.5" thickBot="1" x14ac:dyDescent="0.4">
      <c r="A69" s="68" t="s">
        <v>322</v>
      </c>
      <c r="B69" s="69"/>
      <c r="C69" s="72" t="s">
        <v>72</v>
      </c>
      <c r="D69" s="71"/>
      <c r="E69" s="73" t="s">
        <v>74</v>
      </c>
      <c r="G69" s="16" t="s">
        <v>56</v>
      </c>
      <c r="H69" s="16"/>
      <c r="V69" s="8"/>
    </row>
    <row r="70" spans="1:22" ht="15" thickBot="1" x14ac:dyDescent="0.4">
      <c r="M70" s="248" t="s">
        <v>0</v>
      </c>
      <c r="N70" s="44" t="s">
        <v>186</v>
      </c>
      <c r="P70" s="120"/>
      <c r="Q70" s="121"/>
      <c r="R70" s="122"/>
      <c r="S70" s="312" t="s">
        <v>0</v>
      </c>
      <c r="T70" s="44" t="s">
        <v>186</v>
      </c>
      <c r="U70" s="301" t="s">
        <v>341</v>
      </c>
      <c r="V70" s="422" t="s">
        <v>430</v>
      </c>
    </row>
    <row r="71" spans="1:22" ht="15" thickBot="1" x14ac:dyDescent="0.4">
      <c r="A71" s="41" t="s">
        <v>0</v>
      </c>
      <c r="B71" s="42" t="s">
        <v>79</v>
      </c>
      <c r="G71" s="316" t="s">
        <v>0</v>
      </c>
      <c r="H71" s="317" t="s">
        <v>79</v>
      </c>
      <c r="I71" s="301" t="s">
        <v>431</v>
      </c>
      <c r="M71" s="249" t="s">
        <v>1</v>
      </c>
      <c r="N71" s="138">
        <f>IF(J20="ours",E2*1.1,E2)</f>
        <v>600</v>
      </c>
      <c r="P71" s="120"/>
      <c r="Q71" s="122"/>
      <c r="R71" s="120"/>
      <c r="S71" s="313" t="s">
        <v>1</v>
      </c>
      <c r="T71" s="46">
        <f>N71</f>
        <v>600</v>
      </c>
      <c r="U71" s="302">
        <f>IF(J20="ours",T71/(E2*1.1), T71/E2)</f>
        <v>1</v>
      </c>
      <c r="V71" s="423">
        <f>IF(J20="ours",IF(Q41=1,(T71+T40+H72)/((H2*1.15+E2+B2)*1.1),(T71+T40+H72)/((H2+E2+B2)*1.1)),IF(Q41=1,(T71+T40+H40)/(H2*1.15+E2+B2),(T71+T40+H40)/(H2+E2+B2)))</f>
        <v>1</v>
      </c>
    </row>
    <row r="72" spans="1:22" x14ac:dyDescent="0.35">
      <c r="A72" s="36" t="s">
        <v>1</v>
      </c>
      <c r="B72" s="191">
        <f>B2+B2*C72</f>
        <v>665.5</v>
      </c>
      <c r="C72" s="162">
        <v>0.1</v>
      </c>
      <c r="G72" s="36" t="s">
        <v>1</v>
      </c>
      <c r="H72" s="318">
        <f>B72</f>
        <v>665.5</v>
      </c>
      <c r="I72" s="302">
        <f>H72/(B2*1.1)</f>
        <v>1</v>
      </c>
      <c r="M72" s="249" t="s">
        <v>2</v>
      </c>
      <c r="N72" s="138">
        <f t="shared" ref="N72:N85" si="13">E3</f>
        <v>141</v>
      </c>
      <c r="P72" s="120"/>
      <c r="Q72" s="123"/>
      <c r="R72" s="120"/>
      <c r="S72" s="313" t="s">
        <v>2</v>
      </c>
      <c r="T72" s="46">
        <f>IF(Q74=3,N72+Q91, IF(Q74=5, N72+Q93,IF(Q74=9, N72+S97,IF(Q74=11,N72+Q99,N72))))</f>
        <v>141</v>
      </c>
      <c r="V72" s="8"/>
    </row>
    <row r="73" spans="1:22" x14ac:dyDescent="0.35">
      <c r="A73" s="36" t="s">
        <v>2</v>
      </c>
      <c r="B73" s="37">
        <f t="shared" ref="B73:B86" si="14">B3</f>
        <v>369</v>
      </c>
      <c r="G73" s="36" t="s">
        <v>2</v>
      </c>
      <c r="H73" s="277">
        <f>B73</f>
        <v>369</v>
      </c>
      <c r="M73" s="249" t="s">
        <v>3</v>
      </c>
      <c r="N73" s="138">
        <f t="shared" si="13"/>
        <v>445</v>
      </c>
      <c r="P73" s="120"/>
      <c r="Q73" s="120"/>
      <c r="R73" s="120"/>
      <c r="S73" s="313" t="s">
        <v>3</v>
      </c>
      <c r="T73" s="46">
        <f>IF(Q74=1,N73+Q89, IF(Q74=2, N73+Q90,IF(Q74=4, N73+Q92,IF(Q74=6, N73+Q94,IF(Q74=7, N73+Q95,IF(Q74=8, N73+Q96,IF(Q74=10, N73+Q98,IF(Q74=12, N73+Q100,0))))))))</f>
        <v>0</v>
      </c>
      <c r="V73" s="8"/>
    </row>
    <row r="74" spans="1:22" x14ac:dyDescent="0.35">
      <c r="A74" s="36" t="s">
        <v>3</v>
      </c>
      <c r="B74" s="37">
        <f t="shared" si="14"/>
        <v>126</v>
      </c>
      <c r="G74" s="36" t="s">
        <v>3</v>
      </c>
      <c r="H74" s="277">
        <f>B74</f>
        <v>126</v>
      </c>
      <c r="M74" s="249" t="s">
        <v>4</v>
      </c>
      <c r="N74" s="138">
        <f t="shared" si="13"/>
        <v>0</v>
      </c>
      <c r="P74" t="s">
        <v>76</v>
      </c>
      <c r="Q74" s="25"/>
      <c r="S74" s="313" t="s">
        <v>4</v>
      </c>
      <c r="T74" s="46"/>
      <c r="V74" s="8"/>
    </row>
    <row r="75" spans="1:22" x14ac:dyDescent="0.35">
      <c r="A75" s="36" t="s">
        <v>4</v>
      </c>
      <c r="B75" s="37">
        <f t="shared" si="14"/>
        <v>0</v>
      </c>
      <c r="D75" t="s">
        <v>76</v>
      </c>
      <c r="G75" s="36" t="s">
        <v>4</v>
      </c>
      <c r="H75" s="277">
        <f>IF(E75=1, B75+E90,IF(E75=2, B75+E91, IF(E75=3, B75+E92, IF(E75=4, B75+E93, IF(E75=6,B75+E95, IF(E75=7, B75+E96,0))))))</f>
        <v>0</v>
      </c>
      <c r="M75" s="249" t="s">
        <v>6</v>
      </c>
      <c r="N75" s="138">
        <f t="shared" si="13"/>
        <v>60</v>
      </c>
      <c r="P75" t="s">
        <v>432</v>
      </c>
      <c r="Q75" s="25">
        <f>IF(J20="requin",IF(Q74=1,(T77+S89)*1.04,IF(Q74=3,(T78+S91)*1.04,IF(Q74=4,(T77+S92)*1.04,IF(Q74=5,(T78+S93)*1.04,IF(Q74=6,(T77+S94)*1.04,IF(Q74=7,(T77+S95)*1.04,IF(Q74=8,(T77+S96)*1.04,IF(Q74=10,(T77+S98)*1.04,IF(Q74=11,(T78+S99)*1.04,IF(Q74=12,(T77+S100)*1.04,0)))))))))),IF(Q74=1,T77+S89,IF(Q74=3,T78+S91,IF(Q74=4,T77+S92,IF(Q74=5,T78+S93,IF(Q74=6,T77+S94,IF(Q74=7,T77+S95,IF(Q74=8,T77+S96,IF(Q74=10,T77+S98,IF(Q74=11,T78+S99,IF(Q74=12,T77+S100,0)))))))))))</f>
        <v>0</v>
      </c>
      <c r="S75" s="313" t="s">
        <v>6</v>
      </c>
      <c r="T75" s="46">
        <f>N75</f>
        <v>60</v>
      </c>
      <c r="V75" s="8"/>
    </row>
    <row r="76" spans="1:22" ht="14.5" customHeight="1" thickBot="1" x14ac:dyDescent="0.4">
      <c r="A76" s="36" t="s">
        <v>6</v>
      </c>
      <c r="B76" s="37">
        <f>B6+B6*C76</f>
        <v>160</v>
      </c>
      <c r="C76" s="162">
        <v>1</v>
      </c>
      <c r="D76" t="s">
        <v>75</v>
      </c>
      <c r="E76">
        <f>IF(E75=1,H78+G90,IF(E75=4,H78+G93,IF(E75=6,H78+G95,IF(E75=7,H78+G96,IF(E75=10,H78+G99,0)))))</f>
        <v>0</v>
      </c>
      <c r="G76" s="36" t="s">
        <v>6</v>
      </c>
      <c r="H76" s="277">
        <f>IF(E75=5,B76,IF(E75=8,B76*0.5,0))+B76</f>
        <v>160</v>
      </c>
      <c r="I76" s="431" t="str">
        <f>IF(E75=5,"Bonus armure",IF(E75=8,"Bonus armure",""))</f>
        <v/>
      </c>
      <c r="M76" s="249" t="s">
        <v>7</v>
      </c>
      <c r="N76" s="138">
        <f t="shared" si="13"/>
        <v>47</v>
      </c>
      <c r="P76" s="322" t="s">
        <v>433</v>
      </c>
      <c r="Q76" s="331">
        <f>IF(V4&gt;0,IF(U71&lt;0.5,Q75*1.5+V4, Q75+V4),IF(U71&lt;0.5,Q75*1.5, Q75))</f>
        <v>0</v>
      </c>
      <c r="S76" s="313" t="s">
        <v>7</v>
      </c>
      <c r="T76" s="46">
        <f>N76</f>
        <v>47</v>
      </c>
      <c r="V76" s="8"/>
    </row>
    <row r="77" spans="1:22" ht="14.5" customHeight="1" thickBot="1" x14ac:dyDescent="0.4">
      <c r="A77" s="36" t="s">
        <v>7</v>
      </c>
      <c r="B77" s="37">
        <f t="shared" si="14"/>
        <v>35</v>
      </c>
      <c r="C77" s="153"/>
      <c r="D77" t="s">
        <v>77</v>
      </c>
      <c r="E77">
        <f ca="1">RANDBETWEEN(1,100)</f>
        <v>93</v>
      </c>
      <c r="G77" s="36" t="s">
        <v>7</v>
      </c>
      <c r="H77" s="277">
        <f>IF(E75=8,B77,0)+B77</f>
        <v>35</v>
      </c>
      <c r="I77" s="431" t="str">
        <f>IF(E75=8,"Bonus armure","")</f>
        <v/>
      </c>
      <c r="M77" s="249" t="s">
        <v>10</v>
      </c>
      <c r="N77" s="258">
        <f>IF(J20="cerf",E8*1.05,E8)</f>
        <v>115</v>
      </c>
      <c r="P77" t="s">
        <v>77</v>
      </c>
      <c r="Q77">
        <f ca="1">RANDBETWEEN(1,100)</f>
        <v>26</v>
      </c>
      <c r="S77" s="313" t="s">
        <v>10</v>
      </c>
      <c r="T77" s="46">
        <f>IF(Q74=2,N77*1.3,N77)</f>
        <v>115</v>
      </c>
      <c r="U77" s="112" t="s">
        <v>464</v>
      </c>
      <c r="V77" s="112">
        <f>IF(Q74=2, T77*1.3,T77)</f>
        <v>115</v>
      </c>
    </row>
    <row r="78" spans="1:22" x14ac:dyDescent="0.35">
      <c r="A78" s="36" t="s">
        <v>10</v>
      </c>
      <c r="B78" s="37">
        <f>B8+C78</f>
        <v>25</v>
      </c>
      <c r="C78" s="8">
        <v>15</v>
      </c>
      <c r="D78" t="s">
        <v>78</v>
      </c>
      <c r="E78">
        <f ca="1">RANDBETWEEN(1,100)</f>
        <v>6</v>
      </c>
      <c r="G78" s="36" t="s">
        <v>10</v>
      </c>
      <c r="H78" s="277">
        <f>IF(E75=9,B78+E98,B78)</f>
        <v>25</v>
      </c>
      <c r="M78" s="249" t="s">
        <v>11</v>
      </c>
      <c r="N78" s="138">
        <f t="shared" si="13"/>
        <v>15</v>
      </c>
      <c r="P78" t="s">
        <v>78</v>
      </c>
      <c r="Q78">
        <f ca="1">RANDBETWEEN(1,100)</f>
        <v>99</v>
      </c>
      <c r="S78" s="313" t="s">
        <v>11</v>
      </c>
      <c r="T78" s="46">
        <v>35</v>
      </c>
      <c r="V78" s="8"/>
    </row>
    <row r="79" spans="1:22" x14ac:dyDescent="0.35">
      <c r="A79" s="36" t="s">
        <v>11</v>
      </c>
      <c r="B79" s="37">
        <f t="shared" si="14"/>
        <v>137.5</v>
      </c>
      <c r="G79" s="36" t="s">
        <v>11</v>
      </c>
      <c r="H79" s="277">
        <f t="shared" ref="H79:H80" si="15">IF(E76=9,B79+E99,B79)</f>
        <v>137.5</v>
      </c>
      <c r="M79" s="249" t="s">
        <v>15</v>
      </c>
      <c r="N79" s="138">
        <f t="shared" si="13"/>
        <v>0</v>
      </c>
      <c r="P79" s="25" t="s">
        <v>355</v>
      </c>
      <c r="Q79" s="243">
        <f>Q75/100</f>
        <v>0</v>
      </c>
      <c r="S79" s="313" t="s">
        <v>15</v>
      </c>
      <c r="T79" s="46"/>
      <c r="V79" s="8"/>
    </row>
    <row r="80" spans="1:22" ht="15.5" x14ac:dyDescent="0.35">
      <c r="A80" s="36" t="s">
        <v>15</v>
      </c>
      <c r="B80" s="37">
        <f t="shared" si="14"/>
        <v>0</v>
      </c>
      <c r="G80" s="36" t="s">
        <v>15</v>
      </c>
      <c r="H80" s="277">
        <f t="shared" ca="1" si="15"/>
        <v>0</v>
      </c>
      <c r="M80" s="249" t="s">
        <v>14</v>
      </c>
      <c r="N80" s="138">
        <f t="shared" si="13"/>
        <v>20</v>
      </c>
      <c r="P80" s="132" t="s">
        <v>169</v>
      </c>
      <c r="Q80" s="132">
        <f>Q75+N101</f>
        <v>0</v>
      </c>
      <c r="S80" s="313" t="s">
        <v>14</v>
      </c>
      <c r="T80" s="46">
        <f t="shared" ref="T80:T85" si="16">N80</f>
        <v>20</v>
      </c>
      <c r="V80" s="8"/>
    </row>
    <row r="81" spans="1:22" x14ac:dyDescent="0.35">
      <c r="A81" s="36" t="s">
        <v>14</v>
      </c>
      <c r="B81" s="37">
        <f t="shared" si="14"/>
        <v>25</v>
      </c>
      <c r="G81" s="36" t="s">
        <v>14</v>
      </c>
      <c r="H81" s="277">
        <f>IF(E75=2,B81+G91,0)+B81</f>
        <v>25</v>
      </c>
      <c r="I81" t="str">
        <f>IF(E75=2,"Bonus vitesse","")</f>
        <v/>
      </c>
      <c r="M81" s="249" t="s">
        <v>8</v>
      </c>
      <c r="N81" s="138">
        <f>IF(J20="aigle",E12+5,E12)</f>
        <v>20</v>
      </c>
      <c r="S81" s="313" t="s">
        <v>8</v>
      </c>
      <c r="T81" s="46">
        <f t="shared" si="16"/>
        <v>20</v>
      </c>
      <c r="U81" s="323" t="s">
        <v>435</v>
      </c>
      <c r="V81" s="424">
        <f>IF(AND(U71&lt;0.75, U71&gt;0.5), T81+5, IF(U71&gt;0.75, T81+10,T81))</f>
        <v>30</v>
      </c>
    </row>
    <row r="82" spans="1:22" ht="15.5" x14ac:dyDescent="0.35">
      <c r="A82" s="36" t="s">
        <v>8</v>
      </c>
      <c r="B82" s="37">
        <f t="shared" si="14"/>
        <v>20</v>
      </c>
      <c r="D82" t="str">
        <f>IF(E75=9,"Bonus puissance physique 2T suivants","")</f>
        <v/>
      </c>
      <c r="G82" s="36" t="s">
        <v>8</v>
      </c>
      <c r="H82" s="277">
        <f>IF(E75=9,B82+20,B82)</f>
        <v>20</v>
      </c>
      <c r="I82" t="str">
        <f>IF(E75=9,"Bonus coup critique","")</f>
        <v/>
      </c>
      <c r="M82" s="249" t="s">
        <v>9</v>
      </c>
      <c r="N82" s="138">
        <f>IF(J20="aigle",E13+5,E13)</f>
        <v>9.5</v>
      </c>
      <c r="P82" s="430" t="str">
        <f>IF(Q74=2, "puissance", IF(Q74=9,"heal &amp; mana",""))</f>
        <v/>
      </c>
      <c r="S82" s="313" t="s">
        <v>9</v>
      </c>
      <c r="T82" s="46">
        <f>IF(N3=5,N82-5,N82)</f>
        <v>9.5</v>
      </c>
      <c r="U82" s="128" t="s">
        <v>436</v>
      </c>
      <c r="V82" s="450">
        <f>IF(AND(U71&lt;0.5, U71&gt;0.25), T82+5, IF(U71&lt;0.25, T82+10,T82))</f>
        <v>9.5</v>
      </c>
    </row>
    <row r="83" spans="1:22" x14ac:dyDescent="0.35">
      <c r="A83" s="36" t="s">
        <v>9</v>
      </c>
      <c r="B83" s="37">
        <f t="shared" si="14"/>
        <v>10</v>
      </c>
      <c r="G83" s="36" t="s">
        <v>9</v>
      </c>
      <c r="H83" s="277">
        <f>B83</f>
        <v>10</v>
      </c>
      <c r="M83" s="249" t="s">
        <v>12</v>
      </c>
      <c r="N83" s="138">
        <f t="shared" si="13"/>
        <v>10</v>
      </c>
      <c r="S83" s="313" t="s">
        <v>12</v>
      </c>
      <c r="T83" s="46">
        <f>IF($V$71&lt;0.5,N83+10,N83)</f>
        <v>10</v>
      </c>
      <c r="V83" s="8"/>
    </row>
    <row r="84" spans="1:22" ht="15" thickBot="1" x14ac:dyDescent="0.4">
      <c r="A84" s="36" t="s">
        <v>12</v>
      </c>
      <c r="B84" s="37">
        <f t="shared" si="14"/>
        <v>4</v>
      </c>
      <c r="G84" s="36" t="s">
        <v>12</v>
      </c>
      <c r="H84" s="277">
        <f>IF($V$71&lt;0.5,B84+10, B84)</f>
        <v>4</v>
      </c>
      <c r="M84" s="249" t="s">
        <v>13</v>
      </c>
      <c r="N84" s="138">
        <f t="shared" si="13"/>
        <v>12</v>
      </c>
      <c r="S84" s="314" t="s">
        <v>13</v>
      </c>
      <c r="T84" s="315">
        <f>IF(N3=9,N84+10,IF(S3=9,N84+10, IF(X3=9,N84+10,N84)))</f>
        <v>22</v>
      </c>
      <c r="V84" s="8"/>
    </row>
    <row r="85" spans="1:22" ht="15" thickBot="1" x14ac:dyDescent="0.4">
      <c r="A85" s="36" t="s">
        <v>13</v>
      </c>
      <c r="B85" s="37">
        <f t="shared" si="14"/>
        <v>25.2</v>
      </c>
      <c r="G85" s="36" t="s">
        <v>13</v>
      </c>
      <c r="H85" s="277">
        <f t="shared" ref="H85:H86" si="17">B85</f>
        <v>25.2</v>
      </c>
      <c r="M85" s="250" t="s">
        <v>16</v>
      </c>
      <c r="N85" s="138">
        <f t="shared" si="13"/>
        <v>10</v>
      </c>
      <c r="S85" s="46" t="s">
        <v>16</v>
      </c>
      <c r="T85" s="46">
        <f t="shared" si="16"/>
        <v>10</v>
      </c>
      <c r="V85" s="8"/>
    </row>
    <row r="86" spans="1:22" ht="16" thickBot="1" x14ac:dyDescent="0.4">
      <c r="A86" s="39" t="s">
        <v>16</v>
      </c>
      <c r="B86" s="37">
        <f t="shared" si="14"/>
        <v>5</v>
      </c>
      <c r="G86" s="39" t="s">
        <v>16</v>
      </c>
      <c r="H86" s="278">
        <f t="shared" si="17"/>
        <v>5</v>
      </c>
      <c r="M86" s="25" t="s">
        <v>17</v>
      </c>
      <c r="N86" s="154" t="s">
        <v>229</v>
      </c>
      <c r="O86" s="164">
        <v>5</v>
      </c>
      <c r="P86" s="326" t="s">
        <v>230</v>
      </c>
      <c r="Q86" s="326" t="s">
        <v>231</v>
      </c>
      <c r="R86" s="324" t="s">
        <v>232</v>
      </c>
      <c r="S86" s="325" t="s">
        <v>233</v>
      </c>
      <c r="T86" s="324"/>
      <c r="V86" s="8"/>
    </row>
    <row r="87" spans="1:22" x14ac:dyDescent="0.35">
      <c r="A87" t="s">
        <v>17</v>
      </c>
      <c r="B87" s="75" t="s">
        <v>80</v>
      </c>
      <c r="C87" s="74" t="s">
        <v>81</v>
      </c>
      <c r="M87" s="25" t="s">
        <v>18</v>
      </c>
      <c r="N87" s="227" t="s">
        <v>315</v>
      </c>
      <c r="O87" s="34"/>
      <c r="V87" s="8"/>
    </row>
    <row r="88" spans="1:22" ht="15" thickBot="1" x14ac:dyDescent="0.4">
      <c r="A88" t="s">
        <v>18</v>
      </c>
      <c r="B88" s="141" t="s">
        <v>227</v>
      </c>
      <c r="C88" s="141">
        <v>15</v>
      </c>
      <c r="D88" s="82" t="s">
        <v>228</v>
      </c>
      <c r="E88" s="83">
        <v>1</v>
      </c>
      <c r="M88" s="25" t="s">
        <v>19</v>
      </c>
      <c r="N88" s="151" t="s">
        <v>434</v>
      </c>
      <c r="O88" s="151"/>
      <c r="P88" s="235" t="s">
        <v>340</v>
      </c>
      <c r="Q88" s="235"/>
      <c r="R88" s="235"/>
      <c r="S88" s="235"/>
      <c r="V88" s="8"/>
    </row>
    <row r="89" spans="1:22" ht="106.5" customHeight="1" thickBot="1" x14ac:dyDescent="0.4">
      <c r="A89" t="s">
        <v>19</v>
      </c>
      <c r="M89" s="245" t="s">
        <v>20</v>
      </c>
      <c r="N89" s="354" t="s">
        <v>151</v>
      </c>
      <c r="O89" s="354"/>
      <c r="P89" s="124" t="s">
        <v>3</v>
      </c>
      <c r="Q89" s="124">
        <v>-30</v>
      </c>
      <c r="R89" s="76" t="s">
        <v>71</v>
      </c>
      <c r="S89" s="76">
        <v>35</v>
      </c>
      <c r="V89" s="422" t="s">
        <v>442</v>
      </c>
    </row>
    <row r="90" spans="1:22" ht="73.5" customHeight="1" thickBot="1" x14ac:dyDescent="0.4">
      <c r="A90" s="66" t="s">
        <v>20</v>
      </c>
      <c r="B90" s="357" t="s">
        <v>82</v>
      </c>
      <c r="C90" s="357"/>
      <c r="D90" s="105" t="s">
        <v>85</v>
      </c>
      <c r="E90" s="105">
        <v>10</v>
      </c>
      <c r="F90" s="76" t="s">
        <v>71</v>
      </c>
      <c r="G90" s="259">
        <v>20</v>
      </c>
      <c r="H90" s="7" t="s">
        <v>15</v>
      </c>
      <c r="J90" s="422" t="s">
        <v>442</v>
      </c>
      <c r="M90" s="246" t="s">
        <v>21</v>
      </c>
      <c r="N90" s="353" t="s">
        <v>152</v>
      </c>
      <c r="O90" s="353"/>
      <c r="P90" s="124" t="s">
        <v>3</v>
      </c>
      <c r="Q90" s="124">
        <v>-60</v>
      </c>
      <c r="R90" s="112" t="s">
        <v>96</v>
      </c>
      <c r="S90" s="125">
        <v>0.3</v>
      </c>
      <c r="T90" s="102"/>
      <c r="V90" s="422" t="s">
        <v>442</v>
      </c>
    </row>
    <row r="91" spans="1:22" ht="77" customHeight="1" thickBot="1" x14ac:dyDescent="0.4">
      <c r="A91" s="11" t="s">
        <v>21</v>
      </c>
      <c r="B91" s="359" t="s">
        <v>470</v>
      </c>
      <c r="C91" s="359"/>
      <c r="D91" s="106" t="s">
        <v>85</v>
      </c>
      <c r="E91" s="106">
        <v>15</v>
      </c>
      <c r="F91" s="86" t="s">
        <v>86</v>
      </c>
      <c r="G91" s="87">
        <v>20</v>
      </c>
      <c r="H91" s="7" t="s">
        <v>15</v>
      </c>
      <c r="M91" s="246" t="s">
        <v>22</v>
      </c>
      <c r="N91" s="353" t="s">
        <v>162</v>
      </c>
      <c r="O91" s="353"/>
      <c r="P91" s="12" t="s">
        <v>2</v>
      </c>
      <c r="Q91" s="12">
        <v>-60</v>
      </c>
      <c r="R91" s="76" t="s">
        <v>71</v>
      </c>
      <c r="S91" s="76">
        <v>20</v>
      </c>
      <c r="T91" s="126" t="s">
        <v>168</v>
      </c>
      <c r="U91" s="127">
        <v>-0.2</v>
      </c>
      <c r="V91" s="428" t="s">
        <v>443</v>
      </c>
    </row>
    <row r="92" spans="1:22" ht="91.5" customHeight="1" thickBot="1" x14ac:dyDescent="0.4">
      <c r="A92" s="11" t="s">
        <v>22</v>
      </c>
      <c r="B92" s="359" t="s">
        <v>88</v>
      </c>
      <c r="C92" s="359"/>
      <c r="D92" s="106" t="s">
        <v>85</v>
      </c>
      <c r="E92" s="106">
        <v>5</v>
      </c>
      <c r="F92" s="76" t="s">
        <v>71</v>
      </c>
      <c r="G92" s="259">
        <v>30</v>
      </c>
      <c r="H92" s="7" t="s">
        <v>15</v>
      </c>
      <c r="J92" s="422" t="s">
        <v>442</v>
      </c>
      <c r="M92" s="246" t="s">
        <v>23</v>
      </c>
      <c r="N92" s="353" t="s">
        <v>153</v>
      </c>
      <c r="O92" s="353"/>
      <c r="P92" s="124" t="s">
        <v>3</v>
      </c>
      <c r="Q92" s="124">
        <v>-15</v>
      </c>
      <c r="R92" s="76" t="s">
        <v>71</v>
      </c>
      <c r="S92" s="76">
        <v>30</v>
      </c>
      <c r="T92" s="126" t="s">
        <v>163</v>
      </c>
      <c r="U92" s="127">
        <v>-0.25</v>
      </c>
      <c r="V92" s="422" t="s">
        <v>442</v>
      </c>
    </row>
    <row r="93" spans="1:22" ht="68.5" customHeight="1" thickBot="1" x14ac:dyDescent="0.4">
      <c r="A93" s="11" t="s">
        <v>23</v>
      </c>
      <c r="B93" s="359" t="s">
        <v>84</v>
      </c>
      <c r="C93" s="359"/>
      <c r="D93" s="106" t="s">
        <v>85</v>
      </c>
      <c r="E93" s="106">
        <v>-10</v>
      </c>
      <c r="F93" s="76" t="s">
        <v>71</v>
      </c>
      <c r="G93" s="259">
        <v>15</v>
      </c>
      <c r="H93" s="101" t="s">
        <v>313</v>
      </c>
      <c r="I93" t="s">
        <v>314</v>
      </c>
      <c r="J93" s="422" t="s">
        <v>442</v>
      </c>
      <c r="M93" s="246" t="s">
        <v>24</v>
      </c>
      <c r="N93" s="353" t="s">
        <v>154</v>
      </c>
      <c r="O93" s="353"/>
      <c r="P93" s="12" t="s">
        <v>2</v>
      </c>
      <c r="Q93" s="12">
        <v>-60</v>
      </c>
      <c r="R93" s="76" t="s">
        <v>71</v>
      </c>
      <c r="S93" s="76">
        <v>50</v>
      </c>
      <c r="V93" s="428" t="s">
        <v>443</v>
      </c>
    </row>
    <row r="94" spans="1:22" ht="75.5" customHeight="1" thickBot="1" x14ac:dyDescent="0.4">
      <c r="A94" s="11" t="s">
        <v>24</v>
      </c>
      <c r="B94" s="359" t="s">
        <v>89</v>
      </c>
      <c r="C94" s="359"/>
      <c r="D94" s="107" t="s">
        <v>5</v>
      </c>
      <c r="E94" s="260">
        <v>1</v>
      </c>
      <c r="F94" s="79"/>
      <c r="G94" s="80"/>
      <c r="M94" s="246" t="s">
        <v>25</v>
      </c>
      <c r="N94" s="353" t="s">
        <v>155</v>
      </c>
      <c r="O94" s="353"/>
      <c r="P94" s="124" t="s">
        <v>3</v>
      </c>
      <c r="Q94" s="124">
        <v>-60</v>
      </c>
      <c r="R94" s="76" t="s">
        <v>71</v>
      </c>
      <c r="S94" s="76">
        <v>40</v>
      </c>
      <c r="V94" s="422" t="s">
        <v>442</v>
      </c>
    </row>
    <row r="95" spans="1:22" ht="62" customHeight="1" thickBot="1" x14ac:dyDescent="0.4">
      <c r="A95" s="11" t="s">
        <v>25</v>
      </c>
      <c r="B95" s="359" t="s">
        <v>90</v>
      </c>
      <c r="C95" s="359"/>
      <c r="D95" s="106" t="s">
        <v>85</v>
      </c>
      <c r="E95" s="106">
        <v>-15</v>
      </c>
      <c r="F95" s="76" t="s">
        <v>71</v>
      </c>
      <c r="G95" s="259">
        <v>30</v>
      </c>
      <c r="J95" s="422" t="s">
        <v>442</v>
      </c>
      <c r="M95" s="246" t="s">
        <v>26</v>
      </c>
      <c r="N95" s="353" t="s">
        <v>157</v>
      </c>
      <c r="O95" s="353"/>
      <c r="P95" s="124" t="s">
        <v>3</v>
      </c>
      <c r="Q95" s="124">
        <v>-5</v>
      </c>
      <c r="R95" s="76" t="s">
        <v>71</v>
      </c>
      <c r="S95" s="76">
        <v>70</v>
      </c>
      <c r="T95" s="128" t="s">
        <v>164</v>
      </c>
      <c r="U95" s="128"/>
      <c r="V95" s="422" t="s">
        <v>442</v>
      </c>
    </row>
    <row r="96" spans="1:22" ht="77" customHeight="1" thickBot="1" x14ac:dyDescent="0.4">
      <c r="A96" s="11" t="s">
        <v>26</v>
      </c>
      <c r="B96" s="359" t="s">
        <v>91</v>
      </c>
      <c r="C96" s="359"/>
      <c r="D96" s="106" t="s">
        <v>85</v>
      </c>
      <c r="E96" s="106">
        <v>-30</v>
      </c>
      <c r="F96" s="76" t="s">
        <v>71</v>
      </c>
      <c r="G96" s="259">
        <v>50</v>
      </c>
      <c r="J96" s="422" t="s">
        <v>442</v>
      </c>
      <c r="M96" s="246" t="s">
        <v>27</v>
      </c>
      <c r="N96" s="353" t="s">
        <v>156</v>
      </c>
      <c r="O96" s="353"/>
      <c r="P96" s="124" t="s">
        <v>3</v>
      </c>
      <c r="Q96" s="124">
        <v>-5</v>
      </c>
      <c r="R96" s="76" t="s">
        <v>71</v>
      </c>
      <c r="S96" s="76">
        <v>80</v>
      </c>
      <c r="T96" s="129"/>
      <c r="V96" s="422" t="s">
        <v>442</v>
      </c>
    </row>
    <row r="97" spans="1:36" ht="86.5" customHeight="1" thickBot="1" x14ac:dyDescent="0.4">
      <c r="A97" s="11" t="s">
        <v>27</v>
      </c>
      <c r="B97" s="359" t="s">
        <v>92</v>
      </c>
      <c r="C97" s="359"/>
      <c r="D97" s="107" t="s">
        <v>5</v>
      </c>
      <c r="E97" s="260">
        <v>0.5</v>
      </c>
      <c r="F97" s="108" t="s">
        <v>95</v>
      </c>
      <c r="G97" s="261">
        <v>1</v>
      </c>
      <c r="M97" s="246" t="s">
        <v>28</v>
      </c>
      <c r="N97" s="353" t="s">
        <v>158</v>
      </c>
      <c r="O97" s="353"/>
      <c r="P97" s="13" t="s">
        <v>167</v>
      </c>
      <c r="Q97" s="13">
        <v>10</v>
      </c>
      <c r="R97" s="12" t="s">
        <v>2</v>
      </c>
      <c r="S97" s="12">
        <v>20</v>
      </c>
      <c r="T97" s="102"/>
      <c r="V97" s="8"/>
    </row>
    <row r="98" spans="1:36" ht="80.5" customHeight="1" thickBot="1" x14ac:dyDescent="0.4">
      <c r="A98" s="11" t="s">
        <v>28</v>
      </c>
      <c r="B98" s="359" t="s">
        <v>93</v>
      </c>
      <c r="C98" s="359"/>
      <c r="D98" s="112" t="s">
        <v>96</v>
      </c>
      <c r="E98" s="112">
        <v>60</v>
      </c>
      <c r="F98" s="110" t="s">
        <v>97</v>
      </c>
      <c r="G98" s="135">
        <v>0.25</v>
      </c>
      <c r="M98" s="246" t="s">
        <v>29</v>
      </c>
      <c r="N98" s="353" t="s">
        <v>159</v>
      </c>
      <c r="O98" s="353"/>
      <c r="P98" s="124" t="s">
        <v>3</v>
      </c>
      <c r="Q98" s="124">
        <v>-5</v>
      </c>
      <c r="R98" s="76" t="s">
        <v>71</v>
      </c>
      <c r="S98" s="76">
        <f>IF(U71&gt;0.75, 30, IF(U71&gt;0.5, 60,  IF(U71&gt;0.25, 90,  IF(U71&lt;0.25, 120, 30))))</f>
        <v>30</v>
      </c>
      <c r="T98" s="116" t="s">
        <v>141</v>
      </c>
      <c r="V98" s="422" t="s">
        <v>442</v>
      </c>
    </row>
    <row r="99" spans="1:36" ht="99" customHeight="1" thickBot="1" x14ac:dyDescent="0.4">
      <c r="A99" s="11" t="s">
        <v>29</v>
      </c>
      <c r="B99" s="359" t="s">
        <v>94</v>
      </c>
      <c r="C99" s="359"/>
      <c r="D99" s="79" t="s">
        <v>444</v>
      </c>
      <c r="E99" s="81">
        <v>-0.25</v>
      </c>
      <c r="F99" s="76" t="s">
        <v>71</v>
      </c>
      <c r="G99" s="259">
        <v>150</v>
      </c>
      <c r="H99" s="7"/>
      <c r="J99" s="422" t="s">
        <v>442</v>
      </c>
      <c r="M99" s="246" t="s">
        <v>149</v>
      </c>
      <c r="N99" s="357" t="s">
        <v>161</v>
      </c>
      <c r="O99" s="357"/>
      <c r="P99" s="12" t="s">
        <v>2</v>
      </c>
      <c r="Q99" s="12">
        <v>-20</v>
      </c>
      <c r="R99" s="76" t="s">
        <v>71</v>
      </c>
      <c r="S99" s="76">
        <v>45</v>
      </c>
      <c r="T99" s="126" t="s">
        <v>168</v>
      </c>
      <c r="U99" s="127">
        <v>-0.1</v>
      </c>
      <c r="V99" s="428" t="s">
        <v>443</v>
      </c>
    </row>
    <row r="100" spans="1:36" ht="43" customHeight="1" thickBot="1" x14ac:dyDescent="0.4">
      <c r="A100" s="68" t="s">
        <v>73</v>
      </c>
      <c r="B100" s="69"/>
      <c r="C100" s="72" t="s">
        <v>72</v>
      </c>
      <c r="D100" s="71"/>
      <c r="E100" s="73" t="s">
        <v>74</v>
      </c>
      <c r="M100" s="246" t="s">
        <v>150</v>
      </c>
      <c r="N100" s="373" t="s">
        <v>160</v>
      </c>
      <c r="O100" s="373"/>
      <c r="P100" s="124" t="s">
        <v>3</v>
      </c>
      <c r="Q100" s="124">
        <v>-5</v>
      </c>
      <c r="R100" s="76" t="s">
        <v>71</v>
      </c>
      <c r="S100" s="76">
        <v>150</v>
      </c>
      <c r="V100" s="422" t="s">
        <v>442</v>
      </c>
    </row>
    <row r="101" spans="1:36" ht="29" x14ac:dyDescent="0.35">
      <c r="M101" s="251" t="s">
        <v>165</v>
      </c>
      <c r="N101" s="97"/>
      <c r="O101" s="131" t="s">
        <v>166</v>
      </c>
      <c r="P101" s="131"/>
      <c r="V101" s="8"/>
    </row>
    <row r="102" spans="1:36" x14ac:dyDescent="0.35">
      <c r="V102" s="8"/>
    </row>
    <row r="103" spans="1:36" x14ac:dyDescent="0.35">
      <c r="P103" s="120"/>
      <c r="Q103" s="120"/>
      <c r="R103" s="120"/>
      <c r="V103" s="8"/>
    </row>
    <row r="104" spans="1:36" ht="15" thickBot="1" x14ac:dyDescent="0.4">
      <c r="P104" s="120"/>
      <c r="R104" s="120"/>
      <c r="V104" s="8"/>
    </row>
    <row r="105" spans="1:36" ht="15" thickBot="1" x14ac:dyDescent="0.4">
      <c r="A105" s="41" t="s">
        <v>0</v>
      </c>
      <c r="B105" s="42" t="s">
        <v>170</v>
      </c>
      <c r="C105" s="166" t="s">
        <v>247</v>
      </c>
      <c r="G105" s="316" t="s">
        <v>0</v>
      </c>
      <c r="H105" s="317" t="s">
        <v>170</v>
      </c>
      <c r="I105" s="301" t="s">
        <v>431</v>
      </c>
      <c r="M105" s="320" t="s">
        <v>0</v>
      </c>
      <c r="N105" s="317" t="s">
        <v>370</v>
      </c>
      <c r="O105" s="166" t="s">
        <v>247</v>
      </c>
      <c r="S105" s="316" t="s">
        <v>0</v>
      </c>
      <c r="T105" s="42" t="s">
        <v>370</v>
      </c>
      <c r="U105" s="301" t="s">
        <v>431</v>
      </c>
      <c r="V105" s="8"/>
      <c r="AA105" s="41" t="s">
        <v>0</v>
      </c>
      <c r="AB105" s="42" t="s">
        <v>394</v>
      </c>
      <c r="AC105" s="166" t="s">
        <v>247</v>
      </c>
      <c r="AD105" s="166"/>
      <c r="AH105" s="316" t="s">
        <v>0</v>
      </c>
      <c r="AI105" s="317" t="s">
        <v>394</v>
      </c>
      <c r="AJ105" s="301" t="s">
        <v>431</v>
      </c>
    </row>
    <row r="106" spans="1:36" x14ac:dyDescent="0.35">
      <c r="A106" s="36" t="s">
        <v>1</v>
      </c>
      <c r="B106" s="37">
        <f>B2</f>
        <v>605</v>
      </c>
      <c r="C106" s="166"/>
      <c r="G106" s="36" t="s">
        <v>1</v>
      </c>
      <c r="H106" s="277">
        <f>B106</f>
        <v>605</v>
      </c>
      <c r="I106" s="302">
        <f>H106/B2</f>
        <v>1</v>
      </c>
      <c r="M106" s="36" t="s">
        <v>1</v>
      </c>
      <c r="N106" s="37">
        <f>B2</f>
        <v>605</v>
      </c>
      <c r="O106" s="166"/>
      <c r="S106" s="36" t="s">
        <v>1</v>
      </c>
      <c r="T106" s="277">
        <f>N106</f>
        <v>605</v>
      </c>
      <c r="U106" s="302">
        <f>T106/B2</f>
        <v>1</v>
      </c>
      <c r="V106" s="8"/>
      <c r="AA106" s="36" t="s">
        <v>1</v>
      </c>
      <c r="AB106" s="37">
        <f t="shared" ref="AB106:AB111" si="18">B2</f>
        <v>605</v>
      </c>
      <c r="AC106" s="166"/>
      <c r="AD106" s="166"/>
      <c r="AH106" s="36" t="s">
        <v>1</v>
      </c>
      <c r="AI106" s="277">
        <f>AB106</f>
        <v>605</v>
      </c>
      <c r="AJ106" s="302">
        <f>AI106/B2</f>
        <v>1</v>
      </c>
    </row>
    <row r="107" spans="1:36" x14ac:dyDescent="0.35">
      <c r="A107" s="36" t="s">
        <v>2</v>
      </c>
      <c r="B107" s="37">
        <f t="shared" ref="B107:B120" si="19">B3</f>
        <v>369</v>
      </c>
      <c r="C107" s="166"/>
      <c r="G107" s="36" t="s">
        <v>2</v>
      </c>
      <c r="H107" s="277">
        <f>B107</f>
        <v>369</v>
      </c>
      <c r="M107" s="36" t="s">
        <v>2</v>
      </c>
      <c r="N107" s="191">
        <f t="shared" ref="N107:N120" si="20">B3</f>
        <v>369</v>
      </c>
      <c r="O107" s="166"/>
      <c r="S107" s="36" t="s">
        <v>2</v>
      </c>
      <c r="T107" s="318">
        <f>IF(Q109=4,N107-Q127,IF(Q109=6,N107-Q129,IF(Q109=10,N107-Q133,N107)))</f>
        <v>369</v>
      </c>
      <c r="V107" s="8"/>
      <c r="AA107" s="36" t="s">
        <v>2</v>
      </c>
      <c r="AB107" s="37">
        <f t="shared" si="18"/>
        <v>369</v>
      </c>
      <c r="AC107" s="166"/>
      <c r="AD107" s="166"/>
      <c r="AH107" s="36" t="s">
        <v>2</v>
      </c>
      <c r="AI107" s="277">
        <f>IF(AF109=2,AB107-AF125,IF(AF109=4,AB107-AF127,IF(AF109=6,AB107-AF129,AB107)))</f>
        <v>369</v>
      </c>
    </row>
    <row r="108" spans="1:36" x14ac:dyDescent="0.35">
      <c r="A108" s="36" t="s">
        <v>3</v>
      </c>
      <c r="B108" s="37">
        <f t="shared" si="19"/>
        <v>126</v>
      </c>
      <c r="C108" s="166"/>
      <c r="G108" s="36" t="s">
        <v>3</v>
      </c>
      <c r="H108" s="277">
        <f>IF(E109=1,B108+E124,IF(E109=2,B108+E125,IF(E109=3,B108+E126,IF(E109=4,B108+E127,IF(E109=5,B108+E128,IF(E109=6,B108+E129,IF(E109=7,B108+E130,IF(E109=8,B108+E131,IF(E109=9,B108+E132,IF(E109=10,B108+E133,0))))))))))</f>
        <v>0</v>
      </c>
      <c r="M108" s="36" t="s">
        <v>3</v>
      </c>
      <c r="N108" s="191">
        <f t="shared" si="20"/>
        <v>126</v>
      </c>
      <c r="O108" s="166"/>
      <c r="S108" s="36" t="s">
        <v>3</v>
      </c>
      <c r="T108" s="318">
        <f>IF(Q109=1,N108+Q124,IF(Q109=2,N108+Q125,IF(Q109=3,N108+Q126,IF(Q109=5,N108+Q128,IF(Q109=7,N108+Q130,IF(Q109=8,N108+Q131,IF(Q109=9,N108+Q132,N108)))))))</f>
        <v>126</v>
      </c>
      <c r="V108" s="8"/>
      <c r="AA108" s="36" t="s">
        <v>3</v>
      </c>
      <c r="AB108" s="37">
        <f t="shared" si="18"/>
        <v>126</v>
      </c>
      <c r="AC108" s="166"/>
      <c r="AD108" s="166"/>
      <c r="AH108" s="36" t="s">
        <v>3</v>
      </c>
      <c r="AI108" s="277">
        <f>IF(AF109=1,AB108+AF124,IF(AF109=3,AB108+AF126,IF(AF109=5,AB108+AF128,IF(AF109=7,AB108+AF130,IF(AF109=8,AB108+AF131,IF(AF109=9,0,IF(AF109=10,AB108+AF133,AB108)))))))</f>
        <v>126</v>
      </c>
    </row>
    <row r="109" spans="1:36" x14ac:dyDescent="0.35">
      <c r="A109" s="36" t="s">
        <v>4</v>
      </c>
      <c r="B109" s="37">
        <f t="shared" si="19"/>
        <v>0</v>
      </c>
      <c r="C109" s="166"/>
      <c r="D109" t="s">
        <v>76</v>
      </c>
      <c r="G109" s="36" t="s">
        <v>4</v>
      </c>
      <c r="H109" s="277">
        <f>B109</f>
        <v>0</v>
      </c>
      <c r="M109" s="36" t="s">
        <v>4</v>
      </c>
      <c r="N109" s="191">
        <f t="shared" si="20"/>
        <v>0</v>
      </c>
      <c r="O109" s="166"/>
      <c r="P109" t="s">
        <v>76</v>
      </c>
      <c r="S109" s="36" t="s">
        <v>4</v>
      </c>
      <c r="T109" s="318">
        <f>N109</f>
        <v>0</v>
      </c>
      <c r="V109" s="8"/>
      <c r="AA109" s="36" t="s">
        <v>4</v>
      </c>
      <c r="AB109" s="37">
        <f t="shared" si="18"/>
        <v>0</v>
      </c>
      <c r="AC109" s="166"/>
      <c r="AD109" s="166"/>
      <c r="AE109" t="s">
        <v>76</v>
      </c>
      <c r="AH109" s="36" t="s">
        <v>4</v>
      </c>
      <c r="AI109" s="277">
        <f>AB109</f>
        <v>0</v>
      </c>
    </row>
    <row r="110" spans="1:36" x14ac:dyDescent="0.35">
      <c r="A110" s="36" t="s">
        <v>6</v>
      </c>
      <c r="B110" s="37">
        <f t="shared" si="19"/>
        <v>80</v>
      </c>
      <c r="C110" s="166"/>
      <c r="D110" t="s">
        <v>75</v>
      </c>
      <c r="E110">
        <f>IF(E109=1,H112+G124,IF(E109=4,H112+G127,IF(E109=6,H112+G129,IF(E109=7,H112+G130,IF(E109=10,H112+G133,0)))))</f>
        <v>0</v>
      </c>
      <c r="G110" s="36" t="s">
        <v>6</v>
      </c>
      <c r="H110" s="277">
        <f>IF(E109=5,B110*1.4,B110)</f>
        <v>80</v>
      </c>
      <c r="I110" t="str">
        <f>IF(E109=5,"Bonus armure 2 tours","")</f>
        <v/>
      </c>
      <c r="M110" s="36" t="s">
        <v>6</v>
      </c>
      <c r="N110" s="191">
        <f t="shared" si="20"/>
        <v>80</v>
      </c>
      <c r="O110" s="166"/>
      <c r="P110" t="s">
        <v>75</v>
      </c>
      <c r="Q110" s="25">
        <f>IF(Q109=1,T112+S124,IF(Q109=2,T112+S125,IF(Q109=4,T113+S127,IF(Q109=5,T112+S128,IF(Q109=6,T113+S129,IF(Q109=7,T112+S130,IF(Q109=8,T112+S131,IF(Q109=9,T112+S132,IF(Q109=10,T113+S133,0)))))))))</f>
        <v>0</v>
      </c>
      <c r="S110" s="36" t="s">
        <v>6</v>
      </c>
      <c r="T110" s="318">
        <f>N110</f>
        <v>80</v>
      </c>
      <c r="V110" s="8" t="str">
        <f>IF(Q109=7,"Vigueur Azrak:","")</f>
        <v/>
      </c>
      <c r="W110" s="328" t="str">
        <f>IF(Q109=7, N73*0.2,"")</f>
        <v/>
      </c>
      <c r="AA110" s="36" t="s">
        <v>6</v>
      </c>
      <c r="AB110" s="37">
        <f t="shared" si="18"/>
        <v>80</v>
      </c>
      <c r="AC110" s="166"/>
      <c r="AD110" s="166"/>
      <c r="AE110" t="s">
        <v>75</v>
      </c>
      <c r="AF110" s="25">
        <f>IF(AF109=1,(AI112+AH124),IF(AF109=2,AI113+AH125+B3/100,IF(AF109=3,AI112+AH126+AB110/10,IF(AF109=4,AI113+AH127+B3/100,IF(AF109=7,AI112+AH130,IF(AF109=8,AI112+AH131,IF(AF109=9,AI112+AH132,IF(AF109=10,AI112+AH133,0))))))))</f>
        <v>0</v>
      </c>
      <c r="AH110" s="36" t="s">
        <v>6</v>
      </c>
      <c r="AI110" s="277">
        <f>IF(AF109=5,AB110*1.2,AB110)</f>
        <v>80</v>
      </c>
      <c r="AJ110" s="429" t="str">
        <f>IF(AF109=5,"Bonus armure 2 T ", "")</f>
        <v/>
      </c>
    </row>
    <row r="111" spans="1:36" x14ac:dyDescent="0.35">
      <c r="A111" s="36" t="s">
        <v>7</v>
      </c>
      <c r="B111" s="37">
        <f t="shared" si="19"/>
        <v>35</v>
      </c>
      <c r="C111" s="167"/>
      <c r="D111" t="s">
        <v>77</v>
      </c>
      <c r="E111">
        <f ca="1">RANDBETWEEN(1,100)</f>
        <v>31</v>
      </c>
      <c r="G111" s="36" t="s">
        <v>7</v>
      </c>
      <c r="H111" s="277">
        <f>IF(E110=8,B111+G131,0)+B111+B111*C111</f>
        <v>35</v>
      </c>
      <c r="M111" s="36" t="s">
        <v>7</v>
      </c>
      <c r="N111" s="191">
        <f t="shared" si="20"/>
        <v>35</v>
      </c>
      <c r="O111" s="167"/>
      <c r="P111" t="s">
        <v>77</v>
      </c>
      <c r="Q111">
        <f ca="1">RANDBETWEEN(1,100)</f>
        <v>64</v>
      </c>
      <c r="S111" s="36" t="s">
        <v>7</v>
      </c>
      <c r="T111" s="318">
        <f>N111</f>
        <v>35</v>
      </c>
      <c r="V111" s="8" t="str">
        <f>IF(Q109=7,"Vigeur Thalia","")</f>
        <v/>
      </c>
      <c r="W111" s="328" t="str">
        <f>IF(Q109=7, N108*0.2,"")</f>
        <v/>
      </c>
      <c r="AA111" s="36" t="s">
        <v>7</v>
      </c>
      <c r="AB111" s="37">
        <f t="shared" si="18"/>
        <v>35</v>
      </c>
      <c r="AC111" s="167"/>
      <c r="AD111" s="167"/>
      <c r="AE111" t="s">
        <v>77</v>
      </c>
      <c r="AF111">
        <f ca="1">RANDBETWEEN(1,100)</f>
        <v>91</v>
      </c>
      <c r="AH111" s="36" t="s">
        <v>7</v>
      </c>
      <c r="AI111" s="277">
        <f>AB111</f>
        <v>35</v>
      </c>
    </row>
    <row r="112" spans="1:36" x14ac:dyDescent="0.35">
      <c r="A112" s="36" t="s">
        <v>10</v>
      </c>
      <c r="B112" s="191">
        <f>(B8+C112)*1.05</f>
        <v>31.5</v>
      </c>
      <c r="C112" s="168">
        <v>20</v>
      </c>
      <c r="D112" t="s">
        <v>78</v>
      </c>
      <c r="E112">
        <f ca="1">RANDBETWEEN(1,100)</f>
        <v>29</v>
      </c>
      <c r="G112" s="36" t="s">
        <v>10</v>
      </c>
      <c r="H112" s="318">
        <f>B112</f>
        <v>31.5</v>
      </c>
      <c r="M112" s="36" t="s">
        <v>10</v>
      </c>
      <c r="N112" s="191">
        <f>B8+O112</f>
        <v>30</v>
      </c>
      <c r="O112" s="168">
        <v>20</v>
      </c>
      <c r="P112" t="s">
        <v>78</v>
      </c>
      <c r="Q112">
        <f ca="1">RANDBETWEEN(1,100)</f>
        <v>90</v>
      </c>
      <c r="S112" s="36" t="s">
        <v>10</v>
      </c>
      <c r="T112" s="318">
        <f>N112</f>
        <v>30</v>
      </c>
      <c r="V112" s="8"/>
      <c r="AA112" s="36" t="s">
        <v>10</v>
      </c>
      <c r="AB112" s="37">
        <f>B8+AC112</f>
        <v>30</v>
      </c>
      <c r="AC112" s="168">
        <v>20</v>
      </c>
      <c r="AD112" s="168"/>
      <c r="AE112" t="s">
        <v>78</v>
      </c>
      <c r="AF112">
        <f ca="1">RANDBETWEEN(1,100)</f>
        <v>51</v>
      </c>
      <c r="AH112" s="36" t="s">
        <v>10</v>
      </c>
      <c r="AI112" s="318">
        <f>IF(AF109=6, AB112*1.3,AB112)</f>
        <v>30</v>
      </c>
      <c r="AJ112" s="429" t="str">
        <f>IF(AF109=6,"Puissance physique 2 T","")</f>
        <v/>
      </c>
    </row>
    <row r="113" spans="1:38" x14ac:dyDescent="0.35">
      <c r="A113" s="36" t="s">
        <v>11</v>
      </c>
      <c r="B113" s="37">
        <f t="shared" si="19"/>
        <v>137.5</v>
      </c>
      <c r="C113" s="166"/>
      <c r="D113" s="235" t="s">
        <v>468</v>
      </c>
      <c r="G113" s="36" t="s">
        <v>11</v>
      </c>
      <c r="H113" s="277">
        <f>B113</f>
        <v>137.5</v>
      </c>
      <c r="M113" s="36" t="s">
        <v>11</v>
      </c>
      <c r="N113" s="191">
        <f t="shared" si="20"/>
        <v>137.5</v>
      </c>
      <c r="O113" s="166"/>
      <c r="P113" t="s">
        <v>423</v>
      </c>
      <c r="Q113">
        <f ca="1">RANDBETWEEN(1,100)</f>
        <v>80</v>
      </c>
      <c r="S113" s="36" t="s">
        <v>11</v>
      </c>
      <c r="T113" s="318">
        <f>N113</f>
        <v>137.5</v>
      </c>
      <c r="V113" s="8"/>
      <c r="AA113" s="36" t="s">
        <v>11</v>
      </c>
      <c r="AB113" s="191">
        <f t="shared" ref="AB113:AB120" si="21">B9</f>
        <v>137.5</v>
      </c>
      <c r="AC113" s="166"/>
      <c r="AD113" s="166"/>
      <c r="AH113" s="36" t="s">
        <v>11</v>
      </c>
      <c r="AI113" s="318">
        <f>IF(AF109=6, AB113*1.3,AB113)</f>
        <v>137.5</v>
      </c>
      <c r="AJ113" t="str">
        <f>IF(AF109=6,"Puissance des sorts 2 T","")</f>
        <v/>
      </c>
    </row>
    <row r="114" spans="1:38" x14ac:dyDescent="0.35">
      <c r="A114" s="36" t="s">
        <v>15</v>
      </c>
      <c r="B114" s="37">
        <f t="shared" si="19"/>
        <v>0</v>
      </c>
      <c r="C114" s="166"/>
      <c r="D114" t="str">
        <f>IF(E109=4,"50% chance ignorer l'armure","")</f>
        <v/>
      </c>
      <c r="E114" t="str">
        <f ca="1">IF(E109=4,RANDBETWEEN(1,100),"")</f>
        <v/>
      </c>
      <c r="G114" s="36" t="s">
        <v>15</v>
      </c>
      <c r="H114" s="277">
        <f>B114</f>
        <v>0</v>
      </c>
      <c r="M114" s="36" t="s">
        <v>15</v>
      </c>
      <c r="N114" s="191">
        <f t="shared" si="20"/>
        <v>0</v>
      </c>
      <c r="O114" s="166"/>
      <c r="S114" s="36" t="s">
        <v>15</v>
      </c>
      <c r="T114" s="318">
        <f>N114</f>
        <v>0</v>
      </c>
      <c r="V114" s="8"/>
      <c r="AA114" s="36" t="s">
        <v>15</v>
      </c>
      <c r="AB114" s="37">
        <f t="shared" si="21"/>
        <v>0</v>
      </c>
      <c r="AC114" s="166"/>
      <c r="AD114" s="166"/>
      <c r="AH114" s="36" t="s">
        <v>15</v>
      </c>
      <c r="AI114" s="277">
        <f>AB114</f>
        <v>0</v>
      </c>
    </row>
    <row r="115" spans="1:38" x14ac:dyDescent="0.35">
      <c r="A115" s="36" t="s">
        <v>14</v>
      </c>
      <c r="B115" s="37">
        <f>B11+C115</f>
        <v>45</v>
      </c>
      <c r="C115" s="169">
        <v>20</v>
      </c>
      <c r="D115" t="str">
        <f>IF(E109=9,"chance d'étourdir","")</f>
        <v/>
      </c>
      <c r="E115" t="str">
        <f ca="1">IF(E109=9,RANDBETWEEN(1,100),"")</f>
        <v/>
      </c>
      <c r="G115" s="36" t="s">
        <v>14</v>
      </c>
      <c r="H115" s="277">
        <f>B115+IF(E109=3,15,IF(E109=8,20,0))</f>
        <v>45</v>
      </c>
      <c r="I115" t="str">
        <f>IF(E109=3,"Bonus vitesse",IF(E109=8,"Bonus vitesse",""))</f>
        <v/>
      </c>
      <c r="M115" s="36" t="s">
        <v>14</v>
      </c>
      <c r="N115" s="191">
        <f>B11+O115</f>
        <v>35</v>
      </c>
      <c r="O115" s="169">
        <v>10</v>
      </c>
      <c r="P115" s="429" t="str">
        <f>IF(Q109=1,"Bonus puissance physique tour suivant","")</f>
        <v/>
      </c>
      <c r="S115" s="36" t="s">
        <v>14</v>
      </c>
      <c r="T115" s="318">
        <f>N115</f>
        <v>35</v>
      </c>
      <c r="V115" s="8"/>
      <c r="AA115" s="36" t="s">
        <v>14</v>
      </c>
      <c r="AB115" s="37">
        <f t="shared" si="21"/>
        <v>25</v>
      </c>
      <c r="AC115" s="169"/>
      <c r="AD115" s="169"/>
      <c r="AE115" t="s">
        <v>428</v>
      </c>
      <c r="AH115" s="36" t="s">
        <v>14</v>
      </c>
      <c r="AI115" s="277">
        <f>AB115</f>
        <v>25</v>
      </c>
    </row>
    <row r="116" spans="1:38" x14ac:dyDescent="0.35">
      <c r="A116" s="36" t="s">
        <v>8</v>
      </c>
      <c r="B116" s="37">
        <f t="shared" si="19"/>
        <v>20</v>
      </c>
      <c r="C116" s="166"/>
      <c r="G116" s="36" t="s">
        <v>8</v>
      </c>
      <c r="H116" s="277">
        <f>IF(E109=6,B116+30,B116)</f>
        <v>20</v>
      </c>
      <c r="M116" s="36" t="s">
        <v>8</v>
      </c>
      <c r="N116" s="191">
        <f>B12+O116</f>
        <v>25</v>
      </c>
      <c r="O116" s="169">
        <v>5</v>
      </c>
      <c r="P116" s="431" t="str">
        <f>IF(Q109=10,"Bonus dégats groupe","")</f>
        <v/>
      </c>
      <c r="S116" s="36" t="s">
        <v>8</v>
      </c>
      <c r="T116" s="318">
        <f>IF(Q109=2,N116+30, IF(Q109=3,N116+50,IF(Q109=9,N116+35,IF(Q109=10,N116+30, N116))))</f>
        <v>25</v>
      </c>
      <c r="U116" t="str">
        <f>IF(Q109=2,"Bonus coup critique",IF(Q109=3,"Bonus coup critique",IF(Q109=9,"Bonus coup critique",IF(Q109=10,"Bonus coup critique",""))))</f>
        <v/>
      </c>
      <c r="V116" s="8"/>
      <c r="AA116" s="36" t="s">
        <v>8</v>
      </c>
      <c r="AB116" s="37">
        <f t="shared" si="21"/>
        <v>20</v>
      </c>
      <c r="AC116" s="169"/>
      <c r="AD116" s="169"/>
      <c r="AH116" s="36" t="s">
        <v>8</v>
      </c>
      <c r="AI116" s="277">
        <f>AB116</f>
        <v>20</v>
      </c>
    </row>
    <row r="117" spans="1:38" x14ac:dyDescent="0.35">
      <c r="A117" s="36" t="s">
        <v>9</v>
      </c>
      <c r="B117" s="191">
        <f>B13+C117</f>
        <v>15</v>
      </c>
      <c r="C117" s="192">
        <v>5</v>
      </c>
      <c r="G117" s="36" t="s">
        <v>9</v>
      </c>
      <c r="H117" s="318">
        <f>B117+C117+ IF(E109=3,10,IF(E109=7,30,0))</f>
        <v>20</v>
      </c>
      <c r="I117" t="str">
        <f>IF(E109=3,"Bonus esquive",IF(E109=7,"Bonus esquive",""))</f>
        <v/>
      </c>
      <c r="M117" s="36" t="s">
        <v>9</v>
      </c>
      <c r="N117" s="191">
        <f>B13+O117</f>
        <v>15</v>
      </c>
      <c r="O117" s="192">
        <v>5</v>
      </c>
      <c r="S117" s="36" t="s">
        <v>9</v>
      </c>
      <c r="T117" s="318">
        <f>N117+IF(Q109=3,5,0) + IF(Q109=5,30,0) + IF(Q109=7,20,0)</f>
        <v>15</v>
      </c>
      <c r="V117" s="8"/>
      <c r="AA117" s="36" t="s">
        <v>9</v>
      </c>
      <c r="AB117" s="37">
        <f t="shared" si="21"/>
        <v>10</v>
      </c>
      <c r="AC117" s="192"/>
      <c r="AD117" s="192"/>
      <c r="AE117" s="431" t="str">
        <f>IF(AF109=1,IF(O140&gt;0.8, "Bonus dégats x2",""),"")</f>
        <v/>
      </c>
      <c r="AH117" s="36" t="s">
        <v>9</v>
      </c>
      <c r="AI117" s="277">
        <f>AB117+IF(AF109=10,100,0)</f>
        <v>10</v>
      </c>
      <c r="AJ117" t="str">
        <f>IF(AF109=10, "Bonus esquive","")</f>
        <v/>
      </c>
    </row>
    <row r="118" spans="1:38" x14ac:dyDescent="0.35">
      <c r="A118" s="36" t="s">
        <v>12</v>
      </c>
      <c r="B118" s="37">
        <f t="shared" si="19"/>
        <v>4</v>
      </c>
      <c r="C118" s="166"/>
      <c r="D118" s="431" t="str">
        <f>IF(E109=3,"Bonus vitesse groupe","")</f>
        <v/>
      </c>
      <c r="E118" s="431" t="str">
        <f>IF(E109=3,"Bonus esquive groupe","")</f>
        <v/>
      </c>
      <c r="G118" s="36" t="s">
        <v>12</v>
      </c>
      <c r="H118" s="277">
        <f>IF($V$71&lt;0.5,B118+10, B118)</f>
        <v>4</v>
      </c>
      <c r="M118" s="36" t="s">
        <v>12</v>
      </c>
      <c r="N118" s="191">
        <f t="shared" si="20"/>
        <v>4</v>
      </c>
      <c r="O118" s="166"/>
      <c r="S118" s="36" t="s">
        <v>12</v>
      </c>
      <c r="T118" s="318">
        <f>IF($V$71&lt;0.5,N118+10, N118)</f>
        <v>4</v>
      </c>
      <c r="V118" s="8"/>
      <c r="AA118" s="36" t="s">
        <v>12</v>
      </c>
      <c r="AB118" s="37">
        <f t="shared" si="21"/>
        <v>4</v>
      </c>
      <c r="AC118" s="166"/>
      <c r="AD118" s="166"/>
      <c r="AE118" s="453" t="str">
        <f>IF(AF109=10,"Bonus dégats +30%","")</f>
        <v/>
      </c>
      <c r="AH118" s="36" t="s">
        <v>12</v>
      </c>
      <c r="AI118" s="277">
        <f>IF($V$71&lt;0.5,AB118+10, AB118)</f>
        <v>4</v>
      </c>
    </row>
    <row r="119" spans="1:38" ht="15" thickBot="1" x14ac:dyDescent="0.4">
      <c r="A119" s="36" t="s">
        <v>13</v>
      </c>
      <c r="B119" s="37">
        <f t="shared" si="19"/>
        <v>25.2</v>
      </c>
      <c r="C119" s="166"/>
      <c r="G119" s="36" t="s">
        <v>13</v>
      </c>
      <c r="H119" s="277">
        <f t="shared" ref="H119:H120" si="22">B119</f>
        <v>25.2</v>
      </c>
      <c r="M119" s="39" t="s">
        <v>13</v>
      </c>
      <c r="N119" s="454">
        <f t="shared" si="20"/>
        <v>25.2</v>
      </c>
      <c r="O119" s="166"/>
      <c r="S119" s="36" t="s">
        <v>13</v>
      </c>
      <c r="T119" s="318">
        <f t="shared" ref="T119:T120" si="23">N119</f>
        <v>25.2</v>
      </c>
      <c r="V119" s="8"/>
      <c r="AA119" s="36" t="s">
        <v>13</v>
      </c>
      <c r="AB119" s="37">
        <f t="shared" si="21"/>
        <v>25.2</v>
      </c>
      <c r="AC119" s="166"/>
      <c r="AD119" s="166"/>
      <c r="AH119" s="39" t="s">
        <v>13</v>
      </c>
      <c r="AI119" s="278">
        <f t="shared" ref="AI119:AI120" si="24">AB119</f>
        <v>25.2</v>
      </c>
    </row>
    <row r="120" spans="1:38" ht="15" thickBot="1" x14ac:dyDescent="0.4">
      <c r="A120" s="39" t="s">
        <v>16</v>
      </c>
      <c r="B120" s="37">
        <f t="shared" si="19"/>
        <v>5</v>
      </c>
      <c r="C120" s="166"/>
      <c r="G120" s="39" t="s">
        <v>16</v>
      </c>
      <c r="H120" s="278">
        <f t="shared" si="22"/>
        <v>5</v>
      </c>
      <c r="M120" s="39" t="s">
        <v>16</v>
      </c>
      <c r="N120" s="37">
        <f t="shared" si="20"/>
        <v>5</v>
      </c>
      <c r="O120" s="166"/>
      <c r="S120" s="39" t="s">
        <v>16</v>
      </c>
      <c r="T120" s="219">
        <f t="shared" si="23"/>
        <v>5</v>
      </c>
      <c r="V120" s="8"/>
      <c r="AA120" s="39" t="s">
        <v>16</v>
      </c>
      <c r="AB120" s="37">
        <f t="shared" si="21"/>
        <v>5</v>
      </c>
      <c r="AC120" s="166"/>
      <c r="AD120" s="166"/>
      <c r="AH120" s="32" t="s">
        <v>16</v>
      </c>
      <c r="AI120" s="57">
        <f t="shared" si="24"/>
        <v>5</v>
      </c>
    </row>
    <row r="121" spans="1:38" ht="15" thickBot="1" x14ac:dyDescent="0.4">
      <c r="A121" t="s">
        <v>17</v>
      </c>
      <c r="B121" s="112" t="s">
        <v>10</v>
      </c>
      <c r="C121" s="112">
        <v>20</v>
      </c>
      <c r="D121" s="86" t="s">
        <v>86</v>
      </c>
      <c r="E121" s="86">
        <v>20</v>
      </c>
      <c r="F121" s="133" t="s">
        <v>43</v>
      </c>
      <c r="G121" s="321">
        <v>5</v>
      </c>
      <c r="H121" s="69" t="s">
        <v>350</v>
      </c>
      <c r="I121" s="69"/>
      <c r="J121" s="69"/>
      <c r="K121" s="69"/>
      <c r="L121" s="69"/>
      <c r="M121" t="s">
        <v>17</v>
      </c>
      <c r="N121" s="112" t="s">
        <v>10</v>
      </c>
      <c r="O121" s="112">
        <v>20</v>
      </c>
      <c r="P121" s="86" t="s">
        <v>373</v>
      </c>
      <c r="U121" s="34"/>
      <c r="V121" s="156"/>
      <c r="W121" s="34"/>
      <c r="AA121" t="s">
        <v>17</v>
      </c>
      <c r="AB121" s="279" t="s">
        <v>395</v>
      </c>
      <c r="AC121" s="279"/>
      <c r="AD121" s="279"/>
      <c r="AE121" s="112" t="s">
        <v>10</v>
      </c>
      <c r="AF121" s="112">
        <v>20</v>
      </c>
      <c r="AJ121" s="34"/>
    </row>
    <row r="122" spans="1:38" ht="15" thickBot="1" x14ac:dyDescent="0.4">
      <c r="A122" t="s">
        <v>18</v>
      </c>
      <c r="B122" s="75" t="s">
        <v>367</v>
      </c>
      <c r="C122" s="75"/>
      <c r="M122" t="s">
        <v>18</v>
      </c>
      <c r="N122" s="269" t="s">
        <v>372</v>
      </c>
      <c r="O122" s="133" t="s">
        <v>43</v>
      </c>
      <c r="P122" s="133">
        <v>5</v>
      </c>
      <c r="Q122" s="267" t="s">
        <v>371</v>
      </c>
      <c r="R122" s="268">
        <v>5</v>
      </c>
      <c r="U122" s="34"/>
      <c r="V122" s="156"/>
      <c r="W122" s="34"/>
      <c r="AA122" t="s">
        <v>18</v>
      </c>
      <c r="AB122" s="269" t="s">
        <v>396</v>
      </c>
      <c r="AC122" s="269"/>
      <c r="AD122" s="280">
        <v>0.04</v>
      </c>
      <c r="AE122" s="290" t="s">
        <v>400</v>
      </c>
      <c r="AF122" s="86" t="s">
        <v>401</v>
      </c>
      <c r="AG122" s="288">
        <v>1</v>
      </c>
      <c r="AH122" s="110" t="s">
        <v>97</v>
      </c>
      <c r="AI122" s="289">
        <v>25</v>
      </c>
      <c r="AJ122" s="34"/>
    </row>
    <row r="123" spans="1:38" ht="15" thickBot="1" x14ac:dyDescent="0.4">
      <c r="A123" t="s">
        <v>19</v>
      </c>
      <c r="B123" t="s">
        <v>34</v>
      </c>
      <c r="M123" t="s">
        <v>19</v>
      </c>
      <c r="N123" t="s">
        <v>34</v>
      </c>
      <c r="V123" s="8"/>
      <c r="AA123" t="s">
        <v>19</v>
      </c>
      <c r="AB123" t="s">
        <v>34</v>
      </c>
    </row>
    <row r="124" spans="1:38" ht="89" customHeight="1" thickBot="1" x14ac:dyDescent="0.4">
      <c r="A124" s="66" t="s">
        <v>20</v>
      </c>
      <c r="B124" s="354" t="s">
        <v>402</v>
      </c>
      <c r="C124" s="354"/>
      <c r="D124" s="124" t="s">
        <v>3</v>
      </c>
      <c r="E124" s="124">
        <v>-15</v>
      </c>
      <c r="F124" s="76" t="s">
        <v>71</v>
      </c>
      <c r="G124" s="76">
        <v>30</v>
      </c>
      <c r="J124" s="422" t="s">
        <v>442</v>
      </c>
      <c r="M124" s="242" t="s">
        <v>20</v>
      </c>
      <c r="N124" s="354" t="s">
        <v>409</v>
      </c>
      <c r="O124" s="354"/>
      <c r="P124" s="124" t="s">
        <v>3</v>
      </c>
      <c r="Q124" s="124">
        <v>-15</v>
      </c>
      <c r="R124" s="76" t="s">
        <v>71</v>
      </c>
      <c r="S124" s="76">
        <v>35</v>
      </c>
      <c r="T124" s="112" t="s">
        <v>10</v>
      </c>
      <c r="U124" s="112">
        <v>25</v>
      </c>
      <c r="V124" s="425" t="s">
        <v>442</v>
      </c>
      <c r="AA124" s="263" t="s">
        <v>20</v>
      </c>
      <c r="AB124" s="353" t="s">
        <v>414</v>
      </c>
      <c r="AC124" s="353"/>
      <c r="AD124" s="353"/>
      <c r="AE124" s="124" t="s">
        <v>3</v>
      </c>
      <c r="AF124" s="124">
        <v>-15</v>
      </c>
      <c r="AG124" s="76" t="s">
        <v>71</v>
      </c>
      <c r="AH124" s="76">
        <v>35</v>
      </c>
      <c r="AI124" s="283" t="s">
        <v>415</v>
      </c>
      <c r="AJ124" s="129"/>
      <c r="AL124" s="422" t="s">
        <v>442</v>
      </c>
    </row>
    <row r="125" spans="1:38" ht="103" customHeight="1" thickBot="1" x14ac:dyDescent="0.4">
      <c r="A125" s="11" t="s">
        <v>21</v>
      </c>
      <c r="B125" s="353" t="s">
        <v>172</v>
      </c>
      <c r="C125" s="353"/>
      <c r="D125" s="124" t="s">
        <v>3</v>
      </c>
      <c r="E125" s="124">
        <v>-15</v>
      </c>
      <c r="F125" s="76" t="s">
        <v>71</v>
      </c>
      <c r="G125" s="76">
        <v>30</v>
      </c>
      <c r="H125" s="297" t="s">
        <v>447</v>
      </c>
      <c r="I125" s="298"/>
      <c r="J125" s="422" t="s">
        <v>442</v>
      </c>
      <c r="M125" s="11" t="s">
        <v>21</v>
      </c>
      <c r="N125" s="353" t="s">
        <v>374</v>
      </c>
      <c r="O125" s="353"/>
      <c r="P125" s="124" t="s">
        <v>3</v>
      </c>
      <c r="Q125" s="124">
        <v>-15</v>
      </c>
      <c r="R125" s="76" t="s">
        <v>71</v>
      </c>
      <c r="S125" s="76">
        <v>25</v>
      </c>
      <c r="T125" s="110" t="s">
        <v>375</v>
      </c>
      <c r="U125" s="135" t="s">
        <v>376</v>
      </c>
      <c r="V125" s="425" t="s">
        <v>442</v>
      </c>
      <c r="AA125" s="11" t="s">
        <v>21</v>
      </c>
      <c r="AB125" s="353" t="s">
        <v>413</v>
      </c>
      <c r="AC125" s="353"/>
      <c r="AD125" s="353"/>
      <c r="AE125" s="12" t="s">
        <v>37</v>
      </c>
      <c r="AF125" s="12">
        <f>40*E19</f>
        <v>36</v>
      </c>
      <c r="AG125" s="76" t="s">
        <v>71</v>
      </c>
      <c r="AH125" s="76">
        <v>10</v>
      </c>
      <c r="AI125" s="283" t="s">
        <v>399</v>
      </c>
      <c r="AJ125" s="293"/>
      <c r="AL125" s="428" t="s">
        <v>443</v>
      </c>
    </row>
    <row r="126" spans="1:38" ht="103" customHeight="1" thickBot="1" x14ac:dyDescent="0.4">
      <c r="A126" s="11" t="s">
        <v>22</v>
      </c>
      <c r="B126" s="353" t="s">
        <v>403</v>
      </c>
      <c r="C126" s="353"/>
      <c r="D126" s="124" t="s">
        <v>3</v>
      </c>
      <c r="E126" s="124">
        <v>-15</v>
      </c>
      <c r="F126" s="133" t="s">
        <v>182</v>
      </c>
      <c r="G126" s="134">
        <v>0.1</v>
      </c>
      <c r="H126" s="86" t="s">
        <v>183</v>
      </c>
      <c r="I126" s="87">
        <v>15</v>
      </c>
      <c r="J126" s="7" t="s">
        <v>354</v>
      </c>
      <c r="M126" s="11" t="s">
        <v>22</v>
      </c>
      <c r="N126" s="353" t="s">
        <v>466</v>
      </c>
      <c r="O126" s="353"/>
      <c r="P126" s="124" t="s">
        <v>3</v>
      </c>
      <c r="Q126" s="124">
        <v>-15</v>
      </c>
      <c r="R126" s="133" t="s">
        <v>380</v>
      </c>
      <c r="S126" s="134">
        <v>0.6</v>
      </c>
      <c r="T126" s="110" t="s">
        <v>467</v>
      </c>
      <c r="U126" s="135">
        <v>0.5</v>
      </c>
      <c r="V126" s="426"/>
      <c r="AA126" s="11" t="s">
        <v>22</v>
      </c>
      <c r="AB126" s="353" t="s">
        <v>416</v>
      </c>
      <c r="AC126" s="353"/>
      <c r="AD126" s="353"/>
      <c r="AE126" s="124" t="s">
        <v>3</v>
      </c>
      <c r="AF126" s="124">
        <v>-15</v>
      </c>
      <c r="AG126" s="76" t="s">
        <v>71</v>
      </c>
      <c r="AH126" s="76">
        <v>30</v>
      </c>
      <c r="AI126" s="283" t="s">
        <v>417</v>
      </c>
      <c r="AJ126" s="294"/>
      <c r="AL126" s="422" t="s">
        <v>442</v>
      </c>
    </row>
    <row r="127" spans="1:38" ht="105.5" customHeight="1" thickBot="1" x14ac:dyDescent="0.4">
      <c r="A127" s="11" t="s">
        <v>23</v>
      </c>
      <c r="B127" s="353" t="s">
        <v>404</v>
      </c>
      <c r="C127" s="353"/>
      <c r="D127" s="124" t="s">
        <v>3</v>
      </c>
      <c r="E127" s="124">
        <v>-30</v>
      </c>
      <c r="F127" s="76" t="s">
        <v>71</v>
      </c>
      <c r="G127" s="76">
        <v>40</v>
      </c>
      <c r="H127" s="262" t="s">
        <v>352</v>
      </c>
      <c r="I127" s="231"/>
      <c r="J127" s="422" t="s">
        <v>442</v>
      </c>
      <c r="M127" s="11" t="s">
        <v>23</v>
      </c>
      <c r="N127" s="353" t="s">
        <v>391</v>
      </c>
      <c r="O127" s="353"/>
      <c r="P127" s="12" t="s">
        <v>37</v>
      </c>
      <c r="Q127" s="12">
        <f>70*E19</f>
        <v>63</v>
      </c>
      <c r="R127" s="76" t="s">
        <v>71</v>
      </c>
      <c r="S127" s="76">
        <v>40</v>
      </c>
      <c r="T127" s="262" t="s">
        <v>389</v>
      </c>
      <c r="U127" s="231"/>
      <c r="V127" s="428" t="s">
        <v>443</v>
      </c>
      <c r="AA127" s="11" t="s">
        <v>23</v>
      </c>
      <c r="AB127" s="353" t="s">
        <v>398</v>
      </c>
      <c r="AC127" s="353"/>
      <c r="AD127" s="353"/>
      <c r="AE127" s="12" t="s">
        <v>37</v>
      </c>
      <c r="AF127" s="12">
        <f>120*E19</f>
        <v>108</v>
      </c>
      <c r="AG127" s="76" t="s">
        <v>71</v>
      </c>
      <c r="AH127" s="76">
        <v>20</v>
      </c>
      <c r="AI127" s="283" t="s">
        <v>399</v>
      </c>
      <c r="AJ127" s="293"/>
      <c r="AL127" s="428" t="s">
        <v>443</v>
      </c>
    </row>
    <row r="128" spans="1:38" ht="109" customHeight="1" thickBot="1" x14ac:dyDescent="0.4">
      <c r="A128" s="11" t="s">
        <v>24</v>
      </c>
      <c r="B128" s="353" t="s">
        <v>445</v>
      </c>
      <c r="C128" s="353"/>
      <c r="D128" s="124" t="s">
        <v>3</v>
      </c>
      <c r="E128" s="124">
        <v>-15</v>
      </c>
      <c r="F128" s="107" t="s">
        <v>446</v>
      </c>
      <c r="G128" s="427">
        <v>0.4</v>
      </c>
      <c r="H128" s="7" t="s">
        <v>353</v>
      </c>
      <c r="M128" s="11" t="s">
        <v>24</v>
      </c>
      <c r="N128" s="353" t="s">
        <v>441</v>
      </c>
      <c r="O128" s="353"/>
      <c r="P128" s="124" t="s">
        <v>3</v>
      </c>
      <c r="Q128" s="124">
        <v>-15</v>
      </c>
      <c r="R128" s="76" t="s">
        <v>71</v>
      </c>
      <c r="S128" s="76">
        <v>35</v>
      </c>
      <c r="T128" s="262" t="s">
        <v>390</v>
      </c>
      <c r="U128" s="262"/>
      <c r="V128" s="425" t="s">
        <v>442</v>
      </c>
      <c r="AA128" s="263" t="s">
        <v>24</v>
      </c>
      <c r="AB128" s="354" t="s">
        <v>418</v>
      </c>
      <c r="AC128" s="354"/>
      <c r="AD128" s="354"/>
      <c r="AE128" s="282" t="s">
        <v>3</v>
      </c>
      <c r="AF128" s="282">
        <v>-15</v>
      </c>
      <c r="AG128" s="300" t="s">
        <v>427</v>
      </c>
      <c r="AH128" s="295">
        <v>0.2</v>
      </c>
      <c r="AI128" s="297" t="s">
        <v>426</v>
      </c>
      <c r="AL128" s="422" t="s">
        <v>442</v>
      </c>
    </row>
    <row r="129" spans="1:38" ht="99.5" customHeight="1" thickBot="1" x14ac:dyDescent="0.4">
      <c r="A129" s="11" t="s">
        <v>25</v>
      </c>
      <c r="B129" s="353" t="s">
        <v>405</v>
      </c>
      <c r="C129" s="353"/>
      <c r="D129" s="124" t="s">
        <v>3</v>
      </c>
      <c r="E129" s="124">
        <v>-20</v>
      </c>
      <c r="F129" s="76" t="s">
        <v>71</v>
      </c>
      <c r="G129" s="76">
        <v>35</v>
      </c>
      <c r="H129" s="110" t="s">
        <v>97</v>
      </c>
      <c r="I129" s="135" t="s">
        <v>339</v>
      </c>
      <c r="J129" s="422" t="s">
        <v>442</v>
      </c>
      <c r="M129" s="11" t="s">
        <v>25</v>
      </c>
      <c r="N129" s="374" t="s">
        <v>392</v>
      </c>
      <c r="O129" s="353"/>
      <c r="P129" s="12" t="s">
        <v>37</v>
      </c>
      <c r="Q129" s="12">
        <f>90*E19</f>
        <v>81</v>
      </c>
      <c r="R129" s="76" t="s">
        <v>71</v>
      </c>
      <c r="S129" s="76">
        <v>35</v>
      </c>
      <c r="T129" s="273" t="s">
        <v>381</v>
      </c>
      <c r="U129" s="274"/>
      <c r="V129" s="428" t="s">
        <v>443</v>
      </c>
      <c r="AA129" s="11" t="s">
        <v>25</v>
      </c>
      <c r="AB129" s="353" t="s">
        <v>425</v>
      </c>
      <c r="AC129" s="353"/>
      <c r="AD129" s="353"/>
      <c r="AE129" s="12" t="s">
        <v>37</v>
      </c>
      <c r="AF129" s="12">
        <f>65*E19</f>
        <v>58.5</v>
      </c>
      <c r="AG129" s="283" t="s">
        <v>397</v>
      </c>
      <c r="AH129" s="284">
        <v>0.3</v>
      </c>
      <c r="AI129" s="285" t="s">
        <v>353</v>
      </c>
      <c r="AJ129" s="286"/>
      <c r="AL129" s="428" t="s">
        <v>443</v>
      </c>
    </row>
    <row r="130" spans="1:38" ht="107.5" customHeight="1" thickBot="1" x14ac:dyDescent="0.4">
      <c r="A130" s="11" t="s">
        <v>26</v>
      </c>
      <c r="B130" s="353" t="s">
        <v>442</v>
      </c>
      <c r="C130" s="353"/>
      <c r="D130" s="124" t="s">
        <v>3</v>
      </c>
      <c r="E130" s="124">
        <v>-25</v>
      </c>
      <c r="F130" s="76" t="s">
        <v>71</v>
      </c>
      <c r="G130" s="76">
        <v>40</v>
      </c>
      <c r="H130" s="133" t="s">
        <v>43</v>
      </c>
      <c r="I130" s="134" t="s">
        <v>339</v>
      </c>
      <c r="J130" s="422" t="s">
        <v>442</v>
      </c>
      <c r="M130" s="11" t="s">
        <v>26</v>
      </c>
      <c r="N130" s="374" t="s">
        <v>383</v>
      </c>
      <c r="O130" s="353"/>
      <c r="P130" s="124" t="s">
        <v>3</v>
      </c>
      <c r="Q130" s="124">
        <v>-5</v>
      </c>
      <c r="R130" s="76" t="s">
        <v>71</v>
      </c>
      <c r="S130" s="76">
        <v>20</v>
      </c>
      <c r="T130" s="124" t="s">
        <v>384</v>
      </c>
      <c r="U130" s="275">
        <v>0.2</v>
      </c>
      <c r="V130" s="425" t="s">
        <v>442</v>
      </c>
      <c r="AA130" s="11" t="s">
        <v>26</v>
      </c>
      <c r="AB130" s="353" t="s">
        <v>419</v>
      </c>
      <c r="AC130" s="353"/>
      <c r="AD130" s="353"/>
      <c r="AE130" s="124" t="s">
        <v>3</v>
      </c>
      <c r="AF130" s="124">
        <v>-5</v>
      </c>
      <c r="AG130" s="76" t="s">
        <v>71</v>
      </c>
      <c r="AH130" s="76">
        <v>40</v>
      </c>
      <c r="AI130" s="129"/>
      <c r="AJ130" s="287"/>
      <c r="AL130" s="422" t="s">
        <v>442</v>
      </c>
    </row>
    <row r="131" spans="1:38" ht="107" customHeight="1" thickBot="1" x14ac:dyDescent="0.4">
      <c r="A131" s="11" t="s">
        <v>27</v>
      </c>
      <c r="B131" s="353" t="s">
        <v>406</v>
      </c>
      <c r="C131" s="353"/>
      <c r="D131" s="124" t="s">
        <v>3</v>
      </c>
      <c r="E131" s="124">
        <v>-25</v>
      </c>
      <c r="F131" s="76" t="s">
        <v>71</v>
      </c>
      <c r="G131" s="76">
        <v>40</v>
      </c>
      <c r="H131" s="86" t="s">
        <v>183</v>
      </c>
      <c r="I131" s="87">
        <v>20</v>
      </c>
      <c r="J131" s="422" t="s">
        <v>442</v>
      </c>
      <c r="M131" s="11" t="s">
        <v>27</v>
      </c>
      <c r="N131" s="353" t="s">
        <v>385</v>
      </c>
      <c r="O131" s="353"/>
      <c r="P131" s="124" t="s">
        <v>3</v>
      </c>
      <c r="Q131" s="124">
        <v>-25</v>
      </c>
      <c r="R131" s="76" t="s">
        <v>71</v>
      </c>
      <c r="S131" s="76">
        <v>30</v>
      </c>
      <c r="T131" s="276" t="s">
        <v>387</v>
      </c>
      <c r="U131" s="270" t="s">
        <v>386</v>
      </c>
      <c r="V131" s="425" t="s">
        <v>442</v>
      </c>
      <c r="AA131" s="11" t="s">
        <v>27</v>
      </c>
      <c r="AB131" s="353" t="s">
        <v>420</v>
      </c>
      <c r="AC131" s="353"/>
      <c r="AD131" s="353"/>
      <c r="AE131" s="124" t="s">
        <v>3</v>
      </c>
      <c r="AF131" s="124">
        <v>-25</v>
      </c>
      <c r="AG131" s="76" t="s">
        <v>71</v>
      </c>
      <c r="AH131" s="76">
        <v>20</v>
      </c>
      <c r="AI131" s="296"/>
      <c r="AJ131" s="281"/>
      <c r="AL131" s="422" t="s">
        <v>442</v>
      </c>
    </row>
    <row r="132" spans="1:38" ht="129" customHeight="1" thickBot="1" x14ac:dyDescent="0.4">
      <c r="A132" s="11" t="s">
        <v>28</v>
      </c>
      <c r="B132" s="353" t="s">
        <v>407</v>
      </c>
      <c r="C132" s="353"/>
      <c r="D132" s="124" t="s">
        <v>3</v>
      </c>
      <c r="E132" s="124">
        <v>-30</v>
      </c>
      <c r="F132" s="76" t="s">
        <v>71</v>
      </c>
      <c r="G132" s="76">
        <v>65</v>
      </c>
      <c r="H132" s="271" t="s">
        <v>184</v>
      </c>
      <c r="I132" s="272"/>
      <c r="J132" s="422" t="s">
        <v>442</v>
      </c>
      <c r="M132" s="11" t="s">
        <v>28</v>
      </c>
      <c r="N132" s="353" t="s">
        <v>393</v>
      </c>
      <c r="O132" s="353"/>
      <c r="P132" s="124" t="s">
        <v>3</v>
      </c>
      <c r="Q132" s="124">
        <v>-30</v>
      </c>
      <c r="R132" s="76" t="s">
        <v>71</v>
      </c>
      <c r="S132" s="76">
        <v>80</v>
      </c>
      <c r="T132" s="110" t="s">
        <v>388</v>
      </c>
      <c r="U132" s="110"/>
      <c r="V132" s="425" t="s">
        <v>442</v>
      </c>
      <c r="AA132" s="11" t="s">
        <v>28</v>
      </c>
      <c r="AB132" s="353" t="s">
        <v>421</v>
      </c>
      <c r="AC132" s="353"/>
      <c r="AD132" s="353"/>
      <c r="AE132" s="124" t="s">
        <v>3</v>
      </c>
      <c r="AF132" s="124">
        <v>-30</v>
      </c>
      <c r="AG132" s="76" t="s">
        <v>71</v>
      </c>
      <c r="AH132" s="76">
        <v>80</v>
      </c>
      <c r="AI132" s="124" t="s">
        <v>422</v>
      </c>
      <c r="AJ132" s="124"/>
      <c r="AL132" s="422" t="s">
        <v>442</v>
      </c>
    </row>
    <row r="133" spans="1:38" ht="97.5" customHeight="1" thickBot="1" x14ac:dyDescent="0.4">
      <c r="A133" s="11" t="s">
        <v>29</v>
      </c>
      <c r="B133" s="353" t="s">
        <v>408</v>
      </c>
      <c r="C133" s="353"/>
      <c r="D133" s="124" t="s">
        <v>3</v>
      </c>
      <c r="E133" s="124">
        <v>-5</v>
      </c>
      <c r="F133" s="76" t="s">
        <v>71</v>
      </c>
      <c r="G133" s="76">
        <v>150</v>
      </c>
      <c r="H133" s="271" t="s">
        <v>185</v>
      </c>
      <c r="I133" s="271"/>
      <c r="J133" s="422" t="s">
        <v>442</v>
      </c>
      <c r="M133" s="11" t="s">
        <v>29</v>
      </c>
      <c r="N133" s="353" t="s">
        <v>382</v>
      </c>
      <c r="O133" s="353"/>
      <c r="P133" s="12" t="s">
        <v>37</v>
      </c>
      <c r="Q133" s="299">
        <f>135*E19</f>
        <v>121.5</v>
      </c>
      <c r="R133" s="76" t="s">
        <v>71</v>
      </c>
      <c r="S133" s="76">
        <v>150</v>
      </c>
      <c r="T133" s="110" t="s">
        <v>377</v>
      </c>
      <c r="U133" s="135" t="s">
        <v>378</v>
      </c>
      <c r="V133" s="428" t="s">
        <v>443</v>
      </c>
      <c r="W133" s="270" t="s">
        <v>379</v>
      </c>
      <c r="X133" s="270" t="s">
        <v>378</v>
      </c>
      <c r="Y133" s="297" t="s">
        <v>424</v>
      </c>
      <c r="Z133" s="298"/>
      <c r="AA133" s="11" t="s">
        <v>29</v>
      </c>
      <c r="AB133" s="353" t="s">
        <v>410</v>
      </c>
      <c r="AC133" s="353"/>
      <c r="AD133" s="353"/>
      <c r="AE133" s="124" t="s">
        <v>3</v>
      </c>
      <c r="AF133" s="124">
        <v>-50</v>
      </c>
      <c r="AG133" s="76" t="s">
        <v>71</v>
      </c>
      <c r="AH133" s="76">
        <v>100</v>
      </c>
      <c r="AI133" s="291" t="s">
        <v>411</v>
      </c>
      <c r="AJ133" s="276" t="s">
        <v>412</v>
      </c>
      <c r="AK133" s="292">
        <v>0.3</v>
      </c>
      <c r="AL133" s="422" t="s">
        <v>442</v>
      </c>
    </row>
    <row r="134" spans="1:38" ht="118" customHeight="1" x14ac:dyDescent="0.35">
      <c r="A134" s="68" t="s">
        <v>73</v>
      </c>
      <c r="B134" s="69"/>
      <c r="C134" s="72" t="s">
        <v>72</v>
      </c>
      <c r="D134" s="71"/>
      <c r="E134" s="73" t="s">
        <v>74</v>
      </c>
    </row>
    <row r="135" spans="1:38" ht="105.5" customHeight="1" x14ac:dyDescent="0.35">
      <c r="A135" s="241" t="s">
        <v>356</v>
      </c>
      <c r="B135" s="128" t="s">
        <v>368</v>
      </c>
      <c r="C135" s="128"/>
      <c r="D135" s="264" t="s">
        <v>357</v>
      </c>
      <c r="E135" s="264" t="s">
        <v>369</v>
      </c>
      <c r="F135" s="264"/>
      <c r="G135" s="102"/>
      <c r="H135" s="102"/>
      <c r="I135" s="102"/>
      <c r="J135" s="102"/>
      <c r="K135" s="102"/>
      <c r="L135" s="102"/>
    </row>
    <row r="136" spans="1:38" ht="79" customHeight="1" thickBot="1" x14ac:dyDescent="0.4">
      <c r="A136" s="372" t="s">
        <v>304</v>
      </c>
      <c r="B136" s="372"/>
      <c r="C136" s="372"/>
      <c r="D136" s="372"/>
      <c r="E136" s="372"/>
      <c r="F136" s="372"/>
      <c r="G136" s="372"/>
      <c r="H136" s="372"/>
      <c r="I136" s="372"/>
      <c r="J136" s="372"/>
      <c r="K136" s="372"/>
      <c r="L136" s="372"/>
      <c r="M136" s="372"/>
      <c r="N136" s="372"/>
      <c r="O136" s="372"/>
      <c r="P136" s="372"/>
      <c r="Q136" s="372"/>
      <c r="R136" s="372"/>
      <c r="S136" s="372"/>
    </row>
    <row r="137" spans="1:38" ht="40.5" customHeight="1" thickBot="1" x14ac:dyDescent="0.4">
      <c r="A137" s="379" t="s">
        <v>305</v>
      </c>
      <c r="B137" s="380"/>
      <c r="C137" s="381" t="s">
        <v>306</v>
      </c>
      <c r="D137" s="382"/>
      <c r="E137" s="383" t="s">
        <v>307</v>
      </c>
      <c r="F137" s="384"/>
      <c r="G137" s="383" t="s">
        <v>308</v>
      </c>
      <c r="H137" s="385"/>
      <c r="I137" s="386"/>
      <c r="J137" s="370" t="s">
        <v>309</v>
      </c>
      <c r="K137" s="371"/>
      <c r="L137" s="370" t="s">
        <v>310</v>
      </c>
      <c r="M137" s="371"/>
    </row>
    <row r="138" spans="1:38" x14ac:dyDescent="0.35">
      <c r="A138" s="194" t="s">
        <v>0</v>
      </c>
      <c r="B138" s="194" t="s">
        <v>186</v>
      </c>
      <c r="C138" s="194" t="s">
        <v>0</v>
      </c>
      <c r="D138" s="194" t="s">
        <v>186</v>
      </c>
      <c r="E138" s="194" t="s">
        <v>0</v>
      </c>
      <c r="F138" s="194" t="s">
        <v>186</v>
      </c>
      <c r="G138" s="194" t="s">
        <v>0</v>
      </c>
      <c r="H138" s="377" t="s">
        <v>186</v>
      </c>
      <c r="I138" s="378"/>
      <c r="J138" s="194" t="s">
        <v>0</v>
      </c>
      <c r="K138" s="196" t="s">
        <v>186</v>
      </c>
      <c r="L138" s="194" t="s">
        <v>0</v>
      </c>
      <c r="M138" s="252" t="s">
        <v>186</v>
      </c>
    </row>
    <row r="139" spans="1:38" ht="21.5" thickBot="1" x14ac:dyDescent="0.4">
      <c r="A139" s="193" t="s">
        <v>1</v>
      </c>
      <c r="B139" s="193">
        <f t="shared" ref="B139:B153" si="25">N71</f>
        <v>600</v>
      </c>
      <c r="C139" s="193" t="s">
        <v>1</v>
      </c>
      <c r="D139" s="193">
        <f t="shared" ref="D139:D153" si="26">T71</f>
        <v>600</v>
      </c>
      <c r="E139" s="193" t="s">
        <v>1</v>
      </c>
      <c r="F139" s="193">
        <f t="shared" ref="F139:F153" si="27">AI2</f>
        <v>267</v>
      </c>
      <c r="G139" s="193" t="s">
        <v>1</v>
      </c>
      <c r="H139" s="375">
        <f>IF(AI2+S6&gt;E2, E2, AI2+S6)</f>
        <v>267</v>
      </c>
      <c r="I139" s="376"/>
      <c r="J139" s="193" t="s">
        <v>1</v>
      </c>
      <c r="K139" s="193">
        <v>267</v>
      </c>
      <c r="L139" s="193" t="s">
        <v>1</v>
      </c>
      <c r="M139" s="253">
        <f>IF(K139+K151&gt;E2,E2, K139+K151)</f>
        <v>277</v>
      </c>
      <c r="O139" s="235" t="s">
        <v>465</v>
      </c>
      <c r="P139" s="421" t="s">
        <v>439</v>
      </c>
      <c r="Q139" s="421"/>
      <c r="R139" s="370" t="s">
        <v>440</v>
      </c>
      <c r="S139" s="371"/>
    </row>
    <row r="140" spans="1:38" ht="15" thickBot="1" x14ac:dyDescent="0.4">
      <c r="A140" s="193" t="s">
        <v>2</v>
      </c>
      <c r="B140" s="193">
        <f t="shared" si="25"/>
        <v>141</v>
      </c>
      <c r="C140" s="193" t="s">
        <v>2</v>
      </c>
      <c r="D140" s="193">
        <f t="shared" si="26"/>
        <v>141</v>
      </c>
      <c r="E140" s="193" t="s">
        <v>2</v>
      </c>
      <c r="F140" s="193">
        <f t="shared" si="27"/>
        <v>141</v>
      </c>
      <c r="G140" s="193" t="s">
        <v>2</v>
      </c>
      <c r="H140" s="375">
        <f t="shared" ref="H140:H153" si="28">N72</f>
        <v>141</v>
      </c>
      <c r="I140" s="376"/>
      <c r="J140" s="193" t="s">
        <v>2</v>
      </c>
      <c r="K140" s="193">
        <v>141</v>
      </c>
      <c r="L140" s="193" t="s">
        <v>2</v>
      </c>
      <c r="M140" s="253">
        <f t="shared" ref="M140:M141" si="29">IF(K140+K152&gt;E3,E3, K140+K152)</f>
        <v>141</v>
      </c>
      <c r="O140" s="451">
        <f ca="1">S141/Q141</f>
        <v>0.99012751953928424</v>
      </c>
      <c r="P140" s="417" t="s">
        <v>0</v>
      </c>
      <c r="Q140" s="418" t="s">
        <v>274</v>
      </c>
      <c r="R140" s="417" t="s">
        <v>0</v>
      </c>
      <c r="S140" s="418" t="s">
        <v>274</v>
      </c>
      <c r="T140" s="439" t="s">
        <v>453</v>
      </c>
      <c r="U140" s="440" t="str">
        <f>IF(Q74=1,"Physique",IF(Q74=4,"Physique",IF(Q74=6,"Physique",IF(Q74=7,"Physique",IF(Q74=8,"Physique",IF(Q74=10,"Physique",IF(Q74=2,"Magique",IF(Q74=3,"Physique",IF(Q74=5,"Magique",IF(Q74=11,"Magique",""))))))))))</f>
        <v/>
      </c>
      <c r="V140" s="446">
        <f>Q76</f>
        <v>0</v>
      </c>
      <c r="W140" s="59" t="s">
        <v>0</v>
      </c>
      <c r="X140" s="60" t="s">
        <v>274</v>
      </c>
    </row>
    <row r="141" spans="1:38" ht="15" thickBot="1" x14ac:dyDescent="0.4">
      <c r="A141" s="193" t="s">
        <v>3</v>
      </c>
      <c r="B141" s="193">
        <f t="shared" si="25"/>
        <v>445</v>
      </c>
      <c r="C141" s="193" t="s">
        <v>3</v>
      </c>
      <c r="D141" s="193">
        <f t="shared" si="26"/>
        <v>0</v>
      </c>
      <c r="E141" s="193" t="s">
        <v>3</v>
      </c>
      <c r="F141" s="193">
        <f t="shared" si="27"/>
        <v>0</v>
      </c>
      <c r="G141" s="193" t="s">
        <v>3</v>
      </c>
      <c r="H141" s="375">
        <f t="shared" si="28"/>
        <v>445</v>
      </c>
      <c r="I141" s="376"/>
      <c r="J141" s="193" t="s">
        <v>3</v>
      </c>
      <c r="K141" s="193">
        <v>430</v>
      </c>
      <c r="L141" s="193" t="s">
        <v>3</v>
      </c>
      <c r="M141" s="253">
        <f t="shared" si="29"/>
        <v>440</v>
      </c>
      <c r="P141" s="419" t="s">
        <v>1</v>
      </c>
      <c r="Q141" s="158">
        <f>2750</f>
        <v>2750</v>
      </c>
      <c r="R141" s="419" t="s">
        <v>1</v>
      </c>
      <c r="S141" s="448">
        <f ca="1">Q141-U146</f>
        <v>2722.8506787330316</v>
      </c>
      <c r="T141" s="441" t="s">
        <v>454</v>
      </c>
      <c r="U141" s="442" t="str">
        <f>IF(Q44&gt;0,"Physique","")</f>
        <v>Physique</v>
      </c>
      <c r="V141" s="447">
        <f>Q44</f>
        <v>30</v>
      </c>
      <c r="W141" s="61" t="s">
        <v>1</v>
      </c>
      <c r="X141" s="158">
        <f>500-336</f>
        <v>164</v>
      </c>
      <c r="AA141" s="59" t="s">
        <v>0</v>
      </c>
      <c r="AB141" s="60" t="s">
        <v>274</v>
      </c>
      <c r="AF141" s="59" t="s">
        <v>0</v>
      </c>
      <c r="AG141" s="60" t="s">
        <v>274</v>
      </c>
      <c r="AJ141" s="59" t="s">
        <v>0</v>
      </c>
      <c r="AK141" s="60" t="s">
        <v>293</v>
      </c>
    </row>
    <row r="142" spans="1:38" ht="15" thickBot="1" x14ac:dyDescent="0.4">
      <c r="A142" s="193" t="s">
        <v>4</v>
      </c>
      <c r="B142" s="193">
        <f t="shared" si="25"/>
        <v>0</v>
      </c>
      <c r="C142" s="193" t="s">
        <v>4</v>
      </c>
      <c r="D142" s="193">
        <f t="shared" si="26"/>
        <v>0</v>
      </c>
      <c r="E142" s="193" t="s">
        <v>4</v>
      </c>
      <c r="F142" s="193">
        <f t="shared" si="27"/>
        <v>0</v>
      </c>
      <c r="G142" s="193" t="s">
        <v>4</v>
      </c>
      <c r="H142" s="375">
        <f t="shared" si="28"/>
        <v>0</v>
      </c>
      <c r="I142" s="376"/>
      <c r="J142" s="193" t="s">
        <v>4</v>
      </c>
      <c r="K142" s="193">
        <v>0</v>
      </c>
      <c r="L142" s="193" t="s">
        <v>4</v>
      </c>
      <c r="M142" s="253">
        <v>0</v>
      </c>
      <c r="P142" s="419" t="s">
        <v>2</v>
      </c>
      <c r="Q142" s="158"/>
      <c r="R142" s="419" t="s">
        <v>2</v>
      </c>
      <c r="S142" s="158"/>
      <c r="T142" s="443" t="s">
        <v>455</v>
      </c>
      <c r="U142" s="444" t="str">
        <f>IF(N3=8,"Magique",IF(E44=1,"Magique",IF(E44=2,"Magique",IF(E44=3,"Magique",IF(E44=4,"Magique",IF(E44=5,"Magique",IF(E44=6,"Magique",IF(E44=7,"Magique",IF(E44=8,"Magique",IF(E44=9,"Magique",IF(E44=10,"Magique",IF(Q109=4,"Magique",IF(Q109=6,"Magique",IF(Q109=10,"Magique",IF(AF109=2,"Magique",IF(AF109=4,"Magique",IF(AF109=6,"Magique",IF(Q43=1,"Physique",IF(Q43=3,"Physique",IF(Q43=5,"Physique",IF(Q43=7,"Physique",IF(Q43=9,"Physique",IF(Q43=10,"Physique",IF(E109=1,"Physique",IF(E109=2,"Physique",IF(E109=4,"Physique",IF(E109=6,"Physique",IF(E109=7,"Physique",IF(E109=8,"Physique",IF(E109=9,"Physique",IF(E109=10,"Physique",IF(Q109=1,"Physique",IF(Q109=2,"Physique",IF(Q109=5,"Physique",IF(Q109=7,"Physique",IF(Q109=8,"Physique",IF(Q109=9,"Physique",IF(AF103=1,"Physique",IF(AF103=3,"Physique",IF(AF103=7,"Physique",IF(AF103=8,"Physique",IF(AF103=9,"Physique",IF(AF103=10,"Physique","")))))))))))))))))))))))))))))))))))))))))))</f>
        <v>Physique</v>
      </c>
      <c r="V142" s="445">
        <f>E45+E76+Q110+E110+AF110+IF(J20="Ent",IF(N3=8,0.5*E35+0.5+E36+0.5*E34,0))</f>
        <v>0</v>
      </c>
      <c r="W142" s="61" t="s">
        <v>2</v>
      </c>
      <c r="X142" s="158"/>
      <c r="Z142" s="71"/>
      <c r="AA142" s="61" t="s">
        <v>1</v>
      </c>
      <c r="AB142" s="158">
        <f>500-336</f>
        <v>164</v>
      </c>
      <c r="AC142" s="71"/>
      <c r="AD142" s="71"/>
      <c r="AF142" s="61" t="s">
        <v>1</v>
      </c>
      <c r="AG142" s="158">
        <f>500-336</f>
        <v>164</v>
      </c>
      <c r="AJ142" s="61" t="s">
        <v>1</v>
      </c>
      <c r="AK142" s="62">
        <v>60</v>
      </c>
    </row>
    <row r="143" spans="1:38" x14ac:dyDescent="0.35">
      <c r="A143" s="193" t="s">
        <v>6</v>
      </c>
      <c r="B143" s="193">
        <f t="shared" si="25"/>
        <v>60</v>
      </c>
      <c r="C143" s="193" t="s">
        <v>6</v>
      </c>
      <c r="D143" s="193">
        <f t="shared" si="26"/>
        <v>60</v>
      </c>
      <c r="E143" s="193" t="s">
        <v>6</v>
      </c>
      <c r="F143" s="193">
        <f t="shared" si="27"/>
        <v>60</v>
      </c>
      <c r="G143" s="193" t="s">
        <v>6</v>
      </c>
      <c r="H143" s="375">
        <f t="shared" si="28"/>
        <v>60</v>
      </c>
      <c r="I143" s="376"/>
      <c r="J143" s="193" t="s">
        <v>6</v>
      </c>
      <c r="K143" s="193">
        <v>60</v>
      </c>
      <c r="L143" s="193" t="s">
        <v>6</v>
      </c>
      <c r="M143" s="253">
        <v>60</v>
      </c>
      <c r="P143" s="419" t="s">
        <v>3</v>
      </c>
      <c r="Q143" s="158"/>
      <c r="R143" s="419" t="s">
        <v>3</v>
      </c>
      <c r="S143" s="158"/>
      <c r="W143" s="61" t="s">
        <v>3</v>
      </c>
      <c r="X143" s="158"/>
      <c r="Z143" s="96"/>
      <c r="AA143" s="61" t="s">
        <v>2</v>
      </c>
      <c r="AB143" s="158"/>
      <c r="AC143" s="96"/>
      <c r="AD143" s="96"/>
      <c r="AF143" s="61" t="s">
        <v>2</v>
      </c>
      <c r="AG143" s="158"/>
      <c r="AJ143" s="61" t="s">
        <v>2</v>
      </c>
      <c r="AK143" s="62"/>
    </row>
    <row r="144" spans="1:38" x14ac:dyDescent="0.35">
      <c r="A144" s="193" t="s">
        <v>7</v>
      </c>
      <c r="B144" s="193">
        <f t="shared" si="25"/>
        <v>47</v>
      </c>
      <c r="C144" s="193" t="s">
        <v>7</v>
      </c>
      <c r="D144" s="193">
        <f t="shared" si="26"/>
        <v>47</v>
      </c>
      <c r="E144" s="193" t="s">
        <v>7</v>
      </c>
      <c r="F144" s="193">
        <f t="shared" si="27"/>
        <v>47</v>
      </c>
      <c r="G144" s="193" t="s">
        <v>7</v>
      </c>
      <c r="H144" s="375">
        <f t="shared" si="28"/>
        <v>47</v>
      </c>
      <c r="I144" s="376"/>
      <c r="J144" s="193" t="s">
        <v>7</v>
      </c>
      <c r="K144" s="193">
        <v>47</v>
      </c>
      <c r="L144" s="193" t="s">
        <v>7</v>
      </c>
      <c r="M144" s="253">
        <v>47</v>
      </c>
      <c r="P144" s="419" t="s">
        <v>4</v>
      </c>
      <c r="Q144" s="158"/>
      <c r="R144" s="419" t="s">
        <v>4</v>
      </c>
      <c r="S144" s="158"/>
      <c r="T144" s="100" t="s">
        <v>461</v>
      </c>
      <c r="U144" s="437">
        <f ca="1">SUMIF(U140:V142,"Physique",V140:V142)</f>
        <v>30</v>
      </c>
      <c r="W144" s="61" t="s">
        <v>4</v>
      </c>
      <c r="X144" s="158"/>
      <c r="Z144" s="101">
        <f ca="1">U144*(1-(X145/(1000+X145))) + U145*(1-(X146/(1000+X146)))</f>
        <v>28.846153846153847</v>
      </c>
      <c r="AA144" s="61" t="s">
        <v>3</v>
      </c>
      <c r="AB144" s="158"/>
      <c r="AC144" s="101">
        <f ca="1">U144*(1-(AB146/(1000+AB146))) + U145*(1-(AB147/(1000+AB147)))</f>
        <v>28.846153846153847</v>
      </c>
      <c r="AD144" s="101"/>
      <c r="AF144" s="61" t="s">
        <v>3</v>
      </c>
      <c r="AG144" s="158"/>
      <c r="AJ144" s="61" t="s">
        <v>3</v>
      </c>
      <c r="AK144" s="62"/>
    </row>
    <row r="145" spans="1:62" x14ac:dyDescent="0.35">
      <c r="A145" s="193" t="s">
        <v>10</v>
      </c>
      <c r="B145" s="193">
        <f t="shared" si="25"/>
        <v>115</v>
      </c>
      <c r="C145" s="193" t="s">
        <v>10</v>
      </c>
      <c r="D145" s="193">
        <f t="shared" si="26"/>
        <v>115</v>
      </c>
      <c r="E145" s="193" t="s">
        <v>10</v>
      </c>
      <c r="F145" s="193">
        <f t="shared" si="27"/>
        <v>115</v>
      </c>
      <c r="G145" s="193" t="s">
        <v>10</v>
      </c>
      <c r="H145" s="375">
        <f t="shared" si="28"/>
        <v>115</v>
      </c>
      <c r="I145" s="376"/>
      <c r="J145" s="193" t="s">
        <v>10</v>
      </c>
      <c r="K145" s="193">
        <v>115</v>
      </c>
      <c r="L145" s="193" t="s">
        <v>10</v>
      </c>
      <c r="M145" s="253">
        <v>115</v>
      </c>
      <c r="P145" s="419" t="s">
        <v>6</v>
      </c>
      <c r="Q145" s="158">
        <f>140*0.75</f>
        <v>105</v>
      </c>
      <c r="R145" s="419" t="s">
        <v>6</v>
      </c>
      <c r="S145" s="158">
        <f>140*0.75</f>
        <v>105</v>
      </c>
      <c r="T145" s="99" t="s">
        <v>462</v>
      </c>
      <c r="U145" s="437">
        <f ca="1">SUMIF(U140:VU142,"Magique",V140:V142)</f>
        <v>0</v>
      </c>
      <c r="W145" s="61" t="s">
        <v>6</v>
      </c>
      <c r="X145" s="158">
        <v>40</v>
      </c>
      <c r="AA145" s="61" t="s">
        <v>4</v>
      </c>
      <c r="AB145" s="158"/>
      <c r="AF145" s="61" t="s">
        <v>4</v>
      </c>
      <c r="AG145" s="158"/>
      <c r="AJ145" s="61" t="s">
        <v>4</v>
      </c>
      <c r="AK145" s="62"/>
    </row>
    <row r="146" spans="1:62" x14ac:dyDescent="0.35">
      <c r="A146" s="193" t="s">
        <v>11</v>
      </c>
      <c r="B146" s="193">
        <f t="shared" si="25"/>
        <v>15</v>
      </c>
      <c r="C146" s="193" t="s">
        <v>11</v>
      </c>
      <c r="D146" s="193">
        <f t="shared" si="26"/>
        <v>35</v>
      </c>
      <c r="E146" s="193" t="s">
        <v>11</v>
      </c>
      <c r="F146" s="193">
        <f t="shared" si="27"/>
        <v>35</v>
      </c>
      <c r="G146" s="193" t="s">
        <v>11</v>
      </c>
      <c r="H146" s="375">
        <f t="shared" si="28"/>
        <v>15</v>
      </c>
      <c r="I146" s="376"/>
      <c r="J146" s="193" t="s">
        <v>11</v>
      </c>
      <c r="K146" s="193">
        <v>35</v>
      </c>
      <c r="L146" s="193" t="s">
        <v>11</v>
      </c>
      <c r="M146" s="253">
        <v>35</v>
      </c>
      <c r="P146" s="419" t="s">
        <v>7</v>
      </c>
      <c r="Q146" s="158">
        <v>120</v>
      </c>
      <c r="R146" s="419" t="s">
        <v>7</v>
      </c>
      <c r="S146" s="158">
        <v>120</v>
      </c>
      <c r="T146" s="101" t="s">
        <v>121</v>
      </c>
      <c r="U146" s="438">
        <f ca="1">U144*(1-(Q145/(1000+Q145))) + U145*(1-(Q146/(1000+Q146)))</f>
        <v>27.149321266968325</v>
      </c>
      <c r="W146" s="61" t="s">
        <v>7</v>
      </c>
      <c r="X146" s="158">
        <v>25</v>
      </c>
      <c r="AA146" s="61" t="s">
        <v>6</v>
      </c>
      <c r="AB146" s="158">
        <v>40</v>
      </c>
      <c r="AF146" s="61" t="s">
        <v>6</v>
      </c>
      <c r="AG146" s="158">
        <v>40</v>
      </c>
      <c r="AJ146" s="61" t="s">
        <v>6</v>
      </c>
      <c r="AK146" s="62">
        <v>18</v>
      </c>
    </row>
    <row r="147" spans="1:62" x14ac:dyDescent="0.35">
      <c r="A147" s="193" t="s">
        <v>15</v>
      </c>
      <c r="B147" s="193">
        <f t="shared" si="25"/>
        <v>0</v>
      </c>
      <c r="C147" s="193" t="s">
        <v>15</v>
      </c>
      <c r="D147" s="193">
        <f t="shared" si="26"/>
        <v>0</v>
      </c>
      <c r="E147" s="193" t="s">
        <v>15</v>
      </c>
      <c r="F147" s="193">
        <f t="shared" si="27"/>
        <v>0</v>
      </c>
      <c r="G147" s="193" t="s">
        <v>15</v>
      </c>
      <c r="H147" s="375">
        <f t="shared" si="28"/>
        <v>0</v>
      </c>
      <c r="I147" s="376"/>
      <c r="J147" s="193" t="s">
        <v>15</v>
      </c>
      <c r="K147" s="193">
        <v>0</v>
      </c>
      <c r="L147" s="193" t="s">
        <v>15</v>
      </c>
      <c r="M147" s="253">
        <v>0</v>
      </c>
      <c r="P147" s="419" t="s">
        <v>10</v>
      </c>
      <c r="Q147" s="158">
        <v>30</v>
      </c>
      <c r="R147" s="419" t="s">
        <v>10</v>
      </c>
      <c r="S147" s="158">
        <v>30</v>
      </c>
      <c r="W147" s="61" t="s">
        <v>10</v>
      </c>
      <c r="X147" s="158">
        <v>90</v>
      </c>
      <c r="AA147" s="61" t="s">
        <v>7</v>
      </c>
      <c r="AB147" s="158">
        <v>25</v>
      </c>
      <c r="AF147" s="61" t="s">
        <v>7</v>
      </c>
      <c r="AG147" s="158">
        <v>25</v>
      </c>
      <c r="AJ147" s="61" t="s">
        <v>7</v>
      </c>
      <c r="AK147" s="62">
        <v>8</v>
      </c>
    </row>
    <row r="148" spans="1:62" x14ac:dyDescent="0.35">
      <c r="A148" s="193" t="s">
        <v>14</v>
      </c>
      <c r="B148" s="193">
        <f t="shared" si="25"/>
        <v>20</v>
      </c>
      <c r="C148" s="193" t="s">
        <v>14</v>
      </c>
      <c r="D148" s="193">
        <f t="shared" si="26"/>
        <v>20</v>
      </c>
      <c r="E148" s="193" t="s">
        <v>14</v>
      </c>
      <c r="F148" s="193">
        <f t="shared" si="27"/>
        <v>20</v>
      </c>
      <c r="G148" s="193" t="s">
        <v>14</v>
      </c>
      <c r="H148" s="375">
        <f t="shared" si="28"/>
        <v>20</v>
      </c>
      <c r="I148" s="376"/>
      <c r="J148" s="193" t="s">
        <v>14</v>
      </c>
      <c r="K148" s="193">
        <v>20</v>
      </c>
      <c r="L148" s="193" t="s">
        <v>14</v>
      </c>
      <c r="M148" s="253">
        <v>20</v>
      </c>
      <c r="P148" s="419" t="s">
        <v>11</v>
      </c>
      <c r="Q148" s="158">
        <v>80</v>
      </c>
      <c r="R148" s="419" t="s">
        <v>11</v>
      </c>
      <c r="S148" s="158">
        <v>80</v>
      </c>
      <c r="T148" s="455" t="s">
        <v>469</v>
      </c>
      <c r="U148" s="456" t="str">
        <f>IF(E109=2,"10% pendant 3T","")</f>
        <v/>
      </c>
      <c r="V148" s="456" t="str">
        <f>IF(E109=10,"40% pendant 2T","")</f>
        <v/>
      </c>
      <c r="W148" s="61" t="s">
        <v>11</v>
      </c>
      <c r="X148" s="158">
        <v>25</v>
      </c>
      <c r="AA148" s="61" t="s">
        <v>10</v>
      </c>
      <c r="AB148" s="158">
        <v>90</v>
      </c>
      <c r="AF148" s="61" t="s">
        <v>10</v>
      </c>
      <c r="AG148" s="158">
        <v>90</v>
      </c>
      <c r="AJ148" s="61" t="s">
        <v>10</v>
      </c>
      <c r="AK148" s="62">
        <v>20</v>
      </c>
    </row>
    <row r="149" spans="1:62" x14ac:dyDescent="0.35">
      <c r="A149" s="193" t="s">
        <v>8</v>
      </c>
      <c r="B149" s="193">
        <f t="shared" si="25"/>
        <v>20</v>
      </c>
      <c r="C149" s="193" t="s">
        <v>8</v>
      </c>
      <c r="D149" s="193">
        <f t="shared" si="26"/>
        <v>20</v>
      </c>
      <c r="E149" s="193" t="s">
        <v>8</v>
      </c>
      <c r="F149" s="193">
        <f t="shared" si="27"/>
        <v>20</v>
      </c>
      <c r="G149" s="193" t="s">
        <v>8</v>
      </c>
      <c r="H149" s="375">
        <f t="shared" si="28"/>
        <v>20</v>
      </c>
      <c r="I149" s="376"/>
      <c r="J149" s="193" t="s">
        <v>8</v>
      </c>
      <c r="K149" s="193">
        <v>20</v>
      </c>
      <c r="L149" s="193" t="s">
        <v>8</v>
      </c>
      <c r="M149" s="253">
        <v>20</v>
      </c>
      <c r="P149" s="419" t="s">
        <v>15</v>
      </c>
      <c r="Q149" s="158"/>
      <c r="R149" s="419" t="s">
        <v>15</v>
      </c>
      <c r="S149" s="158"/>
      <c r="T149" s="455"/>
      <c r="U149" s="456" t="str">
        <f>IF(E75=10,"Armure -25% pendant 5 tours","")</f>
        <v/>
      </c>
      <c r="V149" s="456"/>
      <c r="W149" s="61" t="s">
        <v>15</v>
      </c>
      <c r="X149" s="158"/>
      <c r="AA149" s="61" t="s">
        <v>11</v>
      </c>
      <c r="AB149" s="158">
        <v>25</v>
      </c>
      <c r="AF149" s="61" t="s">
        <v>11</v>
      </c>
      <c r="AG149" s="158">
        <v>25</v>
      </c>
      <c r="AJ149" s="61" t="s">
        <v>11</v>
      </c>
      <c r="AK149" s="62"/>
    </row>
    <row r="150" spans="1:62" x14ac:dyDescent="0.35">
      <c r="A150" s="193" t="s">
        <v>9</v>
      </c>
      <c r="B150" s="193">
        <f t="shared" si="25"/>
        <v>9.5</v>
      </c>
      <c r="C150" s="193" t="s">
        <v>9</v>
      </c>
      <c r="D150" s="193">
        <f t="shared" si="26"/>
        <v>9.5</v>
      </c>
      <c r="E150" s="193" t="s">
        <v>9</v>
      </c>
      <c r="F150" s="193">
        <f t="shared" si="27"/>
        <v>9.5</v>
      </c>
      <c r="G150" s="193" t="s">
        <v>9</v>
      </c>
      <c r="H150" s="375">
        <f t="shared" si="28"/>
        <v>9.5</v>
      </c>
      <c r="I150" s="376"/>
      <c r="J150" s="193" t="s">
        <v>9</v>
      </c>
      <c r="K150" s="193">
        <v>9.5</v>
      </c>
      <c r="L150" s="193" t="s">
        <v>9</v>
      </c>
      <c r="M150" s="253">
        <v>9.5</v>
      </c>
      <c r="P150" s="419" t="s">
        <v>14</v>
      </c>
      <c r="Q150" s="158"/>
      <c r="R150" s="419" t="s">
        <v>14</v>
      </c>
      <c r="S150" s="158"/>
      <c r="T150" s="455" t="s">
        <v>469</v>
      </c>
      <c r="U150" s="456" t="str">
        <f>IF(Q43=10,"Dégats +20% pendant 2 tours","")</f>
        <v>Dégats +20% pendant 2 tours</v>
      </c>
      <c r="V150" s="456"/>
      <c r="W150" s="61" t="s">
        <v>14</v>
      </c>
      <c r="X150" s="158"/>
      <c r="AA150" s="61" t="s">
        <v>15</v>
      </c>
      <c r="AB150" s="158"/>
      <c r="AF150" s="61" t="s">
        <v>15</v>
      </c>
      <c r="AG150" s="158"/>
      <c r="AJ150" s="61" t="s">
        <v>15</v>
      </c>
      <c r="AK150" s="62"/>
    </row>
    <row r="151" spans="1:62" x14ac:dyDescent="0.35">
      <c r="A151" s="193" t="s">
        <v>12</v>
      </c>
      <c r="B151" s="193">
        <f t="shared" si="25"/>
        <v>10</v>
      </c>
      <c r="C151" s="193" t="s">
        <v>12</v>
      </c>
      <c r="D151" s="193">
        <f t="shared" si="26"/>
        <v>10</v>
      </c>
      <c r="E151" s="193" t="s">
        <v>12</v>
      </c>
      <c r="F151" s="193">
        <f t="shared" si="27"/>
        <v>10</v>
      </c>
      <c r="G151" s="193" t="s">
        <v>12</v>
      </c>
      <c r="H151" s="375">
        <f t="shared" si="28"/>
        <v>10</v>
      </c>
      <c r="I151" s="376"/>
      <c r="J151" s="193" t="s">
        <v>12</v>
      </c>
      <c r="K151" s="193">
        <v>10</v>
      </c>
      <c r="L151" s="193" t="s">
        <v>12</v>
      </c>
      <c r="M151" s="253">
        <v>10</v>
      </c>
      <c r="P151" s="419" t="s">
        <v>8</v>
      </c>
      <c r="Q151" s="159">
        <v>0.15</v>
      </c>
      <c r="R151" s="419" t="s">
        <v>8</v>
      </c>
      <c r="S151" s="159">
        <v>0.15</v>
      </c>
      <c r="T151" t="s">
        <v>100</v>
      </c>
      <c r="U151">
        <f ca="1">RANDBETWEEN(1,100)</f>
        <v>96</v>
      </c>
      <c r="W151" s="61" t="s">
        <v>8</v>
      </c>
      <c r="X151" s="159">
        <v>0.1</v>
      </c>
      <c r="AA151" s="61" t="s">
        <v>14</v>
      </c>
      <c r="AB151" s="158"/>
      <c r="AF151" s="61" t="s">
        <v>14</v>
      </c>
      <c r="AG151" s="158"/>
      <c r="AJ151" s="61" t="s">
        <v>14</v>
      </c>
      <c r="AK151" s="63"/>
    </row>
    <row r="152" spans="1:62" x14ac:dyDescent="0.35">
      <c r="A152" s="193" t="s">
        <v>13</v>
      </c>
      <c r="B152" s="193">
        <f t="shared" si="25"/>
        <v>12</v>
      </c>
      <c r="C152" s="193" t="s">
        <v>13</v>
      </c>
      <c r="D152" s="193">
        <f t="shared" si="26"/>
        <v>22</v>
      </c>
      <c r="E152" s="193" t="s">
        <v>13</v>
      </c>
      <c r="F152" s="193">
        <f t="shared" si="27"/>
        <v>22</v>
      </c>
      <c r="G152" s="193" t="s">
        <v>13</v>
      </c>
      <c r="H152" s="375">
        <f t="shared" si="28"/>
        <v>12</v>
      </c>
      <c r="I152" s="376"/>
      <c r="J152" s="193" t="s">
        <v>13</v>
      </c>
      <c r="K152" s="193">
        <v>12</v>
      </c>
      <c r="L152" s="193" t="s">
        <v>13</v>
      </c>
      <c r="M152" s="253">
        <v>12</v>
      </c>
      <c r="P152" s="419" t="s">
        <v>9</v>
      </c>
      <c r="Q152" s="159">
        <v>0.1</v>
      </c>
      <c r="R152" s="419" t="s">
        <v>9</v>
      </c>
      <c r="S152" s="159">
        <v>0.1</v>
      </c>
      <c r="T152" t="s">
        <v>43</v>
      </c>
      <c r="U152">
        <f ca="1">RANDBETWEEN(1,100)</f>
        <v>46</v>
      </c>
      <c r="W152" s="61" t="s">
        <v>9</v>
      </c>
      <c r="X152" s="159">
        <v>0.15</v>
      </c>
      <c r="AA152" s="61" t="s">
        <v>8</v>
      </c>
      <c r="AB152" s="159">
        <v>0.1</v>
      </c>
      <c r="AF152" s="61" t="s">
        <v>8</v>
      </c>
      <c r="AG152" s="159">
        <v>0.1</v>
      </c>
      <c r="AJ152" s="61" t="s">
        <v>8</v>
      </c>
      <c r="AK152" s="63"/>
    </row>
    <row r="153" spans="1:62" ht="15" thickBot="1" x14ac:dyDescent="0.4">
      <c r="A153" s="195" t="s">
        <v>16</v>
      </c>
      <c r="B153" s="195">
        <f t="shared" si="25"/>
        <v>10</v>
      </c>
      <c r="C153" s="195" t="s">
        <v>16</v>
      </c>
      <c r="D153" s="195">
        <f t="shared" si="26"/>
        <v>10</v>
      </c>
      <c r="E153" s="195" t="s">
        <v>16</v>
      </c>
      <c r="F153" s="193">
        <f t="shared" si="27"/>
        <v>10</v>
      </c>
      <c r="G153" s="195" t="s">
        <v>16</v>
      </c>
      <c r="H153" s="375">
        <f t="shared" si="28"/>
        <v>10</v>
      </c>
      <c r="I153" s="376"/>
      <c r="J153" s="195" t="s">
        <v>16</v>
      </c>
      <c r="K153" s="195">
        <v>10</v>
      </c>
      <c r="L153" s="195" t="s">
        <v>16</v>
      </c>
      <c r="M153" s="253">
        <v>10</v>
      </c>
      <c r="P153" s="419" t="s">
        <v>12</v>
      </c>
      <c r="Q153" s="158"/>
      <c r="R153" s="419" t="s">
        <v>12</v>
      </c>
      <c r="S153" s="158"/>
      <c r="T153" s="34"/>
      <c r="U153" s="452"/>
      <c r="W153" s="61" t="s">
        <v>12</v>
      </c>
      <c r="X153" s="158"/>
      <c r="AA153" s="61" t="s">
        <v>9</v>
      </c>
      <c r="AB153" s="159">
        <v>0.15</v>
      </c>
      <c r="AF153" s="61" t="s">
        <v>9</v>
      </c>
      <c r="AG153" s="159">
        <v>0.15</v>
      </c>
      <c r="AJ153" s="61" t="s">
        <v>9</v>
      </c>
      <c r="AK153" s="63"/>
    </row>
    <row r="154" spans="1:62" ht="48.5" customHeight="1" thickBot="1" x14ac:dyDescent="0.4">
      <c r="A154" s="379" t="s">
        <v>305</v>
      </c>
      <c r="B154" s="380"/>
      <c r="C154" s="381" t="s">
        <v>306</v>
      </c>
      <c r="D154" s="382"/>
      <c r="E154" s="383" t="s">
        <v>307</v>
      </c>
      <c r="F154" s="384"/>
      <c r="G154" s="383" t="s">
        <v>308</v>
      </c>
      <c r="H154" s="385"/>
      <c r="I154" s="386"/>
      <c r="J154" s="370" t="s">
        <v>309</v>
      </c>
      <c r="K154" s="371"/>
      <c r="L154" s="370" t="s">
        <v>310</v>
      </c>
      <c r="M154" s="371"/>
      <c r="P154" s="419" t="s">
        <v>13</v>
      </c>
      <c r="Q154" s="158"/>
      <c r="R154" s="419" t="s">
        <v>13</v>
      </c>
      <c r="S154" s="158"/>
      <c r="W154" s="61" t="s">
        <v>13</v>
      </c>
      <c r="X154" s="158"/>
      <c r="AA154" s="61" t="s">
        <v>12</v>
      </c>
      <c r="AB154" s="158"/>
      <c r="AF154" s="61" t="s">
        <v>12</v>
      </c>
      <c r="AG154" s="158"/>
      <c r="AJ154" s="61" t="s">
        <v>12</v>
      </c>
      <c r="AK154" s="63"/>
    </row>
    <row r="155" spans="1:62" ht="15" thickBot="1" x14ac:dyDescent="0.4">
      <c r="A155" s="202" t="s">
        <v>0</v>
      </c>
      <c r="B155" s="203" t="s">
        <v>55</v>
      </c>
      <c r="C155" s="202" t="s">
        <v>0</v>
      </c>
      <c r="D155" s="203" t="s">
        <v>55</v>
      </c>
      <c r="E155" s="202" t="s">
        <v>0</v>
      </c>
      <c r="F155" s="203" t="s">
        <v>55</v>
      </c>
      <c r="G155" s="207" t="s">
        <v>0</v>
      </c>
      <c r="H155" s="389" t="s">
        <v>55</v>
      </c>
      <c r="I155" s="390"/>
      <c r="J155" s="211" t="s">
        <v>0</v>
      </c>
      <c r="K155" s="207" t="s">
        <v>55</v>
      </c>
      <c r="L155" s="203" t="s">
        <v>0</v>
      </c>
      <c r="M155" s="254" t="s">
        <v>55</v>
      </c>
      <c r="P155" s="420" t="s">
        <v>16</v>
      </c>
      <c r="Q155" s="160"/>
      <c r="R155" s="420" t="s">
        <v>16</v>
      </c>
      <c r="S155" s="160"/>
      <c r="W155" s="64" t="s">
        <v>16</v>
      </c>
      <c r="X155" s="160"/>
      <c r="AA155" s="61" t="s">
        <v>13</v>
      </c>
      <c r="AB155" s="158"/>
      <c r="AF155" s="61" t="s">
        <v>13</v>
      </c>
      <c r="AG155" s="158"/>
      <c r="AJ155" s="61" t="s">
        <v>13</v>
      </c>
      <c r="AK155" s="63"/>
    </row>
    <row r="156" spans="1:62" ht="15" thickBot="1" x14ac:dyDescent="0.4">
      <c r="A156" s="204" t="s">
        <v>1</v>
      </c>
      <c r="B156" s="201">
        <f t="shared" ref="B156:B170" si="30">N40</f>
        <v>827.99999999999989</v>
      </c>
      <c r="C156" s="204" t="s">
        <v>1</v>
      </c>
      <c r="D156" s="201">
        <f t="shared" ref="D156:D170" si="31">T40</f>
        <v>827.99999999999989</v>
      </c>
      <c r="E156" s="204" t="s">
        <v>1</v>
      </c>
      <c r="F156" s="201">
        <f t="shared" ref="F156:F170" si="32">AL2</f>
        <v>406.99999999999989</v>
      </c>
      <c r="G156" s="165" t="s">
        <v>1</v>
      </c>
      <c r="H156" s="391">
        <f>IF(Q41=1,IF(AL2+X6&gt;H2*1.15,H2*1.15,AL2+X6),IF(AL2+X6&gt;H2,H2,AL2+X6))</f>
        <v>406.99999999999989</v>
      </c>
      <c r="I156" s="392"/>
      <c r="J156" s="210" t="s">
        <v>1</v>
      </c>
      <c r="K156" s="165">
        <v>406.99999999999989</v>
      </c>
      <c r="L156" s="140" t="s">
        <v>1</v>
      </c>
      <c r="M156" s="238">
        <f>IF(K156+K168&gt;M40,M40, K156+K168)</f>
        <v>406.99999999999989</v>
      </c>
      <c r="AA156" s="64" t="s">
        <v>16</v>
      </c>
      <c r="AB156" s="160"/>
      <c r="AF156" s="64" t="s">
        <v>16</v>
      </c>
      <c r="AG156" s="160"/>
      <c r="AJ156" s="64" t="s">
        <v>16</v>
      </c>
      <c r="AK156" s="65"/>
    </row>
    <row r="157" spans="1:62" x14ac:dyDescent="0.35">
      <c r="A157" s="204" t="s">
        <v>2</v>
      </c>
      <c r="B157" s="201">
        <f t="shared" si="30"/>
        <v>0</v>
      </c>
      <c r="C157" s="204" t="s">
        <v>2</v>
      </c>
      <c r="D157" s="201">
        <f t="shared" si="31"/>
        <v>0</v>
      </c>
      <c r="E157" s="204" t="s">
        <v>2</v>
      </c>
      <c r="F157" s="201">
        <f t="shared" si="32"/>
        <v>0</v>
      </c>
      <c r="G157" s="165" t="s">
        <v>2</v>
      </c>
      <c r="H157" s="387">
        <f t="shared" ref="H157:H170" si="33">N41</f>
        <v>0</v>
      </c>
      <c r="I157" s="388"/>
      <c r="J157" s="210" t="s">
        <v>2</v>
      </c>
      <c r="K157" s="165">
        <v>0</v>
      </c>
      <c r="L157" s="140" t="s">
        <v>2</v>
      </c>
      <c r="M157" s="238">
        <f>IF(K157+K169&gt;M41,M41, K157+K169)</f>
        <v>0</v>
      </c>
    </row>
    <row r="158" spans="1:62" x14ac:dyDescent="0.35">
      <c r="A158" s="204" t="s">
        <v>3</v>
      </c>
      <c r="B158" s="201">
        <f t="shared" si="30"/>
        <v>0</v>
      </c>
      <c r="C158" s="204" t="s">
        <v>3</v>
      </c>
      <c r="D158" s="201">
        <f t="shared" si="31"/>
        <v>0</v>
      </c>
      <c r="E158" s="204" t="s">
        <v>3</v>
      </c>
      <c r="F158" s="201">
        <f t="shared" si="32"/>
        <v>0</v>
      </c>
      <c r="G158" s="165" t="s">
        <v>3</v>
      </c>
      <c r="H158" s="387">
        <f t="shared" si="33"/>
        <v>0</v>
      </c>
      <c r="I158" s="388"/>
      <c r="J158" s="210" t="s">
        <v>3</v>
      </c>
      <c r="K158" s="165">
        <v>0</v>
      </c>
      <c r="L158" s="140" t="s">
        <v>3</v>
      </c>
      <c r="M158" s="238">
        <f>IF(K158+K170&gt;M42,M42, K158+K170)</f>
        <v>0</v>
      </c>
    </row>
    <row r="159" spans="1:62" x14ac:dyDescent="0.35">
      <c r="A159" s="204" t="s">
        <v>4</v>
      </c>
      <c r="B159" s="201">
        <f t="shared" si="30"/>
        <v>20</v>
      </c>
      <c r="C159" s="204" t="s">
        <v>4</v>
      </c>
      <c r="D159" s="201">
        <f t="shared" si="31"/>
        <v>0</v>
      </c>
      <c r="E159" s="204" t="s">
        <v>4</v>
      </c>
      <c r="F159" s="201">
        <f t="shared" si="32"/>
        <v>20</v>
      </c>
      <c r="G159" s="165" t="s">
        <v>4</v>
      </c>
      <c r="H159" s="387">
        <f t="shared" si="33"/>
        <v>20</v>
      </c>
      <c r="I159" s="388"/>
      <c r="J159" s="210" t="s">
        <v>4</v>
      </c>
      <c r="K159" s="165">
        <v>20</v>
      </c>
      <c r="L159" s="140" t="s">
        <v>4</v>
      </c>
      <c r="M159" s="238">
        <f>K159+S173</f>
        <v>25</v>
      </c>
    </row>
    <row r="160" spans="1:62" x14ac:dyDescent="0.35">
      <c r="A160" s="204" t="s">
        <v>6</v>
      </c>
      <c r="B160" s="201">
        <f t="shared" si="30"/>
        <v>85</v>
      </c>
      <c r="C160" s="204" t="s">
        <v>6</v>
      </c>
      <c r="D160" s="201">
        <f t="shared" si="31"/>
        <v>97.749999999999986</v>
      </c>
      <c r="E160" s="204" t="s">
        <v>6</v>
      </c>
      <c r="F160" s="201">
        <f t="shared" si="32"/>
        <v>85</v>
      </c>
      <c r="G160" s="165" t="s">
        <v>6</v>
      </c>
      <c r="H160" s="387">
        <f t="shared" si="33"/>
        <v>85</v>
      </c>
      <c r="I160" s="388"/>
      <c r="J160" s="210" t="s">
        <v>6</v>
      </c>
      <c r="K160" s="165">
        <v>85</v>
      </c>
      <c r="L160" s="140" t="s">
        <v>6</v>
      </c>
      <c r="M160" s="238">
        <f t="shared" ref="M160:M170" si="34">K160</f>
        <v>85</v>
      </c>
      <c r="O160" s="412" t="s">
        <v>116</v>
      </c>
      <c r="P160" s="413" t="s">
        <v>126</v>
      </c>
      <c r="Q160" s="413"/>
      <c r="R160" s="414" t="s">
        <v>127</v>
      </c>
      <c r="S160" s="414">
        <v>50</v>
      </c>
      <c r="T160" s="415" t="s">
        <v>124</v>
      </c>
      <c r="U160" s="415">
        <f>Q160+$Q$147</f>
        <v>30</v>
      </c>
      <c r="V160" s="416" t="s">
        <v>125</v>
      </c>
      <c r="W160" s="416">
        <f>$Q$148+S160</f>
        <v>130</v>
      </c>
      <c r="X160" s="6"/>
      <c r="Y160" s="6"/>
      <c r="Z160" s="6"/>
      <c r="AA160" s="6"/>
      <c r="AB160" s="6"/>
      <c r="AC160" s="412" t="s">
        <v>116</v>
      </c>
      <c r="AD160" s="412"/>
      <c r="AE160" s="413" t="s">
        <v>126</v>
      </c>
      <c r="AF160" s="413">
        <v>12</v>
      </c>
      <c r="AG160" s="414" t="s">
        <v>127</v>
      </c>
      <c r="AH160" s="414">
        <v>18</v>
      </c>
      <c r="AI160" s="415" t="s">
        <v>124</v>
      </c>
      <c r="AJ160" s="415">
        <f>AF160+$X$147</f>
        <v>102</v>
      </c>
      <c r="AK160" s="416" t="s">
        <v>125</v>
      </c>
      <c r="AL160" s="416">
        <f>$X$148+AH160</f>
        <v>43</v>
      </c>
      <c r="AM160" s="6"/>
      <c r="AN160" s="6"/>
      <c r="AO160" s="412" t="s">
        <v>116</v>
      </c>
      <c r="AP160" s="413" t="s">
        <v>126</v>
      </c>
      <c r="AQ160" s="413">
        <v>12</v>
      </c>
      <c r="AR160" s="414" t="s">
        <v>127</v>
      </c>
      <c r="AS160" s="414">
        <v>18</v>
      </c>
      <c r="AT160" s="415" t="s">
        <v>124</v>
      </c>
      <c r="AU160" s="415">
        <f>AQ160+$AB$148</f>
        <v>102</v>
      </c>
      <c r="AV160" s="416" t="s">
        <v>125</v>
      </c>
      <c r="AW160" s="416">
        <f>$AB$149+AS160</f>
        <v>43</v>
      </c>
      <c r="AX160" s="6"/>
      <c r="AY160" s="6"/>
      <c r="AZ160" s="412" t="s">
        <v>116</v>
      </c>
      <c r="BA160" s="413" t="s">
        <v>126</v>
      </c>
      <c r="BB160" s="413">
        <v>12</v>
      </c>
      <c r="BC160" s="414" t="s">
        <v>127</v>
      </c>
      <c r="BD160" s="414">
        <v>18</v>
      </c>
      <c r="BE160" s="415" t="s">
        <v>124</v>
      </c>
      <c r="BF160" s="415">
        <f>BB160+$AG$148</f>
        <v>102</v>
      </c>
      <c r="BG160" s="416" t="s">
        <v>125</v>
      </c>
      <c r="BH160" s="416">
        <f>$AG$149+BD160</f>
        <v>43</v>
      </c>
      <c r="BI160" s="6"/>
      <c r="BJ160" s="6"/>
    </row>
    <row r="161" spans="1:62" x14ac:dyDescent="0.35">
      <c r="A161" s="204" t="s">
        <v>7</v>
      </c>
      <c r="B161" s="201">
        <f t="shared" si="30"/>
        <v>45</v>
      </c>
      <c r="C161" s="204" t="s">
        <v>7</v>
      </c>
      <c r="D161" s="201">
        <f t="shared" si="31"/>
        <v>54.337499999999991</v>
      </c>
      <c r="E161" s="204" t="s">
        <v>7</v>
      </c>
      <c r="F161" s="201">
        <f t="shared" si="32"/>
        <v>45</v>
      </c>
      <c r="G161" s="165" t="s">
        <v>7</v>
      </c>
      <c r="H161" s="387">
        <f t="shared" si="33"/>
        <v>45</v>
      </c>
      <c r="I161" s="388"/>
      <c r="J161" s="210" t="s">
        <v>7</v>
      </c>
      <c r="K161" s="165">
        <v>45</v>
      </c>
      <c r="L161" s="140" t="s">
        <v>7</v>
      </c>
      <c r="M161" s="238">
        <f t="shared" si="34"/>
        <v>45</v>
      </c>
      <c r="O161" s="412" t="s">
        <v>115</v>
      </c>
      <c r="P161" s="413" t="s">
        <v>126</v>
      </c>
      <c r="Q161" s="413"/>
      <c r="R161" s="414"/>
      <c r="S161" s="414"/>
      <c r="T161" s="415" t="s">
        <v>124</v>
      </c>
      <c r="U161" s="415">
        <f>Q161+$Q$147</f>
        <v>30</v>
      </c>
      <c r="V161" s="416" t="s">
        <v>125</v>
      </c>
      <c r="W161" s="416">
        <f>$Q$148+S161</f>
        <v>80</v>
      </c>
      <c r="X161" s="6"/>
      <c r="Y161" s="6"/>
      <c r="Z161" s="6"/>
      <c r="AA161" s="6"/>
      <c r="AB161" s="6"/>
      <c r="AC161" s="412" t="s">
        <v>115</v>
      </c>
      <c r="AD161" s="412"/>
      <c r="AE161" s="413" t="s">
        <v>126</v>
      </c>
      <c r="AF161" s="413">
        <v>15</v>
      </c>
      <c r="AG161" s="414"/>
      <c r="AH161" s="414"/>
      <c r="AI161" s="415" t="s">
        <v>124</v>
      </c>
      <c r="AJ161" s="415">
        <f>AF161+$X$147</f>
        <v>105</v>
      </c>
      <c r="AK161" s="416" t="s">
        <v>125</v>
      </c>
      <c r="AL161" s="416">
        <f>$X$148+AH161</f>
        <v>25</v>
      </c>
      <c r="AM161" s="6"/>
      <c r="AN161" s="6"/>
      <c r="AO161" s="412" t="s">
        <v>115</v>
      </c>
      <c r="AP161" s="413" t="s">
        <v>126</v>
      </c>
      <c r="AQ161" s="413">
        <v>15</v>
      </c>
      <c r="AR161" s="414"/>
      <c r="AS161" s="414">
        <v>50</v>
      </c>
      <c r="AT161" s="415" t="s">
        <v>124</v>
      </c>
      <c r="AU161" s="415">
        <f>AQ161+$AB$148</f>
        <v>105</v>
      </c>
      <c r="AV161" s="416" t="s">
        <v>125</v>
      </c>
      <c r="AW161" s="416">
        <f>$AB$149+AS161</f>
        <v>75</v>
      </c>
      <c r="AX161" s="6"/>
      <c r="AY161" s="6"/>
      <c r="AZ161" s="412" t="s">
        <v>115</v>
      </c>
      <c r="BA161" s="413" t="s">
        <v>126</v>
      </c>
      <c r="BB161" s="413">
        <v>15</v>
      </c>
      <c r="BC161" s="414"/>
      <c r="BD161" s="414">
        <v>50</v>
      </c>
      <c r="BE161" s="415" t="s">
        <v>124</v>
      </c>
      <c r="BF161" s="415">
        <v>58</v>
      </c>
      <c r="BG161" s="416" t="s">
        <v>125</v>
      </c>
      <c r="BH161" s="416">
        <f>$AG$149+BD161</f>
        <v>75</v>
      </c>
      <c r="BI161" s="6"/>
      <c r="BJ161" s="6"/>
    </row>
    <row r="162" spans="1:62" ht="31" x14ac:dyDescent="0.35">
      <c r="A162" s="204" t="s">
        <v>10</v>
      </c>
      <c r="B162" s="201">
        <f t="shared" si="30"/>
        <v>30</v>
      </c>
      <c r="C162" s="204" t="s">
        <v>10</v>
      </c>
      <c r="D162" s="201">
        <f t="shared" si="31"/>
        <v>30</v>
      </c>
      <c r="E162" s="204" t="s">
        <v>10</v>
      </c>
      <c r="F162" s="201">
        <f t="shared" si="32"/>
        <v>30</v>
      </c>
      <c r="G162" s="165" t="s">
        <v>10</v>
      </c>
      <c r="H162" s="387">
        <f t="shared" si="33"/>
        <v>30</v>
      </c>
      <c r="I162" s="388"/>
      <c r="J162" s="210" t="s">
        <v>10</v>
      </c>
      <c r="K162" s="165">
        <v>30</v>
      </c>
      <c r="L162" s="140" t="s">
        <v>10</v>
      </c>
      <c r="M162" s="238">
        <f t="shared" si="34"/>
        <v>30</v>
      </c>
      <c r="O162" s="412" t="s">
        <v>117</v>
      </c>
      <c r="P162" s="413" t="s">
        <v>126</v>
      </c>
      <c r="Q162" s="413"/>
      <c r="R162" s="414"/>
      <c r="S162" s="414"/>
      <c r="T162" s="415" t="s">
        <v>124</v>
      </c>
      <c r="U162" s="415">
        <f>Q162+$Q$147</f>
        <v>30</v>
      </c>
      <c r="V162" s="416" t="s">
        <v>125</v>
      </c>
      <c r="W162" s="416">
        <f>$Q$148+S162</f>
        <v>80</v>
      </c>
      <c r="X162" s="6"/>
      <c r="Y162" s="174" t="s">
        <v>234</v>
      </c>
      <c r="Z162" s="174">
        <v>2</v>
      </c>
      <c r="AA162" s="6"/>
      <c r="AB162" s="6"/>
      <c r="AC162" s="412" t="s">
        <v>117</v>
      </c>
      <c r="AD162" s="412"/>
      <c r="AE162" s="413" t="s">
        <v>126</v>
      </c>
      <c r="AF162" s="413">
        <v>10</v>
      </c>
      <c r="AG162" s="414"/>
      <c r="AH162" s="414"/>
      <c r="AI162" s="415" t="s">
        <v>124</v>
      </c>
      <c r="AJ162" s="415">
        <f>AF162+$X$147</f>
        <v>100</v>
      </c>
      <c r="AK162" s="416" t="s">
        <v>125</v>
      </c>
      <c r="AL162" s="416">
        <f>$X$148+AH162</f>
        <v>25</v>
      </c>
      <c r="AM162" s="174" t="s">
        <v>234</v>
      </c>
      <c r="AN162" s="174">
        <v>3</v>
      </c>
      <c r="AO162" s="412" t="s">
        <v>117</v>
      </c>
      <c r="AP162" s="413" t="s">
        <v>126</v>
      </c>
      <c r="AQ162" s="413">
        <v>10</v>
      </c>
      <c r="AR162" s="414"/>
      <c r="AS162" s="414"/>
      <c r="AT162" s="415" t="s">
        <v>124</v>
      </c>
      <c r="AU162" s="415">
        <f>AQ162+$AB$148</f>
        <v>100</v>
      </c>
      <c r="AV162" s="416" t="s">
        <v>125</v>
      </c>
      <c r="AW162" s="416">
        <f>$AB$149+AS162</f>
        <v>25</v>
      </c>
      <c r="AX162" s="174" t="s">
        <v>234</v>
      </c>
      <c r="AY162" s="174">
        <v>1</v>
      </c>
      <c r="AZ162" s="412" t="s">
        <v>117</v>
      </c>
      <c r="BA162" s="413" t="s">
        <v>126</v>
      </c>
      <c r="BB162" s="413">
        <v>10</v>
      </c>
      <c r="BC162" s="414"/>
      <c r="BD162" s="414"/>
      <c r="BE162" s="415" t="s">
        <v>124</v>
      </c>
      <c r="BF162" s="415">
        <f>BB162+$AG$148</f>
        <v>100</v>
      </c>
      <c r="BG162" s="416" t="s">
        <v>125</v>
      </c>
      <c r="BH162" s="416">
        <f>$AG$149+BD162</f>
        <v>25</v>
      </c>
      <c r="BI162" s="174" t="s">
        <v>234</v>
      </c>
      <c r="BJ162" s="174">
        <v>3</v>
      </c>
    </row>
    <row r="163" spans="1:62" x14ac:dyDescent="0.35">
      <c r="A163" s="204" t="s">
        <v>11</v>
      </c>
      <c r="B163" s="201">
        <f t="shared" si="30"/>
        <v>0</v>
      </c>
      <c r="C163" s="204" t="s">
        <v>11</v>
      </c>
      <c r="D163" s="201">
        <f t="shared" si="31"/>
        <v>0</v>
      </c>
      <c r="E163" s="204" t="s">
        <v>11</v>
      </c>
      <c r="F163" s="201">
        <f t="shared" si="32"/>
        <v>0</v>
      </c>
      <c r="G163" s="165" t="s">
        <v>11</v>
      </c>
      <c r="H163" s="387">
        <f t="shared" si="33"/>
        <v>0</v>
      </c>
      <c r="I163" s="388"/>
      <c r="J163" s="210" t="s">
        <v>11</v>
      </c>
      <c r="K163" s="165">
        <v>0</v>
      </c>
      <c r="L163" s="140" t="s">
        <v>11</v>
      </c>
      <c r="M163" s="238">
        <f t="shared" si="34"/>
        <v>0</v>
      </c>
      <c r="O163" s="412" t="s">
        <v>118</v>
      </c>
      <c r="P163" s="413" t="s">
        <v>126</v>
      </c>
      <c r="Q163" s="413"/>
      <c r="R163" s="414"/>
      <c r="S163" s="414"/>
      <c r="T163" s="415" t="s">
        <v>124</v>
      </c>
      <c r="U163" s="415">
        <f>Q163+$Q$147</f>
        <v>30</v>
      </c>
      <c r="V163" s="416" t="s">
        <v>125</v>
      </c>
      <c r="W163" s="416">
        <f>$Q$148+S163</f>
        <v>80</v>
      </c>
      <c r="X163" s="6"/>
      <c r="Y163" s="6"/>
      <c r="Z163" s="6"/>
      <c r="AA163" s="6"/>
      <c r="AB163" s="6"/>
      <c r="AC163" s="412" t="s">
        <v>118</v>
      </c>
      <c r="AD163" s="412"/>
      <c r="AE163" s="413" t="s">
        <v>126</v>
      </c>
      <c r="AF163" s="413">
        <v>20</v>
      </c>
      <c r="AG163" s="414"/>
      <c r="AH163" s="414">
        <v>20</v>
      </c>
      <c r="AI163" s="415" t="s">
        <v>124</v>
      </c>
      <c r="AJ163" s="415">
        <f>AF163+$X$147</f>
        <v>110</v>
      </c>
      <c r="AK163" s="416" t="s">
        <v>125</v>
      </c>
      <c r="AL163" s="416">
        <f>$X$148+AH163</f>
        <v>45</v>
      </c>
      <c r="AM163" s="6"/>
      <c r="AN163" s="6"/>
      <c r="AO163" s="412" t="s">
        <v>118</v>
      </c>
      <c r="AP163" s="413" t="s">
        <v>126</v>
      </c>
      <c r="AQ163" s="413">
        <v>20</v>
      </c>
      <c r="AR163" s="414"/>
      <c r="AS163" s="414">
        <v>20</v>
      </c>
      <c r="AT163" s="415" t="s">
        <v>124</v>
      </c>
      <c r="AU163" s="415">
        <f>AQ163+$AB$148</f>
        <v>110</v>
      </c>
      <c r="AV163" s="416" t="s">
        <v>125</v>
      </c>
      <c r="AW163" s="416">
        <f>$AB$149+AS163</f>
        <v>45</v>
      </c>
      <c r="AX163" s="6"/>
      <c r="AY163" s="6"/>
      <c r="AZ163" s="412" t="s">
        <v>118</v>
      </c>
      <c r="BA163" s="413" t="s">
        <v>126</v>
      </c>
      <c r="BB163" s="413">
        <v>20</v>
      </c>
      <c r="BC163" s="414"/>
      <c r="BD163" s="414">
        <v>20</v>
      </c>
      <c r="BE163" s="415" t="s">
        <v>124</v>
      </c>
      <c r="BF163" s="415">
        <f>BB163+$AG$148</f>
        <v>110</v>
      </c>
      <c r="BG163" s="416" t="s">
        <v>125</v>
      </c>
      <c r="BH163" s="416">
        <f>$AG$149+BD163</f>
        <v>45</v>
      </c>
      <c r="BI163" s="6"/>
      <c r="BJ163" s="6"/>
    </row>
    <row r="164" spans="1:62" x14ac:dyDescent="0.35">
      <c r="A164" s="204" t="s">
        <v>15</v>
      </c>
      <c r="B164" s="201">
        <f t="shared" si="30"/>
        <v>0</v>
      </c>
      <c r="C164" s="204" t="s">
        <v>15</v>
      </c>
      <c r="D164" s="201">
        <f t="shared" si="31"/>
        <v>0</v>
      </c>
      <c r="E164" s="204" t="s">
        <v>15</v>
      </c>
      <c r="F164" s="201">
        <f t="shared" si="32"/>
        <v>0</v>
      </c>
      <c r="G164" s="165" t="s">
        <v>15</v>
      </c>
      <c r="H164" s="387">
        <f t="shared" si="33"/>
        <v>0</v>
      </c>
      <c r="I164" s="388"/>
      <c r="J164" s="210" t="s">
        <v>15</v>
      </c>
      <c r="K164" s="165">
        <v>0</v>
      </c>
      <c r="L164" s="140" t="s">
        <v>15</v>
      </c>
      <c r="M164" s="238">
        <f t="shared" si="34"/>
        <v>0</v>
      </c>
      <c r="O164" s="412" t="s">
        <v>119</v>
      </c>
      <c r="P164" s="413" t="s">
        <v>126</v>
      </c>
      <c r="Q164" s="413"/>
      <c r="R164" s="414"/>
      <c r="S164" s="414"/>
      <c r="T164" s="415" t="s">
        <v>124</v>
      </c>
      <c r="U164" s="415">
        <f>Q164+$Q$147</f>
        <v>30</v>
      </c>
      <c r="V164" s="416" t="s">
        <v>125</v>
      </c>
      <c r="W164" s="416">
        <f>$Q$148+S164</f>
        <v>80</v>
      </c>
      <c r="X164" s="6"/>
      <c r="Y164" s="6"/>
      <c r="Z164" s="6"/>
      <c r="AA164" s="6"/>
      <c r="AB164" s="6"/>
      <c r="AC164" s="412" t="s">
        <v>119</v>
      </c>
      <c r="AD164" s="412"/>
      <c r="AE164" s="413" t="s">
        <v>126</v>
      </c>
      <c r="AF164" s="413"/>
      <c r="AG164" s="414"/>
      <c r="AH164" s="414">
        <v>80</v>
      </c>
      <c r="AI164" s="415" t="s">
        <v>124</v>
      </c>
      <c r="AJ164" s="415">
        <f>AF164+$X$147</f>
        <v>90</v>
      </c>
      <c r="AK164" s="416" t="s">
        <v>125</v>
      </c>
      <c r="AL164" s="416">
        <f>$X$148+AH164</f>
        <v>105</v>
      </c>
      <c r="AM164" s="6"/>
      <c r="AN164" s="6"/>
      <c r="AO164" s="412" t="s">
        <v>119</v>
      </c>
      <c r="AP164" s="413" t="s">
        <v>126</v>
      </c>
      <c r="AQ164" s="413"/>
      <c r="AR164" s="414"/>
      <c r="AS164" s="414">
        <v>80</v>
      </c>
      <c r="AT164" s="415" t="s">
        <v>124</v>
      </c>
      <c r="AU164" s="415">
        <f>AQ164+$AB$148</f>
        <v>90</v>
      </c>
      <c r="AV164" s="416" t="s">
        <v>125</v>
      </c>
      <c r="AW164" s="416">
        <f>$AB$149+AS164</f>
        <v>105</v>
      </c>
      <c r="AX164" s="6"/>
      <c r="AY164" s="6"/>
      <c r="AZ164" s="412" t="s">
        <v>119</v>
      </c>
      <c r="BA164" s="413" t="s">
        <v>126</v>
      </c>
      <c r="BB164" s="413"/>
      <c r="BC164" s="414"/>
      <c r="BD164" s="414">
        <v>80</v>
      </c>
      <c r="BE164" s="415" t="s">
        <v>124</v>
      </c>
      <c r="BF164" s="415">
        <f>BB164+$AG$148</f>
        <v>90</v>
      </c>
      <c r="BG164" s="416" t="s">
        <v>125</v>
      </c>
      <c r="BH164" s="416">
        <f>$AG$149+BD164</f>
        <v>105</v>
      </c>
      <c r="BI164" s="6"/>
      <c r="BJ164" s="6"/>
    </row>
    <row r="165" spans="1:62" x14ac:dyDescent="0.35">
      <c r="A165" s="204" t="s">
        <v>14</v>
      </c>
      <c r="B165" s="201">
        <f t="shared" si="30"/>
        <v>14.4</v>
      </c>
      <c r="C165" s="204" t="s">
        <v>14</v>
      </c>
      <c r="D165" s="201">
        <f t="shared" si="31"/>
        <v>14.4</v>
      </c>
      <c r="E165" s="204" t="s">
        <v>14</v>
      </c>
      <c r="F165" s="201">
        <f t="shared" si="32"/>
        <v>14.4</v>
      </c>
      <c r="G165" s="165" t="s">
        <v>14</v>
      </c>
      <c r="H165" s="387">
        <f t="shared" si="33"/>
        <v>14.4</v>
      </c>
      <c r="I165" s="388"/>
      <c r="J165" s="210" t="s">
        <v>14</v>
      </c>
      <c r="K165" s="165">
        <v>14.4</v>
      </c>
      <c r="L165" s="140" t="s">
        <v>14</v>
      </c>
      <c r="M165" s="238">
        <f t="shared" si="34"/>
        <v>14.4</v>
      </c>
      <c r="O165" s="412" t="s">
        <v>120</v>
      </c>
      <c r="P165" s="413" t="s">
        <v>126</v>
      </c>
      <c r="Q165" s="413"/>
      <c r="R165" s="414"/>
      <c r="S165" s="414"/>
      <c r="T165" s="415" t="s">
        <v>124</v>
      </c>
      <c r="U165" s="415">
        <f>Q165+$Q$147</f>
        <v>30</v>
      </c>
      <c r="V165" s="416" t="s">
        <v>125</v>
      </c>
      <c r="W165" s="416">
        <f>$Q$148+S165</f>
        <v>80</v>
      </c>
      <c r="X165" s="6"/>
      <c r="Y165" s="6"/>
      <c r="Z165" s="6"/>
      <c r="AA165" s="6"/>
      <c r="AB165" s="6"/>
      <c r="AC165" s="412" t="s">
        <v>120</v>
      </c>
      <c r="AD165" s="412"/>
      <c r="AE165" s="413" t="s">
        <v>126</v>
      </c>
      <c r="AF165" s="413"/>
      <c r="AG165" s="414"/>
      <c r="AH165" s="414"/>
      <c r="AI165" s="415" t="s">
        <v>124</v>
      </c>
      <c r="AJ165" s="415">
        <f>AF165+$X$147</f>
        <v>90</v>
      </c>
      <c r="AK165" s="416" t="s">
        <v>125</v>
      </c>
      <c r="AL165" s="416">
        <f>$X$148+AH165</f>
        <v>25</v>
      </c>
      <c r="AM165" s="6"/>
      <c r="AN165" s="6"/>
      <c r="AO165" s="412" t="s">
        <v>120</v>
      </c>
      <c r="AP165" s="413" t="s">
        <v>126</v>
      </c>
      <c r="AQ165" s="413"/>
      <c r="AR165" s="414"/>
      <c r="AS165" s="414"/>
      <c r="AT165" s="415" t="s">
        <v>124</v>
      </c>
      <c r="AU165" s="415">
        <f>AQ165+$AB$148</f>
        <v>90</v>
      </c>
      <c r="AV165" s="416" t="s">
        <v>125</v>
      </c>
      <c r="AW165" s="416">
        <f>$AB$149+AS165</f>
        <v>25</v>
      </c>
      <c r="AX165" s="6"/>
      <c r="AY165" s="6"/>
      <c r="AZ165" s="412" t="s">
        <v>120</v>
      </c>
      <c r="BA165" s="413" t="s">
        <v>126</v>
      </c>
      <c r="BB165" s="413"/>
      <c r="BC165" s="414"/>
      <c r="BD165" s="414"/>
      <c r="BE165" s="415" t="s">
        <v>124</v>
      </c>
      <c r="BF165" s="415">
        <f>BB165+$AG$148</f>
        <v>90</v>
      </c>
      <c r="BG165" s="416" t="s">
        <v>125</v>
      </c>
      <c r="BH165" s="416">
        <f>$AG$149+BD165</f>
        <v>25</v>
      </c>
      <c r="BI165" s="6"/>
      <c r="BJ165" s="6"/>
    </row>
    <row r="166" spans="1:62" x14ac:dyDescent="0.35">
      <c r="A166" s="204" t="s">
        <v>8</v>
      </c>
      <c r="B166" s="201">
        <f t="shared" si="30"/>
        <v>15</v>
      </c>
      <c r="C166" s="204" t="s">
        <v>8</v>
      </c>
      <c r="D166" s="201">
        <f t="shared" si="31"/>
        <v>15</v>
      </c>
      <c r="E166" s="204" t="s">
        <v>8</v>
      </c>
      <c r="F166" s="201">
        <f t="shared" si="32"/>
        <v>15</v>
      </c>
      <c r="G166" s="165" t="s">
        <v>8</v>
      </c>
      <c r="H166" s="387">
        <f t="shared" si="33"/>
        <v>15</v>
      </c>
      <c r="I166" s="388"/>
      <c r="J166" s="210" t="s">
        <v>8</v>
      </c>
      <c r="K166" s="165">
        <v>15</v>
      </c>
      <c r="L166" s="140" t="s">
        <v>8</v>
      </c>
      <c r="M166" s="238">
        <f t="shared" si="34"/>
        <v>15</v>
      </c>
    </row>
    <row r="167" spans="1:62" ht="29" x14ac:dyDescent="0.35">
      <c r="A167" s="204" t="s">
        <v>9</v>
      </c>
      <c r="B167" s="201">
        <f t="shared" si="30"/>
        <v>5</v>
      </c>
      <c r="C167" s="204" t="s">
        <v>9</v>
      </c>
      <c r="D167" s="201">
        <f t="shared" si="31"/>
        <v>5</v>
      </c>
      <c r="E167" s="204" t="s">
        <v>9</v>
      </c>
      <c r="F167" s="201">
        <f t="shared" si="32"/>
        <v>5</v>
      </c>
      <c r="G167" s="165" t="s">
        <v>9</v>
      </c>
      <c r="H167" s="387">
        <f t="shared" si="33"/>
        <v>5</v>
      </c>
      <c r="I167" s="388"/>
      <c r="J167" s="210" t="s">
        <v>9</v>
      </c>
      <c r="K167" s="165">
        <v>5</v>
      </c>
      <c r="L167" s="140" t="s">
        <v>9</v>
      </c>
      <c r="M167" s="238">
        <f t="shared" si="34"/>
        <v>5</v>
      </c>
      <c r="T167" s="118" t="s">
        <v>142</v>
      </c>
      <c r="U167" s="70">
        <f>SUM(U160:U165)</f>
        <v>180</v>
      </c>
      <c r="V167" s="119" t="s">
        <v>143</v>
      </c>
      <c r="W167" s="98">
        <f>SUM(W160:W165)</f>
        <v>530</v>
      </c>
    </row>
    <row r="168" spans="1:62" x14ac:dyDescent="0.35">
      <c r="A168" s="204" t="s">
        <v>12</v>
      </c>
      <c r="B168" s="201">
        <f t="shared" si="30"/>
        <v>0</v>
      </c>
      <c r="C168" s="204" t="s">
        <v>12</v>
      </c>
      <c r="D168" s="201">
        <f t="shared" si="31"/>
        <v>0</v>
      </c>
      <c r="E168" s="204" t="s">
        <v>12</v>
      </c>
      <c r="F168" s="201">
        <f t="shared" si="32"/>
        <v>0</v>
      </c>
      <c r="G168" s="165" t="s">
        <v>12</v>
      </c>
      <c r="H168" s="387">
        <f t="shared" si="33"/>
        <v>0</v>
      </c>
      <c r="I168" s="388"/>
      <c r="J168" s="210" t="s">
        <v>12</v>
      </c>
      <c r="K168" s="165">
        <v>0</v>
      </c>
      <c r="L168" s="140" t="s">
        <v>12</v>
      </c>
      <c r="M168" s="238">
        <f t="shared" si="34"/>
        <v>0</v>
      </c>
    </row>
    <row r="169" spans="1:62" ht="29" x14ac:dyDescent="0.35">
      <c r="A169" s="204" t="s">
        <v>13</v>
      </c>
      <c r="B169" s="201">
        <f t="shared" si="30"/>
        <v>0</v>
      </c>
      <c r="C169" s="204" t="s">
        <v>13</v>
      </c>
      <c r="D169" s="201">
        <f t="shared" si="31"/>
        <v>0</v>
      </c>
      <c r="E169" s="204" t="s">
        <v>13</v>
      </c>
      <c r="F169" s="201">
        <f t="shared" si="32"/>
        <v>0</v>
      </c>
      <c r="G169" s="165" t="s">
        <v>13</v>
      </c>
      <c r="H169" s="387">
        <f t="shared" si="33"/>
        <v>0</v>
      </c>
      <c r="I169" s="388"/>
      <c r="J169" s="210" t="s">
        <v>13</v>
      </c>
      <c r="K169" s="165">
        <v>0</v>
      </c>
      <c r="L169" s="140" t="s">
        <v>13</v>
      </c>
      <c r="M169" s="238">
        <f t="shared" si="34"/>
        <v>0</v>
      </c>
      <c r="T169" s="171" t="s">
        <v>144</v>
      </c>
      <c r="U169">
        <f>IF($Z$162=1,$U$160*(1-(P6/(1000+P6))),IF($Z$162=2,$W$160*(1-(P7/(1000+P7))),IF($Z$162=3,$U$161*(1-(P6/(1000+P6))),IF($Z$162=4,$W$161*(1-(P7/(1000+P7))),IF($Z$162=5,$U$162*(1-(P6/(1000+P6))),IF($Z$162=6,$W$162*(1-(P7/(1000+P7))),IF($Z$162=7,$U$163*(1-(P6/(1000+P6))),IF($Z$162=8,$W$163*(1-(P7/(1000+P7))),IF($Z$162=9,$U$164*(1-(P6/(1000+P6))),IF($Z$162=10,$W$164*(1-(P7/(1000+P7))),IF($Z$162=11,$U$165*(1-(P6/(1000+P6))),IF($Z$162=12,$W$165*(1-(P7/(1000+P7))),0))))))))))))</f>
        <v>125.60386473429951</v>
      </c>
      <c r="AK169" s="171" t="s">
        <v>144</v>
      </c>
      <c r="AL169">
        <f>IF($AN$162=1,$AJ$160*(1-(P6/(1000+P6))),IF($AN$162=2,$AL$160*(1-(P7/(1000+P7))),IF($AN$162=3,$AJ$161*(1-(P6/(1000+P6))),IF($AN$162=4,$AL$161*(1-(P7/(1000+P7))),IF($AN$162=5,$AJ$162*(1-(P6/(1000+P6))),IF($AN$162=6,$AL$162*(1-(P7/(1000+P7))),IF($AN$162=7,$AJ$163*(1-(P6/(1000+P6))),IF($AN$162=8,$AL$163*(1-(P7/(1000+P7))),IF($AN$162=9,$AJ$164*(1-(P6/(1000+P6))),IF($AN$162=10,$AL$164*(1-(P7/(1000+P7))),IF($AN$162=11,$AJ$165*(1-(P6/(1000+P6))),IF($AN$162=12,$AL$165*(1-(P7/(1000+P7))),0))))))))))))</f>
        <v>94.765342960288805</v>
      </c>
      <c r="AV169" s="171" t="s">
        <v>144</v>
      </c>
      <c r="AW169" s="5">
        <f>IF($AY$162=1,$AU$160*(1-(P6/(1000+P6))),IF($AY$162=2,$AW$160*(1-(P7/(1000+P7))),IF($AY$162=3,$AU$161*(1-(P6/(1000+P6))),IF($AY$162=4,$AW$161*(1-(P7/(1000+P7))),IF($AY$162=5,$AU$162*(1-(P6/(1000+P6))),IF($AY$162=6,$AW$162*(1-(P7/(1000+P7))),IF($AY$162=7,$AU$163*(1-(P6/(1000+P6))),IF($AY$162=8,$AW$163*(1-(P7/(1000+P7))),IF($AY$162=9,$AU$164*(1-(P6/(1000+P6))),IF($AY$162=10,$AW$164*(1-(P7/(1000+P7))),IF($AY$162=11,$AU$165*(1-(P6/(1000+P6))),IF($AY$162=12,$AW$165*(1-(P7/(1000+P7))),0))))))))))))</f>
        <v>92.057761732851986</v>
      </c>
      <c r="BG169" s="171" t="s">
        <v>144</v>
      </c>
      <c r="BH169">
        <f>IF($BJ$162=1,$BF$160*(1-(P6/(1000+P6))),IF($BJ$162=2,$BH$160*(1-(P7/(1000+P7))),IF($BJ$162=3,$BF$161*(1-(P6/(1000+P6))),IF($BJ$162=4,$BH$161*(1-(P7/(1000+P7))),IF($BJ$162=5,$BF$162*(1-(P6/(1000+P6))),IF($BJ$162=6,$BH$162*(1-(P7/(1000+P7))),IF($BJ$162=7,$BH$163*(1-(P6/(1000+P6))),IF($BJ$162=8,$BF$163*(1-(P7/(1000+P7))),IF($BJ$162=9,$BH$164*(1-(P6/(1000+P6))),IF($BJ$162=10,$BF$164*(1-(P7/(1000+P7))),IF($BJ$162=11,$BH$165*(1-(P6/(1000+P6))),IF($BJ$162=12,$BF$165*(1-(P7/(1000+P7))),0))))))))))))</f>
        <v>52.346570397111911</v>
      </c>
    </row>
    <row r="170" spans="1:62" ht="29.5" thickBot="1" x14ac:dyDescent="0.4">
      <c r="A170" s="205" t="s">
        <v>16</v>
      </c>
      <c r="B170" s="206">
        <f t="shared" si="30"/>
        <v>0</v>
      </c>
      <c r="C170" s="205" t="s">
        <v>16</v>
      </c>
      <c r="D170" s="206">
        <f t="shared" si="31"/>
        <v>0</v>
      </c>
      <c r="E170" s="205" t="s">
        <v>16</v>
      </c>
      <c r="F170" s="201">
        <f t="shared" si="32"/>
        <v>0</v>
      </c>
      <c r="G170" s="208" t="s">
        <v>16</v>
      </c>
      <c r="H170" s="398">
        <f t="shared" si="33"/>
        <v>0</v>
      </c>
      <c r="I170" s="399"/>
      <c r="J170" s="212" t="s">
        <v>16</v>
      </c>
      <c r="K170" s="208">
        <v>0</v>
      </c>
      <c r="L170" s="209" t="s">
        <v>16</v>
      </c>
      <c r="M170" s="238">
        <f t="shared" si="34"/>
        <v>0</v>
      </c>
      <c r="T170" s="171" t="s">
        <v>145</v>
      </c>
      <c r="U170">
        <f>IF($Z$162=1,$U$160*(1-(H44/(1000+H44))),IF($Z$162=2,$W$160*(1-(H45/(1000+H45))),IF($Z$162=3,$U$161*(1-(H44/(1000+H44))),IF($Z$162=4,$W$161*(1-(H45/(1000+H45))),IF($Z$162=5,$U$162*(1-(H44/(1000+H44))),IF($Z$162=6,$W$162*(1-(H45/(1000+H45))),IF($Z$162=7,$U$163*(1-(H44/(1000+H44))),IF($Z$162=8,$W$163*(1-(H45/(1000+H45))),IF($Z$162=9,$U$164*(1-(H44/(1000+H44))),IF($Z$162=10,$W$164*(1-(H45/(1000+H45))),IF($Z$162=11,$U$165*(1-(H44/(1000+H44))),IF($Z$162=12,$W$165*(1-(H45/(1000+H45))),0))))))))))))</f>
        <v>125.60386473429951</v>
      </c>
      <c r="AK170" s="171" t="s">
        <v>145</v>
      </c>
      <c r="AL170">
        <f>IF($AN$162=1,$AJ$160*(1-(H44/(1000+H44))),IF($AN$162=2,$AL$160*(1-(H45/(1000+H45))),IF($AN$162=3,$AJ$161*(1-(H44/(1000+H44))),IF($AN$162=4,$AL$161*(1-(H45/(1000+H45))),IF($AN$162=5,$AJ$162*(1-(H44/(1000+H44))),IF($AN$162=6,$AL$162*(1-(H45/(1000+H45))),IF($AN$162=7,$AJ$163*(1-(H44/(1000+H44))),IF($AN$162=8,$AL$163*(1-(H45/(1000+H45))),IF($AN$162=9,$AJ$164*(1-(H44/(1000+H44))),IF($AN$162=10,$AL$164*(1-(H45/(1000+H45))),IF($AN$162=11,$AJ$165*(1-(H44/(1000+H44))),IF($AN$162=12,$AL$165*(1-(H45/(1000+H45))),0))))))))))))</f>
        <v>97.222222222222229</v>
      </c>
      <c r="AV170" s="171" t="s">
        <v>145</v>
      </c>
      <c r="AW170" s="5">
        <f>IF($AY$162=1,$AU$160*(1-(H44/(1000+H44))),IF($AY$162=2,$AW$160*(1-(H45/(1000+H45))),IF($AY$162=3,$AU$161*(1-(H44/(1000+H44))),IF($AY$162=4,$AW$161*(1-(H45/(1000+H45))),IF($AY$162=5,$AU$162*(1-(H44/(1000+H44))),IF($AY$162=6,$AW$162*(1-(H45/(1000+H45))),IF($AY$162=7,$AU$163*(1-(H44/(1000+H44))),IF($AY$162=8,$AW$163*(1-(H45/(1000+H45))),IF($AY$162=9,$AU$164*(1-(H44/(1000+H44))),IF($AY$162=10,$AW$164*(1-(H45/(1000+H45))),IF($AY$162=11,$AU$165*(1-(H44/(1000+H44))),IF($AY$162=12,$AW$165*(1-(H45/(1000+H45))),0))))))))))))</f>
        <v>94.444444444444443</v>
      </c>
      <c r="BG170" s="171" t="s">
        <v>145</v>
      </c>
      <c r="BH170" s="5">
        <f>IF($BJ$162=1,$BF$160*(1-(H44/(1000+H44))),IF($BJ$162=2,$BH$160*(1-(H45/(1000+H45))),IF($BJ$162=3,$BF$161*(1-(H44/(1000+H44))),IF($BJ$162=4,$BH$161*(1-(H45/(1000+H45))),IF($BJ$162=5,$BF$162*(1-(H44/(1000+H44))),IF($BJ$162=6,$BH$162*(1-(H45/(1000+H45))),IF($BJ$162=7,$BH$163*(1-(H44/(1000+H44))),IF($BJ$162=8,$BF$163*(1-(H45/(1000+H45))),IF($BJ$162=9,$BH$164*(1-(H44/(1000+H44))),IF($BJ$162=10,$BF$164*(1-(H45/(1000+H45))),IF($BJ$162=11,$BH$165*(1-(H44/(1000+H44))),IF($BJ$162=12,$BF$165*(1-(H45/(1000+H45))),0))))))))))))</f>
        <v>53.703703703703702</v>
      </c>
    </row>
    <row r="171" spans="1:62" ht="47.5" customHeight="1" thickBot="1" x14ac:dyDescent="0.4">
      <c r="A171" s="379" t="s">
        <v>305</v>
      </c>
      <c r="B171" s="380"/>
      <c r="C171" s="381" t="s">
        <v>306</v>
      </c>
      <c r="D171" s="382"/>
      <c r="E171" s="383" t="s">
        <v>307</v>
      </c>
      <c r="F171" s="384"/>
      <c r="G171" s="383" t="s">
        <v>308</v>
      </c>
      <c r="H171" s="385"/>
      <c r="I171" s="386"/>
      <c r="J171" s="370" t="s">
        <v>309</v>
      </c>
      <c r="K171" s="371"/>
      <c r="L171" s="370" t="s">
        <v>310</v>
      </c>
      <c r="M171" s="371"/>
      <c r="R171" t="s">
        <v>349</v>
      </c>
      <c r="S171">
        <f>5*S172</f>
        <v>0</v>
      </c>
      <c r="T171" s="171" t="s">
        <v>146</v>
      </c>
      <c r="U171">
        <f>IF($Z$162=1,$U$160*(1-(H76/(1000+H76))),IF($Z$162=2,$W$160*(1-(H77/(1000+H77))),IF($Z$162=3,$U$161*(1-(H76/(1000+H76))),IF($Z$162=4,$W$161*(1-(H77/(1000+H77))),IF($Z$162=5,$U$162*(1-(H76/(1000+H76))),IF($Z$162=6,$W$162*(1-(H77/(1000+H77))),IF($Z$162=7,$U$163*(1-(H76/(1000+H76))),IF($Z$162=8,$W$163*(1-(H77/(1000+H77))),IF($Z$162=9,$U$164*(1-(H76/(1000+H76))),IF($Z$162=10,$W$164*(1-(H77/(1000+H77))),IF($Z$162=11,$U$165*(1-(H76/(1000+H76))),IF($Z$162=12,$W$165*(1-(H77/(1000+H77))),0))))))))))))</f>
        <v>125.60386473429951</v>
      </c>
      <c r="W171">
        <f>COUNTIF(V171,"&gt;0")</f>
        <v>0</v>
      </c>
      <c r="AK171" s="171" t="s">
        <v>146</v>
      </c>
      <c r="AL171">
        <f>IF($Z$162=1,$AJ$160*(1-(H76/(1000+H76))),IF($Z$162=2,$AL$160*(1-(H77/(1000+H77))),IF($Z$162=3,$AJ$161*(1-(H76/(1000+H76))),IF($Z$162=4,$AL$161*(1-(H77/(1000+H77))),IF($Z$162=5,$AJ$162*(1-(H76/(1000+H76))),IF($Z$162=6,$AL$162*(1-(H77/(1000+H77))),IF($Z$162=7,$AJ$163*(1-(H76/(1000+H76))),IF($Z$162=8,$AL$163*(1-(H77/(1000+H77))),IF($Z$162=9,$AJ$164*(1-(H76/(1000+H76))),IF($Z$162=10,$AL$164*(1-(H77/(1000+H77))),IF($Z$162=11,$AJ$165*(1-(H76/(1000+H76))),IF($Z$162=12,$AL$165*(1-(H77/(1000+H77))),0))))))))))))</f>
        <v>41.545893719806763</v>
      </c>
      <c r="AN171">
        <f>COUNTIF(AM171,"&gt;0")</f>
        <v>0</v>
      </c>
      <c r="AV171" s="171" t="s">
        <v>146</v>
      </c>
      <c r="AW171">
        <f>IF($BJ$162=1,$AU$160*(1-(H76/(1000+H76))),IF($BJ$162=2,$AW$160*(1-(H77/(1000+H77))),IF($BJ$162=3,$AU$161*(1-(H76/(1000+H76))),IF($BJ$162=4,$AW$161*(1-(H77/(1000+H77))),IF($BJ$162=5,$AU$162*(1-(H76/(1000+H76))),IF($BJ$162=6,$AW$162*(1-(H77/(1000+H77))),IF($BJ$162=7,$AU$163*(1-(H76/(1000+H76))),IF($BJ$162=8,$AW$163*(1-(H77/(1000+H77))),IF($BJ$162=9,$AU$164*(1-(H76/(1000+H76))),IF($BJ$162=10,$AW$164*(1-(H77/(1000+H77))),IF($BJ$162=11,$AU$165*(1-(H76/(1000+H76))),IF($BJ$162=12,$AW$165*(1-(H77/(1000+H77))),0))))))))))))</f>
        <v>90.517241379310335</v>
      </c>
      <c r="AY171">
        <f>COUNTIF(AX171,"&gt;0")</f>
        <v>0</v>
      </c>
      <c r="BG171" s="171" t="s">
        <v>146</v>
      </c>
      <c r="BH171">
        <f>IF($BJ$162=1,$BF$160*(1-(H76/(1000+H76))),IF($BJ$162=2,$BH$160*(1-(H77/(1000+H77))),IF($BJ$162=3,$BF$161*(1-(H76/(1000+H76))),IF($BJ$162=4,$BH$161*(1-(H77/(1000+H77))),IF($BJ$162=5,$BF$162*(1-(H76/(1000+H76))),IF($BJ$162=6,$BH$162*(1-(H77/(1000+H77))),IF($BJ$162=7,$BH$163*(1-(H76/(1000+H76))),IF($BJ$162=8,$BF$163*(1-(H77/(1000+H77))),IF($BJ$162=9,$BH$164*(1-(H76/(1000+H76))),IF($BJ$162=10,$BF$164*(1-(H77/(1000+H77))),IF($BJ$162=11,$BH$165*(1-(H76/(1000+H76))),IF($BJ$162=12,$BF$165*(1-(H77/(1000+H77))),0))))))))))))</f>
        <v>50</v>
      </c>
      <c r="BJ171">
        <f>COUNTIF(BI171,"&gt;0")</f>
        <v>0</v>
      </c>
    </row>
    <row r="172" spans="1:62" ht="29" x14ac:dyDescent="0.35">
      <c r="A172" s="223" t="s">
        <v>0</v>
      </c>
      <c r="B172" s="214" t="s">
        <v>30</v>
      </c>
      <c r="C172" s="213" t="s">
        <v>0</v>
      </c>
      <c r="D172" s="214" t="s">
        <v>30</v>
      </c>
      <c r="E172" s="213" t="s">
        <v>0</v>
      </c>
      <c r="F172" s="214" t="s">
        <v>30</v>
      </c>
      <c r="G172" s="214" t="s">
        <v>0</v>
      </c>
      <c r="H172" s="395" t="s">
        <v>30</v>
      </c>
      <c r="I172" s="396"/>
      <c r="J172" s="215" t="s">
        <v>0</v>
      </c>
      <c r="K172" s="214" t="s">
        <v>30</v>
      </c>
      <c r="L172" s="215" t="s">
        <v>0</v>
      </c>
      <c r="M172" s="255" t="s">
        <v>30</v>
      </c>
      <c r="S172">
        <f>W171+BJ171+AN171+AY171</f>
        <v>0</v>
      </c>
      <c r="T172" s="172" t="s">
        <v>147</v>
      </c>
      <c r="U172">
        <f>IF($Z$162=1,$U$160*(1-(N75/(1000+N75))),IF($Z$162=2,$W$160*(1-(N76/(1000+N76))),IF($Z$162=3,$U$161*(1-(N75/(1000+N75))),IF($Z$162=4,$W$161*(1-(N76/(1000+N76))),IF($Z$162=5,$U$162*(1-(N75/(1000+N75))),IF($Z$162=6,$W$162*(1-(N76/(1000+N76))),IF($Z$162=7,$U$163*(1-(N75/(1000+N75))),IF($Z$162=8,$W$163*(1-(N76/(1000+N76))),IF($Z$162=9,$U$164*(1-(N75/(1000+N75))),IF($Z$162=10,$W$164*(1-(N76/(1000+N76))),IF($Z$162=11,$U$165*(1-(N75/(1000+N75))),IF($Z$162=12,$W$165*(1-(N76/(1000+N76))),0))))))))))))</f>
        <v>124.16427889207259</v>
      </c>
      <c r="V172">
        <v>333</v>
      </c>
      <c r="AK172" s="172" t="s">
        <v>147</v>
      </c>
      <c r="AL172">
        <f>IF($AN$162=1,$AJ$160*(1-(H76/(1000+H76))),IF($AN$162=2,$AL$160*(1-(H77/(1000+H77))),IF($AN$162=3,$AJ$161*(1-(H76/(1000+H76))),IF($AN$162=4,$AL$161*(1-(H77/(1000+H77))),IF($AN$162=5,$AJ$162*(1-(H76/(1000+H76))),IF($AN$162=6,$AL$162*(1-(H77/(1000+H77))),IF($AN$162=7,$AJ$163*(1-(H76/(1000+H76))),IF($AN$162=8,$AL$163*(1-(H77/(1000+H77))),IF($AN$162=9,$AJ$164*(1-(H76/(1000+H76))),IF($AN$162=10,$AL$164*(1-(H77/(1000+H77))),IF($AN$162=11,$AJ$165*(1-(H76/(1000+H76))),IF($AN$162=12,$AL$165*(1-(H77/(1000+H77))),0))))))))))))</f>
        <v>90.517241379310335</v>
      </c>
      <c r="AV172" s="172" t="s">
        <v>147</v>
      </c>
      <c r="AW172">
        <f>IF($AY$162=1,$AU$160*(1-(H76/(1000+H76))),IF($AY$162=2,$AW$160*(1-(H77/(1000+H77))),IF($AY$162=3,$AU$161*(1-(H76/(1000+H76))),IF($AY$162=4,$AW$161*(1-(H77/(1000+H77))),IF($AY$162=5,$AU$162*(1-(H76/(1000+H76))),IF($AY$162=6,$AW$162*(1-(H77/(1000+H77))),IF($AY$162=7,$AU$163*(1-(H76/(1000+H76))),IF($AY$162=8,$AW$163*(1-(H77/(1000+H77))),IF($AY$162=9,$AU$164*(1-(H76/(1000+H76))),IF($AY$162=10,$AW$164*(1-(H77/(1000+H77))),IF($AY$162=11,$AU$165*(1-(H76/(1000+H76))),IF($AY$162=12,$AW$165*(1-(H77/(1000+H77))),0))))))))))))</f>
        <v>87.931034482758619</v>
      </c>
      <c r="BG172" s="172" t="s">
        <v>147</v>
      </c>
      <c r="BH172">
        <f>IF($BJ$162=1,$BF$160*(1-(N75/(1000+N75))),IF($BJ$162=2,$BH$160*(1-(N76/(1000+N76))),IF($BJ$162=3,$BF$161*(1-(N75/(1000+N75))),IF($BJ$162=4,$BH$161*(1-(N76/(1000+N76))),IF($BJ$162=5,$BF$162*(1-(N75/(1000+N75))),IF($BJ$162=6,$BH$162*(1-(N76/(1000+N76))),IF($BJ$162=7,$BH$163*(1-(N75/(1000+N75))),IF($BJ$162=8,$BF$163*(1-(N76/(1000+N76))),IF($BJ$162=9,$BH$164*(1-(N75/(1000+N75))),IF($BJ$162=10,$BF$164*(1-(N76/(1000+N76))),IF($BJ$162=11,$BH$165*(1-(N75/(1000+N75))),IF($BJ$162=12,$BF$165*(1-(N76/(1000+N76))),0))))))))))))</f>
        <v>54.716981132075475</v>
      </c>
    </row>
    <row r="173" spans="1:62" ht="29" x14ac:dyDescent="0.35">
      <c r="A173" s="224" t="s">
        <v>1</v>
      </c>
      <c r="B173" s="217">
        <f t="shared" ref="B173:B187" si="35">K2</f>
        <v>605</v>
      </c>
      <c r="C173" s="216" t="s">
        <v>1</v>
      </c>
      <c r="D173" s="217">
        <f t="shared" ref="D173:D187" si="36">P2</f>
        <v>605</v>
      </c>
      <c r="E173" s="216" t="s">
        <v>1</v>
      </c>
      <c r="F173" s="217">
        <f t="shared" ref="F173:F187" si="37">AF2</f>
        <v>605</v>
      </c>
      <c r="G173" s="217" t="s">
        <v>1</v>
      </c>
      <c r="H173" s="397">
        <f>IF(N6+AF2&gt;K2, K2, N6+AF2)</f>
        <v>605</v>
      </c>
      <c r="I173" s="394"/>
      <c r="J173" s="218" t="s">
        <v>1</v>
      </c>
      <c r="K173" s="217">
        <v>605</v>
      </c>
      <c r="L173" s="218" t="s">
        <v>1</v>
      </c>
      <c r="M173" s="256">
        <f>IF(K173+K185&gt;K2,K2,K173+K185)</f>
        <v>605</v>
      </c>
      <c r="R173" t="s">
        <v>348</v>
      </c>
      <c r="S173">
        <f>5*S174</f>
        <v>5</v>
      </c>
      <c r="T173" s="173" t="s">
        <v>148</v>
      </c>
      <c r="U173">
        <f>IF($Z$162=1,$U$160*(1-(W44/(1000+W44))),IF($Z$162=2,$W$160*(1-(W45/(1000+W45))),IF($Z$162=3,$U$161*(1-(W44/(1000+W44))),IF($Z$162=4,$W$161*(1-(W45/(1000+W45))), IF($Z$162=5,$U$162*(1-(W44/(1000+W44))),IF($Z$162=6,$W$162*(1-(W45/(1000+W45))),IF($Z$162=7,$U$163*(1-(W44/(1000+W44))),IF($Z$162=8,$W$163*(1-(W45/(1000+W45))),IF($Z$162=9,$U$164*(1-(W44/(1000+W44))),IF($Z$162=10,$W$164*(1-(W45/(1000+W45))),IF($Z$162=11,$U$165*(1-(W44/(1000+W44))),IF($Z$162=12,$W$165*(1-(W45/(1000+W45))),0))))))))))))</f>
        <v>123.30017665121463</v>
      </c>
      <c r="V173">
        <v>421</v>
      </c>
      <c r="W173">
        <f>COUNTIF(V173,"&gt;0")</f>
        <v>1</v>
      </c>
      <c r="AK173" s="173" t="s">
        <v>148</v>
      </c>
      <c r="AL173">
        <f>IF($AN$162=1,$AJ$160*(1-(W44/(1000+W44))),IF($AN$162=2,$AL$160*(1-(W45/(1000+W45))),IF($AN$162=3,$AJ$161*(1-(W44/(1000+W44))),IF($AN$162=4,$AL$161*(1-(W45/(1000+W45))),IF($AN$162=5,$AJ$162*(1-(W44/(1000+W44))),IF($AN$162=6,$AL$162*(1-(W45/(1000+W45))),IF($AN$162=7,$AJ$163*(1-(W44/(1000+W44))),IF($AN$162=8,$AL$163*(1-(W45/(1000+W45))),IF($AN$162=9,$AJ$164*(1-(W44/(1000+W44))),IF($AN$162=10,$AL$164*(1-(W45/(1000+W45))),IF($AN$162=11,$AJ$165*(1-(W44/(1000+W44))),IF($AN$162=12,$AL$165*(1-(W45/(1000+W45))),0))))))))))))</f>
        <v>95.650193577772711</v>
      </c>
      <c r="AN173">
        <f>COUNTIF(AM173,"&gt;0")</f>
        <v>0</v>
      </c>
      <c r="AV173" s="173" t="s">
        <v>148</v>
      </c>
      <c r="AW173" s="5">
        <f>IF($AY$162=1,$AU$160*(1-(N75/(1000+N75))),IF($AY$162=2,$AW$160*(1-(N76/(1000+N76))),IF($AY$162=3,$AU$161*(1-(N75/(1000+N75))),IF($AY$162=4,$AW$161*(1-(N76/(1000+N76))),IF($AY$162=5,$AU$162*(1-(N75/(1000+N75))),IF($AY$162=6,$AW$162*(1-(N76/(1000+N76))),IF($AY$162=7,$AU$163*(1-(N75/(1000+N75))),IF($AY$162=8,$AW$163*(1-(N76/(1000+N76))),IF($AY$162=9,$AU$164*(1-(N75/(1000+N75))),IF($AY$162=10,$AW$164*(1-(N76/(1000+N76))),IF($AY$162=11,$AU$165*(1-(N75/(1000+N75))),IF($AY$162=12,$AW$165*(1-(N76/(1000+N76))),0))))))))))))</f>
        <v>96.226415094339629</v>
      </c>
      <c r="AY173">
        <f>COUNTIF(AX173,"&gt;0")</f>
        <v>0</v>
      </c>
      <c r="BG173" s="173" t="s">
        <v>148</v>
      </c>
      <c r="BH173" s="5">
        <f>IF($BJ$162=1,$BF$160*(1-(W44/(1000+W44))),IF($BJ$162=2,$BH$160*(1-(N76/(1000+N76))),IF($BJ$162=3,$BF$161*(1-(W44/(1000+W44))),IF($BJ$162=4,$BH$161*(1-(N76/(1000+N76))),IF($BJ$162=5,$BF$162*(1-(W44/(1000+W44))),IF($BJ$162=6,$BH$162*(1-(N76/(1000+N76))),IF($BJ$162=7,$BH$163*(1-(W44/(1000+W44))),IF($BJ$162=8,$BF$163*(1-(N76/(1000+N76))),IF($BJ$162=9,$BH$164*(1-(W44/(1000+W44))),IF($BJ$162=10,$BF$164*(1-(N76/(1000+N76))),IF($BJ$162=11,$BH$165*(1-(W44/(1000+W44))),IF($BJ$162=12,$BF$165*(1-(N76/(1000+N76))),0))))))))))))</f>
        <v>52.835345023912545</v>
      </c>
      <c r="BJ173">
        <f>COUNTIF(BI173,"&gt;0")</f>
        <v>0</v>
      </c>
    </row>
    <row r="174" spans="1:62" ht="29" x14ac:dyDescent="0.35">
      <c r="A174" s="224" t="s">
        <v>2</v>
      </c>
      <c r="B174" s="217">
        <f t="shared" si="35"/>
        <v>369</v>
      </c>
      <c r="C174" s="216" t="s">
        <v>2</v>
      </c>
      <c r="D174" s="240">
        <f t="shared" si="36"/>
        <v>279</v>
      </c>
      <c r="E174" s="216" t="s">
        <v>2</v>
      </c>
      <c r="F174" s="217">
        <f t="shared" si="37"/>
        <v>369</v>
      </c>
      <c r="G174" s="217" t="s">
        <v>2</v>
      </c>
      <c r="H174" s="393">
        <f t="shared" ref="H174:H187" si="38">K3</f>
        <v>369</v>
      </c>
      <c r="I174" s="394"/>
      <c r="J174" s="218" t="s">
        <v>2</v>
      </c>
      <c r="K174" s="217">
        <v>279</v>
      </c>
      <c r="L174" s="218" t="s">
        <v>2</v>
      </c>
      <c r="M174" s="256">
        <f>IF(K174+K186&gt;K3,K3,K174+K186)</f>
        <v>319.2</v>
      </c>
      <c r="S174">
        <f>W173+BJ173+AN173+AY173</f>
        <v>1</v>
      </c>
      <c r="T174" s="171" t="s">
        <v>283</v>
      </c>
      <c r="U174">
        <f>IF($Z$162=1,$U$160*(1-(H110/(1000+H110))),IF($Z$162=2,$W$160*(1-(H111/(1000+H111))),IF($Z$162=3,$U$161*(1-(H110/(1000+H110))),IF($Z$162=4,$W$161*(1-(H111/(1000+H111))), IF($Z$162=5,$U$162*(1-(H110/(1000+H110))),IF($Z$162=6,$W$162*(1-(H111/(1000+H111))),IF($Z$162=7,$U$163*(1-(H110/(1000+H110))),IF($Z$162=8,$W$163*(1-(H111/(1000+H111))),IF($Z$162=9,$U$164*(1-(H110/(1000+H110))),IF($Z$162=10,$W$164*(1-(H111/(1000+H111))),IF($Z$162=11,$U$165*(1-(H110/(1000+H110))),IF($Z$162=12,$W$165*(1-(H111/(1000+H111))),0))))))))))))</f>
        <v>125.60386473429951</v>
      </c>
      <c r="AK174" s="171" t="s">
        <v>283</v>
      </c>
      <c r="AL174" s="5">
        <f>IF($AN$162=1,$AJ$160*(1-(H110/(1000+H110))),IF($AN$162=2,$AL$160*(1-(H111/(1000+H111))),IF($AN$162=3,$AJ$161*(1-(H110/(1000+H110))),IF($AN$162=4,$AL$161*(1-(H111/(1000+H111))),IF($AN$162=5,$AJ$162*(1-(H110/(1000+H110))),IF($AN$162=6,$AL$162*(1-(H111/(1000+H111))),IF($AN$162=7,$AJ$163*(1-(H110/(1000+H110))),IF($AN$162=8,$AL$163*(1-(H111/(1000+H111))),IF($AN$162=9,$AJ$164*(1-(H110/(1000+H110))),IF($AN$162=10,$AL$164*(1-(H111/(1000+H111))),IF($AN$162=11,$AJ$165*(1-(H110/(1000+H110))),IF($AN$162=12,$AL$165*(1-(H111/(1000+H111))),0))))))))))))</f>
        <v>97.222222222222229</v>
      </c>
      <c r="AV174" s="171" t="s">
        <v>283</v>
      </c>
      <c r="AW174" s="5">
        <f>IF($AY$162=1,AU160*(1-(H110/(1000+H110))),IF($AY$162=2,AW160*(1-(H111/(1000+H111))),IF($AY$162=3,AU161*(1-(H110/(1000+H110))),IF($AY$162=4,AW161*(1-(H111/(1000+H111))),IF($AY$162=5,AU162*(1-(H110/(1000+H110))),IF($AY$162=6,AW162*(1-(H111/(1000+H111))),IF($AY$162=7,AU163*(1-(H110/(1000+H110))),IF($AY$162=8,AW163*(1-(H111/(1000+H111))),IF($AY$162=9,AU164*(1-(H110/(1000+H110))),IF($AY$162=10,AW164*(1-(H111/(1000+H111))),IF($AY$162=11,AU165*(1-(H110/(1000+H110))),IF($AY$162=12,AW165*(1-(H111/(1000+H111))),0))))))))))))</f>
        <v>94.444444444444443</v>
      </c>
      <c r="BG174" s="171" t="s">
        <v>283</v>
      </c>
      <c r="BH174" s="5">
        <f>IF($BJ$162=1,$BF$160*(1-(W44/(1000+W44))),IF($BJ$162=2,$BH$160*(1-(W45/(1000+W45))),IF($BJ$162=3,$BF$161*(1-(W44/(1000+W44))),IF($BJ$162=4,$BH$161*(1-(W45/(1000+W45))),IF($BJ$162=5,$BF$162*(1-(W44/(1000+W44))),IF($BJ$162=6,$BH$162*(1-(W45/(1000+W45))),IF($BJ$162=7,$BH$163*(1-(W44/(1000+W44))),IF($BJ$162=8,$BF$163*(1-(W45/(1000+W45))),IF($BJ$162=9,$BH$164*(1-(W44/(1000+W44))),IF($BJ$162=10,$BF$164*(1-(W45/(1000+W45))),IF($BJ$162=11,$BH$165*(1-(W44/(1000+W44))),IF($BJ$162=12,$BF$165*(1-(W45/(1000+W45))),0))))))))))))</f>
        <v>52.835345023912545</v>
      </c>
    </row>
    <row r="175" spans="1:62" x14ac:dyDescent="0.35">
      <c r="A175" s="224" t="s">
        <v>3</v>
      </c>
      <c r="B175" s="217">
        <f t="shared" si="35"/>
        <v>126</v>
      </c>
      <c r="C175" s="216" t="s">
        <v>3</v>
      </c>
      <c r="D175" s="240">
        <f t="shared" si="36"/>
        <v>21</v>
      </c>
      <c r="E175" s="216" t="s">
        <v>3</v>
      </c>
      <c r="F175" s="217">
        <f t="shared" si="37"/>
        <v>126</v>
      </c>
      <c r="G175" s="217" t="s">
        <v>3</v>
      </c>
      <c r="H175" s="393">
        <f t="shared" si="38"/>
        <v>126</v>
      </c>
      <c r="I175" s="394"/>
      <c r="J175" s="218" t="s">
        <v>3</v>
      </c>
      <c r="K175" s="217">
        <v>21</v>
      </c>
      <c r="L175" s="218" t="s">
        <v>3</v>
      </c>
      <c r="M175" s="256">
        <f t="shared" ref="M174:M175" si="39">IF(K175+K187&gt;K4,K4,K175+K187)</f>
        <v>26</v>
      </c>
    </row>
    <row r="176" spans="1:62" ht="18.5" customHeight="1" x14ac:dyDescent="0.35">
      <c r="A176" s="224" t="s">
        <v>4</v>
      </c>
      <c r="B176" s="217">
        <f t="shared" si="35"/>
        <v>0</v>
      </c>
      <c r="C176" s="216" t="s">
        <v>4</v>
      </c>
      <c r="D176" s="240">
        <f t="shared" si="36"/>
        <v>0</v>
      </c>
      <c r="E176" s="216" t="s">
        <v>4</v>
      </c>
      <c r="F176" s="217">
        <f t="shared" si="37"/>
        <v>0</v>
      </c>
      <c r="G176" s="217" t="s">
        <v>4</v>
      </c>
      <c r="H176" s="393">
        <f t="shared" si="38"/>
        <v>0</v>
      </c>
      <c r="I176" s="394"/>
      <c r="J176" s="218" t="s">
        <v>4</v>
      </c>
      <c r="K176" s="217">
        <v>0</v>
      </c>
      <c r="L176" s="218" t="s">
        <v>4</v>
      </c>
      <c r="M176" s="256">
        <f>K176</f>
        <v>0</v>
      </c>
    </row>
    <row r="177" spans="1:13" x14ac:dyDescent="0.35">
      <c r="A177" s="224" t="s">
        <v>6</v>
      </c>
      <c r="B177" s="217">
        <f t="shared" si="35"/>
        <v>108</v>
      </c>
      <c r="C177" s="216" t="s">
        <v>6</v>
      </c>
      <c r="D177" s="240">
        <f t="shared" si="36"/>
        <v>108</v>
      </c>
      <c r="E177" s="216" t="s">
        <v>6</v>
      </c>
      <c r="F177" s="217">
        <f t="shared" si="37"/>
        <v>108</v>
      </c>
      <c r="G177" s="217" t="s">
        <v>6</v>
      </c>
      <c r="H177" s="393">
        <f t="shared" si="38"/>
        <v>108</v>
      </c>
      <c r="I177" s="394"/>
      <c r="J177" s="218" t="s">
        <v>6</v>
      </c>
      <c r="K177" s="217">
        <v>108</v>
      </c>
      <c r="L177" s="218" t="s">
        <v>6</v>
      </c>
      <c r="M177" s="256">
        <f t="shared" ref="M177:M187" si="40">K177</f>
        <v>108</v>
      </c>
    </row>
    <row r="178" spans="1:13" ht="22.5" customHeight="1" x14ac:dyDescent="0.35">
      <c r="A178" s="224" t="s">
        <v>7</v>
      </c>
      <c r="B178" s="217">
        <f t="shared" si="35"/>
        <v>35</v>
      </c>
      <c r="C178" s="216" t="s">
        <v>7</v>
      </c>
      <c r="D178" s="240">
        <f t="shared" si="36"/>
        <v>35</v>
      </c>
      <c r="E178" s="216" t="s">
        <v>7</v>
      </c>
      <c r="F178" s="217">
        <f t="shared" si="37"/>
        <v>35</v>
      </c>
      <c r="G178" s="217" t="s">
        <v>7</v>
      </c>
      <c r="H178" s="393">
        <f t="shared" si="38"/>
        <v>35</v>
      </c>
      <c r="I178" s="394"/>
      <c r="J178" s="218" t="s">
        <v>7</v>
      </c>
      <c r="K178" s="217">
        <v>35</v>
      </c>
      <c r="L178" s="218" t="s">
        <v>7</v>
      </c>
      <c r="M178" s="256">
        <f t="shared" si="40"/>
        <v>35</v>
      </c>
    </row>
    <row r="179" spans="1:13" ht="21.5" customHeight="1" x14ac:dyDescent="0.35">
      <c r="A179" s="224" t="s">
        <v>10</v>
      </c>
      <c r="B179" s="217">
        <f t="shared" si="35"/>
        <v>10</v>
      </c>
      <c r="C179" s="216" t="s">
        <v>10</v>
      </c>
      <c r="D179" s="240">
        <f t="shared" si="36"/>
        <v>10</v>
      </c>
      <c r="E179" s="216" t="s">
        <v>10</v>
      </c>
      <c r="F179" s="217">
        <f t="shared" si="37"/>
        <v>10</v>
      </c>
      <c r="G179" s="217" t="s">
        <v>10</v>
      </c>
      <c r="H179" s="393">
        <f t="shared" si="38"/>
        <v>10</v>
      </c>
      <c r="I179" s="394"/>
      <c r="J179" s="218" t="s">
        <v>10</v>
      </c>
      <c r="K179" s="217">
        <v>10</v>
      </c>
      <c r="L179" s="218" t="s">
        <v>10</v>
      </c>
      <c r="M179" s="256">
        <f t="shared" si="40"/>
        <v>10</v>
      </c>
    </row>
    <row r="180" spans="1:13" ht="21.5" customHeight="1" x14ac:dyDescent="0.35">
      <c r="A180" s="224" t="s">
        <v>11</v>
      </c>
      <c r="B180" s="217">
        <f t="shared" si="35"/>
        <v>137.5</v>
      </c>
      <c r="C180" s="216" t="s">
        <v>11</v>
      </c>
      <c r="D180" s="240">
        <f t="shared" si="36"/>
        <v>137.5</v>
      </c>
      <c r="E180" s="216" t="s">
        <v>11</v>
      </c>
      <c r="F180" s="217">
        <f t="shared" si="37"/>
        <v>137.5</v>
      </c>
      <c r="G180" s="217" t="s">
        <v>11</v>
      </c>
      <c r="H180" s="393">
        <f t="shared" si="38"/>
        <v>137.5</v>
      </c>
      <c r="I180" s="394"/>
      <c r="J180" s="218" t="s">
        <v>11</v>
      </c>
      <c r="K180" s="217">
        <v>137.5</v>
      </c>
      <c r="L180" s="218" t="s">
        <v>11</v>
      </c>
      <c r="M180" s="256">
        <f t="shared" si="40"/>
        <v>137.5</v>
      </c>
    </row>
    <row r="181" spans="1:13" ht="20" customHeight="1" x14ac:dyDescent="0.35">
      <c r="A181" s="224" t="s">
        <v>15</v>
      </c>
      <c r="B181" s="217">
        <f t="shared" si="35"/>
        <v>0</v>
      </c>
      <c r="C181" s="216" t="s">
        <v>15</v>
      </c>
      <c r="D181" s="240">
        <f t="shared" si="36"/>
        <v>0</v>
      </c>
      <c r="E181" s="216" t="s">
        <v>15</v>
      </c>
      <c r="F181" s="217">
        <f t="shared" si="37"/>
        <v>0</v>
      </c>
      <c r="G181" s="217" t="s">
        <v>15</v>
      </c>
      <c r="H181" s="393">
        <f t="shared" si="38"/>
        <v>0</v>
      </c>
      <c r="I181" s="394"/>
      <c r="J181" s="218" t="s">
        <v>15</v>
      </c>
      <c r="K181" s="217">
        <v>0</v>
      </c>
      <c r="L181" s="218" t="s">
        <v>15</v>
      </c>
      <c r="M181" s="256">
        <f t="shared" si="40"/>
        <v>0</v>
      </c>
    </row>
    <row r="182" spans="1:13" ht="19" customHeight="1" x14ac:dyDescent="0.35">
      <c r="A182" s="224" t="s">
        <v>14</v>
      </c>
      <c r="B182" s="217">
        <f t="shared" si="35"/>
        <v>25</v>
      </c>
      <c r="C182" s="216" t="s">
        <v>14</v>
      </c>
      <c r="D182" s="240">
        <f t="shared" si="36"/>
        <v>25</v>
      </c>
      <c r="E182" s="216" t="s">
        <v>14</v>
      </c>
      <c r="F182" s="217">
        <f t="shared" si="37"/>
        <v>25</v>
      </c>
      <c r="G182" s="217" t="s">
        <v>14</v>
      </c>
      <c r="H182" s="393">
        <f t="shared" si="38"/>
        <v>25</v>
      </c>
      <c r="I182" s="394"/>
      <c r="J182" s="218" t="s">
        <v>14</v>
      </c>
      <c r="K182" s="217">
        <v>25</v>
      </c>
      <c r="L182" s="218" t="s">
        <v>14</v>
      </c>
      <c r="M182" s="256">
        <f t="shared" si="40"/>
        <v>25</v>
      </c>
    </row>
    <row r="183" spans="1:13" ht="22.5" customHeight="1" x14ac:dyDescent="0.35">
      <c r="A183" s="224" t="s">
        <v>8</v>
      </c>
      <c r="B183" s="217">
        <f t="shared" si="35"/>
        <v>20</v>
      </c>
      <c r="C183" s="216" t="s">
        <v>8</v>
      </c>
      <c r="D183" s="240">
        <f t="shared" si="36"/>
        <v>20</v>
      </c>
      <c r="E183" s="216" t="s">
        <v>8</v>
      </c>
      <c r="F183" s="217">
        <f t="shared" si="37"/>
        <v>20</v>
      </c>
      <c r="G183" s="217" t="s">
        <v>8</v>
      </c>
      <c r="H183" s="393">
        <f t="shared" si="38"/>
        <v>20</v>
      </c>
      <c r="I183" s="394"/>
      <c r="J183" s="218" t="s">
        <v>8</v>
      </c>
      <c r="K183" s="217">
        <v>20</v>
      </c>
      <c r="L183" s="218" t="s">
        <v>8</v>
      </c>
      <c r="M183" s="256">
        <f t="shared" si="40"/>
        <v>20</v>
      </c>
    </row>
    <row r="184" spans="1:13" x14ac:dyDescent="0.35">
      <c r="A184" s="224" t="s">
        <v>9</v>
      </c>
      <c r="B184" s="217">
        <f t="shared" si="35"/>
        <v>10</v>
      </c>
      <c r="C184" s="216" t="s">
        <v>9</v>
      </c>
      <c r="D184" s="240">
        <f t="shared" si="36"/>
        <v>10</v>
      </c>
      <c r="E184" s="216" t="s">
        <v>9</v>
      </c>
      <c r="F184" s="217">
        <f t="shared" si="37"/>
        <v>10</v>
      </c>
      <c r="G184" s="217" t="s">
        <v>9</v>
      </c>
      <c r="H184" s="393">
        <f t="shared" si="38"/>
        <v>10</v>
      </c>
      <c r="I184" s="394"/>
      <c r="J184" s="218" t="s">
        <v>9</v>
      </c>
      <c r="K184" s="217">
        <v>10</v>
      </c>
      <c r="L184" s="218" t="s">
        <v>9</v>
      </c>
      <c r="M184" s="256">
        <f t="shared" si="40"/>
        <v>10</v>
      </c>
    </row>
    <row r="185" spans="1:13" x14ac:dyDescent="0.35">
      <c r="A185" s="224" t="s">
        <v>12</v>
      </c>
      <c r="B185" s="217">
        <f t="shared" si="35"/>
        <v>14</v>
      </c>
      <c r="C185" s="216" t="s">
        <v>12</v>
      </c>
      <c r="D185" s="240">
        <f t="shared" si="36"/>
        <v>14</v>
      </c>
      <c r="E185" s="216" t="s">
        <v>12</v>
      </c>
      <c r="F185" s="217">
        <f t="shared" si="37"/>
        <v>14</v>
      </c>
      <c r="G185" s="217" t="s">
        <v>12</v>
      </c>
      <c r="H185" s="393">
        <f t="shared" si="38"/>
        <v>14</v>
      </c>
      <c r="I185" s="394"/>
      <c r="J185" s="218" t="s">
        <v>12</v>
      </c>
      <c r="K185" s="217">
        <v>14</v>
      </c>
      <c r="L185" s="218" t="s">
        <v>12</v>
      </c>
      <c r="M185" s="256">
        <f t="shared" si="40"/>
        <v>14</v>
      </c>
    </row>
    <row r="186" spans="1:13" x14ac:dyDescent="0.35">
      <c r="A186" s="224" t="s">
        <v>13</v>
      </c>
      <c r="B186" s="217">
        <f t="shared" si="35"/>
        <v>40.200000000000003</v>
      </c>
      <c r="C186" s="216" t="s">
        <v>13</v>
      </c>
      <c r="D186" s="240">
        <f t="shared" si="36"/>
        <v>40.200000000000003</v>
      </c>
      <c r="E186" s="216" t="s">
        <v>13</v>
      </c>
      <c r="F186" s="217">
        <f t="shared" si="37"/>
        <v>40.200000000000003</v>
      </c>
      <c r="G186" s="217" t="s">
        <v>13</v>
      </c>
      <c r="H186" s="393">
        <f t="shared" si="38"/>
        <v>40.200000000000003</v>
      </c>
      <c r="I186" s="394"/>
      <c r="J186" s="218" t="s">
        <v>13</v>
      </c>
      <c r="K186" s="217">
        <v>40.200000000000003</v>
      </c>
      <c r="L186" s="218" t="s">
        <v>13</v>
      </c>
      <c r="M186" s="256">
        <f t="shared" si="40"/>
        <v>40.200000000000003</v>
      </c>
    </row>
    <row r="187" spans="1:13" ht="15" thickBot="1" x14ac:dyDescent="0.4">
      <c r="A187" s="225" t="s">
        <v>16</v>
      </c>
      <c r="B187" s="219">
        <f t="shared" si="35"/>
        <v>5</v>
      </c>
      <c r="C187" s="220" t="s">
        <v>16</v>
      </c>
      <c r="D187" s="240">
        <f t="shared" si="36"/>
        <v>5</v>
      </c>
      <c r="E187" s="220" t="s">
        <v>16</v>
      </c>
      <c r="F187" s="221">
        <f t="shared" si="37"/>
        <v>5</v>
      </c>
      <c r="G187" s="221" t="s">
        <v>16</v>
      </c>
      <c r="H187" s="400">
        <f t="shared" si="38"/>
        <v>5</v>
      </c>
      <c r="I187" s="401"/>
      <c r="J187" s="222" t="s">
        <v>16</v>
      </c>
      <c r="K187" s="221">
        <v>5</v>
      </c>
      <c r="L187" s="222" t="s">
        <v>16</v>
      </c>
      <c r="M187" s="256">
        <f t="shared" si="40"/>
        <v>5</v>
      </c>
    </row>
    <row r="188" spans="1:13" ht="51.5" customHeight="1" thickBot="1" x14ac:dyDescent="0.4">
      <c r="A188" s="379" t="s">
        <v>305</v>
      </c>
      <c r="B188" s="380"/>
      <c r="C188" s="381" t="s">
        <v>306</v>
      </c>
      <c r="D188" s="382"/>
      <c r="E188" s="383" t="s">
        <v>307</v>
      </c>
      <c r="F188" s="384"/>
      <c r="G188" s="383" t="s">
        <v>308</v>
      </c>
      <c r="H188" s="385"/>
      <c r="I188" s="386"/>
      <c r="J188" s="370" t="s">
        <v>309</v>
      </c>
      <c r="K188" s="371"/>
      <c r="L188" s="370" t="s">
        <v>310</v>
      </c>
      <c r="M188" s="371"/>
    </row>
    <row r="189" spans="1:13" x14ac:dyDescent="0.35">
      <c r="A189" s="223" t="s">
        <v>0</v>
      </c>
      <c r="B189" s="214" t="s">
        <v>311</v>
      </c>
      <c r="C189" s="213" t="s">
        <v>0</v>
      </c>
      <c r="D189" s="214" t="s">
        <v>311</v>
      </c>
      <c r="E189" s="213" t="s">
        <v>0</v>
      </c>
      <c r="F189" s="214" t="s">
        <v>311</v>
      </c>
      <c r="G189" s="214" t="s">
        <v>0</v>
      </c>
      <c r="H189" s="395" t="s">
        <v>311</v>
      </c>
      <c r="I189" s="396"/>
      <c r="J189" s="215" t="s">
        <v>0</v>
      </c>
      <c r="K189" s="214" t="s">
        <v>311</v>
      </c>
      <c r="L189" s="215" t="s">
        <v>0</v>
      </c>
      <c r="M189" s="255" t="s">
        <v>311</v>
      </c>
    </row>
    <row r="190" spans="1:13" x14ac:dyDescent="0.35">
      <c r="A190" s="224" t="s">
        <v>1</v>
      </c>
      <c r="B190" s="217">
        <f t="shared" ref="B190:B204" si="41">B40</f>
        <v>605</v>
      </c>
      <c r="C190" s="216" t="s">
        <v>1</v>
      </c>
      <c r="D190" s="217">
        <f t="shared" ref="D190:D204" si="42">H40</f>
        <v>605</v>
      </c>
      <c r="E190" s="216" t="s">
        <v>1</v>
      </c>
      <c r="F190" s="217">
        <f t="shared" ref="F190:F204" si="43">AO2</f>
        <v>605</v>
      </c>
      <c r="G190" s="217" t="s">
        <v>1</v>
      </c>
      <c r="H190" s="397">
        <f>IF(E35+AO2&gt;H40, H40, E35+AO2)</f>
        <v>605</v>
      </c>
      <c r="I190" s="394"/>
      <c r="J190" s="218" t="s">
        <v>1</v>
      </c>
      <c r="K190" s="217">
        <v>399</v>
      </c>
      <c r="L190" s="218" t="s">
        <v>1</v>
      </c>
      <c r="M190" s="256">
        <f>IF(K190+K202&gt;B2,B2,K190+K202)</f>
        <v>403</v>
      </c>
    </row>
    <row r="191" spans="1:13" x14ac:dyDescent="0.35">
      <c r="A191" s="224" t="s">
        <v>2</v>
      </c>
      <c r="B191" s="217">
        <f t="shared" si="41"/>
        <v>369</v>
      </c>
      <c r="C191" s="216" t="s">
        <v>2</v>
      </c>
      <c r="D191" s="217">
        <f t="shared" si="42"/>
        <v>369</v>
      </c>
      <c r="E191" s="216" t="s">
        <v>2</v>
      </c>
      <c r="F191" s="217">
        <f t="shared" si="43"/>
        <v>369</v>
      </c>
      <c r="G191" s="217" t="s">
        <v>2</v>
      </c>
      <c r="H191" s="393">
        <f t="shared" ref="H191:H204" si="44">H41</f>
        <v>369</v>
      </c>
      <c r="I191" s="394"/>
      <c r="J191" s="218" t="s">
        <v>2</v>
      </c>
      <c r="K191" s="217">
        <v>253.5</v>
      </c>
      <c r="L191" s="218" t="s">
        <v>2</v>
      </c>
      <c r="M191" s="256">
        <f t="shared" ref="M191:M192" si="45">IF(K191+K203&gt;B41,B41,K191+K203)</f>
        <v>278.7</v>
      </c>
    </row>
    <row r="192" spans="1:13" x14ac:dyDescent="0.35">
      <c r="A192" s="224" t="s">
        <v>3</v>
      </c>
      <c r="B192" s="217">
        <f t="shared" si="41"/>
        <v>126</v>
      </c>
      <c r="C192" s="216" t="s">
        <v>3</v>
      </c>
      <c r="D192" s="217">
        <f t="shared" si="42"/>
        <v>126</v>
      </c>
      <c r="E192" s="216" t="s">
        <v>3</v>
      </c>
      <c r="F192" s="217">
        <f t="shared" si="43"/>
        <v>126</v>
      </c>
      <c r="G192" s="217" t="s">
        <v>3</v>
      </c>
      <c r="H192" s="393">
        <f t="shared" si="44"/>
        <v>126</v>
      </c>
      <c r="I192" s="394"/>
      <c r="J192" s="218" t="s">
        <v>3</v>
      </c>
      <c r="K192" s="217">
        <v>117</v>
      </c>
      <c r="L192" s="218" t="s">
        <v>3</v>
      </c>
      <c r="M192" s="256">
        <f t="shared" si="45"/>
        <v>122</v>
      </c>
    </row>
    <row r="193" spans="1:13" x14ac:dyDescent="0.35">
      <c r="A193" s="224" t="s">
        <v>4</v>
      </c>
      <c r="B193" s="217">
        <f t="shared" si="41"/>
        <v>0</v>
      </c>
      <c r="C193" s="216" t="s">
        <v>4</v>
      </c>
      <c r="D193" s="217">
        <f t="shared" si="42"/>
        <v>0</v>
      </c>
      <c r="E193" s="216" t="s">
        <v>4</v>
      </c>
      <c r="F193" s="217">
        <f t="shared" si="43"/>
        <v>0</v>
      </c>
      <c r="G193" s="217" t="s">
        <v>4</v>
      </c>
      <c r="H193" s="393">
        <f t="shared" si="44"/>
        <v>0</v>
      </c>
      <c r="I193" s="394"/>
      <c r="J193" s="218" t="s">
        <v>4</v>
      </c>
      <c r="K193" s="217">
        <v>0</v>
      </c>
      <c r="L193" s="218" t="s">
        <v>4</v>
      </c>
      <c r="M193" s="256">
        <f>K193</f>
        <v>0</v>
      </c>
    </row>
    <row r="194" spans="1:13" x14ac:dyDescent="0.35">
      <c r="A194" s="224" t="s">
        <v>6</v>
      </c>
      <c r="B194" s="217">
        <f t="shared" si="41"/>
        <v>80</v>
      </c>
      <c r="C194" s="216" t="s">
        <v>6</v>
      </c>
      <c r="D194" s="217">
        <f t="shared" si="42"/>
        <v>80</v>
      </c>
      <c r="E194" s="216" t="s">
        <v>6</v>
      </c>
      <c r="F194" s="217">
        <f t="shared" si="43"/>
        <v>80</v>
      </c>
      <c r="G194" s="217" t="s">
        <v>6</v>
      </c>
      <c r="H194" s="393">
        <f t="shared" si="44"/>
        <v>80</v>
      </c>
      <c r="I194" s="394"/>
      <c r="J194" s="218" t="s">
        <v>6</v>
      </c>
      <c r="K194" s="217">
        <v>80</v>
      </c>
      <c r="L194" s="218" t="s">
        <v>6</v>
      </c>
      <c r="M194" s="256">
        <f t="shared" ref="M194:M204" si="46">K194</f>
        <v>80</v>
      </c>
    </row>
    <row r="195" spans="1:13" x14ac:dyDescent="0.35">
      <c r="A195" s="224" t="s">
        <v>7</v>
      </c>
      <c r="B195" s="217">
        <f t="shared" si="41"/>
        <v>35</v>
      </c>
      <c r="C195" s="216" t="s">
        <v>7</v>
      </c>
      <c r="D195" s="217">
        <f t="shared" si="42"/>
        <v>35</v>
      </c>
      <c r="E195" s="216" t="s">
        <v>7</v>
      </c>
      <c r="F195" s="217">
        <f t="shared" si="43"/>
        <v>35</v>
      </c>
      <c r="G195" s="217" t="s">
        <v>7</v>
      </c>
      <c r="H195" s="393">
        <f t="shared" si="44"/>
        <v>35</v>
      </c>
      <c r="I195" s="394"/>
      <c r="J195" s="218" t="s">
        <v>7</v>
      </c>
      <c r="K195" s="217">
        <v>35</v>
      </c>
      <c r="L195" s="218" t="s">
        <v>7</v>
      </c>
      <c r="M195" s="256">
        <f t="shared" si="46"/>
        <v>35</v>
      </c>
    </row>
    <row r="196" spans="1:13" x14ac:dyDescent="0.35">
      <c r="A196" s="224" t="s">
        <v>10</v>
      </c>
      <c r="B196" s="217">
        <f t="shared" si="41"/>
        <v>10</v>
      </c>
      <c r="C196" s="216" t="s">
        <v>10</v>
      </c>
      <c r="D196" s="217">
        <f t="shared" si="42"/>
        <v>10</v>
      </c>
      <c r="E196" s="216" t="s">
        <v>10</v>
      </c>
      <c r="F196" s="217">
        <f t="shared" si="43"/>
        <v>10</v>
      </c>
      <c r="G196" s="217" t="s">
        <v>10</v>
      </c>
      <c r="H196" s="393">
        <f t="shared" si="44"/>
        <v>10</v>
      </c>
      <c r="I196" s="394"/>
      <c r="J196" s="218" t="s">
        <v>10</v>
      </c>
      <c r="K196" s="217">
        <v>10</v>
      </c>
      <c r="L196" s="218" t="s">
        <v>10</v>
      </c>
      <c r="M196" s="256">
        <f t="shared" si="46"/>
        <v>10</v>
      </c>
    </row>
    <row r="197" spans="1:13" x14ac:dyDescent="0.35">
      <c r="A197" s="224" t="s">
        <v>11</v>
      </c>
      <c r="B197" s="217">
        <f t="shared" si="41"/>
        <v>147.5</v>
      </c>
      <c r="C197" s="216" t="s">
        <v>11</v>
      </c>
      <c r="D197" s="217">
        <f t="shared" si="42"/>
        <v>147.5</v>
      </c>
      <c r="E197" s="216" t="s">
        <v>11</v>
      </c>
      <c r="F197" s="217">
        <f t="shared" si="43"/>
        <v>147.5</v>
      </c>
      <c r="G197" s="217" t="s">
        <v>11</v>
      </c>
      <c r="H197" s="393">
        <f t="shared" si="44"/>
        <v>147.5</v>
      </c>
      <c r="I197" s="394"/>
      <c r="J197" s="218" t="s">
        <v>11</v>
      </c>
      <c r="K197" s="217">
        <v>142</v>
      </c>
      <c r="L197" s="218" t="s">
        <v>11</v>
      </c>
      <c r="M197" s="256">
        <f t="shared" si="46"/>
        <v>142</v>
      </c>
    </row>
    <row r="198" spans="1:13" x14ac:dyDescent="0.35">
      <c r="A198" s="224" t="s">
        <v>15</v>
      </c>
      <c r="B198" s="217">
        <f t="shared" si="41"/>
        <v>0</v>
      </c>
      <c r="C198" s="216" t="s">
        <v>15</v>
      </c>
      <c r="D198" s="217">
        <f t="shared" si="42"/>
        <v>0</v>
      </c>
      <c r="E198" s="216" t="s">
        <v>15</v>
      </c>
      <c r="F198" s="217">
        <f t="shared" si="43"/>
        <v>0</v>
      </c>
      <c r="G198" s="217" t="s">
        <v>15</v>
      </c>
      <c r="H198" s="393">
        <f t="shared" si="44"/>
        <v>0</v>
      </c>
      <c r="I198" s="394"/>
      <c r="J198" s="218" t="s">
        <v>15</v>
      </c>
      <c r="K198" s="217">
        <v>0</v>
      </c>
      <c r="L198" s="218" t="s">
        <v>15</v>
      </c>
      <c r="M198" s="256">
        <f t="shared" si="46"/>
        <v>0</v>
      </c>
    </row>
    <row r="199" spans="1:13" x14ac:dyDescent="0.35">
      <c r="A199" s="224" t="s">
        <v>14</v>
      </c>
      <c r="B199" s="217">
        <f t="shared" si="41"/>
        <v>25</v>
      </c>
      <c r="C199" s="216" t="s">
        <v>14</v>
      </c>
      <c r="D199" s="217">
        <f t="shared" si="42"/>
        <v>25</v>
      </c>
      <c r="E199" s="216" t="s">
        <v>14</v>
      </c>
      <c r="F199" s="217">
        <f t="shared" si="43"/>
        <v>25</v>
      </c>
      <c r="G199" s="217" t="s">
        <v>14</v>
      </c>
      <c r="H199" s="393">
        <f t="shared" si="44"/>
        <v>25</v>
      </c>
      <c r="I199" s="394"/>
      <c r="J199" s="218" t="s">
        <v>14</v>
      </c>
      <c r="K199" s="217">
        <v>25</v>
      </c>
      <c r="L199" s="218" t="s">
        <v>14</v>
      </c>
      <c r="M199" s="256">
        <f t="shared" si="46"/>
        <v>25</v>
      </c>
    </row>
    <row r="200" spans="1:13" x14ac:dyDescent="0.35">
      <c r="A200" s="224" t="s">
        <v>8</v>
      </c>
      <c r="B200" s="217">
        <f t="shared" si="41"/>
        <v>20</v>
      </c>
      <c r="C200" s="216" t="s">
        <v>8</v>
      </c>
      <c r="D200" s="217">
        <f t="shared" si="42"/>
        <v>20</v>
      </c>
      <c r="E200" s="216" t="s">
        <v>8</v>
      </c>
      <c r="F200" s="217">
        <f t="shared" si="43"/>
        <v>20</v>
      </c>
      <c r="G200" s="217" t="s">
        <v>8</v>
      </c>
      <c r="H200" s="393">
        <f t="shared" si="44"/>
        <v>20</v>
      </c>
      <c r="I200" s="394"/>
      <c r="J200" s="218" t="s">
        <v>8</v>
      </c>
      <c r="K200" s="217">
        <v>20</v>
      </c>
      <c r="L200" s="218" t="s">
        <v>8</v>
      </c>
      <c r="M200" s="256">
        <f t="shared" si="46"/>
        <v>20</v>
      </c>
    </row>
    <row r="201" spans="1:13" x14ac:dyDescent="0.35">
      <c r="A201" s="224" t="s">
        <v>9</v>
      </c>
      <c r="B201" s="217">
        <f t="shared" si="41"/>
        <v>10</v>
      </c>
      <c r="C201" s="216" t="s">
        <v>9</v>
      </c>
      <c r="D201" s="217">
        <f t="shared" si="42"/>
        <v>10</v>
      </c>
      <c r="E201" s="216" t="s">
        <v>9</v>
      </c>
      <c r="F201" s="217">
        <f t="shared" si="43"/>
        <v>10</v>
      </c>
      <c r="G201" s="217" t="s">
        <v>9</v>
      </c>
      <c r="H201" s="393">
        <f t="shared" si="44"/>
        <v>10</v>
      </c>
      <c r="I201" s="394"/>
      <c r="J201" s="218" t="s">
        <v>9</v>
      </c>
      <c r="K201" s="217">
        <v>10</v>
      </c>
      <c r="L201" s="218" t="s">
        <v>9</v>
      </c>
      <c r="M201" s="256">
        <f t="shared" si="46"/>
        <v>10</v>
      </c>
    </row>
    <row r="202" spans="1:13" x14ac:dyDescent="0.35">
      <c r="A202" s="224" t="s">
        <v>12</v>
      </c>
      <c r="B202" s="217">
        <f t="shared" si="41"/>
        <v>4</v>
      </c>
      <c r="C202" s="216" t="s">
        <v>12</v>
      </c>
      <c r="D202" s="217">
        <f t="shared" si="42"/>
        <v>4</v>
      </c>
      <c r="E202" s="216" t="s">
        <v>12</v>
      </c>
      <c r="F202" s="217">
        <f t="shared" si="43"/>
        <v>4</v>
      </c>
      <c r="G202" s="217" t="s">
        <v>12</v>
      </c>
      <c r="H202" s="393">
        <f t="shared" si="44"/>
        <v>4</v>
      </c>
      <c r="I202" s="394"/>
      <c r="J202" s="218" t="s">
        <v>12</v>
      </c>
      <c r="K202" s="217">
        <v>4</v>
      </c>
      <c r="L202" s="218" t="s">
        <v>12</v>
      </c>
      <c r="M202" s="256">
        <f t="shared" si="46"/>
        <v>4</v>
      </c>
    </row>
    <row r="203" spans="1:13" x14ac:dyDescent="0.35">
      <c r="A203" s="224" t="s">
        <v>13</v>
      </c>
      <c r="B203" s="217">
        <f t="shared" si="41"/>
        <v>25.2</v>
      </c>
      <c r="C203" s="216" t="s">
        <v>13</v>
      </c>
      <c r="D203" s="217">
        <f t="shared" si="42"/>
        <v>25.2</v>
      </c>
      <c r="E203" s="216" t="s">
        <v>13</v>
      </c>
      <c r="F203" s="217">
        <f t="shared" si="43"/>
        <v>25.2</v>
      </c>
      <c r="G203" s="217" t="s">
        <v>13</v>
      </c>
      <c r="H203" s="393">
        <f t="shared" si="44"/>
        <v>25.2</v>
      </c>
      <c r="I203" s="394"/>
      <c r="J203" s="218" t="s">
        <v>13</v>
      </c>
      <c r="K203" s="217">
        <v>25.2</v>
      </c>
      <c r="L203" s="218" t="s">
        <v>13</v>
      </c>
      <c r="M203" s="256">
        <f t="shared" si="46"/>
        <v>25.2</v>
      </c>
    </row>
    <row r="204" spans="1:13" ht="15" thickBot="1" x14ac:dyDescent="0.4">
      <c r="A204" s="225" t="s">
        <v>16</v>
      </c>
      <c r="B204" s="221">
        <f t="shared" si="41"/>
        <v>5</v>
      </c>
      <c r="C204" s="220" t="s">
        <v>16</v>
      </c>
      <c r="D204" s="221">
        <f t="shared" si="42"/>
        <v>5</v>
      </c>
      <c r="E204" s="220" t="s">
        <v>16</v>
      </c>
      <c r="F204" s="221">
        <f t="shared" si="43"/>
        <v>5</v>
      </c>
      <c r="G204" s="221" t="s">
        <v>16</v>
      </c>
      <c r="H204" s="400">
        <f t="shared" si="44"/>
        <v>5</v>
      </c>
      <c r="I204" s="401"/>
      <c r="J204" s="222" t="s">
        <v>16</v>
      </c>
      <c r="K204" s="221">
        <v>5</v>
      </c>
      <c r="L204" s="222" t="s">
        <v>16</v>
      </c>
      <c r="M204" s="256">
        <f t="shared" si="46"/>
        <v>5</v>
      </c>
    </row>
    <row r="205" spans="1:13" ht="41.5" customHeight="1" thickBot="1" x14ac:dyDescent="0.4">
      <c r="A205" s="379" t="s">
        <v>305</v>
      </c>
      <c r="B205" s="380"/>
      <c r="C205" s="381" t="s">
        <v>306</v>
      </c>
      <c r="D205" s="382"/>
      <c r="E205" s="383" t="s">
        <v>307</v>
      </c>
      <c r="F205" s="384"/>
      <c r="G205" s="383" t="s">
        <v>308</v>
      </c>
      <c r="H205" s="385"/>
      <c r="I205" s="386"/>
      <c r="J205" s="370" t="s">
        <v>309</v>
      </c>
      <c r="K205" s="371"/>
      <c r="L205" s="370" t="s">
        <v>310</v>
      </c>
      <c r="M205" s="371"/>
    </row>
    <row r="206" spans="1:13" x14ac:dyDescent="0.35">
      <c r="A206" s="223" t="s">
        <v>0</v>
      </c>
      <c r="B206" s="214" t="s">
        <v>79</v>
      </c>
      <c r="C206" s="213" t="s">
        <v>0</v>
      </c>
      <c r="D206" s="214" t="s">
        <v>79</v>
      </c>
      <c r="E206" s="213" t="s">
        <v>0</v>
      </c>
      <c r="F206" s="214" t="s">
        <v>79</v>
      </c>
      <c r="G206" s="214" t="s">
        <v>0</v>
      </c>
      <c r="H206" s="395" t="s">
        <v>79</v>
      </c>
      <c r="I206" s="396"/>
      <c r="J206" s="215" t="s">
        <v>0</v>
      </c>
      <c r="K206" s="214" t="s">
        <v>79</v>
      </c>
      <c r="L206" s="215" t="s">
        <v>0</v>
      </c>
      <c r="M206" s="255" t="s">
        <v>79</v>
      </c>
    </row>
    <row r="207" spans="1:13" x14ac:dyDescent="0.35">
      <c r="A207" s="224" t="s">
        <v>1</v>
      </c>
      <c r="B207" s="217">
        <f t="shared" ref="B207:B221" si="47">B72</f>
        <v>665.5</v>
      </c>
      <c r="C207" s="216" t="s">
        <v>1</v>
      </c>
      <c r="D207" s="217">
        <f t="shared" ref="D207:D221" si="48">H72</f>
        <v>665.5</v>
      </c>
      <c r="E207" s="216" t="s">
        <v>1</v>
      </c>
      <c r="F207" s="217">
        <f t="shared" ref="F207:F221" si="49">AR2</f>
        <v>665.5</v>
      </c>
      <c r="G207" s="217" t="s">
        <v>1</v>
      </c>
      <c r="H207" s="397">
        <f>IF($E$34+AR2&gt;H72, H72, $E$34+AR2)</f>
        <v>665.5</v>
      </c>
      <c r="I207" s="394"/>
      <c r="J207" s="218" t="s">
        <v>1</v>
      </c>
      <c r="K207" s="217"/>
      <c r="L207" s="218" t="s">
        <v>1</v>
      </c>
      <c r="M207" s="239">
        <f>'Tour 1'!X208</f>
        <v>0</v>
      </c>
    </row>
    <row r="208" spans="1:13" x14ac:dyDescent="0.35">
      <c r="A208" s="224" t="s">
        <v>2</v>
      </c>
      <c r="B208" s="217">
        <f t="shared" si="47"/>
        <v>369</v>
      </c>
      <c r="C208" s="216" t="s">
        <v>2</v>
      </c>
      <c r="D208" s="217">
        <f t="shared" si="48"/>
        <v>369</v>
      </c>
      <c r="E208" s="216" t="s">
        <v>2</v>
      </c>
      <c r="F208" s="217">
        <f t="shared" si="49"/>
        <v>369</v>
      </c>
      <c r="G208" s="217" t="s">
        <v>2</v>
      </c>
      <c r="H208" s="393">
        <f t="shared" ref="H208:H221" si="50">H73</f>
        <v>369</v>
      </c>
      <c r="I208" s="394"/>
      <c r="J208" s="218" t="s">
        <v>2</v>
      </c>
      <c r="K208" s="217"/>
      <c r="L208" s="218" t="s">
        <v>2</v>
      </c>
      <c r="M208" s="256">
        <f t="shared" ref="M208:M209" si="51">IF(K208+K220&gt;B73,B73,K208+K220)</f>
        <v>0</v>
      </c>
    </row>
    <row r="209" spans="1:13" x14ac:dyDescent="0.35">
      <c r="A209" s="224" t="s">
        <v>3</v>
      </c>
      <c r="B209" s="217">
        <f t="shared" si="47"/>
        <v>126</v>
      </c>
      <c r="C209" s="216" t="s">
        <v>3</v>
      </c>
      <c r="D209" s="217">
        <f t="shared" si="48"/>
        <v>126</v>
      </c>
      <c r="E209" s="216" t="s">
        <v>3</v>
      </c>
      <c r="F209" s="217">
        <f t="shared" si="49"/>
        <v>126</v>
      </c>
      <c r="G209" s="217" t="s">
        <v>3</v>
      </c>
      <c r="H209" s="393">
        <f t="shared" si="50"/>
        <v>126</v>
      </c>
      <c r="I209" s="394"/>
      <c r="J209" s="218" t="s">
        <v>3</v>
      </c>
      <c r="K209" s="217"/>
      <c r="L209" s="218" t="s">
        <v>3</v>
      </c>
      <c r="M209" s="256">
        <f t="shared" si="51"/>
        <v>0</v>
      </c>
    </row>
    <row r="210" spans="1:13" x14ac:dyDescent="0.35">
      <c r="A210" s="224" t="s">
        <v>4</v>
      </c>
      <c r="B210" s="217">
        <f t="shared" si="47"/>
        <v>0</v>
      </c>
      <c r="C210" s="216" t="s">
        <v>4</v>
      </c>
      <c r="D210" s="217">
        <f t="shared" si="48"/>
        <v>0</v>
      </c>
      <c r="E210" s="216" t="s">
        <v>4</v>
      </c>
      <c r="F210" s="217">
        <f t="shared" si="49"/>
        <v>0</v>
      </c>
      <c r="G210" s="217" t="s">
        <v>4</v>
      </c>
      <c r="H210" s="393">
        <f t="shared" si="50"/>
        <v>0</v>
      </c>
      <c r="I210" s="394"/>
      <c r="J210" s="218" t="s">
        <v>4</v>
      </c>
      <c r="K210" s="217"/>
      <c r="L210" s="218" t="s">
        <v>4</v>
      </c>
      <c r="M210" s="256">
        <f>K210+S171</f>
        <v>0</v>
      </c>
    </row>
    <row r="211" spans="1:13" x14ac:dyDescent="0.35">
      <c r="A211" s="224" t="s">
        <v>6</v>
      </c>
      <c r="B211" s="217">
        <f t="shared" si="47"/>
        <v>160</v>
      </c>
      <c r="C211" s="216" t="s">
        <v>6</v>
      </c>
      <c r="D211" s="217">
        <f t="shared" si="48"/>
        <v>160</v>
      </c>
      <c r="E211" s="216" t="s">
        <v>6</v>
      </c>
      <c r="F211" s="217">
        <f t="shared" si="49"/>
        <v>160</v>
      </c>
      <c r="G211" s="217" t="s">
        <v>6</v>
      </c>
      <c r="H211" s="393">
        <f t="shared" si="50"/>
        <v>160</v>
      </c>
      <c r="I211" s="394"/>
      <c r="J211" s="218" t="s">
        <v>6</v>
      </c>
      <c r="K211" s="217"/>
      <c r="L211" s="218" t="s">
        <v>6</v>
      </c>
      <c r="M211" s="256">
        <f t="shared" ref="M211:M221" si="52">K211</f>
        <v>0</v>
      </c>
    </row>
    <row r="212" spans="1:13" x14ac:dyDescent="0.35">
      <c r="A212" s="224" t="s">
        <v>7</v>
      </c>
      <c r="B212" s="217">
        <f t="shared" si="47"/>
        <v>35</v>
      </c>
      <c r="C212" s="216" t="s">
        <v>7</v>
      </c>
      <c r="D212" s="217">
        <f t="shared" si="48"/>
        <v>35</v>
      </c>
      <c r="E212" s="216" t="s">
        <v>7</v>
      </c>
      <c r="F212" s="217">
        <f t="shared" si="49"/>
        <v>35</v>
      </c>
      <c r="G212" s="217" t="s">
        <v>7</v>
      </c>
      <c r="H212" s="393">
        <f t="shared" si="50"/>
        <v>35</v>
      </c>
      <c r="I212" s="394"/>
      <c r="J212" s="218" t="s">
        <v>7</v>
      </c>
      <c r="K212" s="217"/>
      <c r="L212" s="218" t="s">
        <v>7</v>
      </c>
      <c r="M212" s="256">
        <f t="shared" si="52"/>
        <v>0</v>
      </c>
    </row>
    <row r="213" spans="1:13" x14ac:dyDescent="0.35">
      <c r="A213" s="224" t="s">
        <v>10</v>
      </c>
      <c r="B213" s="217">
        <f t="shared" si="47"/>
        <v>25</v>
      </c>
      <c r="C213" s="216" t="s">
        <v>10</v>
      </c>
      <c r="D213" s="217">
        <f t="shared" si="48"/>
        <v>25</v>
      </c>
      <c r="E213" s="216" t="s">
        <v>10</v>
      </c>
      <c r="F213" s="217">
        <f t="shared" si="49"/>
        <v>25</v>
      </c>
      <c r="G213" s="217" t="s">
        <v>10</v>
      </c>
      <c r="H213" s="393">
        <f t="shared" si="50"/>
        <v>25</v>
      </c>
      <c r="I213" s="394"/>
      <c r="J213" s="218" t="s">
        <v>10</v>
      </c>
      <c r="K213" s="217"/>
      <c r="L213" s="218" t="s">
        <v>10</v>
      </c>
      <c r="M213" s="256">
        <f t="shared" si="52"/>
        <v>0</v>
      </c>
    </row>
    <row r="214" spans="1:13" x14ac:dyDescent="0.35">
      <c r="A214" s="224" t="s">
        <v>11</v>
      </c>
      <c r="B214" s="217">
        <f t="shared" si="47"/>
        <v>137.5</v>
      </c>
      <c r="C214" s="216" t="s">
        <v>11</v>
      </c>
      <c r="D214" s="217">
        <f t="shared" si="48"/>
        <v>137.5</v>
      </c>
      <c r="E214" s="216" t="s">
        <v>11</v>
      </c>
      <c r="F214" s="217">
        <f t="shared" si="49"/>
        <v>137.5</v>
      </c>
      <c r="G214" s="217" t="s">
        <v>11</v>
      </c>
      <c r="H214" s="393">
        <f t="shared" si="50"/>
        <v>137.5</v>
      </c>
      <c r="I214" s="394"/>
      <c r="J214" s="218" t="s">
        <v>11</v>
      </c>
      <c r="K214" s="217"/>
      <c r="L214" s="218" t="s">
        <v>11</v>
      </c>
      <c r="M214" s="256">
        <f t="shared" si="52"/>
        <v>0</v>
      </c>
    </row>
    <row r="215" spans="1:13" x14ac:dyDescent="0.35">
      <c r="A215" s="224" t="s">
        <v>15</v>
      </c>
      <c r="B215" s="217">
        <f t="shared" si="47"/>
        <v>0</v>
      </c>
      <c r="C215" s="216" t="s">
        <v>15</v>
      </c>
      <c r="D215" s="217">
        <f t="shared" ca="1" si="48"/>
        <v>0</v>
      </c>
      <c r="E215" s="216" t="s">
        <v>15</v>
      </c>
      <c r="F215" s="217">
        <f t="shared" si="49"/>
        <v>0</v>
      </c>
      <c r="G215" s="217" t="s">
        <v>15</v>
      </c>
      <c r="H215" s="393">
        <f t="shared" ca="1" si="50"/>
        <v>0</v>
      </c>
      <c r="I215" s="394"/>
      <c r="J215" s="218" t="s">
        <v>15</v>
      </c>
      <c r="K215" s="217"/>
      <c r="L215" s="218" t="s">
        <v>15</v>
      </c>
      <c r="M215" s="256">
        <f t="shared" si="52"/>
        <v>0</v>
      </c>
    </row>
    <row r="216" spans="1:13" x14ac:dyDescent="0.35">
      <c r="A216" s="224" t="s">
        <v>14</v>
      </c>
      <c r="B216" s="217">
        <f t="shared" si="47"/>
        <v>25</v>
      </c>
      <c r="C216" s="216" t="s">
        <v>14</v>
      </c>
      <c r="D216" s="217">
        <f t="shared" si="48"/>
        <v>25</v>
      </c>
      <c r="E216" s="216" t="s">
        <v>14</v>
      </c>
      <c r="F216" s="217">
        <f t="shared" si="49"/>
        <v>25</v>
      </c>
      <c r="G216" s="217" t="s">
        <v>14</v>
      </c>
      <c r="H216" s="393">
        <f t="shared" si="50"/>
        <v>25</v>
      </c>
      <c r="I216" s="394"/>
      <c r="J216" s="218" t="s">
        <v>14</v>
      </c>
      <c r="K216" s="217"/>
      <c r="L216" s="218" t="s">
        <v>14</v>
      </c>
      <c r="M216" s="256">
        <f t="shared" si="52"/>
        <v>0</v>
      </c>
    </row>
    <row r="217" spans="1:13" x14ac:dyDescent="0.35">
      <c r="A217" s="224" t="s">
        <v>8</v>
      </c>
      <c r="B217" s="217">
        <f t="shared" si="47"/>
        <v>20</v>
      </c>
      <c r="C217" s="216" t="s">
        <v>8</v>
      </c>
      <c r="D217" s="217">
        <f t="shared" si="48"/>
        <v>20</v>
      </c>
      <c r="E217" s="216" t="s">
        <v>8</v>
      </c>
      <c r="F217" s="217">
        <f t="shared" si="49"/>
        <v>20</v>
      </c>
      <c r="G217" s="217" t="s">
        <v>8</v>
      </c>
      <c r="H217" s="393">
        <f t="shared" si="50"/>
        <v>20</v>
      </c>
      <c r="I217" s="394"/>
      <c r="J217" s="218" t="s">
        <v>8</v>
      </c>
      <c r="K217" s="217"/>
      <c r="L217" s="218" t="s">
        <v>8</v>
      </c>
      <c r="M217" s="256">
        <f t="shared" si="52"/>
        <v>0</v>
      </c>
    </row>
    <row r="218" spans="1:13" x14ac:dyDescent="0.35">
      <c r="A218" s="224" t="s">
        <v>9</v>
      </c>
      <c r="B218" s="217">
        <f t="shared" si="47"/>
        <v>10</v>
      </c>
      <c r="C218" s="216" t="s">
        <v>9</v>
      </c>
      <c r="D218" s="217">
        <f t="shared" si="48"/>
        <v>10</v>
      </c>
      <c r="E218" s="216" t="s">
        <v>9</v>
      </c>
      <c r="F218" s="217">
        <f t="shared" si="49"/>
        <v>10</v>
      </c>
      <c r="G218" s="217" t="s">
        <v>9</v>
      </c>
      <c r="H218" s="393">
        <f t="shared" si="50"/>
        <v>10</v>
      </c>
      <c r="I218" s="394"/>
      <c r="J218" s="218" t="s">
        <v>9</v>
      </c>
      <c r="K218" s="217"/>
      <c r="L218" s="218" t="s">
        <v>9</v>
      </c>
      <c r="M218" s="256">
        <f t="shared" si="52"/>
        <v>0</v>
      </c>
    </row>
    <row r="219" spans="1:13" x14ac:dyDescent="0.35">
      <c r="A219" s="224" t="s">
        <v>12</v>
      </c>
      <c r="B219" s="217">
        <f t="shared" si="47"/>
        <v>4</v>
      </c>
      <c r="C219" s="216" t="s">
        <v>12</v>
      </c>
      <c r="D219" s="217">
        <f t="shared" si="48"/>
        <v>4</v>
      </c>
      <c r="E219" s="216" t="s">
        <v>12</v>
      </c>
      <c r="F219" s="217">
        <f t="shared" si="49"/>
        <v>4</v>
      </c>
      <c r="G219" s="217" t="s">
        <v>12</v>
      </c>
      <c r="H219" s="393">
        <f t="shared" si="50"/>
        <v>4</v>
      </c>
      <c r="I219" s="394"/>
      <c r="J219" s="218" t="s">
        <v>12</v>
      </c>
      <c r="K219" s="217"/>
      <c r="L219" s="218" t="s">
        <v>12</v>
      </c>
      <c r="M219" s="256">
        <f t="shared" si="52"/>
        <v>0</v>
      </c>
    </row>
    <row r="220" spans="1:13" x14ac:dyDescent="0.35">
      <c r="A220" s="224" t="s">
        <v>13</v>
      </c>
      <c r="B220" s="217">
        <f t="shared" si="47"/>
        <v>25.2</v>
      </c>
      <c r="C220" s="216" t="s">
        <v>13</v>
      </c>
      <c r="D220" s="217">
        <f t="shared" si="48"/>
        <v>25.2</v>
      </c>
      <c r="E220" s="216" t="s">
        <v>13</v>
      </c>
      <c r="F220" s="217">
        <f t="shared" si="49"/>
        <v>25.2</v>
      </c>
      <c r="G220" s="217" t="s">
        <v>13</v>
      </c>
      <c r="H220" s="393">
        <f t="shared" si="50"/>
        <v>25.2</v>
      </c>
      <c r="I220" s="394"/>
      <c r="J220" s="218" t="s">
        <v>13</v>
      </c>
      <c r="K220" s="217"/>
      <c r="L220" s="218" t="s">
        <v>13</v>
      </c>
      <c r="M220" s="256">
        <f t="shared" si="52"/>
        <v>0</v>
      </c>
    </row>
    <row r="221" spans="1:13" ht="15" thickBot="1" x14ac:dyDescent="0.4">
      <c r="A221" s="225" t="s">
        <v>16</v>
      </c>
      <c r="B221" s="221">
        <f t="shared" si="47"/>
        <v>5</v>
      </c>
      <c r="C221" s="220" t="s">
        <v>16</v>
      </c>
      <c r="D221" s="221">
        <f t="shared" si="48"/>
        <v>5</v>
      </c>
      <c r="E221" s="220" t="s">
        <v>16</v>
      </c>
      <c r="F221" s="221">
        <f t="shared" si="49"/>
        <v>5</v>
      </c>
      <c r="G221" s="221" t="s">
        <v>16</v>
      </c>
      <c r="H221" s="400">
        <f t="shared" si="50"/>
        <v>5</v>
      </c>
      <c r="I221" s="401"/>
      <c r="J221" s="222" t="s">
        <v>16</v>
      </c>
      <c r="K221" s="221"/>
      <c r="L221" s="222" t="s">
        <v>16</v>
      </c>
      <c r="M221" s="256">
        <f t="shared" si="52"/>
        <v>0</v>
      </c>
    </row>
    <row r="222" spans="1:13" ht="41.5" customHeight="1" thickBot="1" x14ac:dyDescent="0.4">
      <c r="A222" s="379" t="s">
        <v>305</v>
      </c>
      <c r="B222" s="380"/>
      <c r="C222" s="381" t="s">
        <v>306</v>
      </c>
      <c r="D222" s="382"/>
      <c r="E222" s="383" t="s">
        <v>307</v>
      </c>
      <c r="F222" s="384"/>
      <c r="G222" s="383" t="s">
        <v>308</v>
      </c>
      <c r="H222" s="385"/>
      <c r="I222" s="386"/>
      <c r="J222" s="370" t="s">
        <v>309</v>
      </c>
      <c r="K222" s="371"/>
      <c r="L222" s="370" t="s">
        <v>310</v>
      </c>
      <c r="M222" s="371"/>
    </row>
    <row r="223" spans="1:13" x14ac:dyDescent="0.35">
      <c r="A223" s="223" t="s">
        <v>0</v>
      </c>
      <c r="B223" s="214" t="s">
        <v>170</v>
      </c>
      <c r="C223" s="213" t="s">
        <v>0</v>
      </c>
      <c r="D223" s="214" t="s">
        <v>170</v>
      </c>
      <c r="E223" s="213" t="s">
        <v>0</v>
      </c>
      <c r="F223" s="214" t="s">
        <v>170</v>
      </c>
      <c r="G223" s="214" t="s">
        <v>0</v>
      </c>
      <c r="H223" s="395" t="s">
        <v>170</v>
      </c>
      <c r="I223" s="396"/>
      <c r="J223" s="215" t="s">
        <v>0</v>
      </c>
      <c r="K223" s="214" t="s">
        <v>170</v>
      </c>
      <c r="L223" s="215" t="s">
        <v>0</v>
      </c>
      <c r="M223" s="257" t="s">
        <v>170</v>
      </c>
    </row>
    <row r="224" spans="1:13" x14ac:dyDescent="0.35">
      <c r="A224" s="224" t="s">
        <v>1</v>
      </c>
      <c r="B224" s="217">
        <f t="shared" ref="B224:B238" si="53">B106</f>
        <v>605</v>
      </c>
      <c r="C224" s="216" t="s">
        <v>1</v>
      </c>
      <c r="D224" s="217">
        <f t="shared" ref="D224:D238" si="54">H106</f>
        <v>605</v>
      </c>
      <c r="E224" s="216" t="s">
        <v>1</v>
      </c>
      <c r="F224" s="217">
        <f t="shared" ref="F224:F238" si="55">AU2</f>
        <v>605</v>
      </c>
      <c r="G224" s="217" t="s">
        <v>1</v>
      </c>
      <c r="H224" s="397">
        <f>IF($E$34+AU2&gt;H106, H106, $E$34+AU2)</f>
        <v>605</v>
      </c>
      <c r="I224" s="394"/>
      <c r="J224" s="218" t="s">
        <v>1</v>
      </c>
      <c r="K224" s="217"/>
      <c r="L224" s="218" t="s">
        <v>1</v>
      </c>
      <c r="M224" s="256">
        <f>IF(K224+K236&gt;B106,B106,K224+K236)</f>
        <v>0</v>
      </c>
    </row>
    <row r="225" spans="1:13" x14ac:dyDescent="0.35">
      <c r="A225" s="224" t="s">
        <v>2</v>
      </c>
      <c r="B225" s="217">
        <f t="shared" si="53"/>
        <v>369</v>
      </c>
      <c r="C225" s="216" t="s">
        <v>2</v>
      </c>
      <c r="D225" s="217">
        <f t="shared" si="54"/>
        <v>369</v>
      </c>
      <c r="E225" s="216" t="s">
        <v>2</v>
      </c>
      <c r="F225" s="217">
        <f t="shared" si="55"/>
        <v>369</v>
      </c>
      <c r="G225" s="217" t="s">
        <v>2</v>
      </c>
      <c r="H225" s="393">
        <f t="shared" ref="H225:H238" si="56">H107</f>
        <v>369</v>
      </c>
      <c r="I225" s="394"/>
      <c r="J225" s="218" t="s">
        <v>2</v>
      </c>
      <c r="K225" s="217"/>
      <c r="L225" s="218" t="s">
        <v>2</v>
      </c>
      <c r="M225" s="256">
        <f t="shared" ref="M225:M226" si="57">IF(K225+K237&gt;B107,B107,K225+K237)</f>
        <v>0</v>
      </c>
    </row>
    <row r="226" spans="1:13" x14ac:dyDescent="0.35">
      <c r="A226" s="224" t="s">
        <v>3</v>
      </c>
      <c r="B226" s="217">
        <f t="shared" si="53"/>
        <v>126</v>
      </c>
      <c r="C226" s="216" t="s">
        <v>3</v>
      </c>
      <c r="D226" s="217">
        <f t="shared" si="54"/>
        <v>0</v>
      </c>
      <c r="E226" s="216" t="s">
        <v>3</v>
      </c>
      <c r="F226" s="217">
        <f t="shared" si="55"/>
        <v>126</v>
      </c>
      <c r="G226" s="217" t="s">
        <v>3</v>
      </c>
      <c r="H226" s="393">
        <f t="shared" si="56"/>
        <v>0</v>
      </c>
      <c r="I226" s="394"/>
      <c r="J226" s="218" t="s">
        <v>3</v>
      </c>
      <c r="K226" s="217"/>
      <c r="L226" s="218" t="s">
        <v>3</v>
      </c>
      <c r="M226" s="256">
        <f t="shared" si="57"/>
        <v>0</v>
      </c>
    </row>
    <row r="227" spans="1:13" x14ac:dyDescent="0.35">
      <c r="A227" s="224" t="s">
        <v>4</v>
      </c>
      <c r="B227" s="217">
        <f t="shared" si="53"/>
        <v>0</v>
      </c>
      <c r="C227" s="216" t="s">
        <v>4</v>
      </c>
      <c r="D227" s="217">
        <f t="shared" si="54"/>
        <v>0</v>
      </c>
      <c r="E227" s="216" t="s">
        <v>4</v>
      </c>
      <c r="F227" s="217">
        <f t="shared" si="55"/>
        <v>0</v>
      </c>
      <c r="G227" s="217" t="s">
        <v>4</v>
      </c>
      <c r="H227" s="393">
        <f t="shared" si="56"/>
        <v>0</v>
      </c>
      <c r="I227" s="394"/>
      <c r="J227" s="218" t="s">
        <v>4</v>
      </c>
      <c r="K227" s="217"/>
      <c r="L227" s="218" t="s">
        <v>4</v>
      </c>
      <c r="M227" s="256">
        <f>K227</f>
        <v>0</v>
      </c>
    </row>
    <row r="228" spans="1:13" x14ac:dyDescent="0.35">
      <c r="A228" s="224" t="s">
        <v>6</v>
      </c>
      <c r="B228" s="217">
        <f t="shared" si="53"/>
        <v>80</v>
      </c>
      <c r="C228" s="216" t="s">
        <v>6</v>
      </c>
      <c r="D228" s="217">
        <f t="shared" si="54"/>
        <v>80</v>
      </c>
      <c r="E228" s="216" t="s">
        <v>6</v>
      </c>
      <c r="F228" s="217">
        <f t="shared" si="55"/>
        <v>80</v>
      </c>
      <c r="G228" s="217" t="s">
        <v>6</v>
      </c>
      <c r="H228" s="393">
        <f t="shared" si="56"/>
        <v>80</v>
      </c>
      <c r="I228" s="394"/>
      <c r="J228" s="218" t="s">
        <v>6</v>
      </c>
      <c r="K228" s="217"/>
      <c r="L228" s="218" t="s">
        <v>6</v>
      </c>
      <c r="M228" s="256">
        <f t="shared" ref="M228:M238" si="58">K228</f>
        <v>0</v>
      </c>
    </row>
    <row r="229" spans="1:13" x14ac:dyDescent="0.35">
      <c r="A229" s="224" t="s">
        <v>7</v>
      </c>
      <c r="B229" s="217">
        <f t="shared" si="53"/>
        <v>35</v>
      </c>
      <c r="C229" s="216" t="s">
        <v>7</v>
      </c>
      <c r="D229" s="217">
        <f t="shared" si="54"/>
        <v>35</v>
      </c>
      <c r="E229" s="216" t="s">
        <v>7</v>
      </c>
      <c r="F229" s="217">
        <f t="shared" si="55"/>
        <v>35</v>
      </c>
      <c r="G229" s="217" t="s">
        <v>7</v>
      </c>
      <c r="H229" s="393">
        <f t="shared" si="56"/>
        <v>35</v>
      </c>
      <c r="I229" s="394"/>
      <c r="J229" s="218" t="s">
        <v>7</v>
      </c>
      <c r="K229" s="217"/>
      <c r="L229" s="218" t="s">
        <v>7</v>
      </c>
      <c r="M229" s="256">
        <f t="shared" si="58"/>
        <v>0</v>
      </c>
    </row>
    <row r="230" spans="1:13" x14ac:dyDescent="0.35">
      <c r="A230" s="224" t="s">
        <v>10</v>
      </c>
      <c r="B230" s="217">
        <f t="shared" si="53"/>
        <v>31.5</v>
      </c>
      <c r="C230" s="216" t="s">
        <v>10</v>
      </c>
      <c r="D230" s="217">
        <f t="shared" si="54"/>
        <v>31.5</v>
      </c>
      <c r="E230" s="216" t="s">
        <v>10</v>
      </c>
      <c r="F230" s="217">
        <f t="shared" si="55"/>
        <v>31.5</v>
      </c>
      <c r="G230" s="217" t="s">
        <v>10</v>
      </c>
      <c r="H230" s="393">
        <f t="shared" si="56"/>
        <v>31.5</v>
      </c>
      <c r="I230" s="394"/>
      <c r="J230" s="218" t="s">
        <v>10</v>
      </c>
      <c r="K230" s="217"/>
      <c r="L230" s="218" t="s">
        <v>10</v>
      </c>
      <c r="M230" s="256">
        <f t="shared" si="58"/>
        <v>0</v>
      </c>
    </row>
    <row r="231" spans="1:13" x14ac:dyDescent="0.35">
      <c r="A231" s="224" t="s">
        <v>11</v>
      </c>
      <c r="B231" s="217">
        <f t="shared" si="53"/>
        <v>137.5</v>
      </c>
      <c r="C231" s="216" t="s">
        <v>11</v>
      </c>
      <c r="D231" s="217">
        <f t="shared" si="54"/>
        <v>137.5</v>
      </c>
      <c r="E231" s="216" t="s">
        <v>11</v>
      </c>
      <c r="F231" s="217">
        <f t="shared" si="55"/>
        <v>137.5</v>
      </c>
      <c r="G231" s="217" t="s">
        <v>11</v>
      </c>
      <c r="H231" s="393">
        <f t="shared" si="56"/>
        <v>137.5</v>
      </c>
      <c r="I231" s="394"/>
      <c r="J231" s="218" t="s">
        <v>11</v>
      </c>
      <c r="K231" s="217"/>
      <c r="L231" s="218" t="s">
        <v>11</v>
      </c>
      <c r="M231" s="256">
        <f t="shared" si="58"/>
        <v>0</v>
      </c>
    </row>
    <row r="232" spans="1:13" x14ac:dyDescent="0.35">
      <c r="A232" s="224" t="s">
        <v>15</v>
      </c>
      <c r="B232" s="217">
        <f t="shared" si="53"/>
        <v>0</v>
      </c>
      <c r="C232" s="216" t="s">
        <v>15</v>
      </c>
      <c r="D232" s="217">
        <f t="shared" si="54"/>
        <v>0</v>
      </c>
      <c r="E232" s="216" t="s">
        <v>15</v>
      </c>
      <c r="F232" s="217">
        <f t="shared" si="55"/>
        <v>0</v>
      </c>
      <c r="G232" s="217" t="s">
        <v>15</v>
      </c>
      <c r="H232" s="393">
        <f t="shared" si="56"/>
        <v>0</v>
      </c>
      <c r="I232" s="394"/>
      <c r="J232" s="218" t="s">
        <v>15</v>
      </c>
      <c r="K232" s="217"/>
      <c r="L232" s="218" t="s">
        <v>15</v>
      </c>
      <c r="M232" s="256">
        <f t="shared" si="58"/>
        <v>0</v>
      </c>
    </row>
    <row r="233" spans="1:13" x14ac:dyDescent="0.35">
      <c r="A233" s="224" t="s">
        <v>14</v>
      </c>
      <c r="B233" s="217">
        <f t="shared" si="53"/>
        <v>45</v>
      </c>
      <c r="C233" s="216" t="s">
        <v>14</v>
      </c>
      <c r="D233" s="217">
        <f t="shared" si="54"/>
        <v>45</v>
      </c>
      <c r="E233" s="216" t="s">
        <v>14</v>
      </c>
      <c r="F233" s="217">
        <f t="shared" si="55"/>
        <v>45</v>
      </c>
      <c r="G233" s="217" t="s">
        <v>14</v>
      </c>
      <c r="H233" s="393">
        <f t="shared" si="56"/>
        <v>45</v>
      </c>
      <c r="I233" s="394"/>
      <c r="J233" s="218" t="s">
        <v>14</v>
      </c>
      <c r="K233" s="217"/>
      <c r="L233" s="218" t="s">
        <v>14</v>
      </c>
      <c r="M233" s="256">
        <f t="shared" si="58"/>
        <v>0</v>
      </c>
    </row>
    <row r="234" spans="1:13" x14ac:dyDescent="0.35">
      <c r="A234" s="224" t="s">
        <v>8</v>
      </c>
      <c r="B234" s="217">
        <f t="shared" si="53"/>
        <v>20</v>
      </c>
      <c r="C234" s="216" t="s">
        <v>8</v>
      </c>
      <c r="D234" s="217">
        <f t="shared" si="54"/>
        <v>20</v>
      </c>
      <c r="E234" s="216" t="s">
        <v>8</v>
      </c>
      <c r="F234" s="217">
        <f t="shared" si="55"/>
        <v>20</v>
      </c>
      <c r="G234" s="217" t="s">
        <v>8</v>
      </c>
      <c r="H234" s="393">
        <f t="shared" si="56"/>
        <v>20</v>
      </c>
      <c r="I234" s="394"/>
      <c r="J234" s="218" t="s">
        <v>8</v>
      </c>
      <c r="K234" s="217"/>
      <c r="L234" s="218" t="s">
        <v>8</v>
      </c>
      <c r="M234" s="256">
        <f t="shared" si="58"/>
        <v>0</v>
      </c>
    </row>
    <row r="235" spans="1:13" x14ac:dyDescent="0.35">
      <c r="A235" s="224" t="s">
        <v>9</v>
      </c>
      <c r="B235" s="217">
        <f t="shared" si="53"/>
        <v>15</v>
      </c>
      <c r="C235" s="216" t="s">
        <v>9</v>
      </c>
      <c r="D235" s="217">
        <f t="shared" si="54"/>
        <v>20</v>
      </c>
      <c r="E235" s="216" t="s">
        <v>9</v>
      </c>
      <c r="F235" s="217">
        <f t="shared" si="55"/>
        <v>15</v>
      </c>
      <c r="G235" s="217" t="s">
        <v>9</v>
      </c>
      <c r="H235" s="393">
        <f t="shared" si="56"/>
        <v>20</v>
      </c>
      <c r="I235" s="394"/>
      <c r="J235" s="218" t="s">
        <v>9</v>
      </c>
      <c r="K235" s="217"/>
      <c r="L235" s="218" t="s">
        <v>9</v>
      </c>
      <c r="M235" s="256">
        <f t="shared" si="58"/>
        <v>0</v>
      </c>
    </row>
    <row r="236" spans="1:13" x14ac:dyDescent="0.35">
      <c r="A236" s="224" t="s">
        <v>12</v>
      </c>
      <c r="B236" s="217">
        <f t="shared" si="53"/>
        <v>4</v>
      </c>
      <c r="C236" s="216" t="s">
        <v>12</v>
      </c>
      <c r="D236" s="217">
        <f t="shared" si="54"/>
        <v>4</v>
      </c>
      <c r="E236" s="216" t="s">
        <v>12</v>
      </c>
      <c r="F236" s="217">
        <f t="shared" si="55"/>
        <v>4</v>
      </c>
      <c r="G236" s="217" t="s">
        <v>12</v>
      </c>
      <c r="H236" s="393">
        <f t="shared" si="56"/>
        <v>4</v>
      </c>
      <c r="I236" s="394"/>
      <c r="J236" s="218" t="s">
        <v>12</v>
      </c>
      <c r="K236" s="217"/>
      <c r="L236" s="218" t="s">
        <v>12</v>
      </c>
      <c r="M236" s="256">
        <f t="shared" si="58"/>
        <v>0</v>
      </c>
    </row>
    <row r="237" spans="1:13" x14ac:dyDescent="0.35">
      <c r="A237" s="224" t="s">
        <v>13</v>
      </c>
      <c r="B237" s="217">
        <f t="shared" si="53"/>
        <v>25.2</v>
      </c>
      <c r="C237" s="216" t="s">
        <v>13</v>
      </c>
      <c r="D237" s="217">
        <f t="shared" si="54"/>
        <v>25.2</v>
      </c>
      <c r="E237" s="216" t="s">
        <v>13</v>
      </c>
      <c r="F237" s="217">
        <f t="shared" si="55"/>
        <v>25.2</v>
      </c>
      <c r="G237" s="217" t="s">
        <v>13</v>
      </c>
      <c r="H237" s="393">
        <f t="shared" si="56"/>
        <v>25.2</v>
      </c>
      <c r="I237" s="394"/>
      <c r="J237" s="218" t="s">
        <v>13</v>
      </c>
      <c r="K237" s="217"/>
      <c r="L237" s="218" t="s">
        <v>13</v>
      </c>
      <c r="M237" s="256">
        <f t="shared" si="58"/>
        <v>0</v>
      </c>
    </row>
    <row r="238" spans="1:13" ht="15" thickBot="1" x14ac:dyDescent="0.4">
      <c r="A238" s="225" t="s">
        <v>16</v>
      </c>
      <c r="B238" s="217">
        <f t="shared" si="53"/>
        <v>5</v>
      </c>
      <c r="C238" s="220" t="s">
        <v>16</v>
      </c>
      <c r="D238" s="217">
        <f t="shared" si="54"/>
        <v>5</v>
      </c>
      <c r="E238" s="220" t="s">
        <v>16</v>
      </c>
      <c r="F238" s="217">
        <f t="shared" si="55"/>
        <v>5</v>
      </c>
      <c r="G238" s="221" t="s">
        <v>16</v>
      </c>
      <c r="H238" s="393">
        <f t="shared" si="56"/>
        <v>5</v>
      </c>
      <c r="I238" s="394"/>
      <c r="J238" s="222" t="s">
        <v>16</v>
      </c>
      <c r="K238" s="221"/>
      <c r="L238" s="222" t="s">
        <v>16</v>
      </c>
      <c r="M238" s="256">
        <f t="shared" si="58"/>
        <v>0</v>
      </c>
    </row>
  </sheetData>
  <mergeCells count="230">
    <mergeCell ref="P139:Q139"/>
    <mergeCell ref="R139:S139"/>
    <mergeCell ref="H24:H25"/>
    <mergeCell ref="H26:H27"/>
    <mergeCell ref="H238:I238"/>
    <mergeCell ref="H235:I235"/>
    <mergeCell ref="H236:I236"/>
    <mergeCell ref="H237:I237"/>
    <mergeCell ref="H232:I232"/>
    <mergeCell ref="H233:I233"/>
    <mergeCell ref="H234:I234"/>
    <mergeCell ref="H229:I229"/>
    <mergeCell ref="H230:I230"/>
    <mergeCell ref="H231:I231"/>
    <mergeCell ref="H226:I226"/>
    <mergeCell ref="H227:I227"/>
    <mergeCell ref="H228:I228"/>
    <mergeCell ref="L222:M222"/>
    <mergeCell ref="H223:I223"/>
    <mergeCell ref="H224:I224"/>
    <mergeCell ref="H225:I225"/>
    <mergeCell ref="H221:I221"/>
    <mergeCell ref="A222:B222"/>
    <mergeCell ref="C222:D222"/>
    <mergeCell ref="E222:F222"/>
    <mergeCell ref="G222:I222"/>
    <mergeCell ref="J222:K222"/>
    <mergeCell ref="H218:I218"/>
    <mergeCell ref="H219:I219"/>
    <mergeCell ref="H220:I220"/>
    <mergeCell ref="H215:I215"/>
    <mergeCell ref="H216:I216"/>
    <mergeCell ref="H217:I217"/>
    <mergeCell ref="H212:I212"/>
    <mergeCell ref="H213:I213"/>
    <mergeCell ref="H214:I214"/>
    <mergeCell ref="H209:I209"/>
    <mergeCell ref="H210:I210"/>
    <mergeCell ref="H211:I211"/>
    <mergeCell ref="L205:M205"/>
    <mergeCell ref="H206:I206"/>
    <mergeCell ref="H207:I207"/>
    <mergeCell ref="H208:I208"/>
    <mergeCell ref="H204:I204"/>
    <mergeCell ref="A205:B205"/>
    <mergeCell ref="C205:D205"/>
    <mergeCell ref="E205:F205"/>
    <mergeCell ref="G205:I205"/>
    <mergeCell ref="J205:K205"/>
    <mergeCell ref="H201:I201"/>
    <mergeCell ref="H202:I202"/>
    <mergeCell ref="H203:I203"/>
    <mergeCell ref="H198:I198"/>
    <mergeCell ref="H199:I199"/>
    <mergeCell ref="H200:I200"/>
    <mergeCell ref="H195:I195"/>
    <mergeCell ref="H196:I196"/>
    <mergeCell ref="H197:I197"/>
    <mergeCell ref="H192:I192"/>
    <mergeCell ref="H193:I193"/>
    <mergeCell ref="H194:I194"/>
    <mergeCell ref="L188:M188"/>
    <mergeCell ref="H189:I189"/>
    <mergeCell ref="H190:I190"/>
    <mergeCell ref="H191:I191"/>
    <mergeCell ref="H187:I187"/>
    <mergeCell ref="A188:B188"/>
    <mergeCell ref="C188:D188"/>
    <mergeCell ref="E188:F188"/>
    <mergeCell ref="G188:I188"/>
    <mergeCell ref="J188:K188"/>
    <mergeCell ref="H184:I184"/>
    <mergeCell ref="H185:I185"/>
    <mergeCell ref="H186:I186"/>
    <mergeCell ref="H181:I181"/>
    <mergeCell ref="H182:I182"/>
    <mergeCell ref="H183:I183"/>
    <mergeCell ref="H178:I178"/>
    <mergeCell ref="H179:I179"/>
    <mergeCell ref="H180:I180"/>
    <mergeCell ref="H175:I175"/>
    <mergeCell ref="H176:I176"/>
    <mergeCell ref="H177:I177"/>
    <mergeCell ref="L171:M171"/>
    <mergeCell ref="H172:I172"/>
    <mergeCell ref="H173:I173"/>
    <mergeCell ref="H174:I174"/>
    <mergeCell ref="H170:I170"/>
    <mergeCell ref="A171:B171"/>
    <mergeCell ref="C171:D171"/>
    <mergeCell ref="E171:F171"/>
    <mergeCell ref="G171:I171"/>
    <mergeCell ref="J171:K171"/>
    <mergeCell ref="H167:I167"/>
    <mergeCell ref="H168:I168"/>
    <mergeCell ref="H169:I169"/>
    <mergeCell ref="H164:I164"/>
    <mergeCell ref="H165:I165"/>
    <mergeCell ref="H166:I166"/>
    <mergeCell ref="H161:I161"/>
    <mergeCell ref="H162:I162"/>
    <mergeCell ref="H163:I163"/>
    <mergeCell ref="H158:I158"/>
    <mergeCell ref="H159:I159"/>
    <mergeCell ref="H160:I160"/>
    <mergeCell ref="H155:I155"/>
    <mergeCell ref="H156:I156"/>
    <mergeCell ref="H157:I157"/>
    <mergeCell ref="A154:B154"/>
    <mergeCell ref="C154:D154"/>
    <mergeCell ref="E154:F154"/>
    <mergeCell ref="G154:I154"/>
    <mergeCell ref="J154:K154"/>
    <mergeCell ref="L154:M154"/>
    <mergeCell ref="H151:I151"/>
    <mergeCell ref="H152:I152"/>
    <mergeCell ref="H153:I153"/>
    <mergeCell ref="H148:I148"/>
    <mergeCell ref="H149:I149"/>
    <mergeCell ref="H150:I150"/>
    <mergeCell ref="H145:I145"/>
    <mergeCell ref="H146:I146"/>
    <mergeCell ref="H147:I147"/>
    <mergeCell ref="H142:I142"/>
    <mergeCell ref="H143:I143"/>
    <mergeCell ref="H144:I144"/>
    <mergeCell ref="H138:I138"/>
    <mergeCell ref="H139:I139"/>
    <mergeCell ref="H140:I140"/>
    <mergeCell ref="H141:I141"/>
    <mergeCell ref="A137:B137"/>
    <mergeCell ref="C137:D137"/>
    <mergeCell ref="E137:F137"/>
    <mergeCell ref="G137:I137"/>
    <mergeCell ref="J137:K137"/>
    <mergeCell ref="L137:M137"/>
    <mergeCell ref="B129:C129"/>
    <mergeCell ref="B130:C130"/>
    <mergeCell ref="B131:C131"/>
    <mergeCell ref="B132:C132"/>
    <mergeCell ref="B133:C133"/>
    <mergeCell ref="A136:S136"/>
    <mergeCell ref="N100:O100"/>
    <mergeCell ref="B124:C124"/>
    <mergeCell ref="B125:C125"/>
    <mergeCell ref="B126:C126"/>
    <mergeCell ref="B127:C127"/>
    <mergeCell ref="B128:C128"/>
    <mergeCell ref="N124:O124"/>
    <mergeCell ref="N125:O125"/>
    <mergeCell ref="N126:O126"/>
    <mergeCell ref="N127:O127"/>
    <mergeCell ref="N128:O128"/>
    <mergeCell ref="N129:O129"/>
    <mergeCell ref="N130:O130"/>
    <mergeCell ref="N131:O131"/>
    <mergeCell ref="N132:O132"/>
    <mergeCell ref="N133:O133"/>
    <mergeCell ref="B97:C97"/>
    <mergeCell ref="N97:O97"/>
    <mergeCell ref="B98:C98"/>
    <mergeCell ref="N98:O98"/>
    <mergeCell ref="B99:C99"/>
    <mergeCell ref="N99:O99"/>
    <mergeCell ref="B94:C94"/>
    <mergeCell ref="N94:O94"/>
    <mergeCell ref="B95:C95"/>
    <mergeCell ref="N95:O95"/>
    <mergeCell ref="B96:C96"/>
    <mergeCell ref="N96:O96"/>
    <mergeCell ref="B91:C91"/>
    <mergeCell ref="N91:O91"/>
    <mergeCell ref="B92:C92"/>
    <mergeCell ref="N92:O92"/>
    <mergeCell ref="B93:C93"/>
    <mergeCell ref="N93:O93"/>
    <mergeCell ref="B66:C66"/>
    <mergeCell ref="N66:O66"/>
    <mergeCell ref="B67:C67"/>
    <mergeCell ref="N67:O67"/>
    <mergeCell ref="N89:O89"/>
    <mergeCell ref="B90:C90"/>
    <mergeCell ref="N90:O90"/>
    <mergeCell ref="U44:V44"/>
    <mergeCell ref="U45:V45"/>
    <mergeCell ref="B63:C63"/>
    <mergeCell ref="N63:O63"/>
    <mergeCell ref="B64:C64"/>
    <mergeCell ref="N64:O64"/>
    <mergeCell ref="B65:C65"/>
    <mergeCell ref="N65:O65"/>
    <mergeCell ref="B60:C60"/>
    <mergeCell ref="N60:O60"/>
    <mergeCell ref="B61:C61"/>
    <mergeCell ref="N61:O61"/>
    <mergeCell ref="B62:C62"/>
    <mergeCell ref="N62:O62"/>
    <mergeCell ref="AB133:AD133"/>
    <mergeCell ref="A26:A27"/>
    <mergeCell ref="B26:C27"/>
    <mergeCell ref="B28:C28"/>
    <mergeCell ref="A29:A30"/>
    <mergeCell ref="B29:C30"/>
    <mergeCell ref="A31:A32"/>
    <mergeCell ref="B31:C32"/>
    <mergeCell ref="B20:C20"/>
    <mergeCell ref="B21:C21"/>
    <mergeCell ref="B22:C22"/>
    <mergeCell ref="B23:C23"/>
    <mergeCell ref="A24:A25"/>
    <mergeCell ref="B24:C25"/>
    <mergeCell ref="U46:V46"/>
    <mergeCell ref="U49:V49"/>
    <mergeCell ref="B58:C58"/>
    <mergeCell ref="N58:O58"/>
    <mergeCell ref="B59:C59"/>
    <mergeCell ref="N59:O59"/>
    <mergeCell ref="B33:C33"/>
    <mergeCell ref="B34:C34"/>
    <mergeCell ref="B35:C35"/>
    <mergeCell ref="B36:C36"/>
    <mergeCell ref="AB124:AD124"/>
    <mergeCell ref="AB125:AD125"/>
    <mergeCell ref="AB126:AD126"/>
    <mergeCell ref="AB127:AD127"/>
    <mergeCell ref="AB128:AD128"/>
    <mergeCell ref="AB129:AD129"/>
    <mergeCell ref="AB130:AD130"/>
    <mergeCell ref="AB131:AD131"/>
    <mergeCell ref="AB132:AD132"/>
  </mergeCells>
  <conditionalFormatting sqref="U40">
    <cfRule type="cellIs" dxfId="124" priority="64" operator="between">
      <formula>0.751</formula>
      <formula>1</formula>
    </cfRule>
    <cfRule type="cellIs" dxfId="123" priority="65" operator="between">
      <formula>0.501</formula>
      <formula>0.75</formula>
    </cfRule>
    <cfRule type="cellIs" dxfId="122" priority="66" operator="between">
      <formula>0.251</formula>
      <formula>0.5</formula>
    </cfRule>
    <cfRule type="cellIs" dxfId="121" priority="67" operator="between">
      <formula>0</formula>
      <formula>0.25</formula>
    </cfRule>
  </conditionalFormatting>
  <conditionalFormatting sqref="U71:V71">
    <cfRule type="cellIs" dxfId="120" priority="60" operator="between">
      <formula>0.751</formula>
      <formula>1</formula>
    </cfRule>
    <cfRule type="cellIs" dxfId="119" priority="61" operator="between">
      <formula>0.501</formula>
      <formula>0.75</formula>
    </cfRule>
    <cfRule type="cellIs" dxfId="118" priority="62" operator="between">
      <formula>0.251</formula>
      <formula>0.5</formula>
    </cfRule>
    <cfRule type="cellIs" dxfId="117" priority="63" operator="between">
      <formula>0</formula>
      <formula>0.25</formula>
    </cfRule>
  </conditionalFormatting>
  <conditionalFormatting sqref="U106">
    <cfRule type="cellIs" dxfId="116" priority="56" operator="between">
      <formula>0.751</formula>
      <formula>1</formula>
    </cfRule>
    <cfRule type="cellIs" dxfId="115" priority="57" operator="between">
      <formula>0.501</formula>
      <formula>0.75</formula>
    </cfRule>
    <cfRule type="cellIs" dxfId="114" priority="58" operator="between">
      <formula>0.251</formula>
      <formula>0.5</formula>
    </cfRule>
    <cfRule type="cellIs" dxfId="113" priority="59" operator="between">
      <formula>0</formula>
      <formula>0.25</formula>
    </cfRule>
  </conditionalFormatting>
  <conditionalFormatting sqref="I106">
    <cfRule type="cellIs" dxfId="112" priority="52" operator="between">
      <formula>0.751</formula>
      <formula>1</formula>
    </cfRule>
    <cfRule type="cellIs" dxfId="111" priority="53" operator="between">
      <formula>0.501</formula>
      <formula>0.75</formula>
    </cfRule>
    <cfRule type="cellIs" dxfId="110" priority="54" operator="between">
      <formula>0.251</formula>
      <formula>0.5</formula>
    </cfRule>
    <cfRule type="cellIs" dxfId="109" priority="55" operator="between">
      <formula>0</formula>
      <formula>0.25</formula>
    </cfRule>
  </conditionalFormatting>
  <conditionalFormatting sqref="AJ106">
    <cfRule type="cellIs" dxfId="108" priority="48" operator="between">
      <formula>0.751</formula>
      <formula>1</formula>
    </cfRule>
    <cfRule type="cellIs" dxfId="107" priority="49" operator="between">
      <formula>0.501</formula>
      <formula>0.75</formula>
    </cfRule>
    <cfRule type="cellIs" dxfId="106" priority="50" operator="between">
      <formula>0.251</formula>
      <formula>0.5</formula>
    </cfRule>
    <cfRule type="cellIs" dxfId="105" priority="51" operator="between">
      <formula>0</formula>
      <formula>0.25</formula>
    </cfRule>
  </conditionalFormatting>
  <conditionalFormatting sqref="I72">
    <cfRule type="cellIs" dxfId="104" priority="44" operator="between">
      <formula>0.751</formula>
      <formula>1</formula>
    </cfRule>
    <cfRule type="cellIs" dxfId="103" priority="45" operator="between">
      <formula>0.501</formula>
      <formula>0.75</formula>
    </cfRule>
    <cfRule type="cellIs" dxfId="102" priority="46" operator="between">
      <formula>0.251</formula>
      <formula>0.5</formula>
    </cfRule>
    <cfRule type="cellIs" dxfId="101" priority="47" operator="between">
      <formula>0</formula>
      <formula>0.25</formula>
    </cfRule>
  </conditionalFormatting>
  <conditionalFormatting sqref="I40">
    <cfRule type="cellIs" dxfId="100" priority="40" operator="between">
      <formula>0.751</formula>
      <formula>1</formula>
    </cfRule>
    <cfRule type="cellIs" dxfId="99" priority="41" operator="between">
      <formula>0.501</formula>
      <formula>0.75</formula>
    </cfRule>
    <cfRule type="cellIs" dxfId="98" priority="42" operator="between">
      <formula>0.251</formula>
      <formula>0.5</formula>
    </cfRule>
    <cfRule type="cellIs" dxfId="97" priority="43" operator="between">
      <formula>0</formula>
      <formula>0.25</formula>
    </cfRule>
  </conditionalFormatting>
  <conditionalFormatting sqref="L2">
    <cfRule type="cellIs" dxfId="96" priority="36" operator="between">
      <formula>0.751</formula>
      <formula>1</formula>
    </cfRule>
    <cfRule type="cellIs" dxfId="95" priority="37" operator="between">
      <formula>0.501</formula>
      <formula>0.75</formula>
    </cfRule>
    <cfRule type="cellIs" dxfId="94" priority="38" operator="between">
      <formula>0.251</formula>
      <formula>0.5</formula>
    </cfRule>
    <cfRule type="cellIs" dxfId="93" priority="39" operator="between">
      <formula>0</formula>
      <formula>0.25</formula>
    </cfRule>
  </conditionalFormatting>
  <conditionalFormatting sqref="E49">
    <cfRule type="containsText" dxfId="92" priority="35" operator="containsText" text="HEAL">
      <formula>NOT(ISERROR(SEARCH("HEAL",E49)))</formula>
    </cfRule>
  </conditionalFormatting>
  <conditionalFormatting sqref="P82">
    <cfRule type="containsText" dxfId="91" priority="33" operator="containsText" text="heal &amp; mana">
      <formula>NOT(ISERROR(SEARCH("heal &amp; mana",P82)))</formula>
    </cfRule>
    <cfRule type="containsText" dxfId="90" priority="34" operator="containsText" text="puissance">
      <formula>NOT(ISERROR(SEARCH("puissance",P82)))</formula>
    </cfRule>
  </conditionalFormatting>
  <conditionalFormatting sqref="M9">
    <cfRule type="containsText" dxfId="89" priority="32" operator="containsText" text="Regen mana">
      <formula>NOT(ISERROR(SEARCH("Regen mana",M9)))</formula>
    </cfRule>
  </conditionalFormatting>
  <conditionalFormatting sqref="AE117">
    <cfRule type="containsText" dxfId="88" priority="31" operator="containsText" text="Bonus dégats x2">
      <formula>NOT(ISERROR(SEARCH("Bonus dégats x2",AE117)))</formula>
    </cfRule>
  </conditionalFormatting>
  <conditionalFormatting sqref="AJ110">
    <cfRule type="containsText" dxfId="87" priority="30" operator="containsText" text="Bonus armure 2 T ">
      <formula>NOT(ISERROR(SEARCH("Bonus armure 2 T ",AJ110)))</formula>
    </cfRule>
  </conditionalFormatting>
  <conditionalFormatting sqref="AJ112">
    <cfRule type="containsText" dxfId="86" priority="29" operator="containsText" text="Puissance physique 2 T">
      <formula>NOT(ISERROR(SEARCH("Puissance physique 2 T",AJ112)))</formula>
    </cfRule>
  </conditionalFormatting>
  <conditionalFormatting sqref="AJ113">
    <cfRule type="containsText" dxfId="85" priority="28" operator="containsText" text="Puissance des sorts 2 T">
      <formula>NOT(ISERROR(SEARCH("Puissance des sorts 2 T",AJ113)))</formula>
    </cfRule>
  </conditionalFormatting>
  <conditionalFormatting sqref="AJ117 I117 I115">
    <cfRule type="containsText" dxfId="84" priority="27" operator="containsText" text="Bonus esquive">
      <formula>NOT(ISERROR(SEARCH("Bonus esquive",I115)))</formula>
    </cfRule>
  </conditionalFormatting>
  <conditionalFormatting sqref="AE118">
    <cfRule type="containsText" dxfId="83" priority="26" operator="containsText" text="Bonus dégats +30%">
      <formula>NOT(ISERROR(SEARCH("Bonus dégats +30%",AE118)))</formula>
    </cfRule>
  </conditionalFormatting>
  <conditionalFormatting sqref="P115">
    <cfRule type="containsText" dxfId="82" priority="25" operator="containsText" text="Bonus puissance physique tour suivant">
      <formula>NOT(ISERROR(SEARCH("Bonus puissance physique tour suivant",P115)))</formula>
    </cfRule>
  </conditionalFormatting>
  <conditionalFormatting sqref="U116">
    <cfRule type="containsText" dxfId="81" priority="24" operator="containsText" text="Bonus coup critique">
      <formula>NOT(ISERROR(SEARCH("Bonus coup critique",U116)))</formula>
    </cfRule>
  </conditionalFormatting>
  <conditionalFormatting sqref="V111">
    <cfRule type="containsText" dxfId="80" priority="23" operator="containsText" text="Vigeur Thalia">
      <formula>NOT(ISERROR(SEARCH("Vigeur Thalia",V111)))</formula>
    </cfRule>
  </conditionalFormatting>
  <conditionalFormatting sqref="V110">
    <cfRule type="containsText" dxfId="79" priority="22" operator="containsText" text="Vigueur Azrak:">
      <formula>NOT(ISERROR(SEARCH("Vigueur Azrak:",V110)))</formula>
    </cfRule>
  </conditionalFormatting>
  <conditionalFormatting sqref="P116">
    <cfRule type="containsText" dxfId="78" priority="21" operator="containsText" text="Bonus dégats groupe">
      <formula>NOT(ISERROR(SEARCH("Bonus dégats groupe",P116)))</formula>
    </cfRule>
  </conditionalFormatting>
  <conditionalFormatting sqref="D118:E118">
    <cfRule type="containsText" dxfId="77" priority="20" operator="containsText" text="Bonus vitesse groupe">
      <formula>NOT(ISERROR(SEARCH("Bonus vitesse groupe",D118)))</formula>
    </cfRule>
  </conditionalFormatting>
  <conditionalFormatting sqref="E118">
    <cfRule type="containsText" dxfId="76" priority="19" operator="containsText" text="Bonus esquive groupe">
      <formula>NOT(ISERROR(SEARCH("Bonus esquive groupe",E118)))</formula>
    </cfRule>
  </conditionalFormatting>
  <conditionalFormatting sqref="I110">
    <cfRule type="containsText" dxfId="75" priority="18" operator="containsText" text="Bonus armure 2 tours">
      <formula>NOT(ISERROR(SEARCH("Bonus armure 2 tours",I110)))</formula>
    </cfRule>
  </conditionalFormatting>
  <conditionalFormatting sqref="I115">
    <cfRule type="containsText" dxfId="74" priority="14" operator="containsText" text="Bonus vitesse">
      <formula>NOT(ISERROR(SEARCH("Bonus vitesse",I115)))</formula>
    </cfRule>
  </conditionalFormatting>
  <conditionalFormatting sqref="I81">
    <cfRule type="containsText" dxfId="73" priority="11" operator="containsText" text="Bonus vitesse">
      <formula>NOT(ISERROR(SEARCH("Bonus vitesse",I81)))</formula>
    </cfRule>
    <cfRule type="containsText" dxfId="72" priority="13" operator="containsText" text="Bonus esquive">
      <formula>NOT(ISERROR(SEARCH("Bonus esquive",I81)))</formula>
    </cfRule>
  </conditionalFormatting>
  <conditionalFormatting sqref="I81">
    <cfRule type="containsText" dxfId="71" priority="12" operator="containsText" text="Bonus vitesse">
      <formula>NOT(ISERROR(SEARCH("Bonus vitesse",I81)))</formula>
    </cfRule>
  </conditionalFormatting>
  <conditionalFormatting sqref="D82">
    <cfRule type="containsText" dxfId="70" priority="10" operator="containsText" text="Bonus puissance physique 2T suivants">
      <formula>NOT(ISERROR(SEARCH("Bonus puissance physique 2T suivants",D82)))</formula>
    </cfRule>
  </conditionalFormatting>
  <conditionalFormatting sqref="I76:I77">
    <cfRule type="containsText" dxfId="69" priority="9" operator="containsText" text="Bonus armure 2 T ">
      <formula>NOT(ISERROR(SEARCH("Bonus armure 2 T ",I76)))</formula>
    </cfRule>
  </conditionalFormatting>
  <conditionalFormatting sqref="I76">
    <cfRule type="containsText" dxfId="68" priority="8" operator="containsText" text="Bonus armure">
      <formula>NOT(ISERROR(SEARCH("Bonus armure",I76)))</formula>
    </cfRule>
  </conditionalFormatting>
  <conditionalFormatting sqref="I77">
    <cfRule type="containsText" dxfId="67" priority="7" operator="containsText" text="Bonus armure">
      <formula>NOT(ISERROR(SEARCH("Bonus armure",I77)))</formula>
    </cfRule>
  </conditionalFormatting>
  <conditionalFormatting sqref="I82">
    <cfRule type="containsText" dxfId="66" priority="6" operator="containsText" text="Bonus coup critique">
      <formula>NOT(ISERROR(SEARCH("Bonus coup critique",I82)))</formula>
    </cfRule>
  </conditionalFormatting>
  <conditionalFormatting sqref="D49">
    <cfRule type="containsText" dxfId="65" priority="5" operator="containsText" text="Bonus dégats 3 tours">
      <formula>NOT(ISERROR(SEARCH("Bonus dégats 3 tours",D49)))</formula>
    </cfRule>
  </conditionalFormatting>
  <conditionalFormatting sqref="D50">
    <cfRule type="containsText" dxfId="4" priority="4" operator="containsText" text="Bouclier 60 PV">
      <formula>NOT(ISERROR(SEARCH("Bouclier 60 PV",D50)))</formula>
    </cfRule>
  </conditionalFormatting>
  <conditionalFormatting sqref="M10">
    <cfRule type="containsText" dxfId="3" priority="3" operator="containsText" text="Regen mana équipe 5T">
      <formula>NOT(ISERROR(SEARCH("Regen mana équipe 5T",M10)))</formula>
    </cfRule>
    <cfRule type="containsText" dxfId="2" priority="2" operator="containsText" text="Regen mana équipe 4T">
      <formula>NOT(ISERROR(SEARCH("Regen mana équipe 4T",M10)))</formula>
    </cfRule>
  </conditionalFormatting>
  <conditionalFormatting sqref="P54">
    <cfRule type="containsText" dxfId="0" priority="1" operator="containsText" text="Bonus puissance">
      <formula>NOT(ISERROR(SEARCH("Bonus puissance",P54)))</formula>
    </cfRule>
  </conditionalFormatting>
  <dataValidations count="1">
    <dataValidation type="list" allowBlank="1" showInputMessage="1" showErrorMessage="1" sqref="J20" xr:uid="{8D0636DC-F673-4B90-9440-CFAA29DEC17A}">
      <formula1>$I$21:$I$26</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2F92D-311C-46D6-8844-49C2703FB98C}">
  <dimension ref="A1:AY136"/>
  <sheetViews>
    <sheetView topLeftCell="A158" zoomScale="85" zoomScaleNormal="85" workbookViewId="0">
      <selection activeCell="X111" sqref="X111"/>
    </sheetView>
  </sheetViews>
  <sheetFormatPr defaultRowHeight="14.5" x14ac:dyDescent="0.35"/>
  <cols>
    <col min="1" max="1" width="20.1796875" customWidth="1"/>
    <col min="2" max="2" width="17.1796875" customWidth="1"/>
    <col min="3" max="3" width="44.36328125" customWidth="1"/>
    <col min="4" max="4" width="22.1796875" customWidth="1"/>
    <col min="5" max="5" width="13.6328125" customWidth="1"/>
    <col min="6" max="6" width="13.36328125" customWidth="1"/>
    <col min="7" max="7" width="18.90625" customWidth="1"/>
    <col min="11" max="11" width="19.08984375" customWidth="1"/>
    <col min="12" max="12" width="21.1796875" customWidth="1"/>
    <col min="13" max="13" width="11.08984375" customWidth="1"/>
    <col min="14" max="14" width="41.6328125" customWidth="1"/>
    <col min="15" max="15" width="16.7265625" customWidth="1"/>
    <col min="17" max="17" width="18.08984375" bestFit="1" customWidth="1"/>
    <col min="18" max="18" width="17" customWidth="1"/>
    <col min="19" max="19" width="21.54296875" bestFit="1" customWidth="1"/>
    <col min="22" max="22" width="18.08984375" bestFit="1" customWidth="1"/>
    <col min="24" max="24" width="21.54296875" bestFit="1" customWidth="1"/>
    <col min="27" max="27" width="16" customWidth="1"/>
    <col min="28" max="28" width="15.08984375" customWidth="1"/>
    <col min="29" max="29" width="21.54296875" bestFit="1" customWidth="1"/>
    <col min="30" max="30" width="10.7265625" customWidth="1"/>
    <col min="32" max="32" width="16.6328125" customWidth="1"/>
    <col min="34" max="34" width="15.1796875" customWidth="1"/>
    <col min="35" max="35" width="21.54296875" bestFit="1" customWidth="1"/>
    <col min="36" max="36" width="11.6328125" customWidth="1"/>
    <col min="38" max="38" width="21.54296875" bestFit="1" customWidth="1"/>
    <col min="39" max="39" width="14.7265625" customWidth="1"/>
    <col min="43" max="43" width="25.6328125" bestFit="1" customWidth="1"/>
    <col min="44" max="44" width="27.1796875" bestFit="1" customWidth="1"/>
    <col min="45" max="45" width="35.26953125" bestFit="1" customWidth="1"/>
    <col min="46" max="46" width="17.453125" customWidth="1"/>
    <col min="47" max="47" width="24.6328125" bestFit="1" customWidth="1"/>
    <col min="48" max="48" width="34.1796875" bestFit="1" customWidth="1"/>
    <col min="49" max="49" width="24.7265625" bestFit="1" customWidth="1"/>
    <col min="50" max="50" width="26.90625" bestFit="1" customWidth="1"/>
    <col min="51" max="51" width="40.453125" bestFit="1" customWidth="1"/>
  </cols>
  <sheetData>
    <row r="1" spans="1:51" ht="15" thickBot="1" x14ac:dyDescent="0.4">
      <c r="A1" s="41" t="s">
        <v>0</v>
      </c>
      <c r="B1" s="42" t="s">
        <v>30</v>
      </c>
      <c r="C1" s="156">
        <v>3</v>
      </c>
      <c r="D1" s="43" t="s">
        <v>0</v>
      </c>
      <c r="E1" s="44" t="s">
        <v>186</v>
      </c>
      <c r="F1" s="157">
        <v>3</v>
      </c>
      <c r="G1" s="50" t="s">
        <v>0</v>
      </c>
      <c r="H1" s="51" t="s">
        <v>55</v>
      </c>
      <c r="I1" s="157">
        <v>3</v>
      </c>
      <c r="M1" s="150" t="s">
        <v>225</v>
      </c>
      <c r="N1" s="32" t="s">
        <v>0</v>
      </c>
      <c r="O1" s="32" t="s">
        <v>30</v>
      </c>
      <c r="S1" s="43" t="s">
        <v>0</v>
      </c>
      <c r="T1" s="44" t="s">
        <v>212</v>
      </c>
      <c r="X1" s="50" t="s">
        <v>0</v>
      </c>
      <c r="Y1" s="51" t="s">
        <v>55</v>
      </c>
      <c r="AC1" s="59" t="s">
        <v>0</v>
      </c>
      <c r="AD1" s="60" t="s">
        <v>57</v>
      </c>
      <c r="AI1" s="59" t="s">
        <v>0</v>
      </c>
      <c r="AJ1" s="60" t="s">
        <v>57</v>
      </c>
      <c r="AL1" s="59" t="s">
        <v>0</v>
      </c>
      <c r="AM1" s="60" t="s">
        <v>57</v>
      </c>
      <c r="AN1" s="141" t="s">
        <v>187</v>
      </c>
      <c r="AO1" s="145" t="s">
        <v>210</v>
      </c>
      <c r="AP1" s="146">
        <v>110</v>
      </c>
      <c r="AQ1" s="144" t="s">
        <v>189</v>
      </c>
      <c r="AR1" s="143" t="s">
        <v>190</v>
      </c>
      <c r="AS1" s="142" t="s">
        <v>191</v>
      </c>
      <c r="AT1" s="149" t="s">
        <v>199</v>
      </c>
      <c r="AU1" s="69" t="s">
        <v>201</v>
      </c>
      <c r="AV1" s="97" t="s">
        <v>203</v>
      </c>
      <c r="AW1" s="150" t="s">
        <v>204</v>
      </c>
      <c r="AX1" s="151" t="s">
        <v>206</v>
      </c>
      <c r="AY1" s="71" t="s">
        <v>242</v>
      </c>
    </row>
    <row r="2" spans="1:51" x14ac:dyDescent="0.35">
      <c r="A2" s="36" t="s">
        <v>1</v>
      </c>
      <c r="B2" s="136">
        <f>SAVE!B2-SAVE!AK28</f>
        <v>99.873646209386294</v>
      </c>
      <c r="C2" t="s">
        <v>224</v>
      </c>
      <c r="D2" s="45" t="s">
        <v>1</v>
      </c>
      <c r="E2" s="138">
        <f>SAVE!E2-SAVE!AK31</f>
        <v>112.83018867924528</v>
      </c>
      <c r="G2" s="52" t="s">
        <v>1</v>
      </c>
      <c r="H2" s="93">
        <f>SAVE!H2-SAVE!AK32</f>
        <v>157.26495726495727</v>
      </c>
      <c r="N2" s="32" t="s">
        <v>1</v>
      </c>
      <c r="O2" s="57">
        <f>IF(L4=1,$G$20+B2+$B$9+B35*10+E34,IF(L4=2,$G$21+B2+$B$9+B35*10+E34, IF(L4=3,$G$22+B2+$B$9+B35*10+E34,  IF(L4=4,$G$23+B2+$B$9+B35*10+E34,  IF(L4=5,$G$24+B2+$B$9+B35*10+E34,  IF(L4=6,$G$26+B2+$B$9+B35*10+E34,  IF(L4=7,$G$28+B2+$B$9+B35*10+E34,  IF(L4=9,$G$31+B2+$B$9+B35*10+E34,  IF(L4=10,$G$33+B2+$B$9+B35*10+E34,0)))))))))</f>
        <v>149.87364620938629</v>
      </c>
      <c r="S2" s="45" t="s">
        <v>1</v>
      </c>
      <c r="T2" s="46">
        <f>IF(R4=1,$G$20+E2+$B$9+B35*10+$E$35,IF(R4=2,$G$21+E2+$B$9+B35*10+$E$35, IF(R4=3,$G$22+E2+$B$9+B35*10+$E$35,  IF(R4=4,$G$23+E2+$B$9+B35*10+$E$35,  IF(R4=5,$G$24+E2+$B$9+B35*10+$E$35,  IF(R4=6,$G$26+E2+$B$9+B35*10+$E$35,  IF(R4=7,$G$28+E2+$B$9+B35*10+$E$35,  IF(R4=9,$G$31+E2+$B$9+B35*10+$E$35,  IF(R4=10,$G$33+E2+$B$9+B35*10+$E$35,0)))))))))</f>
        <v>222.83018867924528</v>
      </c>
      <c r="X2" s="52" t="s">
        <v>1</v>
      </c>
      <c r="Y2" s="53">
        <f>IF(W4=1,$G$20+H2+$B$9+$B$36*10+$E$36,IF(W4=2,$G$21+H2+$B$9+$B$36*10+$E$36, IF(W4=3,$G$22+H2+$B$9+$B$35606+$E$36,  IF(W4=4,$G$23+H2+$B$9+$B$36*10+$E$36,  IF(W4=5,$G$24+H2+$B$9+$B$36*10+$E$36,  IF(W4=6,$G$26+H2+$B$9+$B$36*10+$E$36,  IF(W4=7,$G$28+H2+$B$9+$B$36*10+$E$36,  IF(W4=9,$G$31+H2+$B$9+$B$36*10+$E$36,  IF(W4=10,$G$33+H2+$B$9+$B$36*10+$E$36,0)))))))))</f>
        <v>0</v>
      </c>
      <c r="AC2" s="61" t="s">
        <v>1</v>
      </c>
      <c r="AD2" s="158">
        <v>30</v>
      </c>
      <c r="AF2" s="100" t="s">
        <v>122</v>
      </c>
      <c r="AG2" s="71">
        <v>75</v>
      </c>
      <c r="AI2" s="61" t="s">
        <v>1</v>
      </c>
      <c r="AJ2" s="62">
        <f>IF(AE4=1,$G$20+C2+$B$9+$B$36*10+$E$36,IF(AE4=2,$G$21+C2+$B$9+$B$36*10+$E$36, IF(AE4=3,$G$22+C2+$B$9+$B$35606+$E$36,  IF(AE4=4,$G$23+C2+$B$9+$B$36*10+$E$36,  IF(AE4=5,$G$24+C2+$B$9+$B$36*10+$E$36,  IF(AE4=6,$G$26+C2+$B$9+$B$36*10+$E$36,  IF(AE4=7,$G$28+C2+$B$9+$B$36*10+$E$36,  IF(AE4=9,$G$31+C2+$B$9+$B$36*10+$E$36,  IF(AE4=10,$G$33+C2+$B$9+$B$36*10+$E$36,0)))))))))</f>
        <v>0</v>
      </c>
      <c r="AL2" s="61" t="s">
        <v>1</v>
      </c>
      <c r="AM2" s="62">
        <f>IF(AK4=1,$G$20+S2+$B$9+$B$36*10+$E$36,IF(AK4=2,$G$21+S2+$B$9+$B$36*10+$E$36, IF(AK4=3,$G$22+S2+$B$9+$B$35606+$E$36,  IF(AK4=4,$G$23+S2+$B$9+$B$36*10+$E$36,  IF(AK4=5,$G$24+S2+$B$9+$B$36*10+$E$36,  IF(AK4=6,$G$26+S2+$B$9+$B$36*10+$E$36,  IF(AK4=7,$G$28+S2+$B$9+$B$36*10+$E$36,  IF(AK4=9,$G$31+S2+$B$9+$B$36*10+$E$36,  IF(AK4=10,$G$33+S2+$B$9+$B$36*10+$E$36,0)))))))))</f>
        <v>0</v>
      </c>
      <c r="AO2" s="145" t="s">
        <v>211</v>
      </c>
      <c r="AP2" s="146">
        <v>110</v>
      </c>
      <c r="AQ2" s="2" t="s">
        <v>188</v>
      </c>
      <c r="AR2" s="2" t="s">
        <v>196</v>
      </c>
      <c r="AS2" s="2" t="s">
        <v>216</v>
      </c>
      <c r="AT2" s="116" t="s">
        <v>200</v>
      </c>
      <c r="AU2" s="147" t="s">
        <v>202</v>
      </c>
      <c r="AV2" s="152" t="s">
        <v>219</v>
      </c>
      <c r="AW2" s="116" t="s">
        <v>205</v>
      </c>
      <c r="AX2" s="147" t="s">
        <v>207</v>
      </c>
      <c r="AY2" s="147" t="s">
        <v>243</v>
      </c>
    </row>
    <row r="3" spans="1:51" x14ac:dyDescent="0.35">
      <c r="A3" s="36" t="s">
        <v>2</v>
      </c>
      <c r="B3" s="136">
        <v>74</v>
      </c>
      <c r="C3" s="34"/>
      <c r="D3" s="45" t="s">
        <v>2</v>
      </c>
      <c r="E3" s="138">
        <v>26</v>
      </c>
      <c r="G3" s="52" t="s">
        <v>2</v>
      </c>
      <c r="H3" s="93">
        <v>0</v>
      </c>
      <c r="K3" t="s">
        <v>99</v>
      </c>
      <c r="N3" s="32" t="s">
        <v>2</v>
      </c>
      <c r="O3" s="57">
        <f>IF(L4=1, B3-$E$20, IF(L4=2, B3-$E$21,IF(L4=3, B3-$E$22,IF(L4=4, B3-$E$23,IF(L4=5, B3-$E$24,IF(L4=6, B3-$E$26,IF(L4=7, B3-$E$28,IF(L4=8, B3-$E$29,IF(L4=9, B3-$E$31,IF(L4=10, B3-$E$33,0))))))))))</f>
        <v>74</v>
      </c>
      <c r="S3" s="45" t="s">
        <v>2</v>
      </c>
      <c r="T3" s="46"/>
      <c r="X3" s="52" t="s">
        <v>2</v>
      </c>
      <c r="Y3" s="53"/>
      <c r="AC3" s="61" t="s">
        <v>2</v>
      </c>
      <c r="AD3" s="158"/>
      <c r="AF3" s="99" t="s">
        <v>123</v>
      </c>
      <c r="AG3" s="96">
        <v>100</v>
      </c>
      <c r="AI3" s="61" t="s">
        <v>2</v>
      </c>
      <c r="AJ3" s="62"/>
      <c r="AL3" s="61" t="s">
        <v>2</v>
      </c>
      <c r="AM3" s="62"/>
      <c r="AO3" s="145" t="s">
        <v>213</v>
      </c>
      <c r="AP3" s="146">
        <v>110</v>
      </c>
      <c r="AQ3" s="2" t="s">
        <v>214</v>
      </c>
      <c r="AR3" s="147" t="s">
        <v>197</v>
      </c>
      <c r="AS3" s="2" t="s">
        <v>217</v>
      </c>
      <c r="AW3" s="154" t="s">
        <v>215</v>
      </c>
    </row>
    <row r="4" spans="1:51" x14ac:dyDescent="0.35">
      <c r="A4" s="36" t="s">
        <v>3</v>
      </c>
      <c r="B4" s="136">
        <v>21</v>
      </c>
      <c r="C4" s="34"/>
      <c r="D4" s="45" t="s">
        <v>3</v>
      </c>
      <c r="E4" s="138">
        <v>79</v>
      </c>
      <c r="G4" s="52" t="s">
        <v>3</v>
      </c>
      <c r="H4" s="93">
        <v>0</v>
      </c>
      <c r="K4" s="9" t="s">
        <v>51</v>
      </c>
      <c r="L4" s="25">
        <v>1</v>
      </c>
      <c r="N4" s="32" t="s">
        <v>3</v>
      </c>
      <c r="O4" s="57"/>
      <c r="Q4" s="9" t="s">
        <v>51</v>
      </c>
      <c r="R4">
        <v>10</v>
      </c>
      <c r="S4" s="45" t="s">
        <v>3</v>
      </c>
      <c r="T4" s="46"/>
      <c r="V4" s="9" t="s">
        <v>51</v>
      </c>
      <c r="X4" s="52" t="s">
        <v>3</v>
      </c>
      <c r="Y4" s="53"/>
      <c r="AC4" s="61" t="s">
        <v>3</v>
      </c>
      <c r="AD4" s="158"/>
      <c r="AF4" s="101" t="s">
        <v>121</v>
      </c>
      <c r="AG4" s="101">
        <f>AG2*(1-(AD6/(1000+AD6))) + AG3*(1-(AD7/(1000+AD7)))</f>
        <v>174.25742574257424</v>
      </c>
      <c r="AI4" s="61" t="s">
        <v>3</v>
      </c>
      <c r="AJ4" s="62"/>
      <c r="AL4" s="61" t="s">
        <v>3</v>
      </c>
      <c r="AM4" s="62"/>
      <c r="AR4" s="152" t="s">
        <v>209</v>
      </c>
      <c r="AS4" s="2" t="s">
        <v>192</v>
      </c>
      <c r="AW4" s="116" t="s">
        <v>218</v>
      </c>
    </row>
    <row r="5" spans="1:51" x14ac:dyDescent="0.35">
      <c r="A5" s="36" t="s">
        <v>4</v>
      </c>
      <c r="B5" s="136"/>
      <c r="C5" s="34"/>
      <c r="D5" s="45" t="s">
        <v>4</v>
      </c>
      <c r="E5" s="138"/>
      <c r="G5" s="52" t="s">
        <v>4</v>
      </c>
      <c r="H5" s="93">
        <v>20</v>
      </c>
      <c r="K5" t="s">
        <v>100</v>
      </c>
      <c r="L5">
        <f ca="1">RANDBETWEEN(1,100)</f>
        <v>24</v>
      </c>
      <c r="N5" s="32" t="s">
        <v>4</v>
      </c>
      <c r="O5" s="57"/>
      <c r="Q5" t="s">
        <v>100</v>
      </c>
      <c r="R5">
        <f ca="1">RANDBETWEEN(1,100)</f>
        <v>4</v>
      </c>
      <c r="S5" s="45" t="s">
        <v>4</v>
      </c>
      <c r="T5" s="46"/>
      <c r="V5" t="s">
        <v>100</v>
      </c>
      <c r="W5">
        <f ca="1">RANDBETWEEN(1,100)</f>
        <v>94</v>
      </c>
      <c r="X5" s="52" t="s">
        <v>4</v>
      </c>
      <c r="Y5" s="53"/>
      <c r="AC5" s="61" t="s">
        <v>4</v>
      </c>
      <c r="AD5" s="158"/>
      <c r="AI5" s="61" t="s">
        <v>4</v>
      </c>
      <c r="AJ5" s="62"/>
      <c r="AL5" s="61" t="s">
        <v>4</v>
      </c>
      <c r="AM5" s="62"/>
      <c r="AR5" s="152" t="s">
        <v>220</v>
      </c>
      <c r="AS5" s="2" t="s">
        <v>193</v>
      </c>
    </row>
    <row r="6" spans="1:51" x14ac:dyDescent="0.35">
      <c r="A6" s="36" t="s">
        <v>6</v>
      </c>
      <c r="B6" s="136">
        <v>10</v>
      </c>
      <c r="C6" s="34"/>
      <c r="D6" s="45" t="s">
        <v>6</v>
      </c>
      <c r="E6" s="138">
        <v>20</v>
      </c>
      <c r="G6" s="52" t="s">
        <v>6</v>
      </c>
      <c r="H6" s="93">
        <v>25</v>
      </c>
      <c r="K6" t="s">
        <v>52</v>
      </c>
      <c r="L6" t="s">
        <v>53</v>
      </c>
      <c r="N6" s="32" t="s">
        <v>6</v>
      </c>
      <c r="O6" s="57">
        <f>B6</f>
        <v>10</v>
      </c>
      <c r="Q6" t="s">
        <v>52</v>
      </c>
      <c r="R6" t="s">
        <v>212</v>
      </c>
      <c r="S6" s="45" t="s">
        <v>6</v>
      </c>
      <c r="T6" s="46"/>
      <c r="V6" t="s">
        <v>52</v>
      </c>
      <c r="W6" t="s">
        <v>55</v>
      </c>
      <c r="X6" s="52" t="s">
        <v>6</v>
      </c>
      <c r="Y6" s="53"/>
      <c r="AC6" s="61" t="s">
        <v>6</v>
      </c>
      <c r="AD6" s="158">
        <v>10</v>
      </c>
      <c r="AI6" s="61" t="s">
        <v>6</v>
      </c>
      <c r="AJ6" s="62"/>
      <c r="AL6" s="61" t="s">
        <v>6</v>
      </c>
      <c r="AM6" s="62"/>
      <c r="AS6" s="2" t="s">
        <v>194</v>
      </c>
    </row>
    <row r="7" spans="1:51" x14ac:dyDescent="0.35">
      <c r="A7" s="36" t="s">
        <v>7</v>
      </c>
      <c r="B7" s="136">
        <v>20</v>
      </c>
      <c r="C7" s="153">
        <v>0.15</v>
      </c>
      <c r="D7" s="45" t="s">
        <v>7</v>
      </c>
      <c r="E7" s="138">
        <v>12</v>
      </c>
      <c r="G7" s="52" t="s">
        <v>7</v>
      </c>
      <c r="H7" s="93">
        <v>20</v>
      </c>
      <c r="N7" s="32" t="s">
        <v>7</v>
      </c>
      <c r="O7" s="57">
        <f>B7+C7*B7</f>
        <v>23</v>
      </c>
      <c r="S7" s="45" t="s">
        <v>7</v>
      </c>
      <c r="T7" s="46"/>
      <c r="X7" s="52" t="s">
        <v>7</v>
      </c>
      <c r="Y7" s="53"/>
      <c r="AC7" s="61" t="s">
        <v>7</v>
      </c>
      <c r="AD7" s="158"/>
      <c r="AI7" s="61" t="s">
        <v>7</v>
      </c>
      <c r="AJ7" s="62"/>
      <c r="AL7" s="61" t="s">
        <v>7</v>
      </c>
      <c r="AM7" s="62"/>
      <c r="AS7" s="116" t="s">
        <v>195</v>
      </c>
    </row>
    <row r="8" spans="1:51" x14ac:dyDescent="0.35">
      <c r="A8" s="36" t="s">
        <v>10</v>
      </c>
      <c r="B8" s="136">
        <v>10</v>
      </c>
      <c r="C8" s="34"/>
      <c r="D8" s="45" t="s">
        <v>10</v>
      </c>
      <c r="E8" s="138">
        <v>40</v>
      </c>
      <c r="G8" s="52" t="s">
        <v>10</v>
      </c>
      <c r="H8" s="93">
        <v>30</v>
      </c>
      <c r="N8" s="32" t="s">
        <v>10</v>
      </c>
      <c r="O8" s="57"/>
      <c r="S8" s="45" t="s">
        <v>10</v>
      </c>
      <c r="T8" s="46"/>
      <c r="X8" s="52" t="s">
        <v>10</v>
      </c>
      <c r="Y8" s="53"/>
      <c r="AC8" s="61" t="s">
        <v>10</v>
      </c>
      <c r="AD8" s="158">
        <v>25</v>
      </c>
      <c r="AE8" t="s">
        <v>235</v>
      </c>
      <c r="AF8">
        <f ca="1">RANDBETWEEN(1,100)</f>
        <v>42</v>
      </c>
      <c r="AI8" s="61" t="s">
        <v>10</v>
      </c>
      <c r="AJ8" s="62"/>
      <c r="AL8" s="61" t="s">
        <v>10</v>
      </c>
      <c r="AM8" s="62"/>
      <c r="AS8" s="148" t="s">
        <v>198</v>
      </c>
    </row>
    <row r="9" spans="1:51" x14ac:dyDescent="0.35">
      <c r="A9" s="36" t="s">
        <v>11</v>
      </c>
      <c r="B9" s="136">
        <v>30</v>
      </c>
      <c r="C9" s="34"/>
      <c r="D9" s="45" t="s">
        <v>11</v>
      </c>
      <c r="E9" s="138">
        <v>15</v>
      </c>
      <c r="G9" s="52" t="s">
        <v>11</v>
      </c>
      <c r="H9" s="93">
        <v>0</v>
      </c>
      <c r="N9" s="32" t="s">
        <v>11</v>
      </c>
      <c r="O9" s="57"/>
      <c r="S9" s="45" t="s">
        <v>11</v>
      </c>
      <c r="T9" s="46"/>
      <c r="X9" s="52" t="s">
        <v>11</v>
      </c>
      <c r="Y9" s="53"/>
      <c r="AC9" s="61" t="s">
        <v>11</v>
      </c>
      <c r="AD9" s="158">
        <v>30</v>
      </c>
      <c r="AE9" t="s">
        <v>236</v>
      </c>
      <c r="AF9">
        <f ca="1">RANDBETWEEN(1,100)</f>
        <v>36</v>
      </c>
      <c r="AI9" s="61" t="s">
        <v>11</v>
      </c>
      <c r="AJ9" s="62"/>
      <c r="AL9" s="61" t="s">
        <v>11</v>
      </c>
      <c r="AM9" s="62"/>
      <c r="AS9" s="116" t="s">
        <v>208</v>
      </c>
    </row>
    <row r="10" spans="1:51" x14ac:dyDescent="0.35">
      <c r="A10" s="36" t="s">
        <v>15</v>
      </c>
      <c r="B10" s="136"/>
      <c r="C10" s="34"/>
      <c r="D10" s="45" t="s">
        <v>15</v>
      </c>
      <c r="E10" s="138"/>
      <c r="G10" s="52" t="s">
        <v>15</v>
      </c>
      <c r="H10" s="93"/>
      <c r="N10" s="32" t="s">
        <v>15</v>
      </c>
      <c r="O10" s="57"/>
      <c r="S10" s="45" t="s">
        <v>15</v>
      </c>
      <c r="T10" s="46"/>
      <c r="X10" s="52" t="s">
        <v>15</v>
      </c>
      <c r="Y10" s="53"/>
      <c r="AC10" s="61" t="s">
        <v>15</v>
      </c>
      <c r="AD10" s="158"/>
      <c r="AI10" s="61" t="s">
        <v>15</v>
      </c>
      <c r="AJ10" s="62"/>
      <c r="AL10" s="61" t="s">
        <v>15</v>
      </c>
      <c r="AM10" s="62"/>
      <c r="AS10" s="154" t="s">
        <v>244</v>
      </c>
    </row>
    <row r="11" spans="1:51" x14ac:dyDescent="0.35">
      <c r="A11" s="36" t="s">
        <v>14</v>
      </c>
      <c r="B11" s="137">
        <v>25</v>
      </c>
      <c r="C11" s="35"/>
      <c r="D11" s="45" t="s">
        <v>14</v>
      </c>
      <c r="E11" s="138">
        <v>20</v>
      </c>
      <c r="G11" s="52" t="s">
        <v>14</v>
      </c>
      <c r="H11" s="140">
        <v>12</v>
      </c>
      <c r="N11" s="32" t="s">
        <v>14</v>
      </c>
      <c r="O11" s="57"/>
      <c r="S11" s="45" t="s">
        <v>14</v>
      </c>
      <c r="T11" s="47"/>
      <c r="X11" s="52" t="s">
        <v>14</v>
      </c>
      <c r="Y11" s="54"/>
      <c r="AC11" s="61" t="s">
        <v>14</v>
      </c>
      <c r="AD11" s="158"/>
      <c r="AI11" s="61" t="s">
        <v>14</v>
      </c>
      <c r="AJ11" s="63"/>
      <c r="AL11" s="61" t="s">
        <v>14</v>
      </c>
      <c r="AM11" s="63"/>
    </row>
    <row r="12" spans="1:51" x14ac:dyDescent="0.35">
      <c r="A12" s="36" t="s">
        <v>8</v>
      </c>
      <c r="B12" s="137">
        <v>15</v>
      </c>
      <c r="C12" s="35"/>
      <c r="D12" s="45" t="s">
        <v>8</v>
      </c>
      <c r="E12" s="138">
        <v>15</v>
      </c>
      <c r="G12" s="52" t="s">
        <v>8</v>
      </c>
      <c r="H12" s="140">
        <v>15</v>
      </c>
      <c r="N12" s="32" t="s">
        <v>8</v>
      </c>
      <c r="O12" s="57"/>
      <c r="S12" s="45" t="s">
        <v>8</v>
      </c>
      <c r="T12" s="47"/>
      <c r="X12" s="52" t="s">
        <v>8</v>
      </c>
      <c r="Y12" s="54"/>
      <c r="AC12" s="61" t="s">
        <v>8</v>
      </c>
      <c r="AD12" s="159">
        <v>0.1</v>
      </c>
      <c r="AI12" s="61" t="s">
        <v>8</v>
      </c>
      <c r="AJ12" s="63"/>
      <c r="AL12" s="61" t="s">
        <v>8</v>
      </c>
      <c r="AM12" s="63"/>
    </row>
    <row r="13" spans="1:51" x14ac:dyDescent="0.35">
      <c r="A13" s="36" t="s">
        <v>9</v>
      </c>
      <c r="B13" s="137">
        <v>10</v>
      </c>
      <c r="C13" s="35"/>
      <c r="D13" s="45" t="s">
        <v>9</v>
      </c>
      <c r="E13" s="138">
        <v>7.5</v>
      </c>
      <c r="G13" s="52" t="s">
        <v>9</v>
      </c>
      <c r="H13" s="140">
        <v>5</v>
      </c>
      <c r="N13" s="32" t="s">
        <v>9</v>
      </c>
      <c r="O13" s="57"/>
      <c r="S13" s="45" t="s">
        <v>9</v>
      </c>
      <c r="T13" s="47"/>
      <c r="X13" s="52" t="s">
        <v>9</v>
      </c>
      <c r="Y13" s="54"/>
      <c r="AC13" s="61" t="s">
        <v>9</v>
      </c>
      <c r="AD13" s="159">
        <v>0.05</v>
      </c>
      <c r="AI13" s="61" t="s">
        <v>9</v>
      </c>
      <c r="AJ13" s="63"/>
      <c r="AL13" s="61" t="s">
        <v>9</v>
      </c>
      <c r="AM13" s="63"/>
    </row>
    <row r="14" spans="1:51" x14ac:dyDescent="0.35">
      <c r="A14" s="36" t="s">
        <v>12</v>
      </c>
      <c r="B14" s="38"/>
      <c r="C14" s="35"/>
      <c r="D14" s="45" t="s">
        <v>12</v>
      </c>
      <c r="E14" s="47"/>
      <c r="G14" s="52" t="s">
        <v>12</v>
      </c>
      <c r="H14" s="54"/>
      <c r="N14" s="32" t="s">
        <v>12</v>
      </c>
      <c r="O14" s="57">
        <f>E18</f>
        <v>10</v>
      </c>
      <c r="S14" s="45" t="s">
        <v>12</v>
      </c>
      <c r="T14" s="47"/>
      <c r="X14" s="52" t="s">
        <v>12</v>
      </c>
      <c r="Y14" s="54"/>
      <c r="AC14" s="61" t="s">
        <v>12</v>
      </c>
      <c r="AD14" s="158"/>
      <c r="AI14" s="61" t="s">
        <v>12</v>
      </c>
      <c r="AJ14" s="63"/>
      <c r="AL14" s="61" t="s">
        <v>12</v>
      </c>
      <c r="AM14" s="63"/>
    </row>
    <row r="15" spans="1:51" x14ac:dyDescent="0.35">
      <c r="A15" s="36" t="s">
        <v>13</v>
      </c>
      <c r="B15" s="38">
        <v>15</v>
      </c>
      <c r="C15" s="35"/>
      <c r="D15" s="45" t="s">
        <v>13</v>
      </c>
      <c r="E15" s="47">
        <v>10</v>
      </c>
      <c r="G15" s="52" t="s">
        <v>13</v>
      </c>
      <c r="H15" s="54"/>
      <c r="N15" s="32" t="s">
        <v>13</v>
      </c>
      <c r="O15" s="57">
        <f>IF(L4=5,B15+C18+E25+ G34, IF(L4=6,B15+C18+E27+ G34,IF(L4=8,B15+C18+G29+ G34,IF(L4=9, B15+C18+E32,B15+C18+G34))))</f>
        <v>20</v>
      </c>
      <c r="S15" s="45" t="s">
        <v>13</v>
      </c>
      <c r="T15" s="47"/>
      <c r="X15" s="52" t="s">
        <v>13</v>
      </c>
      <c r="Y15" s="54"/>
      <c r="AC15" s="61" t="s">
        <v>13</v>
      </c>
      <c r="AD15" s="158"/>
      <c r="AI15" s="61" t="s">
        <v>13</v>
      </c>
      <c r="AJ15" s="63"/>
      <c r="AL15" s="61" t="s">
        <v>13</v>
      </c>
      <c r="AM15" s="63"/>
    </row>
    <row r="16" spans="1:51" ht="15" thickBot="1" x14ac:dyDescent="0.4">
      <c r="A16" s="39" t="s">
        <v>16</v>
      </c>
      <c r="B16" s="40">
        <v>5</v>
      </c>
      <c r="C16" s="35"/>
      <c r="D16" s="48" t="s">
        <v>16</v>
      </c>
      <c r="E16" s="49">
        <v>10</v>
      </c>
      <c r="G16" s="55" t="s">
        <v>16</v>
      </c>
      <c r="H16" s="56"/>
      <c r="N16" s="32" t="s">
        <v>16</v>
      </c>
      <c r="O16" s="33"/>
      <c r="S16" s="48" t="s">
        <v>16</v>
      </c>
      <c r="T16" s="49"/>
      <c r="X16" s="55" t="s">
        <v>16</v>
      </c>
      <c r="Y16" s="56"/>
      <c r="AC16" s="64" t="s">
        <v>16</v>
      </c>
      <c r="AD16" s="160"/>
      <c r="AI16" s="64" t="s">
        <v>16</v>
      </c>
      <c r="AJ16" s="65"/>
      <c r="AL16" s="64" t="s">
        <v>16</v>
      </c>
      <c r="AM16" s="65"/>
    </row>
    <row r="17" spans="1:40" x14ac:dyDescent="0.35">
      <c r="A17" t="s">
        <v>17</v>
      </c>
      <c r="B17" t="s">
        <v>226</v>
      </c>
    </row>
    <row r="18" spans="1:40" x14ac:dyDescent="0.35">
      <c r="A18" t="s">
        <v>18</v>
      </c>
      <c r="B18" s="1" t="s">
        <v>13</v>
      </c>
      <c r="C18" s="1">
        <v>5</v>
      </c>
      <c r="D18" s="2" t="s">
        <v>12</v>
      </c>
      <c r="E18" s="2">
        <v>10</v>
      </c>
      <c r="F18" t="s">
        <v>35</v>
      </c>
      <c r="G18" s="3">
        <v>0.35</v>
      </c>
    </row>
    <row r="19" spans="1:40" ht="15" thickBot="1" x14ac:dyDescent="0.4">
      <c r="A19" t="s">
        <v>19</v>
      </c>
      <c r="B19" t="s">
        <v>34</v>
      </c>
      <c r="AC19" s="95" t="s">
        <v>116</v>
      </c>
      <c r="AD19" s="71" t="s">
        <v>126</v>
      </c>
      <c r="AE19" s="71">
        <v>17</v>
      </c>
      <c r="AF19" s="96" t="s">
        <v>127</v>
      </c>
      <c r="AG19" s="96"/>
      <c r="AH19" s="70" t="s">
        <v>124</v>
      </c>
      <c r="AI19" s="70">
        <f>AE19+$AD$8</f>
        <v>42</v>
      </c>
      <c r="AJ19" s="98" t="s">
        <v>125</v>
      </c>
      <c r="AK19" s="98">
        <f>$AD$9+AG19</f>
        <v>30</v>
      </c>
      <c r="AM19" t="s">
        <v>234</v>
      </c>
      <c r="AN19">
        <v>3</v>
      </c>
    </row>
    <row r="20" spans="1:40" ht="29.5" thickBot="1" x14ac:dyDescent="0.4">
      <c r="A20" s="23" t="s">
        <v>20</v>
      </c>
      <c r="B20" s="359" t="s">
        <v>36</v>
      </c>
      <c r="C20" s="359"/>
      <c r="D20" s="12" t="s">
        <v>37</v>
      </c>
      <c r="E20" s="12"/>
      <c r="F20" s="13" t="s">
        <v>38</v>
      </c>
      <c r="G20" s="26">
        <v>20</v>
      </c>
      <c r="AC20" s="95" t="s">
        <v>115</v>
      </c>
      <c r="AD20" s="71" t="s">
        <v>126</v>
      </c>
      <c r="AE20" s="71">
        <v>13</v>
      </c>
      <c r="AF20" s="96"/>
      <c r="AG20" s="96"/>
      <c r="AH20" s="70" t="s">
        <v>124</v>
      </c>
      <c r="AI20" s="70">
        <f t="shared" ref="AI20:AI24" si="0">AE20+$AD$8</f>
        <v>38</v>
      </c>
      <c r="AJ20" s="98" t="s">
        <v>125</v>
      </c>
      <c r="AK20" s="98">
        <f t="shared" ref="AK20:AK24" si="1">$AD$9+AG20</f>
        <v>30</v>
      </c>
    </row>
    <row r="21" spans="1:40" ht="73" customHeight="1" thickBot="1" x14ac:dyDescent="0.4">
      <c r="A21" s="11" t="s">
        <v>21</v>
      </c>
      <c r="B21" s="359" t="s">
        <v>39</v>
      </c>
      <c r="C21" s="359"/>
      <c r="D21" s="12" t="s">
        <v>37</v>
      </c>
      <c r="E21" s="12"/>
      <c r="F21" s="13" t="s">
        <v>38</v>
      </c>
      <c r="G21" s="26">
        <v>30</v>
      </c>
      <c r="AC21" s="95" t="s">
        <v>117</v>
      </c>
      <c r="AD21" s="71" t="s">
        <v>126</v>
      </c>
      <c r="AE21" s="71"/>
      <c r="AF21" s="96"/>
      <c r="AG21" s="96"/>
      <c r="AH21" s="70" t="s">
        <v>124</v>
      </c>
      <c r="AI21" s="70">
        <f t="shared" si="0"/>
        <v>25</v>
      </c>
      <c r="AJ21" s="98" t="s">
        <v>125</v>
      </c>
      <c r="AK21" s="98">
        <f t="shared" si="1"/>
        <v>30</v>
      </c>
    </row>
    <row r="22" spans="1:40" ht="44" customHeight="1" thickBot="1" x14ac:dyDescent="0.4">
      <c r="A22" s="11" t="s">
        <v>22</v>
      </c>
      <c r="B22" s="359" t="s">
        <v>40</v>
      </c>
      <c r="C22" s="359"/>
      <c r="D22" s="12" t="s">
        <v>37</v>
      </c>
      <c r="E22" s="12"/>
      <c r="F22" s="13" t="s">
        <v>38</v>
      </c>
      <c r="G22" s="26">
        <v>40</v>
      </c>
      <c r="AC22" s="95" t="s">
        <v>118</v>
      </c>
      <c r="AD22" s="71" t="s">
        <v>126</v>
      </c>
      <c r="AE22" s="71"/>
      <c r="AF22" s="96"/>
      <c r="AG22" s="96"/>
      <c r="AH22" s="70" t="s">
        <v>124</v>
      </c>
      <c r="AI22" s="70">
        <f t="shared" si="0"/>
        <v>25</v>
      </c>
      <c r="AJ22" s="98" t="s">
        <v>125</v>
      </c>
      <c r="AK22" s="98">
        <f t="shared" si="1"/>
        <v>30</v>
      </c>
    </row>
    <row r="23" spans="1:40" ht="87.5" customHeight="1" thickBot="1" x14ac:dyDescent="0.4">
      <c r="A23" s="11" t="s">
        <v>23</v>
      </c>
      <c r="B23" s="359" t="s">
        <v>41</v>
      </c>
      <c r="C23" s="359"/>
      <c r="D23" s="12" t="s">
        <v>37</v>
      </c>
      <c r="E23" s="12"/>
      <c r="F23" s="13" t="s">
        <v>38</v>
      </c>
      <c r="G23" s="26">
        <v>60</v>
      </c>
      <c r="AC23" s="95" t="s">
        <v>119</v>
      </c>
      <c r="AD23" s="71" t="s">
        <v>126</v>
      </c>
      <c r="AE23" s="71"/>
      <c r="AF23" s="96"/>
      <c r="AG23" s="96"/>
      <c r="AH23" s="70" t="s">
        <v>124</v>
      </c>
      <c r="AI23" s="70">
        <f t="shared" si="0"/>
        <v>25</v>
      </c>
      <c r="AJ23" s="98" t="s">
        <v>125</v>
      </c>
      <c r="AK23" s="98">
        <f t="shared" si="1"/>
        <v>30</v>
      </c>
    </row>
    <row r="24" spans="1:40" ht="72.5" customHeight="1" x14ac:dyDescent="0.35">
      <c r="A24" s="355" t="s">
        <v>24</v>
      </c>
      <c r="B24" s="357" t="s">
        <v>42</v>
      </c>
      <c r="C24" s="357"/>
      <c r="D24" s="14" t="s">
        <v>37</v>
      </c>
      <c r="E24" s="14"/>
      <c r="F24" s="15" t="s">
        <v>38</v>
      </c>
      <c r="G24" s="27">
        <v>25</v>
      </c>
      <c r="AC24" s="95" t="s">
        <v>120</v>
      </c>
      <c r="AD24" s="71" t="s">
        <v>126</v>
      </c>
      <c r="AE24" s="71"/>
      <c r="AF24" s="96"/>
      <c r="AG24" s="96"/>
      <c r="AH24" s="70" t="s">
        <v>124</v>
      </c>
      <c r="AI24" s="70">
        <f t="shared" si="0"/>
        <v>25</v>
      </c>
      <c r="AJ24" s="98" t="s">
        <v>125</v>
      </c>
      <c r="AK24" s="98">
        <f t="shared" si="1"/>
        <v>30</v>
      </c>
    </row>
    <row r="25" spans="1:40" ht="15" thickBot="1" x14ac:dyDescent="0.4">
      <c r="A25" s="356"/>
      <c r="B25" s="358"/>
      <c r="C25" s="358"/>
      <c r="D25" s="16" t="s">
        <v>13</v>
      </c>
      <c r="E25" s="21">
        <v>5</v>
      </c>
      <c r="F25" s="22" t="s">
        <v>43</v>
      </c>
      <c r="G25" s="28">
        <v>-0.04</v>
      </c>
    </row>
    <row r="26" spans="1:40" ht="72.5" customHeight="1" x14ac:dyDescent="0.35">
      <c r="A26" s="355" t="s">
        <v>25</v>
      </c>
      <c r="B26" s="357" t="s">
        <v>44</v>
      </c>
      <c r="C26" s="357"/>
      <c r="D26" s="14" t="s">
        <v>37</v>
      </c>
      <c r="E26" s="14"/>
      <c r="F26" s="15" t="s">
        <v>38</v>
      </c>
      <c r="G26" s="27">
        <v>15</v>
      </c>
      <c r="AH26" s="118" t="s">
        <v>142</v>
      </c>
      <c r="AI26" s="70">
        <f>SUM(AI19:AI24)</f>
        <v>180</v>
      </c>
      <c r="AJ26" s="119" t="s">
        <v>143</v>
      </c>
      <c r="AK26" s="98">
        <f>SUM(AK19:AK24)</f>
        <v>180</v>
      </c>
    </row>
    <row r="27" spans="1:40" ht="15" thickBot="1" x14ac:dyDescent="0.4">
      <c r="A27" s="356"/>
      <c r="B27" s="358"/>
      <c r="C27" s="358"/>
      <c r="D27" s="16" t="s">
        <v>13</v>
      </c>
      <c r="E27" s="21">
        <v>15</v>
      </c>
      <c r="F27" s="17"/>
      <c r="G27" s="29"/>
    </row>
    <row r="28" spans="1:40" ht="44" customHeight="1" thickBot="1" x14ac:dyDescent="0.4">
      <c r="A28" s="11" t="s">
        <v>26</v>
      </c>
      <c r="B28" s="359" t="s">
        <v>45</v>
      </c>
      <c r="C28" s="359"/>
      <c r="D28" s="12" t="s">
        <v>37</v>
      </c>
      <c r="E28" s="12"/>
      <c r="F28" s="13" t="s">
        <v>38</v>
      </c>
      <c r="G28" s="26">
        <v>50</v>
      </c>
      <c r="AH28" s="4" t="s">
        <v>144</v>
      </c>
      <c r="AI28">
        <f>IF($AN$19=1,$AI$19*(1-(O6/(1000+O6))),IF($AN$19=2,$AK$19*(1-(O7/(1000+O7))),IF($AN$19=3,$AI$20*(1-(O7/(1000+O7))),IF($AN$19=4,$AK$20*(1-(O7/(1000+O7))),0))))</f>
        <v>37.145650048875858</v>
      </c>
    </row>
    <row r="29" spans="1:40" ht="87" customHeight="1" x14ac:dyDescent="0.35">
      <c r="A29" s="360" t="s">
        <v>27</v>
      </c>
      <c r="B29" s="357" t="s">
        <v>46</v>
      </c>
      <c r="C29" s="357"/>
      <c r="D29" s="14" t="s">
        <v>37</v>
      </c>
      <c r="E29" s="14"/>
      <c r="F29" s="18" t="s">
        <v>13</v>
      </c>
      <c r="G29" s="30">
        <v>10</v>
      </c>
      <c r="AH29" s="73" t="s">
        <v>145</v>
      </c>
      <c r="AI29">
        <f>IF($AN$19=1,$AI$19*(1-(H44/(1000+H44))),IF($AN$19=2,$AK$19*(1-(H45/(1000+H45))),IF($AN$19=3,$AI$20*(1-(H44/(1000+H44))),IF($AN$19=4,$AK$20*(1-(H45/(1000+H45))),0))))</f>
        <v>38</v>
      </c>
    </row>
    <row r="30" spans="1:40" ht="29.5" thickBot="1" x14ac:dyDescent="0.4">
      <c r="A30" s="361"/>
      <c r="B30" s="358"/>
      <c r="C30" s="358"/>
      <c r="D30" s="19" t="s">
        <v>49</v>
      </c>
      <c r="E30" s="20" t="s">
        <v>50</v>
      </c>
      <c r="F30" s="17"/>
      <c r="G30" s="29"/>
      <c r="AH30" s="73" t="s">
        <v>146</v>
      </c>
      <c r="AI30">
        <f>IF($AN$19=1,$AI$19*(1-(H76/(1000+H76))),IF($AN$19=2,$AK$19*(1-(H77/(1000+H77))),IF($AN$19=3,$AI$20*(1-(H76/(1000+H76))),IF($AN$19=4,$AK$20*(1-(H77/(1000+H77))),0))))</f>
        <v>36.53846153846154</v>
      </c>
    </row>
    <row r="31" spans="1:40" ht="58" customHeight="1" x14ac:dyDescent="0.35">
      <c r="A31" s="355" t="s">
        <v>28</v>
      </c>
      <c r="B31" s="357" t="s">
        <v>47</v>
      </c>
      <c r="C31" s="357"/>
      <c r="D31" s="14" t="s">
        <v>37</v>
      </c>
      <c r="E31" s="14"/>
      <c r="F31" s="15" t="s">
        <v>38</v>
      </c>
      <c r="G31" s="27">
        <v>60</v>
      </c>
      <c r="AH31" s="4" t="s">
        <v>147</v>
      </c>
      <c r="AI31">
        <f>IF($AN$19=1,$AI$19*(1-(M110/(1000+M110))),IF($AN$19=2,$AK$19*(1-(M111/(1000+M111))),IF($AN$19=3,$AI$20*(1-(M110/(1000+M110))),IF($AN$19=4,$AK$20*(1-(M111/(1000+M111))),0))))</f>
        <v>37.254901960784309</v>
      </c>
    </row>
    <row r="32" spans="1:40" ht="29.5" thickBot="1" x14ac:dyDescent="0.4">
      <c r="A32" s="356"/>
      <c r="B32" s="358"/>
      <c r="C32" s="358"/>
      <c r="D32" s="16" t="s">
        <v>13</v>
      </c>
      <c r="E32" s="16">
        <v>10</v>
      </c>
      <c r="F32" s="17"/>
      <c r="G32" s="29"/>
      <c r="AH32" s="4" t="s">
        <v>148</v>
      </c>
      <c r="AI32">
        <f>IF($AN$19=1,$AI$19*(1-(V76/(1000+V76))),IF($AN$19=2,$AK$19*(1-(V77/(1000+V77))),IF($AN$19=3,$AI$20*(1-(V76/(1000+V76))),IF($AN$19=4,$AK$20*(1-(V77/(1000+V77))),0))))</f>
        <v>37.073170731707314</v>
      </c>
    </row>
    <row r="33" spans="1:8" ht="102" customHeight="1" thickBot="1" x14ac:dyDescent="0.4">
      <c r="A33" s="11" t="s">
        <v>29</v>
      </c>
      <c r="B33" s="402" t="s">
        <v>48</v>
      </c>
      <c r="C33" s="402"/>
      <c r="D33" s="12" t="s">
        <v>37</v>
      </c>
      <c r="E33" s="12"/>
      <c r="F33" s="13" t="s">
        <v>38</v>
      </c>
      <c r="G33" s="26">
        <v>80</v>
      </c>
    </row>
    <row r="34" spans="1:8" ht="58.5" thickBot="1" x14ac:dyDescent="0.4">
      <c r="A34" s="58" t="s">
        <v>33</v>
      </c>
      <c r="B34" s="403"/>
      <c r="C34" s="403"/>
      <c r="D34" s="24" t="s">
        <v>54</v>
      </c>
      <c r="E34" s="24"/>
      <c r="F34" s="16" t="s">
        <v>56</v>
      </c>
      <c r="G34" s="16"/>
      <c r="H34" t="s">
        <v>66</v>
      </c>
    </row>
    <row r="35" spans="1:8" ht="58.5" thickBot="1" x14ac:dyDescent="0.4">
      <c r="A35" s="58" t="s">
        <v>31</v>
      </c>
      <c r="B35" s="404"/>
      <c r="C35" s="404"/>
      <c r="D35" s="24" t="s">
        <v>54</v>
      </c>
      <c r="E35" s="24"/>
      <c r="F35" s="16" t="s">
        <v>56</v>
      </c>
      <c r="G35" s="16"/>
    </row>
    <row r="36" spans="1:8" ht="58.5" thickBot="1" x14ac:dyDescent="0.4">
      <c r="A36" s="58" t="s">
        <v>32</v>
      </c>
      <c r="B36" s="405"/>
      <c r="C36" s="405"/>
      <c r="D36" s="24" t="s">
        <v>54</v>
      </c>
      <c r="E36" s="24"/>
      <c r="F36" s="16" t="s">
        <v>56</v>
      </c>
      <c r="G36" s="16"/>
    </row>
    <row r="38" spans="1:8" ht="15" thickBot="1" x14ac:dyDescent="0.4"/>
    <row r="39" spans="1:8" ht="15" thickBot="1" x14ac:dyDescent="0.4">
      <c r="A39" s="41" t="s">
        <v>0</v>
      </c>
      <c r="B39" s="42" t="s">
        <v>58</v>
      </c>
      <c r="G39" s="32" t="s">
        <v>0</v>
      </c>
      <c r="H39" s="32" t="s">
        <v>58</v>
      </c>
    </row>
    <row r="40" spans="1:8" x14ac:dyDescent="0.35">
      <c r="A40" s="36" t="s">
        <v>1</v>
      </c>
      <c r="B40" s="37"/>
      <c r="G40" s="32" t="s">
        <v>1</v>
      </c>
      <c r="H40" s="57"/>
    </row>
    <row r="41" spans="1:8" x14ac:dyDescent="0.35">
      <c r="A41" s="36" t="s">
        <v>2</v>
      </c>
      <c r="B41" s="37"/>
      <c r="G41" s="32" t="s">
        <v>2</v>
      </c>
      <c r="H41" s="57">
        <f>IF(E44=1, G34+B41-E58,IF(E44=2, G34+B41-E59, IF(E44=3, G34+B41-E60, IF(E44=4, G34+B41-E61, IF(E44=5, G34+B41-E62, IF(E44=6, G34+B41-E63, IF(E44=7, G34+B41-E64, IF(E44=8, G34+B41-E65, IF(E44=9, G34+B41-E66, IF(E44=10, G34+B41-E67,0))))))))))</f>
        <v>0</v>
      </c>
    </row>
    <row r="42" spans="1:8" x14ac:dyDescent="0.35">
      <c r="A42" s="36" t="s">
        <v>3</v>
      </c>
      <c r="B42" s="37"/>
      <c r="G42" s="32" t="s">
        <v>3</v>
      </c>
      <c r="H42" s="57"/>
    </row>
    <row r="43" spans="1:8" x14ac:dyDescent="0.35">
      <c r="A43" s="36" t="s">
        <v>4</v>
      </c>
      <c r="B43" s="37"/>
      <c r="G43" s="32" t="s">
        <v>4</v>
      </c>
      <c r="H43" s="57"/>
    </row>
    <row r="44" spans="1:8" x14ac:dyDescent="0.35">
      <c r="A44" s="36" t="s">
        <v>6</v>
      </c>
      <c r="B44" s="37"/>
      <c r="D44" t="s">
        <v>76</v>
      </c>
      <c r="E44">
        <v>6</v>
      </c>
      <c r="G44" s="32" t="s">
        <v>6</v>
      </c>
      <c r="H44" s="57"/>
    </row>
    <row r="45" spans="1:8" x14ac:dyDescent="0.35">
      <c r="A45" s="36" t="s">
        <v>7</v>
      </c>
      <c r="B45" s="37"/>
      <c r="D45" t="s">
        <v>75</v>
      </c>
      <c r="E45">
        <f>IF(E44=1,B47+D56+G58+B68*10+D68,IF(E44=2,B47+D56+G59+B68*10+D68, IF(E44=3,B47+D56+G60+B68*10+D68,  IF(E44=4,B47+D56+G61+B68*10+D68,  IF(E44=5,B47+D56+G62+B68*10+D68,  IF(E44=6,B47+D56+G63+B68*10+D68,  IF(E44=7,B47+D56+G64+B68*10+D68,  IF(E44=8,B47+D56+G65+B68*10+D68,  IF(E44=9,B47+D56+G66+B68*10+D68,IF(E44=10,B47+D56+G67+B68*10+D68,0))))))))))</f>
        <v>10</v>
      </c>
      <c r="G45" s="32" t="s">
        <v>7</v>
      </c>
      <c r="H45" s="57"/>
    </row>
    <row r="46" spans="1:8" x14ac:dyDescent="0.35">
      <c r="A46" s="36" t="s">
        <v>10</v>
      </c>
      <c r="B46" s="37"/>
      <c r="D46" t="s">
        <v>77</v>
      </c>
      <c r="E46">
        <f ca="1">RANDBETWEEN(1,100)</f>
        <v>20</v>
      </c>
      <c r="G46" s="32" t="s">
        <v>10</v>
      </c>
      <c r="H46" s="57"/>
    </row>
    <row r="47" spans="1:8" x14ac:dyDescent="0.35">
      <c r="A47" s="36" t="s">
        <v>11</v>
      </c>
      <c r="B47" s="37"/>
      <c r="D47" t="s">
        <v>78</v>
      </c>
      <c r="E47">
        <f ca="1">RANDBETWEEN(1,100)</f>
        <v>8</v>
      </c>
      <c r="G47" s="32" t="s">
        <v>11</v>
      </c>
      <c r="H47" s="57"/>
    </row>
    <row r="48" spans="1:8" x14ac:dyDescent="0.35">
      <c r="A48" s="36" t="s">
        <v>15</v>
      </c>
      <c r="B48" s="37"/>
      <c r="G48" s="32" t="s">
        <v>15</v>
      </c>
      <c r="H48" s="57"/>
    </row>
    <row r="49" spans="1:8" x14ac:dyDescent="0.35">
      <c r="A49" s="36" t="s">
        <v>14</v>
      </c>
      <c r="B49" s="38"/>
      <c r="G49" s="32" t="s">
        <v>14</v>
      </c>
      <c r="H49" s="57"/>
    </row>
    <row r="50" spans="1:8" x14ac:dyDescent="0.35">
      <c r="A50" s="36" t="s">
        <v>8</v>
      </c>
      <c r="B50" s="38"/>
      <c r="G50" s="32" t="s">
        <v>8</v>
      </c>
      <c r="H50" s="57"/>
    </row>
    <row r="51" spans="1:8" x14ac:dyDescent="0.35">
      <c r="A51" s="36" t="s">
        <v>9</v>
      </c>
      <c r="B51" s="38"/>
      <c r="G51" s="32" t="s">
        <v>9</v>
      </c>
      <c r="H51" s="57"/>
    </row>
    <row r="52" spans="1:8" x14ac:dyDescent="0.35">
      <c r="A52" s="36" t="s">
        <v>12</v>
      </c>
      <c r="B52" s="38"/>
      <c r="G52" s="32" t="s">
        <v>12</v>
      </c>
      <c r="H52" s="57"/>
    </row>
    <row r="53" spans="1:8" x14ac:dyDescent="0.35">
      <c r="A53" s="36" t="s">
        <v>13</v>
      </c>
      <c r="B53" s="38"/>
      <c r="G53" s="32" t="s">
        <v>13</v>
      </c>
      <c r="H53" s="57"/>
    </row>
    <row r="54" spans="1:8" ht="15" thickBot="1" x14ac:dyDescent="0.4">
      <c r="A54" s="39" t="s">
        <v>16</v>
      </c>
      <c r="B54" s="40"/>
      <c r="G54" s="32" t="s">
        <v>16</v>
      </c>
      <c r="H54" s="33"/>
    </row>
    <row r="55" spans="1:8" x14ac:dyDescent="0.35">
      <c r="A55" t="s">
        <v>17</v>
      </c>
    </row>
    <row r="56" spans="1:8" x14ac:dyDescent="0.35">
      <c r="A56" t="s">
        <v>18</v>
      </c>
      <c r="B56" t="s">
        <v>59</v>
      </c>
      <c r="D56" s="71">
        <v>10</v>
      </c>
    </row>
    <row r="57" spans="1:8" ht="15" thickBot="1" x14ac:dyDescent="0.4">
      <c r="A57" t="s">
        <v>19</v>
      </c>
      <c r="B57" t="s">
        <v>34</v>
      </c>
    </row>
    <row r="58" spans="1:8" ht="53" customHeight="1" thickBot="1" x14ac:dyDescent="0.4">
      <c r="A58" s="11" t="s">
        <v>20</v>
      </c>
      <c r="B58" s="359" t="s">
        <v>60</v>
      </c>
      <c r="C58" s="359"/>
      <c r="D58" s="12" t="s">
        <v>37</v>
      </c>
      <c r="E58" s="12"/>
      <c r="F58" s="76" t="s">
        <v>71</v>
      </c>
      <c r="G58" s="77"/>
    </row>
    <row r="59" spans="1:8" ht="44" customHeight="1" thickBot="1" x14ac:dyDescent="0.4">
      <c r="A59" s="11" t="s">
        <v>21</v>
      </c>
      <c r="B59" s="359" t="s">
        <v>61</v>
      </c>
      <c r="C59" s="359"/>
      <c r="D59" s="12" t="s">
        <v>37</v>
      </c>
      <c r="E59" s="12"/>
      <c r="F59" s="76" t="s">
        <v>71</v>
      </c>
      <c r="G59" s="77"/>
    </row>
    <row r="60" spans="1:8" ht="58" customHeight="1" thickBot="1" x14ac:dyDescent="0.4">
      <c r="A60" s="11" t="s">
        <v>22</v>
      </c>
      <c r="B60" s="359" t="s">
        <v>62</v>
      </c>
      <c r="C60" s="359"/>
      <c r="D60" s="12" t="s">
        <v>37</v>
      </c>
      <c r="E60" s="12"/>
      <c r="F60" s="76" t="s">
        <v>71</v>
      </c>
      <c r="G60" s="77"/>
    </row>
    <row r="61" spans="1:8" ht="56" customHeight="1" thickBot="1" x14ac:dyDescent="0.4">
      <c r="A61" s="11" t="s">
        <v>23</v>
      </c>
      <c r="B61" s="353" t="s">
        <v>64</v>
      </c>
      <c r="C61" s="369"/>
      <c r="D61" s="12" t="s">
        <v>37</v>
      </c>
      <c r="E61" s="12"/>
      <c r="F61" s="76" t="s">
        <v>71</v>
      </c>
      <c r="G61" s="77"/>
    </row>
    <row r="62" spans="1:8" ht="52.5" customHeight="1" thickBot="1" x14ac:dyDescent="0.4">
      <c r="A62" s="11" t="s">
        <v>24</v>
      </c>
      <c r="B62" s="353" t="s">
        <v>63</v>
      </c>
      <c r="C62" s="353"/>
      <c r="D62" s="12" t="s">
        <v>37</v>
      </c>
      <c r="E62" s="12"/>
      <c r="F62" s="76" t="s">
        <v>71</v>
      </c>
      <c r="G62" s="77"/>
    </row>
    <row r="63" spans="1:8" ht="68" customHeight="1" thickBot="1" x14ac:dyDescent="0.4">
      <c r="A63" s="11" t="s">
        <v>25</v>
      </c>
      <c r="B63" s="359" t="s">
        <v>65</v>
      </c>
      <c r="C63" s="359"/>
      <c r="D63" s="12" t="s">
        <v>37</v>
      </c>
      <c r="E63" s="12"/>
      <c r="F63" s="76" t="s">
        <v>71</v>
      </c>
      <c r="G63" s="77"/>
    </row>
    <row r="64" spans="1:8" ht="57" customHeight="1" thickBot="1" x14ac:dyDescent="0.4">
      <c r="A64" s="11" t="s">
        <v>26</v>
      </c>
      <c r="B64" s="353" t="s">
        <v>67</v>
      </c>
      <c r="C64" s="353"/>
      <c r="D64" s="12" t="s">
        <v>37</v>
      </c>
      <c r="E64" s="12"/>
      <c r="F64" s="76" t="s">
        <v>71</v>
      </c>
      <c r="G64" s="77"/>
    </row>
    <row r="65" spans="1:24" ht="73" customHeight="1" thickBot="1" x14ac:dyDescent="0.4">
      <c r="A65" s="78" t="s">
        <v>27</v>
      </c>
      <c r="B65" s="353" t="s">
        <v>68</v>
      </c>
      <c r="C65" s="353"/>
      <c r="D65" s="12" t="s">
        <v>37</v>
      </c>
      <c r="E65" s="12"/>
      <c r="F65" s="76" t="s">
        <v>71</v>
      </c>
      <c r="G65" s="77"/>
    </row>
    <row r="66" spans="1:24" ht="88" customHeight="1" thickBot="1" x14ac:dyDescent="0.4">
      <c r="A66" s="11" t="s">
        <v>28</v>
      </c>
      <c r="B66" s="359" t="s">
        <v>69</v>
      </c>
      <c r="C66" s="359"/>
      <c r="D66" s="12" t="s">
        <v>37</v>
      </c>
      <c r="E66" s="12"/>
      <c r="F66" s="76" t="s">
        <v>71</v>
      </c>
      <c r="G66" s="77"/>
    </row>
    <row r="67" spans="1:24" ht="88" customHeight="1" thickBot="1" x14ac:dyDescent="0.4">
      <c r="A67" s="11" t="s">
        <v>29</v>
      </c>
      <c r="B67" s="353" t="s">
        <v>70</v>
      </c>
      <c r="C67" s="353"/>
      <c r="D67" s="12" t="s">
        <v>37</v>
      </c>
      <c r="E67" s="12"/>
      <c r="F67" s="76" t="s">
        <v>71</v>
      </c>
      <c r="G67" s="77"/>
    </row>
    <row r="68" spans="1:24" ht="97" customHeight="1" thickBot="1" x14ac:dyDescent="0.4">
      <c r="A68" s="68" t="s">
        <v>73</v>
      </c>
      <c r="B68" s="69"/>
      <c r="C68" s="72" t="s">
        <v>72</v>
      </c>
      <c r="D68" s="71"/>
      <c r="E68" s="73" t="s">
        <v>74</v>
      </c>
      <c r="G68" s="16" t="s">
        <v>56</v>
      </c>
      <c r="H68" s="16"/>
    </row>
    <row r="69" spans="1:24" ht="15" thickBot="1" x14ac:dyDescent="0.4">
      <c r="O69" t="s">
        <v>104</v>
      </c>
    </row>
    <row r="70" spans="1:24" ht="15" thickBot="1" x14ac:dyDescent="0.4">
      <c r="O70" s="31" t="s">
        <v>105</v>
      </c>
      <c r="P70" s="84">
        <v>0.15</v>
      </c>
      <c r="Q70" s="85">
        <v>0.15</v>
      </c>
    </row>
    <row r="71" spans="1:24" ht="15" thickBot="1" x14ac:dyDescent="0.4">
      <c r="A71" s="41" t="s">
        <v>0</v>
      </c>
      <c r="B71" s="42" t="s">
        <v>79</v>
      </c>
      <c r="G71" s="32" t="s">
        <v>0</v>
      </c>
      <c r="H71" s="32" t="s">
        <v>79</v>
      </c>
      <c r="L71" s="53" t="s">
        <v>0</v>
      </c>
      <c r="M71" s="53" t="s">
        <v>55</v>
      </c>
      <c r="O71" t="s">
        <v>106</v>
      </c>
      <c r="P71" s="89">
        <v>0.15</v>
      </c>
      <c r="Q71" s="88">
        <v>0.15</v>
      </c>
      <c r="R71" s="53" t="s">
        <v>0</v>
      </c>
      <c r="S71" s="53" t="s">
        <v>55</v>
      </c>
    </row>
    <row r="72" spans="1:24" x14ac:dyDescent="0.35">
      <c r="A72" s="36" t="s">
        <v>1</v>
      </c>
      <c r="B72" s="37"/>
      <c r="G72" s="32" t="s">
        <v>1</v>
      </c>
      <c r="H72" s="57"/>
      <c r="L72" s="53" t="s">
        <v>1</v>
      </c>
      <c r="M72" s="92">
        <v>55</v>
      </c>
      <c r="O72" t="s">
        <v>107</v>
      </c>
      <c r="P72" s="90">
        <v>7.0000000000000007E-2</v>
      </c>
      <c r="Q72" s="2">
        <v>10</v>
      </c>
      <c r="R72" s="53" t="s">
        <v>1</v>
      </c>
      <c r="S72" s="53">
        <f>IF(P73=1,M72*1.15,IF(P73=2,M72,IF(P73=3,M72,0)))</f>
        <v>55</v>
      </c>
      <c r="X72" t="s">
        <v>114</v>
      </c>
    </row>
    <row r="73" spans="1:24" x14ac:dyDescent="0.35">
      <c r="A73" s="36" t="s">
        <v>2</v>
      </c>
      <c r="B73" s="37"/>
      <c r="G73" s="32" t="s">
        <v>2</v>
      </c>
      <c r="H73" s="57"/>
      <c r="L73" s="53" t="s">
        <v>2</v>
      </c>
      <c r="M73" s="53"/>
      <c r="O73" t="s">
        <v>109</v>
      </c>
      <c r="P73" s="25">
        <v>2</v>
      </c>
      <c r="R73" s="53" t="s">
        <v>2</v>
      </c>
      <c r="S73" s="53"/>
    </row>
    <row r="74" spans="1:24" x14ac:dyDescent="0.35">
      <c r="A74" s="36" t="s">
        <v>3</v>
      </c>
      <c r="B74" s="37"/>
      <c r="G74" s="32" t="s">
        <v>3</v>
      </c>
      <c r="H74" s="57"/>
      <c r="L74" s="53" t="s">
        <v>3</v>
      </c>
      <c r="M74" s="53"/>
      <c r="R74" s="53" t="s">
        <v>3</v>
      </c>
      <c r="S74" s="53"/>
    </row>
    <row r="75" spans="1:24" x14ac:dyDescent="0.35">
      <c r="A75" s="36" t="s">
        <v>4</v>
      </c>
      <c r="B75" s="37"/>
      <c r="D75" t="s">
        <v>76</v>
      </c>
      <c r="E75">
        <v>1</v>
      </c>
      <c r="G75" s="32" t="s">
        <v>4</v>
      </c>
      <c r="H75" s="57">
        <f>IF(E75=1, B75+E90,IF(E75=2, B75+E91, IF(E75=3, B75+E92, IF(E75=4, B75+E93, IF(E75=6, G65+B72-E95, IF(E75=7, G65+B72-E96,0))))))</f>
        <v>10</v>
      </c>
      <c r="L75" s="53" t="s">
        <v>4</v>
      </c>
      <c r="M75" s="53">
        <v>20</v>
      </c>
      <c r="O75" t="s">
        <v>76</v>
      </c>
      <c r="P75" s="25">
        <v>1</v>
      </c>
      <c r="R75" s="53" t="s">
        <v>4</v>
      </c>
      <c r="S75" s="53">
        <f>IF(P75=1, M75+P90,IF(P75=2, M75+P91, IF(P75=3, M75+P92, IF(P75=4, M75+P93, IF(P75=6, R65+M72-P95, IF(P75=7, R65+M72-P96,0))))))+M75</f>
        <v>45</v>
      </c>
    </row>
    <row r="76" spans="1:24" x14ac:dyDescent="0.35">
      <c r="A76" s="36" t="s">
        <v>6</v>
      </c>
      <c r="B76" s="37">
        <f>B6*2</f>
        <v>20</v>
      </c>
      <c r="D76" t="s">
        <v>75</v>
      </c>
      <c r="E76">
        <f>IF(E75=1,B78+G90,IF(E75=4,B78+G93,IF(E75=6,B78+G95,IF(E75=7,B78+G96,IF(E75=10,B78+G99,0)))))</f>
        <v>30</v>
      </c>
      <c r="G76" s="32" t="s">
        <v>6</v>
      </c>
      <c r="H76" s="57">
        <f>IF(E75=5,B76+E94,IF(E75=8,B76+E97,0))+B76*2</f>
        <v>40</v>
      </c>
      <c r="L76" s="53" t="s">
        <v>6</v>
      </c>
      <c r="M76" s="53">
        <f>H6</f>
        <v>25</v>
      </c>
      <c r="O76" t="s">
        <v>75</v>
      </c>
      <c r="P76">
        <f>IF(P75=1,V78+R90,IF(P75=3,V78+R92,IF(P75=5,V78+R94,IF(P75=7,V78+R96,IF(P75=9,V78+R98,IF(P75=10,V78+R99,0))))))</f>
        <v>20</v>
      </c>
      <c r="R76" s="53" t="s">
        <v>111</v>
      </c>
      <c r="S76" s="53">
        <f>IF(P73=1,M76*1.15,IF(P73=2,M76,IF(P73=3,M76,0)))</f>
        <v>25</v>
      </c>
      <c r="T76" s="362" t="s">
        <v>110</v>
      </c>
      <c r="U76" s="363"/>
      <c r="V76">
        <f>IF(P75=8,S76+T97,0)+S76</f>
        <v>25</v>
      </c>
    </row>
    <row r="77" spans="1:24" ht="14.5" customHeight="1" x14ac:dyDescent="0.35">
      <c r="A77" s="36" t="s">
        <v>7</v>
      </c>
      <c r="B77" s="37">
        <f>B7*2</f>
        <v>40</v>
      </c>
      <c r="D77" t="s">
        <v>77</v>
      </c>
      <c r="E77">
        <f ca="1">RANDBETWEEN(1,100)</f>
        <v>80</v>
      </c>
      <c r="G77" s="32" t="s">
        <v>7</v>
      </c>
      <c r="H77" s="57">
        <f>IF(E76=8,B77+G97,0)+B77</f>
        <v>40</v>
      </c>
      <c r="L77" s="53" t="s">
        <v>7</v>
      </c>
      <c r="M77" s="53">
        <f>H7</f>
        <v>20</v>
      </c>
      <c r="O77" t="s">
        <v>77</v>
      </c>
      <c r="P77">
        <f ca="1">RANDBETWEEN(1,100)</f>
        <v>28</v>
      </c>
      <c r="R77" s="53" t="s">
        <v>112</v>
      </c>
      <c r="S77" s="53">
        <f>IF(P73=1,M77*1.15,IF(P73=2,M77,IF(P73=3,M77,0)))</f>
        <v>20</v>
      </c>
      <c r="T77" s="362" t="s">
        <v>110</v>
      </c>
      <c r="U77" s="363"/>
      <c r="V77">
        <f>IF(P75=8,S77+T97,0)+S77</f>
        <v>20</v>
      </c>
    </row>
    <row r="78" spans="1:24" x14ac:dyDescent="0.35">
      <c r="A78" s="36" t="s">
        <v>10</v>
      </c>
      <c r="B78" s="37">
        <v>10</v>
      </c>
      <c r="D78" t="s">
        <v>78</v>
      </c>
      <c r="E78">
        <f ca="1">RANDBETWEEN(1,100)</f>
        <v>6</v>
      </c>
      <c r="G78" s="32" t="s">
        <v>10</v>
      </c>
      <c r="H78" s="57">
        <f>IF(E75=9,B78+E98,0)+B78</f>
        <v>10</v>
      </c>
      <c r="L78" s="53" t="s">
        <v>10</v>
      </c>
      <c r="M78" s="53">
        <f>H8</f>
        <v>30</v>
      </c>
      <c r="O78" t="s">
        <v>78</v>
      </c>
      <c r="P78">
        <f ca="1">RANDBETWEEN(1,100)</f>
        <v>76</v>
      </c>
      <c r="R78" s="53" t="s">
        <v>10</v>
      </c>
      <c r="S78" s="53">
        <f>IF(P73=2,M78*1.15,IF(P73=1,M78,IF(P73=3,M78,0)))</f>
        <v>34.5</v>
      </c>
      <c r="T78" s="362" t="s">
        <v>113</v>
      </c>
      <c r="U78" s="363"/>
      <c r="V78" s="94">
        <f>IF(P75=4,S78+R93,0)</f>
        <v>0</v>
      </c>
    </row>
    <row r="79" spans="1:24" x14ac:dyDescent="0.35">
      <c r="A79" s="36" t="s">
        <v>11</v>
      </c>
      <c r="B79" s="37"/>
      <c r="G79" s="32" t="s">
        <v>11</v>
      </c>
      <c r="H79" s="57"/>
      <c r="L79" s="53" t="s">
        <v>11</v>
      </c>
      <c r="M79" s="53">
        <f>H9</f>
        <v>0</v>
      </c>
      <c r="O79" t="s">
        <v>101</v>
      </c>
      <c r="P79">
        <f ca="1">RANDBETWEEN(1,100)</f>
        <v>37</v>
      </c>
      <c r="R79" s="53" t="s">
        <v>11</v>
      </c>
      <c r="S79" s="53"/>
    </row>
    <row r="80" spans="1:24" x14ac:dyDescent="0.35">
      <c r="A80" s="36" t="s">
        <v>15</v>
      </c>
      <c r="B80" s="37"/>
      <c r="G80" s="32" t="s">
        <v>15</v>
      </c>
      <c r="H80" s="57"/>
      <c r="L80" s="53" t="s">
        <v>15</v>
      </c>
      <c r="M80" s="53"/>
      <c r="R80" s="53" t="s">
        <v>15</v>
      </c>
      <c r="S80" s="53"/>
    </row>
    <row r="81" spans="1:21" x14ac:dyDescent="0.35">
      <c r="A81" s="36" t="s">
        <v>14</v>
      </c>
      <c r="B81" s="38"/>
      <c r="G81" s="32" t="s">
        <v>14</v>
      </c>
      <c r="H81" s="57">
        <f>IF(E75=2,B81+G91,0)</f>
        <v>0</v>
      </c>
      <c r="L81" s="53" t="s">
        <v>14</v>
      </c>
      <c r="M81" s="53"/>
      <c r="R81" s="53" t="s">
        <v>14</v>
      </c>
      <c r="S81" s="53">
        <f>IF(P73=2,M81*1.15,IF(P73=1,M81,IF(P73=3,M81,0)))</f>
        <v>0</v>
      </c>
      <c r="T81" s="364"/>
      <c r="U81" s="365"/>
    </row>
    <row r="82" spans="1:21" x14ac:dyDescent="0.35">
      <c r="A82" s="36" t="s">
        <v>8</v>
      </c>
      <c r="B82" s="38"/>
      <c r="G82" s="32" t="s">
        <v>8</v>
      </c>
      <c r="H82" s="57">
        <f>IF(E75=9,B82+G98,0)</f>
        <v>0</v>
      </c>
      <c r="L82" s="53" t="s">
        <v>8</v>
      </c>
      <c r="M82" s="53"/>
      <c r="R82" s="53" t="s">
        <v>8</v>
      </c>
      <c r="S82" s="53">
        <f>IF(P75=9,M82+R98,0)</f>
        <v>0</v>
      </c>
    </row>
    <row r="83" spans="1:21" x14ac:dyDescent="0.35">
      <c r="A83" s="36" t="s">
        <v>9</v>
      </c>
      <c r="B83" s="38"/>
      <c r="G83" s="32" t="s">
        <v>9</v>
      </c>
      <c r="H83" s="57"/>
      <c r="L83" s="53" t="s">
        <v>9</v>
      </c>
      <c r="M83" s="53"/>
      <c r="R83" s="53" t="s">
        <v>9</v>
      </c>
      <c r="S83" s="53"/>
    </row>
    <row r="84" spans="1:21" x14ac:dyDescent="0.35">
      <c r="A84" s="36" t="s">
        <v>12</v>
      </c>
      <c r="B84" s="38"/>
      <c r="G84" s="32" t="s">
        <v>12</v>
      </c>
      <c r="H84" s="57"/>
      <c r="L84" s="53" t="s">
        <v>12</v>
      </c>
      <c r="M84" s="53"/>
      <c r="R84" s="53" t="s">
        <v>12</v>
      </c>
      <c r="S84" s="53"/>
    </row>
    <row r="85" spans="1:21" x14ac:dyDescent="0.35">
      <c r="A85" s="36" t="s">
        <v>13</v>
      </c>
      <c r="B85" s="38"/>
      <c r="G85" s="32" t="s">
        <v>13</v>
      </c>
      <c r="H85" s="57"/>
      <c r="L85" s="53" t="s">
        <v>13</v>
      </c>
      <c r="M85" s="53"/>
      <c r="R85" s="53" t="s">
        <v>13</v>
      </c>
      <c r="S85" s="53"/>
    </row>
    <row r="86" spans="1:21" ht="15" thickBot="1" x14ac:dyDescent="0.4">
      <c r="A86" s="39" t="s">
        <v>16</v>
      </c>
      <c r="B86" s="40"/>
      <c r="G86" s="32" t="s">
        <v>16</v>
      </c>
      <c r="H86" s="33"/>
      <c r="L86" s="53" t="s">
        <v>16</v>
      </c>
      <c r="M86" s="53"/>
      <c r="R86" s="53" t="s">
        <v>16</v>
      </c>
      <c r="S86" s="53"/>
    </row>
    <row r="87" spans="1:21" x14ac:dyDescent="0.35">
      <c r="A87" t="s">
        <v>17</v>
      </c>
      <c r="B87" s="75" t="s">
        <v>80</v>
      </c>
      <c r="C87" s="74" t="s">
        <v>81</v>
      </c>
      <c r="L87" t="s">
        <v>17</v>
      </c>
      <c r="M87" s="82" t="s">
        <v>102</v>
      </c>
      <c r="N87" s="83"/>
    </row>
    <row r="88" spans="1:21" x14ac:dyDescent="0.35">
      <c r="A88" t="s">
        <v>18</v>
      </c>
      <c r="B88" t="s">
        <v>227</v>
      </c>
      <c r="C88">
        <v>10</v>
      </c>
      <c r="D88" t="s">
        <v>228</v>
      </c>
      <c r="E88" s="3">
        <v>1</v>
      </c>
      <c r="L88" t="s">
        <v>18</v>
      </c>
      <c r="M88" t="s">
        <v>103</v>
      </c>
    </row>
    <row r="89" spans="1:21" ht="15" thickBot="1" x14ac:dyDescent="0.4">
      <c r="A89" t="s">
        <v>19</v>
      </c>
      <c r="L89" t="s">
        <v>19</v>
      </c>
      <c r="M89" t="s">
        <v>95</v>
      </c>
      <c r="N89" s="91">
        <v>5</v>
      </c>
      <c r="O89" t="s">
        <v>108</v>
      </c>
    </row>
    <row r="90" spans="1:21" ht="53" customHeight="1" thickBot="1" x14ac:dyDescent="0.4">
      <c r="A90" s="66" t="s">
        <v>20</v>
      </c>
      <c r="B90" s="357" t="s">
        <v>82</v>
      </c>
      <c r="C90" s="357"/>
      <c r="D90" s="105" t="s">
        <v>85</v>
      </c>
      <c r="E90" s="105">
        <v>10</v>
      </c>
      <c r="F90" s="76" t="s">
        <v>71</v>
      </c>
      <c r="G90" s="76">
        <v>20</v>
      </c>
      <c r="L90" s="66" t="s">
        <v>20</v>
      </c>
      <c r="M90" s="357" t="s">
        <v>128</v>
      </c>
      <c r="N90" s="357"/>
      <c r="O90" s="106" t="s">
        <v>85</v>
      </c>
      <c r="P90" s="106">
        <v>5</v>
      </c>
      <c r="Q90" s="76" t="s">
        <v>71</v>
      </c>
      <c r="R90" s="76">
        <v>20</v>
      </c>
    </row>
    <row r="91" spans="1:21" ht="60.5" customHeight="1" thickBot="1" x14ac:dyDescent="0.4">
      <c r="A91" s="11" t="s">
        <v>21</v>
      </c>
      <c r="B91" s="359" t="s">
        <v>83</v>
      </c>
      <c r="C91" s="359"/>
      <c r="D91" s="106" t="s">
        <v>85</v>
      </c>
      <c r="E91" s="106">
        <v>15</v>
      </c>
      <c r="F91" s="86" t="s">
        <v>86</v>
      </c>
      <c r="G91" s="87">
        <v>20</v>
      </c>
      <c r="L91" s="11" t="s">
        <v>21</v>
      </c>
      <c r="M91" s="359" t="s">
        <v>129</v>
      </c>
      <c r="N91" s="359"/>
      <c r="O91" s="106" t="s">
        <v>85</v>
      </c>
      <c r="P91" s="106">
        <v>5</v>
      </c>
      <c r="Q91" s="113" t="s">
        <v>131</v>
      </c>
      <c r="R91" s="113">
        <v>0.2</v>
      </c>
      <c r="S91" s="114" t="s">
        <v>15</v>
      </c>
      <c r="T91" s="115">
        <v>10</v>
      </c>
    </row>
    <row r="92" spans="1:21" ht="56.5" customHeight="1" thickBot="1" x14ac:dyDescent="0.4">
      <c r="A92" s="11" t="s">
        <v>22</v>
      </c>
      <c r="B92" s="359" t="s">
        <v>88</v>
      </c>
      <c r="C92" s="359"/>
      <c r="D92" s="106" t="s">
        <v>85</v>
      </c>
      <c r="E92" s="106">
        <v>10</v>
      </c>
      <c r="F92" s="79"/>
      <c r="G92" s="80"/>
      <c r="L92" s="11" t="s">
        <v>22</v>
      </c>
      <c r="M92" s="359" t="s">
        <v>130</v>
      </c>
      <c r="N92" s="359"/>
      <c r="O92" s="106" t="s">
        <v>85</v>
      </c>
      <c r="P92" s="106">
        <v>10</v>
      </c>
      <c r="Q92" s="76" t="s">
        <v>71</v>
      </c>
      <c r="R92" s="76"/>
      <c r="S92" s="114" t="s">
        <v>15</v>
      </c>
      <c r="T92" s="115">
        <v>10</v>
      </c>
    </row>
    <row r="93" spans="1:21" ht="68.5" customHeight="1" thickBot="1" x14ac:dyDescent="0.4">
      <c r="A93" s="11" t="s">
        <v>23</v>
      </c>
      <c r="B93" s="359" t="s">
        <v>84</v>
      </c>
      <c r="C93" s="359"/>
      <c r="D93" s="106" t="s">
        <v>85</v>
      </c>
      <c r="E93" s="106" t="s">
        <v>87</v>
      </c>
      <c r="F93" s="76" t="s">
        <v>71</v>
      </c>
      <c r="G93" s="76"/>
      <c r="L93" s="11" t="s">
        <v>23</v>
      </c>
      <c r="M93" s="359" t="s">
        <v>137</v>
      </c>
      <c r="N93" s="359"/>
      <c r="O93" s="106" t="s">
        <v>85</v>
      </c>
      <c r="P93" s="106">
        <v>-2</v>
      </c>
      <c r="Q93" s="112" t="s">
        <v>10</v>
      </c>
      <c r="R93" s="117">
        <v>45</v>
      </c>
    </row>
    <row r="94" spans="1:21" ht="75.5" customHeight="1" thickBot="1" x14ac:dyDescent="0.4">
      <c r="A94" s="11" t="s">
        <v>24</v>
      </c>
      <c r="B94" s="359" t="s">
        <v>89</v>
      </c>
      <c r="C94" s="359"/>
      <c r="D94" s="107" t="s">
        <v>5</v>
      </c>
      <c r="E94" s="107"/>
      <c r="F94" s="79"/>
      <c r="G94" s="80"/>
      <c r="L94" s="11" t="s">
        <v>24</v>
      </c>
      <c r="M94" s="359" t="s">
        <v>132</v>
      </c>
      <c r="N94" s="359"/>
      <c r="O94" s="106" t="s">
        <v>85</v>
      </c>
      <c r="P94" s="106">
        <v>-2</v>
      </c>
      <c r="Q94" s="76" t="s">
        <v>71</v>
      </c>
      <c r="R94" s="76"/>
    </row>
    <row r="95" spans="1:21" ht="62" customHeight="1" thickBot="1" x14ac:dyDescent="0.4">
      <c r="A95" s="11" t="s">
        <v>25</v>
      </c>
      <c r="B95" s="359" t="s">
        <v>90</v>
      </c>
      <c r="C95" s="359"/>
      <c r="D95" s="106" t="s">
        <v>85</v>
      </c>
      <c r="E95" s="106" t="s">
        <v>87</v>
      </c>
      <c r="F95" s="76" t="s">
        <v>71</v>
      </c>
      <c r="G95" s="76"/>
      <c r="L95" s="11" t="s">
        <v>25</v>
      </c>
      <c r="M95" s="359" t="s">
        <v>133</v>
      </c>
      <c r="N95" s="359"/>
      <c r="O95" s="106" t="s">
        <v>85</v>
      </c>
      <c r="P95" s="106" t="s">
        <v>134</v>
      </c>
      <c r="Q95" s="114" t="s">
        <v>15</v>
      </c>
      <c r="R95" s="115"/>
    </row>
    <row r="96" spans="1:21" ht="77" customHeight="1" thickBot="1" x14ac:dyDescent="0.4">
      <c r="A96" s="11" t="s">
        <v>26</v>
      </c>
      <c r="B96" s="359" t="s">
        <v>91</v>
      </c>
      <c r="C96" s="359"/>
      <c r="D96" s="106" t="s">
        <v>85</v>
      </c>
      <c r="E96" s="106" t="s">
        <v>87</v>
      </c>
      <c r="F96" s="76" t="s">
        <v>71</v>
      </c>
      <c r="G96" s="76"/>
      <c r="L96" s="11" t="s">
        <v>26</v>
      </c>
      <c r="M96" s="359" t="s">
        <v>135</v>
      </c>
      <c r="N96" s="359"/>
      <c r="O96" s="106" t="s">
        <v>85</v>
      </c>
      <c r="P96" s="106">
        <v>-2</v>
      </c>
      <c r="Q96" s="76" t="s">
        <v>71</v>
      </c>
      <c r="R96" s="76"/>
    </row>
    <row r="97" spans="1:20" ht="70" customHeight="1" thickBot="1" x14ac:dyDescent="0.4">
      <c r="A97" s="11" t="s">
        <v>27</v>
      </c>
      <c r="B97" s="359" t="s">
        <v>92</v>
      </c>
      <c r="C97" s="359"/>
      <c r="D97" s="107" t="s">
        <v>5</v>
      </c>
      <c r="E97" s="107"/>
      <c r="F97" s="108" t="s">
        <v>95</v>
      </c>
      <c r="G97" s="109"/>
      <c r="L97" s="11" t="s">
        <v>27</v>
      </c>
      <c r="M97" s="359" t="s">
        <v>136</v>
      </c>
      <c r="N97" s="359"/>
      <c r="O97" s="106" t="s">
        <v>85</v>
      </c>
      <c r="P97" s="106" t="s">
        <v>134</v>
      </c>
      <c r="Q97" s="107" t="s">
        <v>5</v>
      </c>
      <c r="R97" s="107"/>
      <c r="S97" s="108" t="s">
        <v>95</v>
      </c>
      <c r="T97" s="109"/>
    </row>
    <row r="98" spans="1:20" ht="80.5" customHeight="1" thickBot="1" x14ac:dyDescent="0.4">
      <c r="A98" s="11" t="s">
        <v>28</v>
      </c>
      <c r="B98" s="359" t="s">
        <v>93</v>
      </c>
      <c r="C98" s="359"/>
      <c r="D98" s="112" t="s">
        <v>96</v>
      </c>
      <c r="E98" s="112"/>
      <c r="F98" s="110" t="s">
        <v>97</v>
      </c>
      <c r="G98" s="111"/>
      <c r="L98" s="11" t="s">
        <v>28</v>
      </c>
      <c r="M98" s="353" t="s">
        <v>138</v>
      </c>
      <c r="N98" s="353"/>
      <c r="O98" s="106" t="s">
        <v>85</v>
      </c>
      <c r="P98" s="106">
        <v>-2</v>
      </c>
      <c r="Q98" s="76" t="s">
        <v>71</v>
      </c>
      <c r="R98" s="76"/>
      <c r="S98" s="114" t="s">
        <v>15</v>
      </c>
      <c r="T98" s="115"/>
    </row>
    <row r="99" spans="1:20" ht="99" customHeight="1" thickBot="1" x14ac:dyDescent="0.4">
      <c r="A99" s="11" t="s">
        <v>29</v>
      </c>
      <c r="B99" s="359" t="s">
        <v>94</v>
      </c>
      <c r="C99" s="359"/>
      <c r="D99" s="79" t="s">
        <v>98</v>
      </c>
      <c r="E99" s="81">
        <v>-0.25</v>
      </c>
      <c r="F99" s="76" t="s">
        <v>71</v>
      </c>
      <c r="G99" s="76"/>
      <c r="L99" s="11" t="s">
        <v>29</v>
      </c>
      <c r="M99" s="359" t="s">
        <v>139</v>
      </c>
      <c r="N99" s="359"/>
      <c r="O99" s="113" t="s">
        <v>140</v>
      </c>
      <c r="P99" s="113">
        <v>0.75</v>
      </c>
      <c r="Q99" s="76" t="s">
        <v>71</v>
      </c>
      <c r="R99" s="76"/>
      <c r="S99" s="116" t="s">
        <v>141</v>
      </c>
      <c r="T99" s="116"/>
    </row>
    <row r="100" spans="1:20" ht="43" customHeight="1" x14ac:dyDescent="0.35">
      <c r="A100" s="68" t="s">
        <v>73</v>
      </c>
      <c r="B100" s="69"/>
      <c r="C100" s="72" t="s">
        <v>72</v>
      </c>
      <c r="D100" s="71"/>
      <c r="E100" s="73" t="s">
        <v>74</v>
      </c>
      <c r="L100" s="67"/>
      <c r="M100" s="34"/>
      <c r="N100" s="103"/>
      <c r="O100" s="34"/>
      <c r="P100" s="104"/>
      <c r="Q100" s="34"/>
    </row>
    <row r="103" spans="1:20" x14ac:dyDescent="0.35">
      <c r="O103" s="120"/>
      <c r="P103" s="120"/>
      <c r="Q103" s="120"/>
    </row>
    <row r="104" spans="1:20" ht="15" thickBot="1" x14ac:dyDescent="0.4">
      <c r="O104" s="120"/>
      <c r="P104" s="120"/>
      <c r="Q104" s="120"/>
    </row>
    <row r="105" spans="1:20" ht="15" thickBot="1" x14ac:dyDescent="0.4">
      <c r="A105" s="41" t="s">
        <v>0</v>
      </c>
      <c r="B105" s="42" t="s">
        <v>170</v>
      </c>
      <c r="G105" s="32" t="s">
        <v>0</v>
      </c>
      <c r="H105" s="32" t="s">
        <v>170</v>
      </c>
      <c r="L105" s="43" t="s">
        <v>0</v>
      </c>
      <c r="M105" s="44" t="s">
        <v>186</v>
      </c>
      <c r="O105" s="120"/>
      <c r="P105" s="121"/>
      <c r="Q105" s="122"/>
      <c r="R105" s="46" t="s">
        <v>0</v>
      </c>
      <c r="S105" s="44" t="s">
        <v>186</v>
      </c>
    </row>
    <row r="106" spans="1:20" x14ac:dyDescent="0.35">
      <c r="A106" s="36" t="s">
        <v>1</v>
      </c>
      <c r="B106" s="37"/>
      <c r="G106" s="32" t="s">
        <v>1</v>
      </c>
      <c r="H106" s="57"/>
      <c r="L106" s="45" t="s">
        <v>1</v>
      </c>
      <c r="M106" s="138">
        <v>130</v>
      </c>
      <c r="N106" t="s">
        <v>223</v>
      </c>
      <c r="O106" s="120"/>
      <c r="P106" s="122"/>
      <c r="Q106" s="120"/>
      <c r="R106" s="46" t="s">
        <v>1</v>
      </c>
      <c r="S106" s="46"/>
    </row>
    <row r="107" spans="1:20" x14ac:dyDescent="0.35">
      <c r="A107" s="36" t="s">
        <v>2</v>
      </c>
      <c r="B107" s="37"/>
      <c r="G107" s="32" t="s">
        <v>2</v>
      </c>
      <c r="H107" s="57"/>
      <c r="L107" s="45" t="s">
        <v>2</v>
      </c>
      <c r="M107" s="138">
        <v>26</v>
      </c>
      <c r="N107" t="s">
        <v>222</v>
      </c>
      <c r="O107" s="120"/>
      <c r="P107" s="123"/>
      <c r="Q107" s="120"/>
      <c r="R107" s="46" t="s">
        <v>2</v>
      </c>
      <c r="S107" s="46">
        <f>IF(P109=3,M107+P126, IF(P109=5, M107+P128,IF(P109=9, M107+R132,IF(P109=11,M107+P134,0))))</f>
        <v>0</v>
      </c>
    </row>
    <row r="108" spans="1:20" x14ac:dyDescent="0.35">
      <c r="A108" s="36" t="s">
        <v>3</v>
      </c>
      <c r="B108" s="37"/>
      <c r="G108" s="32" t="s">
        <v>3</v>
      </c>
      <c r="H108" s="57">
        <f>IF(E109=1,B108+E124,IF(E109=2,B108+E125,IF(E109=3,B108+E126,IF(E109=4,B108+E127,IF(E109=5,B108+E128,IF(E109=6,B108+E129,IF(E109=7,B108+E130,IF(E109=8,B108+E131,IF(E109=9,B108+E132,IF(E109=10,B108+E133,0))))))))))</f>
        <v>-5</v>
      </c>
      <c r="L108" s="45" t="s">
        <v>3</v>
      </c>
      <c r="M108" s="138">
        <v>79</v>
      </c>
      <c r="N108" t="s">
        <v>221</v>
      </c>
      <c r="O108" s="120"/>
      <c r="P108" s="120"/>
      <c r="Q108" s="120"/>
      <c r="R108" s="46" t="s">
        <v>3</v>
      </c>
      <c r="S108" s="46">
        <f>IF(P109=1,M108+P124, IF(P109=2, M108+P125,IF(P109=4, M108+P127,IF(P109=6, M108+P129,IF(P109=7, M108+P130,IF(P109=8, M108+P131,IF(P109=10, M108+P133,IF(P109=12, M108+P135,0))))))))</f>
        <v>69</v>
      </c>
    </row>
    <row r="109" spans="1:20" x14ac:dyDescent="0.35">
      <c r="A109" s="36" t="s">
        <v>4</v>
      </c>
      <c r="B109" s="37"/>
      <c r="D109" t="s">
        <v>76</v>
      </c>
      <c r="E109">
        <v>10</v>
      </c>
      <c r="G109" s="32" t="s">
        <v>4</v>
      </c>
      <c r="H109" s="57">
        <f>IF(E109=1, B109+E124,IF(E109=2, B109+E125, IF(E109=3, B109+E126, IF(E109=4, B109+E127, IF(E109=6, G99+B106-E129, IF(E109=7, G99+B106-E130,0))))))</f>
        <v>0</v>
      </c>
      <c r="L109" s="45" t="s">
        <v>4</v>
      </c>
      <c r="M109" s="138"/>
      <c r="O109" t="s">
        <v>76</v>
      </c>
      <c r="P109" s="25">
        <v>1</v>
      </c>
      <c r="R109" s="46" t="s">
        <v>4</v>
      </c>
      <c r="S109" s="46"/>
    </row>
    <row r="110" spans="1:20" x14ac:dyDescent="0.35">
      <c r="A110" s="36" t="s">
        <v>6</v>
      </c>
      <c r="B110" s="37"/>
      <c r="D110" t="s">
        <v>75</v>
      </c>
      <c r="E110">
        <f>IF(E109=1,B112+G124,IF(E109=4,B112+G127,IF(E109=6,B112+G129,IF(E109=7,B112+G130,IF(E109=10,B112+G133,0)))))</f>
        <v>0</v>
      </c>
      <c r="G110" s="32" t="s">
        <v>6</v>
      </c>
      <c r="H110" s="57">
        <f>IF(E109=5,B110+E128,IF(E109=8,B110+E131,0))</f>
        <v>0</v>
      </c>
      <c r="L110" s="45" t="s">
        <v>6</v>
      </c>
      <c r="M110" s="138">
        <v>20</v>
      </c>
      <c r="O110" t="s">
        <v>75</v>
      </c>
      <c r="P110">
        <f>IF(P109=1,S112+R124,IF(P109=3,S113+R126,IF(P109=4,S112+R127,IF(P109=5,S113+R128,IF(P109=6,S112+R129,IF(P109=7,S112+R130,IF(P109=8,S112+R131,IF(P109=10,S112+R133,IF(P109=11,S113+R134,IF(P109=12,S112+R135,0))))))))))</f>
        <v>75</v>
      </c>
      <c r="R110" s="46" t="s">
        <v>6</v>
      </c>
      <c r="S110" s="46">
        <f>M110</f>
        <v>20</v>
      </c>
    </row>
    <row r="111" spans="1:20" x14ac:dyDescent="0.35">
      <c r="A111" s="36" t="s">
        <v>7</v>
      </c>
      <c r="B111" s="37"/>
      <c r="D111" t="s">
        <v>77</v>
      </c>
      <c r="E111">
        <f ca="1">RANDBETWEEN(1,100)</f>
        <v>60</v>
      </c>
      <c r="G111" s="32" t="s">
        <v>7</v>
      </c>
      <c r="H111" s="57">
        <f>IF(E110=8,B111+G131,0)</f>
        <v>0</v>
      </c>
      <c r="L111" s="45" t="s">
        <v>7</v>
      </c>
      <c r="M111" s="138">
        <v>12</v>
      </c>
      <c r="O111" t="s">
        <v>77</v>
      </c>
      <c r="P111">
        <f ca="1">RANDBETWEEN(1,100)</f>
        <v>48</v>
      </c>
      <c r="R111" s="46" t="s">
        <v>7</v>
      </c>
      <c r="S111" s="46">
        <f>M111</f>
        <v>12</v>
      </c>
    </row>
    <row r="112" spans="1:20" x14ac:dyDescent="0.35">
      <c r="A112" s="36" t="s">
        <v>10</v>
      </c>
      <c r="B112" s="37"/>
      <c r="D112" t="s">
        <v>78</v>
      </c>
      <c r="E112">
        <f ca="1">RANDBETWEEN(1,100)</f>
        <v>36</v>
      </c>
      <c r="G112" s="32" t="s">
        <v>10</v>
      </c>
      <c r="H112" s="57">
        <f>IF(E109=9,B112+E132,0)</f>
        <v>0</v>
      </c>
      <c r="L112" s="45" t="s">
        <v>10</v>
      </c>
      <c r="M112" s="138">
        <v>40</v>
      </c>
      <c r="O112" t="s">
        <v>78</v>
      </c>
      <c r="P112">
        <f ca="1">RANDBETWEEN(1,100)</f>
        <v>72</v>
      </c>
      <c r="R112" s="46" t="s">
        <v>10</v>
      </c>
      <c r="S112" s="46">
        <f>IF(P109=2,M112*1.3,M112)</f>
        <v>40</v>
      </c>
    </row>
    <row r="113" spans="1:20" x14ac:dyDescent="0.35">
      <c r="A113" s="36" t="s">
        <v>11</v>
      </c>
      <c r="B113" s="37"/>
      <c r="G113" s="32" t="s">
        <v>11</v>
      </c>
      <c r="H113" s="57"/>
      <c r="L113" s="45" t="s">
        <v>11</v>
      </c>
      <c r="M113" s="138">
        <v>15</v>
      </c>
      <c r="R113" s="46" t="s">
        <v>11</v>
      </c>
      <c r="S113" s="46">
        <v>35</v>
      </c>
    </row>
    <row r="114" spans="1:20" x14ac:dyDescent="0.35">
      <c r="A114" s="36" t="s">
        <v>15</v>
      </c>
      <c r="B114" s="37"/>
      <c r="G114" s="32" t="s">
        <v>15</v>
      </c>
      <c r="H114" s="57"/>
      <c r="L114" s="45" t="s">
        <v>15</v>
      </c>
      <c r="M114" s="138"/>
      <c r="R114" s="46" t="s">
        <v>15</v>
      </c>
      <c r="S114" s="46"/>
    </row>
    <row r="115" spans="1:20" ht="15.5" x14ac:dyDescent="0.35">
      <c r="A115" s="36" t="s">
        <v>14</v>
      </c>
      <c r="B115" s="38"/>
      <c r="G115" s="32" t="s">
        <v>14</v>
      </c>
      <c r="H115" s="57">
        <f>IF(E109=2,B115+#REF!,0)</f>
        <v>0</v>
      </c>
      <c r="L115" s="45" t="s">
        <v>14</v>
      </c>
      <c r="M115" s="138">
        <v>20</v>
      </c>
      <c r="O115" s="132" t="s">
        <v>169</v>
      </c>
      <c r="P115" s="132">
        <f>P110+M136</f>
        <v>75</v>
      </c>
      <c r="R115" s="46" t="s">
        <v>14</v>
      </c>
      <c r="S115" s="46"/>
    </row>
    <row r="116" spans="1:20" x14ac:dyDescent="0.35">
      <c r="A116" s="36" t="s">
        <v>8</v>
      </c>
      <c r="B116" s="38"/>
      <c r="G116" s="32" t="s">
        <v>8</v>
      </c>
      <c r="H116" s="57">
        <f>IF(E109=9,B116+G132,0)</f>
        <v>0</v>
      </c>
      <c r="L116" s="45" t="s">
        <v>8</v>
      </c>
      <c r="M116" s="138">
        <v>15</v>
      </c>
      <c r="R116" s="46" t="s">
        <v>8</v>
      </c>
      <c r="S116" s="46"/>
    </row>
    <row r="117" spans="1:20" x14ac:dyDescent="0.35">
      <c r="A117" s="36" t="s">
        <v>9</v>
      </c>
      <c r="B117" s="38"/>
      <c r="G117" s="32" t="s">
        <v>9</v>
      </c>
      <c r="H117" s="57"/>
      <c r="L117" s="45" t="s">
        <v>9</v>
      </c>
      <c r="M117" s="138">
        <v>7.5</v>
      </c>
      <c r="R117" s="46" t="s">
        <v>9</v>
      </c>
      <c r="S117" s="46"/>
    </row>
    <row r="118" spans="1:20" x14ac:dyDescent="0.35">
      <c r="A118" s="36" t="s">
        <v>12</v>
      </c>
      <c r="B118" s="38"/>
      <c r="G118" s="32" t="s">
        <v>12</v>
      </c>
      <c r="H118" s="57"/>
      <c r="L118" s="45" t="s">
        <v>12</v>
      </c>
      <c r="M118" s="47"/>
      <c r="R118" s="46" t="s">
        <v>12</v>
      </c>
      <c r="S118" s="46"/>
    </row>
    <row r="119" spans="1:20" x14ac:dyDescent="0.35">
      <c r="A119" s="36" t="s">
        <v>13</v>
      </c>
      <c r="B119" s="38"/>
      <c r="G119" s="32" t="s">
        <v>13</v>
      </c>
      <c r="H119" s="57"/>
      <c r="L119" s="45" t="s">
        <v>13</v>
      </c>
      <c r="M119" s="47">
        <v>15</v>
      </c>
      <c r="R119" s="46" t="s">
        <v>13</v>
      </c>
      <c r="S119" s="46"/>
    </row>
    <row r="120" spans="1:20" ht="15" thickBot="1" x14ac:dyDescent="0.4">
      <c r="A120" s="39" t="s">
        <v>16</v>
      </c>
      <c r="B120" s="40"/>
      <c r="G120" s="32" t="s">
        <v>16</v>
      </c>
      <c r="H120" s="33"/>
      <c r="L120" s="48" t="s">
        <v>16</v>
      </c>
      <c r="M120" s="49">
        <v>10</v>
      </c>
      <c r="R120" s="46" t="s">
        <v>16</v>
      </c>
      <c r="S120" s="46"/>
    </row>
    <row r="121" spans="1:20" ht="15" thickBot="1" x14ac:dyDescent="0.4">
      <c r="A121" t="s">
        <v>17</v>
      </c>
      <c r="B121" s="112" t="s">
        <v>10</v>
      </c>
      <c r="C121" s="112">
        <v>15</v>
      </c>
      <c r="D121" s="86" t="s">
        <v>86</v>
      </c>
      <c r="E121" s="86">
        <v>20</v>
      </c>
      <c r="F121" s="133" t="s">
        <v>43</v>
      </c>
      <c r="G121" s="133">
        <v>5</v>
      </c>
      <c r="L121" t="s">
        <v>17</v>
      </c>
      <c r="M121" s="34" t="s">
        <v>229</v>
      </c>
      <c r="N121" s="155">
        <v>5</v>
      </c>
      <c r="O121" t="s">
        <v>230</v>
      </c>
      <c r="P121" t="s">
        <v>231</v>
      </c>
      <c r="Q121" t="s">
        <v>232</v>
      </c>
      <c r="R121" s="46" t="s">
        <v>233</v>
      </c>
    </row>
    <row r="122" spans="1:20" x14ac:dyDescent="0.35">
      <c r="A122" t="s">
        <v>18</v>
      </c>
      <c r="L122" t="s">
        <v>18</v>
      </c>
      <c r="M122" s="34"/>
      <c r="N122" s="34"/>
    </row>
    <row r="123" spans="1:20" ht="15" thickBot="1" x14ac:dyDescent="0.4">
      <c r="A123" t="s">
        <v>19</v>
      </c>
      <c r="B123" t="s">
        <v>34</v>
      </c>
      <c r="L123" t="s">
        <v>19</v>
      </c>
      <c r="M123" s="34"/>
      <c r="N123" s="34">
        <v>5</v>
      </c>
      <c r="O123" t="s">
        <v>108</v>
      </c>
    </row>
    <row r="124" spans="1:20" ht="89" customHeight="1" thickBot="1" x14ac:dyDescent="0.4">
      <c r="A124" s="66" t="s">
        <v>20</v>
      </c>
      <c r="B124" s="354" t="s">
        <v>171</v>
      </c>
      <c r="C124" s="354"/>
      <c r="D124" s="124" t="s">
        <v>3</v>
      </c>
      <c r="E124" s="124">
        <v>-5</v>
      </c>
      <c r="F124" s="76" t="s">
        <v>71</v>
      </c>
      <c r="G124" s="76"/>
      <c r="L124" s="66" t="s">
        <v>20</v>
      </c>
      <c r="M124" s="354" t="s">
        <v>151</v>
      </c>
      <c r="N124" s="354"/>
      <c r="O124" s="124" t="s">
        <v>3</v>
      </c>
      <c r="P124" s="124">
        <v>-10</v>
      </c>
      <c r="Q124" s="76" t="s">
        <v>71</v>
      </c>
      <c r="R124" s="76">
        <v>35</v>
      </c>
    </row>
    <row r="125" spans="1:20" ht="103" customHeight="1" thickBot="1" x14ac:dyDescent="0.4">
      <c r="A125" s="11" t="s">
        <v>21</v>
      </c>
      <c r="B125" s="353" t="s">
        <v>172</v>
      </c>
      <c r="C125" s="353"/>
      <c r="D125" s="124" t="s">
        <v>3</v>
      </c>
      <c r="E125" s="124">
        <v>-5</v>
      </c>
      <c r="F125" s="7" t="s">
        <v>181</v>
      </c>
      <c r="G125" s="7"/>
      <c r="L125" s="11" t="s">
        <v>21</v>
      </c>
      <c r="M125" s="353" t="s">
        <v>152</v>
      </c>
      <c r="N125" s="353"/>
      <c r="O125" s="124" t="s">
        <v>3</v>
      </c>
      <c r="P125" s="124">
        <v>-20</v>
      </c>
      <c r="Q125" s="112" t="s">
        <v>96</v>
      </c>
      <c r="R125" s="125">
        <v>0.3</v>
      </c>
      <c r="S125" s="102"/>
    </row>
    <row r="126" spans="1:20" ht="103" customHeight="1" thickBot="1" x14ac:dyDescent="0.4">
      <c r="A126" s="11" t="s">
        <v>22</v>
      </c>
      <c r="B126" s="353" t="s">
        <v>173</v>
      </c>
      <c r="C126" s="353"/>
      <c r="D126" s="124" t="s">
        <v>3</v>
      </c>
      <c r="E126" s="124">
        <v>-5</v>
      </c>
      <c r="F126" s="133" t="s">
        <v>182</v>
      </c>
      <c r="G126" s="134">
        <v>0.1</v>
      </c>
      <c r="H126" s="86" t="s">
        <v>86</v>
      </c>
      <c r="I126" s="87"/>
      <c r="L126" s="11" t="s">
        <v>22</v>
      </c>
      <c r="M126" s="353" t="s">
        <v>162</v>
      </c>
      <c r="N126" s="353"/>
      <c r="O126" s="12" t="s">
        <v>2</v>
      </c>
      <c r="P126" s="12">
        <v>-20</v>
      </c>
      <c r="Q126" s="76" t="s">
        <v>71</v>
      </c>
      <c r="R126" s="76">
        <v>20</v>
      </c>
      <c r="S126" s="126" t="s">
        <v>168</v>
      </c>
      <c r="T126" s="127">
        <v>-0.2</v>
      </c>
    </row>
    <row r="127" spans="1:20" ht="105.5" customHeight="1" thickBot="1" x14ac:dyDescent="0.4">
      <c r="A127" s="11" t="s">
        <v>23</v>
      </c>
      <c r="B127" s="353" t="s">
        <v>174</v>
      </c>
      <c r="C127" s="353"/>
      <c r="D127" s="124" t="s">
        <v>3</v>
      </c>
      <c r="E127" s="124">
        <v>-5</v>
      </c>
      <c r="F127" s="76" t="s">
        <v>71</v>
      </c>
      <c r="G127" s="76"/>
      <c r="L127" s="11" t="s">
        <v>23</v>
      </c>
      <c r="M127" s="359" t="s">
        <v>153</v>
      </c>
      <c r="N127" s="359"/>
      <c r="O127" s="124" t="s">
        <v>3</v>
      </c>
      <c r="P127" s="124">
        <v>-5</v>
      </c>
      <c r="Q127" s="76" t="s">
        <v>71</v>
      </c>
      <c r="R127" s="76">
        <v>30</v>
      </c>
      <c r="S127" s="126" t="s">
        <v>163</v>
      </c>
      <c r="T127" s="127">
        <v>-0.25</v>
      </c>
    </row>
    <row r="128" spans="1:20" ht="109" customHeight="1" thickBot="1" x14ac:dyDescent="0.4">
      <c r="A128" s="11" t="s">
        <v>24</v>
      </c>
      <c r="B128" s="353" t="s">
        <v>175</v>
      </c>
      <c r="C128" s="353"/>
      <c r="D128" s="124" t="s">
        <v>3</v>
      </c>
      <c r="E128" s="124">
        <v>-5</v>
      </c>
      <c r="F128" s="133" t="s">
        <v>43</v>
      </c>
      <c r="G128" s="134">
        <v>0.3</v>
      </c>
      <c r="L128" s="11" t="s">
        <v>24</v>
      </c>
      <c r="M128" s="353" t="s">
        <v>154</v>
      </c>
      <c r="N128" s="353"/>
      <c r="O128" s="12" t="s">
        <v>2</v>
      </c>
      <c r="P128" s="12">
        <v>-20</v>
      </c>
      <c r="Q128" s="76" t="s">
        <v>71</v>
      </c>
      <c r="R128" s="76">
        <v>50</v>
      </c>
    </row>
    <row r="129" spans="1:20" ht="99.5" customHeight="1" thickBot="1" x14ac:dyDescent="0.4">
      <c r="A129" s="11" t="s">
        <v>25</v>
      </c>
      <c r="B129" s="353" t="s">
        <v>176</v>
      </c>
      <c r="C129" s="353"/>
      <c r="D129" s="124" t="s">
        <v>3</v>
      </c>
      <c r="E129" s="124">
        <v>-5</v>
      </c>
      <c r="F129" s="76" t="s">
        <v>71</v>
      </c>
      <c r="G129" s="76"/>
      <c r="H129" s="110" t="s">
        <v>97</v>
      </c>
      <c r="I129" s="135">
        <v>0.3</v>
      </c>
      <c r="L129" s="11" t="s">
        <v>25</v>
      </c>
      <c r="M129" s="353" t="s">
        <v>155</v>
      </c>
      <c r="N129" s="353"/>
      <c r="O129" s="124" t="s">
        <v>3</v>
      </c>
      <c r="P129" s="124">
        <v>-5</v>
      </c>
      <c r="Q129" s="76" t="s">
        <v>71</v>
      </c>
      <c r="R129" s="76">
        <v>40</v>
      </c>
    </row>
    <row r="130" spans="1:20" ht="107.5" customHeight="1" thickBot="1" x14ac:dyDescent="0.4">
      <c r="A130" s="11" t="s">
        <v>26</v>
      </c>
      <c r="B130" s="353" t="s">
        <v>177</v>
      </c>
      <c r="C130" s="353"/>
      <c r="D130" s="124" t="s">
        <v>3</v>
      </c>
      <c r="E130" s="124">
        <v>-5</v>
      </c>
      <c r="F130" s="76" t="s">
        <v>71</v>
      </c>
      <c r="G130" s="76"/>
      <c r="H130" s="133" t="s">
        <v>43</v>
      </c>
      <c r="I130" s="134">
        <v>0.2</v>
      </c>
      <c r="L130" s="11" t="s">
        <v>26</v>
      </c>
      <c r="M130" s="353" t="s">
        <v>157</v>
      </c>
      <c r="N130" s="353"/>
      <c r="O130" s="124" t="s">
        <v>3</v>
      </c>
      <c r="P130" s="124">
        <v>-5</v>
      </c>
      <c r="Q130" s="76" t="s">
        <v>71</v>
      </c>
      <c r="R130" s="76">
        <v>70</v>
      </c>
      <c r="S130" s="128" t="s">
        <v>164</v>
      </c>
      <c r="T130" s="128"/>
    </row>
    <row r="131" spans="1:20" ht="107" customHeight="1" thickBot="1" x14ac:dyDescent="0.4">
      <c r="A131" s="11" t="s">
        <v>27</v>
      </c>
      <c r="B131" s="353" t="s">
        <v>178</v>
      </c>
      <c r="C131" s="353"/>
      <c r="D131" s="124" t="s">
        <v>3</v>
      </c>
      <c r="E131" s="124">
        <v>-5</v>
      </c>
      <c r="F131" s="76" t="s">
        <v>71</v>
      </c>
      <c r="G131" s="76"/>
      <c r="H131" s="86" t="s">
        <v>183</v>
      </c>
      <c r="I131" s="87"/>
      <c r="L131" s="11" t="s">
        <v>27</v>
      </c>
      <c r="M131" s="353" t="s">
        <v>156</v>
      </c>
      <c r="N131" s="353"/>
      <c r="O131" s="124" t="s">
        <v>3</v>
      </c>
      <c r="P131" s="124">
        <v>-5</v>
      </c>
      <c r="Q131" s="76" t="s">
        <v>71</v>
      </c>
      <c r="R131" s="76">
        <v>80</v>
      </c>
      <c r="S131" s="129"/>
    </row>
    <row r="132" spans="1:20" ht="129" customHeight="1" thickBot="1" x14ac:dyDescent="0.4">
      <c r="A132" s="11" t="s">
        <v>28</v>
      </c>
      <c r="B132" s="353" t="s">
        <v>179</v>
      </c>
      <c r="C132" s="353"/>
      <c r="D132" s="124" t="s">
        <v>3</v>
      </c>
      <c r="E132" s="124">
        <v>-5</v>
      </c>
      <c r="F132" s="76" t="s">
        <v>71</v>
      </c>
      <c r="G132" s="76"/>
      <c r="H132" t="s">
        <v>184</v>
      </c>
      <c r="L132" s="11" t="s">
        <v>28</v>
      </c>
      <c r="M132" s="353" t="s">
        <v>158</v>
      </c>
      <c r="N132" s="353"/>
      <c r="O132" s="13" t="s">
        <v>167</v>
      </c>
      <c r="P132" s="13">
        <v>10</v>
      </c>
      <c r="Q132" s="12" t="s">
        <v>2</v>
      </c>
      <c r="R132" s="12">
        <v>20</v>
      </c>
      <c r="S132" s="102"/>
    </row>
    <row r="133" spans="1:20" ht="97.5" customHeight="1" thickBot="1" x14ac:dyDescent="0.4">
      <c r="A133" s="11" t="s">
        <v>29</v>
      </c>
      <c r="B133" s="353" t="s">
        <v>180</v>
      </c>
      <c r="C133" s="353"/>
      <c r="D133" s="124" t="s">
        <v>3</v>
      </c>
      <c r="E133" s="124">
        <v>-5</v>
      </c>
      <c r="F133" s="76" t="s">
        <v>71</v>
      </c>
      <c r="G133" s="76"/>
      <c r="H133" s="7" t="s">
        <v>185</v>
      </c>
      <c r="I133" s="7"/>
      <c r="L133" s="11" t="s">
        <v>29</v>
      </c>
      <c r="M133" s="353" t="s">
        <v>159</v>
      </c>
      <c r="N133" s="353"/>
      <c r="O133" s="124" t="s">
        <v>3</v>
      </c>
      <c r="P133" s="124">
        <v>-5</v>
      </c>
      <c r="Q133" s="76" t="s">
        <v>71</v>
      </c>
      <c r="R133" s="76"/>
      <c r="S133" s="116" t="s">
        <v>141</v>
      </c>
    </row>
    <row r="134" spans="1:20" ht="118" customHeight="1" thickBot="1" x14ac:dyDescent="0.4">
      <c r="A134" s="68" t="s">
        <v>73</v>
      </c>
      <c r="B134" s="69"/>
      <c r="C134" s="72" t="s">
        <v>72</v>
      </c>
      <c r="D134" s="71"/>
      <c r="E134" s="73" t="s">
        <v>74</v>
      </c>
      <c r="L134" s="11" t="s">
        <v>149</v>
      </c>
      <c r="M134" s="357" t="s">
        <v>161</v>
      </c>
      <c r="N134" s="357"/>
      <c r="O134" s="12" t="s">
        <v>2</v>
      </c>
      <c r="P134" s="12">
        <v>-20</v>
      </c>
      <c r="Q134" s="76" t="s">
        <v>71</v>
      </c>
      <c r="R134" s="76">
        <v>45</v>
      </c>
      <c r="S134" s="126" t="s">
        <v>168</v>
      </c>
      <c r="T134" s="127">
        <v>-0.1</v>
      </c>
    </row>
    <row r="135" spans="1:20" ht="105.5" customHeight="1" thickBot="1" x14ac:dyDescent="0.4">
      <c r="L135" s="11" t="s">
        <v>150</v>
      </c>
      <c r="M135" s="373" t="s">
        <v>160</v>
      </c>
      <c r="N135" s="373"/>
      <c r="O135" s="124" t="s">
        <v>3</v>
      </c>
      <c r="P135" s="124">
        <v>-5</v>
      </c>
      <c r="Q135" s="76" t="s">
        <v>71</v>
      </c>
      <c r="R135" s="76">
        <v>150</v>
      </c>
    </row>
    <row r="136" spans="1:20" ht="79" customHeight="1" x14ac:dyDescent="0.35">
      <c r="L136" s="130" t="s">
        <v>165</v>
      </c>
      <c r="M136" s="97"/>
      <c r="N136" s="131" t="s">
        <v>166</v>
      </c>
      <c r="O136" s="131"/>
    </row>
  </sheetData>
  <mergeCells count="73">
    <mergeCell ref="M135:N135"/>
    <mergeCell ref="B129:C129"/>
    <mergeCell ref="M129:N129"/>
    <mergeCell ref="B130:C130"/>
    <mergeCell ref="M130:N130"/>
    <mergeCell ref="B131:C131"/>
    <mergeCell ref="M131:N131"/>
    <mergeCell ref="B132:C132"/>
    <mergeCell ref="M132:N132"/>
    <mergeCell ref="B133:C133"/>
    <mergeCell ref="M133:N133"/>
    <mergeCell ref="M134:N134"/>
    <mergeCell ref="B126:C126"/>
    <mergeCell ref="M126:N126"/>
    <mergeCell ref="B127:C127"/>
    <mergeCell ref="M127:N127"/>
    <mergeCell ref="B128:C128"/>
    <mergeCell ref="M128:N128"/>
    <mergeCell ref="B99:C99"/>
    <mergeCell ref="M99:N99"/>
    <mergeCell ref="B124:C124"/>
    <mergeCell ref="M124:N124"/>
    <mergeCell ref="B125:C125"/>
    <mergeCell ref="M125:N125"/>
    <mergeCell ref="B96:C96"/>
    <mergeCell ref="M96:N96"/>
    <mergeCell ref="B97:C97"/>
    <mergeCell ref="M97:N97"/>
    <mergeCell ref="B98:C98"/>
    <mergeCell ref="M98:N98"/>
    <mergeCell ref="B93:C93"/>
    <mergeCell ref="M93:N93"/>
    <mergeCell ref="B94:C94"/>
    <mergeCell ref="M94:N94"/>
    <mergeCell ref="B95:C95"/>
    <mergeCell ref="M95:N95"/>
    <mergeCell ref="B90:C90"/>
    <mergeCell ref="M90:N90"/>
    <mergeCell ref="B91:C91"/>
    <mergeCell ref="M91:N91"/>
    <mergeCell ref="B92:C92"/>
    <mergeCell ref="M92:N92"/>
    <mergeCell ref="T81:U81"/>
    <mergeCell ref="B60:C60"/>
    <mergeCell ref="B61:C61"/>
    <mergeCell ref="B62:C62"/>
    <mergeCell ref="B63:C63"/>
    <mergeCell ref="B64:C64"/>
    <mergeCell ref="B65:C65"/>
    <mergeCell ref="B66:C66"/>
    <mergeCell ref="B67:C67"/>
    <mergeCell ref="T76:U76"/>
    <mergeCell ref="T77:U77"/>
    <mergeCell ref="T78:U78"/>
    <mergeCell ref="B59:C59"/>
    <mergeCell ref="A26:A27"/>
    <mergeCell ref="B26:C27"/>
    <mergeCell ref="B28:C28"/>
    <mergeCell ref="A29:A30"/>
    <mergeCell ref="B29:C30"/>
    <mergeCell ref="A31:A32"/>
    <mergeCell ref="B31:C32"/>
    <mergeCell ref="B33:C33"/>
    <mergeCell ref="B34:C34"/>
    <mergeCell ref="B35:C35"/>
    <mergeCell ref="B36:C36"/>
    <mergeCell ref="B58:C58"/>
    <mergeCell ref="B20:C20"/>
    <mergeCell ref="B21:C21"/>
    <mergeCell ref="B22:C22"/>
    <mergeCell ref="B23:C23"/>
    <mergeCell ref="A24:A25"/>
    <mergeCell ref="B24:C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2E908-2C69-406B-95BA-20712CB18E22}">
  <dimension ref="A1:AX136"/>
  <sheetViews>
    <sheetView topLeftCell="A2" zoomScale="85" zoomScaleNormal="85" workbookViewId="0">
      <selection activeCell="L14" sqref="L14"/>
    </sheetView>
  </sheetViews>
  <sheetFormatPr defaultRowHeight="14.5" x14ac:dyDescent="0.35"/>
  <cols>
    <col min="1" max="1" width="20.1796875" customWidth="1"/>
    <col min="2" max="2" width="17.1796875" customWidth="1"/>
    <col min="3" max="3" width="44.36328125" customWidth="1"/>
    <col min="4" max="4" width="22.1796875" customWidth="1"/>
    <col min="5" max="5" width="13.6328125" customWidth="1"/>
    <col min="6" max="6" width="13.36328125" customWidth="1"/>
    <col min="7" max="7" width="18.90625" customWidth="1"/>
    <col min="11" max="11" width="19.08984375" customWidth="1"/>
    <col min="12" max="12" width="21.1796875" customWidth="1"/>
    <col min="13" max="13" width="11.08984375" customWidth="1"/>
    <col min="14" max="14" width="41.6328125" customWidth="1"/>
    <col min="15" max="15" width="16.7265625" customWidth="1"/>
    <col min="17" max="17" width="18.08984375" bestFit="1" customWidth="1"/>
    <col min="18" max="18" width="17" customWidth="1"/>
    <col min="19" max="19" width="21.54296875" bestFit="1" customWidth="1"/>
    <col min="22" max="22" width="18.08984375" bestFit="1" customWidth="1"/>
    <col min="24" max="24" width="21.54296875" bestFit="1" customWidth="1"/>
    <col min="27" max="27" width="16" customWidth="1"/>
    <col min="28" max="28" width="15.08984375" customWidth="1"/>
    <col min="29" max="29" width="21.54296875" bestFit="1" customWidth="1"/>
    <col min="30" max="30" width="10.7265625" customWidth="1"/>
    <col min="32" max="32" width="16.6328125" customWidth="1"/>
    <col min="34" max="34" width="15.1796875" customWidth="1"/>
    <col min="35" max="35" width="21.54296875" bestFit="1" customWidth="1"/>
    <col min="36" max="36" width="11.6328125" customWidth="1"/>
    <col min="38" max="38" width="21.54296875" bestFit="1" customWidth="1"/>
    <col min="39" max="39" width="14.7265625" customWidth="1"/>
    <col min="43" max="43" width="25.6328125" bestFit="1" customWidth="1"/>
    <col min="44" max="44" width="27.1796875" bestFit="1" customWidth="1"/>
    <col min="45" max="45" width="35.26953125" bestFit="1" customWidth="1"/>
    <col min="46" max="46" width="17.453125" customWidth="1"/>
    <col min="47" max="47" width="24.6328125" bestFit="1" customWidth="1"/>
    <col min="48" max="48" width="34.1796875" bestFit="1" customWidth="1"/>
    <col min="49" max="49" width="24.7265625" bestFit="1" customWidth="1"/>
    <col min="50" max="50" width="26.90625" bestFit="1" customWidth="1"/>
  </cols>
  <sheetData>
    <row r="1" spans="1:50" ht="15" thickBot="1" x14ac:dyDescent="0.4">
      <c r="A1" s="41" t="s">
        <v>0</v>
      </c>
      <c r="B1" s="42" t="s">
        <v>30</v>
      </c>
      <c r="C1" s="156" t="s">
        <v>237</v>
      </c>
      <c r="D1" s="43" t="s">
        <v>0</v>
      </c>
      <c r="E1" s="44" t="s">
        <v>186</v>
      </c>
      <c r="F1" s="157" t="s">
        <v>238</v>
      </c>
      <c r="G1" s="50" t="s">
        <v>0</v>
      </c>
      <c r="H1" s="51" t="s">
        <v>55</v>
      </c>
      <c r="I1" s="157" t="s">
        <v>239</v>
      </c>
      <c r="M1" s="150" t="s">
        <v>225</v>
      </c>
      <c r="N1" s="32" t="s">
        <v>0</v>
      </c>
      <c r="O1" s="32" t="s">
        <v>30</v>
      </c>
      <c r="S1" s="43" t="s">
        <v>0</v>
      </c>
      <c r="T1" s="44" t="s">
        <v>212</v>
      </c>
      <c r="X1" s="50" t="s">
        <v>0</v>
      </c>
      <c r="Y1" s="51" t="s">
        <v>55</v>
      </c>
      <c r="AC1" s="59" t="s">
        <v>0</v>
      </c>
      <c r="AD1" s="60" t="s">
        <v>57</v>
      </c>
      <c r="AI1" s="59" t="s">
        <v>0</v>
      </c>
      <c r="AJ1" s="60" t="s">
        <v>57</v>
      </c>
      <c r="AL1" s="59" t="s">
        <v>0</v>
      </c>
      <c r="AM1" s="60" t="s">
        <v>57</v>
      </c>
      <c r="AN1" s="141" t="s">
        <v>187</v>
      </c>
      <c r="AO1" s="145" t="s">
        <v>210</v>
      </c>
      <c r="AP1" s="146">
        <v>110</v>
      </c>
      <c r="AQ1" s="144" t="s">
        <v>189</v>
      </c>
      <c r="AR1" s="143" t="s">
        <v>190</v>
      </c>
      <c r="AS1" s="142" t="s">
        <v>191</v>
      </c>
      <c r="AT1" s="149" t="s">
        <v>199</v>
      </c>
      <c r="AU1" s="69" t="s">
        <v>201</v>
      </c>
      <c r="AV1" s="97" t="s">
        <v>203</v>
      </c>
      <c r="AW1" s="150" t="s">
        <v>204</v>
      </c>
      <c r="AX1" s="151" t="s">
        <v>206</v>
      </c>
    </row>
    <row r="2" spans="1:50" x14ac:dyDescent="0.35">
      <c r="A2" s="36" t="s">
        <v>1</v>
      </c>
      <c r="B2" s="136">
        <f>gobelin!B2-gobelin!AI30</f>
        <v>63.335184670924754</v>
      </c>
      <c r="C2" t="s">
        <v>224</v>
      </c>
      <c r="D2" s="45" t="s">
        <v>1</v>
      </c>
      <c r="E2" s="138">
        <f>SAVE!E2-SAVE!AK31+14</f>
        <v>126.83018867924528</v>
      </c>
      <c r="G2" s="52" t="s">
        <v>1</v>
      </c>
      <c r="H2" s="93">
        <f>122-78</f>
        <v>44</v>
      </c>
      <c r="N2" s="32" t="s">
        <v>1</v>
      </c>
      <c r="O2" s="57">
        <f>IF(L4=1,$G$20+B2+$B$9+B35*10+E34,IF(L4=2,$G$21+B2+$B$9+B35*10+E34, IF(L4=3,$G$22+B2+$B$9+B35*10+E34,  IF(L4=4,$G$23+B2+$B$9+B35*10+E34,  IF(L4=5,$G$24+B2+$B$9+B35*10+E34,  IF(L4=6,$G$26+B2+$B$9+B35*10+E34,  IF(L4=7,$G$28+B2+$B$9+B35*10+E34,  IF(L4=9,$G$31+B2+$B$9+B35*10+E34,  IF(L4=10,$G$33+B2+$B$9+B35*10+E34,0)))))))))</f>
        <v>113.33518467092475</v>
      </c>
      <c r="S2" s="45" t="s">
        <v>1</v>
      </c>
      <c r="T2" s="46">
        <f>IF(R4=1,$G$20+E2+$B$9+B35*10+$E$35,IF(R4=2,$G$21+E2+$B$9+B35*10+$E$35, IF(R4=3,$G$22+E2+$B$9+B35*10+$E$35,  IF(R4=4,$G$23+E2+$B$9+B35*10+$E$35,  IF(R4=5,$G$24+E2+$B$9+B35*10+$E$35,  IF(R4=6,$G$26+E2+$B$9+B35*10+$E$35,  IF(R4=7,$G$28+E2+$B$9+B35*10+$E$35,  IF(R4=9,$G$31+E2+$B$9+B35*10+$E$35,  IF(R4=10,$G$33+E2+$B$9+B35*10+$E$35,0)))))))))</f>
        <v>236.83018867924528</v>
      </c>
      <c r="X2" s="52" t="s">
        <v>1</v>
      </c>
      <c r="Y2" s="53">
        <f>IF(W4=1,$G$20+H2+$B$9+$B$36*10+$E$36,IF(W4=2,$G$21+H2+$B$9+$B$36*10+$E$36, IF(W4=3,$G$22+H2+$B$9+$B$35606+$E$36,  IF(W4=4,$G$23+H2+$B$9+$B$36*10+$E$36,  IF(W4=5,$G$24+H2+$B$9+$B$36*10+$E$36,  IF(W4=6,$G$26+H2+$B$9+$B$36*10+$E$36,  IF(W4=7,$G$28+H2+$B$9+$B$36*10+$E$36,  IF(W4=9,$G$31+H2+$B$9+$B$36*10+$E$36,  IF(W4=10,$G$33+H2+$B$9+$B$36*10+$E$36,0)))))))))</f>
        <v>0</v>
      </c>
      <c r="AC2" s="61" t="s">
        <v>1</v>
      </c>
      <c r="AD2" s="158">
        <v>30</v>
      </c>
      <c r="AF2" s="100" t="s">
        <v>122</v>
      </c>
      <c r="AG2" s="71">
        <v>75</v>
      </c>
      <c r="AI2" s="61" t="s">
        <v>1</v>
      </c>
      <c r="AJ2" s="62">
        <f>IF(AE4=1,$G$20+C2+$B$9+$B$36*10+$E$36,IF(AE4=2,$G$21+C2+$B$9+$B$36*10+$E$36, IF(AE4=3,$G$22+C2+$B$9+$B$35606+$E$36,  IF(AE4=4,$G$23+C2+$B$9+$B$36*10+$E$36,  IF(AE4=5,$G$24+C2+$B$9+$B$36*10+$E$36,  IF(AE4=6,$G$26+C2+$B$9+$B$36*10+$E$36,  IF(AE4=7,$G$28+C2+$B$9+$B$36*10+$E$36,  IF(AE4=9,$G$31+C2+$B$9+$B$36*10+$E$36,  IF(AE4=10,$G$33+C2+$B$9+$B$36*10+$E$36,0)))))))))</f>
        <v>0</v>
      </c>
      <c r="AL2" s="61" t="s">
        <v>1</v>
      </c>
      <c r="AM2" s="62">
        <f>IF(AK4=1,$G$20+S2+$B$9+$B$36*10+$E$36,IF(AK4=2,$G$21+S2+$B$9+$B$36*10+$E$36, IF(AK4=3,$G$22+S2+$B$9+$B$35606+$E$36,  IF(AK4=4,$G$23+S2+$B$9+$B$36*10+$E$36,  IF(AK4=5,$G$24+S2+$B$9+$B$36*10+$E$36,  IF(AK4=6,$G$26+S2+$B$9+$B$36*10+$E$36,  IF(AK4=7,$G$28+S2+$B$9+$B$36*10+$E$36,  IF(AK4=9,$G$31+S2+$B$9+$B$36*10+$E$36,  IF(AK4=10,$G$33+S2+$B$9+$B$36*10+$E$36,0)))))))))</f>
        <v>0</v>
      </c>
      <c r="AO2" s="145" t="s">
        <v>211</v>
      </c>
      <c r="AP2" s="146">
        <v>110</v>
      </c>
      <c r="AQ2" s="2" t="s">
        <v>188</v>
      </c>
      <c r="AR2" s="2" t="s">
        <v>196</v>
      </c>
      <c r="AS2" s="2" t="s">
        <v>216</v>
      </c>
      <c r="AT2" s="116" t="s">
        <v>200</v>
      </c>
      <c r="AU2" s="147" t="s">
        <v>202</v>
      </c>
      <c r="AV2" s="152" t="s">
        <v>219</v>
      </c>
      <c r="AW2" s="116" t="s">
        <v>205</v>
      </c>
      <c r="AX2" s="147" t="s">
        <v>207</v>
      </c>
    </row>
    <row r="3" spans="1:50" x14ac:dyDescent="0.35">
      <c r="A3" s="36" t="s">
        <v>2</v>
      </c>
      <c r="B3" s="136">
        <v>74</v>
      </c>
      <c r="C3" s="34"/>
      <c r="D3" s="45" t="s">
        <v>2</v>
      </c>
      <c r="E3" s="138">
        <v>26</v>
      </c>
      <c r="G3" s="52" t="s">
        <v>2</v>
      </c>
      <c r="H3" s="93">
        <v>0</v>
      </c>
      <c r="K3" t="s">
        <v>99</v>
      </c>
      <c r="N3" s="32" t="s">
        <v>2</v>
      </c>
      <c r="O3" s="57">
        <f>IF(L4=1, B3-$E$20, IF(L4=2, B3-$E$21,IF(L4=3, B3-$E$22,IF(L4=4, B3-$E$23,IF(L4=5, B3-$E$24,IF(L4=6, B3-$E$26,IF(L4=7, B3-$E$28,IF(L4=8, B3-$E$29,IF(L4=9, B3-$E$31,IF(L4=10, B3-$E$33,0))))))))))</f>
        <v>74</v>
      </c>
      <c r="S3" s="45" t="s">
        <v>2</v>
      </c>
      <c r="T3" s="46"/>
      <c r="X3" s="52" t="s">
        <v>2</v>
      </c>
      <c r="Y3" s="53"/>
      <c r="AC3" s="61" t="s">
        <v>2</v>
      </c>
      <c r="AD3" s="158"/>
      <c r="AF3" s="99" t="s">
        <v>123</v>
      </c>
      <c r="AG3" s="96">
        <v>100</v>
      </c>
      <c r="AI3" s="61" t="s">
        <v>2</v>
      </c>
      <c r="AJ3" s="62"/>
      <c r="AL3" s="61" t="s">
        <v>2</v>
      </c>
      <c r="AM3" s="62"/>
      <c r="AO3" s="145" t="s">
        <v>213</v>
      </c>
      <c r="AP3" s="146">
        <v>110</v>
      </c>
      <c r="AQ3" s="2" t="s">
        <v>214</v>
      </c>
      <c r="AR3" s="147" t="s">
        <v>197</v>
      </c>
      <c r="AS3" s="2" t="s">
        <v>217</v>
      </c>
      <c r="AW3" s="154" t="s">
        <v>215</v>
      </c>
    </row>
    <row r="4" spans="1:50" x14ac:dyDescent="0.35">
      <c r="A4" s="36" t="s">
        <v>3</v>
      </c>
      <c r="B4" s="136">
        <v>21</v>
      </c>
      <c r="C4" s="34"/>
      <c r="D4" s="45" t="s">
        <v>3</v>
      </c>
      <c r="E4" s="138">
        <v>79</v>
      </c>
      <c r="G4" s="52" t="s">
        <v>3</v>
      </c>
      <c r="H4" s="93">
        <v>0</v>
      </c>
      <c r="K4" s="9" t="s">
        <v>51</v>
      </c>
      <c r="L4" s="25">
        <v>1</v>
      </c>
      <c r="N4" s="32" t="s">
        <v>3</v>
      </c>
      <c r="O4" s="57"/>
      <c r="Q4" s="9" t="s">
        <v>51</v>
      </c>
      <c r="R4">
        <v>10</v>
      </c>
      <c r="S4" s="45" t="s">
        <v>3</v>
      </c>
      <c r="T4" s="46"/>
      <c r="V4" s="9" t="s">
        <v>51</v>
      </c>
      <c r="X4" s="52" t="s">
        <v>3</v>
      </c>
      <c r="Y4" s="53"/>
      <c r="AC4" s="61" t="s">
        <v>3</v>
      </c>
      <c r="AD4" s="158"/>
      <c r="AF4" s="101" t="s">
        <v>121</v>
      </c>
      <c r="AG4" s="101">
        <f>AG2*(1-(AD6/(1000+AD6))) + AG3*(1-(AD7/(1000+AD7)))</f>
        <v>174.25742574257424</v>
      </c>
      <c r="AI4" s="61" t="s">
        <v>3</v>
      </c>
      <c r="AJ4" s="62"/>
      <c r="AL4" s="61" t="s">
        <v>3</v>
      </c>
      <c r="AM4" s="62"/>
      <c r="AR4" s="152" t="s">
        <v>209</v>
      </c>
      <c r="AS4" s="2" t="s">
        <v>192</v>
      </c>
      <c r="AW4" s="116" t="s">
        <v>218</v>
      </c>
    </row>
    <row r="5" spans="1:50" x14ac:dyDescent="0.35">
      <c r="A5" s="36" t="s">
        <v>4</v>
      </c>
      <c r="B5" s="136"/>
      <c r="C5" s="34"/>
      <c r="D5" s="45" t="s">
        <v>4</v>
      </c>
      <c r="E5" s="138"/>
      <c r="G5" s="52" t="s">
        <v>4</v>
      </c>
      <c r="H5" s="93">
        <v>20</v>
      </c>
      <c r="K5" t="s">
        <v>100</v>
      </c>
      <c r="L5">
        <f ca="1">RANDBETWEEN(1,100)</f>
        <v>49</v>
      </c>
      <c r="N5" s="32" t="s">
        <v>4</v>
      </c>
      <c r="O5" s="57"/>
      <c r="Q5" t="s">
        <v>100</v>
      </c>
      <c r="R5">
        <f ca="1">RANDBETWEEN(1,100)</f>
        <v>60</v>
      </c>
      <c r="S5" s="45" t="s">
        <v>4</v>
      </c>
      <c r="T5" s="46"/>
      <c r="V5" t="s">
        <v>100</v>
      </c>
      <c r="W5">
        <f ca="1">RANDBETWEEN(1,100)</f>
        <v>20</v>
      </c>
      <c r="X5" s="52" t="s">
        <v>4</v>
      </c>
      <c r="Y5" s="53"/>
      <c r="AC5" s="61" t="s">
        <v>4</v>
      </c>
      <c r="AD5" s="158"/>
      <c r="AI5" s="61" t="s">
        <v>4</v>
      </c>
      <c r="AJ5" s="62"/>
      <c r="AL5" s="61" t="s">
        <v>4</v>
      </c>
      <c r="AM5" s="62"/>
      <c r="AR5" s="152" t="s">
        <v>220</v>
      </c>
      <c r="AS5" s="2" t="s">
        <v>193</v>
      </c>
    </row>
    <row r="6" spans="1:50" x14ac:dyDescent="0.35">
      <c r="A6" s="36" t="s">
        <v>6</v>
      </c>
      <c r="B6" s="136">
        <v>10</v>
      </c>
      <c r="C6" s="153">
        <v>0.35</v>
      </c>
      <c r="D6" s="45" t="s">
        <v>6</v>
      </c>
      <c r="E6" s="138">
        <v>20</v>
      </c>
      <c r="G6" s="52" t="s">
        <v>6</v>
      </c>
      <c r="H6" s="93">
        <v>25</v>
      </c>
      <c r="K6" t="s">
        <v>52</v>
      </c>
      <c r="L6" t="s">
        <v>53</v>
      </c>
      <c r="N6" s="32" t="s">
        <v>6</v>
      </c>
      <c r="O6" s="57">
        <f>B6+B6*C6</f>
        <v>13.5</v>
      </c>
      <c r="Q6" t="s">
        <v>52</v>
      </c>
      <c r="R6" t="s">
        <v>212</v>
      </c>
      <c r="S6" s="45" t="s">
        <v>6</v>
      </c>
      <c r="T6" s="46"/>
      <c r="V6" t="s">
        <v>52</v>
      </c>
      <c r="W6" t="s">
        <v>55</v>
      </c>
      <c r="X6" s="52" t="s">
        <v>6</v>
      </c>
      <c r="Y6" s="53"/>
      <c r="AC6" s="61" t="s">
        <v>6</v>
      </c>
      <c r="AD6" s="158">
        <v>10</v>
      </c>
      <c r="AI6" s="61" t="s">
        <v>6</v>
      </c>
      <c r="AJ6" s="62"/>
      <c r="AL6" s="61" t="s">
        <v>6</v>
      </c>
      <c r="AM6" s="62"/>
      <c r="AS6" s="2" t="s">
        <v>194</v>
      </c>
    </row>
    <row r="7" spans="1:50" x14ac:dyDescent="0.35">
      <c r="A7" s="36" t="s">
        <v>7</v>
      </c>
      <c r="B7" s="136">
        <v>20</v>
      </c>
      <c r="C7" s="153">
        <v>0.15</v>
      </c>
      <c r="D7" s="45" t="s">
        <v>7</v>
      </c>
      <c r="E7" s="138">
        <v>12</v>
      </c>
      <c r="G7" s="52" t="s">
        <v>7</v>
      </c>
      <c r="H7" s="93">
        <v>20</v>
      </c>
      <c r="N7" s="32" t="s">
        <v>7</v>
      </c>
      <c r="O7" s="57">
        <f>B7+C7*B7</f>
        <v>23</v>
      </c>
      <c r="S7" s="45" t="s">
        <v>7</v>
      </c>
      <c r="T7" s="46"/>
      <c r="X7" s="52" t="s">
        <v>7</v>
      </c>
      <c r="Y7" s="53"/>
      <c r="AC7" s="61" t="s">
        <v>7</v>
      </c>
      <c r="AD7" s="158"/>
      <c r="AI7" s="61" t="s">
        <v>7</v>
      </c>
      <c r="AJ7" s="62"/>
      <c r="AL7" s="61" t="s">
        <v>7</v>
      </c>
      <c r="AM7" s="62"/>
      <c r="AS7" s="116" t="s">
        <v>195</v>
      </c>
    </row>
    <row r="8" spans="1:50" x14ac:dyDescent="0.35">
      <c r="A8" s="36" t="s">
        <v>10</v>
      </c>
      <c r="B8" s="136">
        <v>10</v>
      </c>
      <c r="C8" s="34"/>
      <c r="D8" s="45" t="s">
        <v>10</v>
      </c>
      <c r="E8" s="138">
        <v>40</v>
      </c>
      <c r="G8" s="52" t="s">
        <v>10</v>
      </c>
      <c r="H8" s="93">
        <v>30</v>
      </c>
      <c r="N8" s="32" t="s">
        <v>10</v>
      </c>
      <c r="O8" s="57"/>
      <c r="S8" s="45" t="s">
        <v>10</v>
      </c>
      <c r="T8" s="46"/>
      <c r="X8" s="52" t="s">
        <v>10</v>
      </c>
      <c r="Y8" s="53"/>
      <c r="AC8" s="61" t="s">
        <v>10</v>
      </c>
      <c r="AD8" s="158">
        <v>25</v>
      </c>
      <c r="AE8" t="s">
        <v>235</v>
      </c>
      <c r="AF8">
        <f ca="1">RANDBETWEEN(1,100)</f>
        <v>45</v>
      </c>
      <c r="AI8" s="61" t="s">
        <v>10</v>
      </c>
      <c r="AJ8" s="62"/>
      <c r="AL8" s="61" t="s">
        <v>10</v>
      </c>
      <c r="AM8" s="62"/>
      <c r="AS8" s="148" t="s">
        <v>198</v>
      </c>
    </row>
    <row r="9" spans="1:50" x14ac:dyDescent="0.35">
      <c r="A9" s="36" t="s">
        <v>11</v>
      </c>
      <c r="B9" s="136">
        <v>30</v>
      </c>
      <c r="C9" s="34"/>
      <c r="D9" s="45" t="s">
        <v>11</v>
      </c>
      <c r="E9" s="138">
        <v>15</v>
      </c>
      <c r="G9" s="52" t="s">
        <v>11</v>
      </c>
      <c r="H9" s="93">
        <v>0</v>
      </c>
      <c r="N9" s="32" t="s">
        <v>11</v>
      </c>
      <c r="O9" s="57"/>
      <c r="S9" s="45" t="s">
        <v>11</v>
      </c>
      <c r="T9" s="46"/>
      <c r="X9" s="52" t="s">
        <v>11</v>
      </c>
      <c r="Y9" s="53"/>
      <c r="AC9" s="61" t="s">
        <v>11</v>
      </c>
      <c r="AD9" s="158">
        <v>30</v>
      </c>
      <c r="AE9" t="s">
        <v>236</v>
      </c>
      <c r="AF9">
        <f ca="1">RANDBETWEEN(1,100)</f>
        <v>15</v>
      </c>
      <c r="AI9" s="61" t="s">
        <v>11</v>
      </c>
      <c r="AJ9" s="62"/>
      <c r="AL9" s="61" t="s">
        <v>11</v>
      </c>
      <c r="AM9" s="62"/>
      <c r="AS9" s="116" t="s">
        <v>208</v>
      </c>
    </row>
    <row r="10" spans="1:50" x14ac:dyDescent="0.35">
      <c r="A10" s="36" t="s">
        <v>15</v>
      </c>
      <c r="B10" s="136"/>
      <c r="C10" s="34"/>
      <c r="D10" s="45" t="s">
        <v>15</v>
      </c>
      <c r="E10" s="138"/>
      <c r="G10" s="52" t="s">
        <v>15</v>
      </c>
      <c r="H10" s="93"/>
      <c r="N10" s="32" t="s">
        <v>15</v>
      </c>
      <c r="O10" s="57"/>
      <c r="S10" s="45" t="s">
        <v>15</v>
      </c>
      <c r="T10" s="46"/>
      <c r="X10" s="52" t="s">
        <v>15</v>
      </c>
      <c r="Y10" s="53"/>
      <c r="AC10" s="61" t="s">
        <v>15</v>
      </c>
      <c r="AD10" s="158"/>
      <c r="AI10" s="61" t="s">
        <v>15</v>
      </c>
      <c r="AJ10" s="62"/>
      <c r="AL10" s="61" t="s">
        <v>15</v>
      </c>
      <c r="AM10" s="62"/>
    </row>
    <row r="11" spans="1:50" x14ac:dyDescent="0.35">
      <c r="A11" s="36" t="s">
        <v>14</v>
      </c>
      <c r="B11" s="137">
        <v>25</v>
      </c>
      <c r="C11" s="35"/>
      <c r="D11" s="45" t="s">
        <v>14</v>
      </c>
      <c r="E11" s="138">
        <v>20</v>
      </c>
      <c r="G11" s="52" t="s">
        <v>14</v>
      </c>
      <c r="H11" s="140">
        <v>12</v>
      </c>
      <c r="N11" s="32" t="s">
        <v>14</v>
      </c>
      <c r="O11" s="57"/>
      <c r="S11" s="45" t="s">
        <v>14</v>
      </c>
      <c r="T11" s="47"/>
      <c r="X11" s="52" t="s">
        <v>14</v>
      </c>
      <c r="Y11" s="54"/>
      <c r="AC11" s="61" t="s">
        <v>14</v>
      </c>
      <c r="AD11" s="158"/>
      <c r="AI11" s="61" t="s">
        <v>14</v>
      </c>
      <c r="AJ11" s="63"/>
      <c r="AL11" s="61" t="s">
        <v>14</v>
      </c>
      <c r="AM11" s="63"/>
    </row>
    <row r="12" spans="1:50" x14ac:dyDescent="0.35">
      <c r="A12" s="36" t="s">
        <v>8</v>
      </c>
      <c r="B12" s="137">
        <v>15</v>
      </c>
      <c r="C12" s="35"/>
      <c r="D12" s="45" t="s">
        <v>8</v>
      </c>
      <c r="E12" s="138">
        <v>15</v>
      </c>
      <c r="G12" s="52" t="s">
        <v>8</v>
      </c>
      <c r="H12" s="140">
        <v>15</v>
      </c>
      <c r="N12" s="32" t="s">
        <v>8</v>
      </c>
      <c r="O12" s="57"/>
      <c r="S12" s="45" t="s">
        <v>8</v>
      </c>
      <c r="T12" s="47"/>
      <c r="X12" s="52" t="s">
        <v>8</v>
      </c>
      <c r="Y12" s="54"/>
      <c r="AC12" s="61" t="s">
        <v>8</v>
      </c>
      <c r="AD12" s="159">
        <v>0.1</v>
      </c>
      <c r="AI12" s="61" t="s">
        <v>8</v>
      </c>
      <c r="AJ12" s="63"/>
      <c r="AL12" s="61" t="s">
        <v>8</v>
      </c>
      <c r="AM12" s="63"/>
    </row>
    <row r="13" spans="1:50" x14ac:dyDescent="0.35">
      <c r="A13" s="36" t="s">
        <v>9</v>
      </c>
      <c r="B13" s="137">
        <v>10</v>
      </c>
      <c r="C13" s="35"/>
      <c r="D13" s="45" t="s">
        <v>9</v>
      </c>
      <c r="E13" s="138">
        <v>7.5</v>
      </c>
      <c r="G13" s="52" t="s">
        <v>9</v>
      </c>
      <c r="H13" s="140">
        <v>5</v>
      </c>
      <c r="N13" s="32" t="s">
        <v>9</v>
      </c>
      <c r="O13" s="57"/>
      <c r="S13" s="45" t="s">
        <v>9</v>
      </c>
      <c r="T13" s="47"/>
      <c r="X13" s="52" t="s">
        <v>9</v>
      </c>
      <c r="Y13" s="54"/>
      <c r="AC13" s="61" t="s">
        <v>9</v>
      </c>
      <c r="AD13" s="159">
        <v>0.05</v>
      </c>
      <c r="AI13" s="61" t="s">
        <v>9</v>
      </c>
      <c r="AJ13" s="63"/>
      <c r="AL13" s="61" t="s">
        <v>9</v>
      </c>
      <c r="AM13" s="63"/>
    </row>
    <row r="14" spans="1:50" x14ac:dyDescent="0.35">
      <c r="A14" s="36" t="s">
        <v>12</v>
      </c>
      <c r="B14" s="137"/>
      <c r="C14" s="35"/>
      <c r="D14" s="45" t="s">
        <v>12</v>
      </c>
      <c r="E14" s="47"/>
      <c r="G14" s="52" t="s">
        <v>12</v>
      </c>
      <c r="H14" s="54"/>
      <c r="K14" s="457"/>
      <c r="N14" s="32" t="s">
        <v>12</v>
      </c>
      <c r="O14" s="57">
        <f>E18</f>
        <v>10</v>
      </c>
      <c r="S14" s="45" t="s">
        <v>12</v>
      </c>
      <c r="T14" s="47"/>
      <c r="X14" s="52" t="s">
        <v>12</v>
      </c>
      <c r="Y14" s="54"/>
      <c r="AC14" s="61" t="s">
        <v>12</v>
      </c>
      <c r="AD14" s="158"/>
      <c r="AI14" s="61" t="s">
        <v>12</v>
      </c>
      <c r="AJ14" s="63"/>
      <c r="AL14" s="61" t="s">
        <v>12</v>
      </c>
      <c r="AM14" s="63"/>
    </row>
    <row r="15" spans="1:50" x14ac:dyDescent="0.35">
      <c r="A15" s="36" t="s">
        <v>13</v>
      </c>
      <c r="B15" s="137">
        <v>15</v>
      </c>
      <c r="C15" s="35"/>
      <c r="D15" s="45" t="s">
        <v>13</v>
      </c>
      <c r="E15" s="47">
        <v>10</v>
      </c>
      <c r="G15" s="52" t="s">
        <v>13</v>
      </c>
      <c r="H15" s="54"/>
      <c r="K15" s="457"/>
      <c r="N15" s="32" t="s">
        <v>13</v>
      </c>
      <c r="O15" s="57">
        <f>IF(L4=5,B15+C18+E25+ G34, IF(L4=6,B15+C18+E27+ G34,IF(L4=8,B15+C18+G29+ G34,IF(L4=9, B15+C18+E32,B15+C18+G34))))</f>
        <v>20</v>
      </c>
      <c r="S15" s="45" t="s">
        <v>13</v>
      </c>
      <c r="T15" s="47"/>
      <c r="X15" s="52" t="s">
        <v>13</v>
      </c>
      <c r="Y15" s="54"/>
      <c r="AC15" s="61" t="s">
        <v>13</v>
      </c>
      <c r="AD15" s="158"/>
      <c r="AI15" s="61" t="s">
        <v>13</v>
      </c>
      <c r="AJ15" s="63"/>
      <c r="AL15" s="61" t="s">
        <v>13</v>
      </c>
      <c r="AM15" s="63"/>
    </row>
    <row r="16" spans="1:50" ht="15" thickBot="1" x14ac:dyDescent="0.4">
      <c r="A16" s="39" t="s">
        <v>16</v>
      </c>
      <c r="B16" s="161">
        <v>5</v>
      </c>
      <c r="C16" s="35"/>
      <c r="D16" s="48" t="s">
        <v>16</v>
      </c>
      <c r="E16" s="49">
        <v>10</v>
      </c>
      <c r="G16" s="55" t="s">
        <v>16</v>
      </c>
      <c r="H16" s="56"/>
      <c r="N16" s="32" t="s">
        <v>16</v>
      </c>
      <c r="O16" s="33"/>
      <c r="S16" s="48" t="s">
        <v>16</v>
      </c>
      <c r="T16" s="49"/>
      <c r="X16" s="55" t="s">
        <v>16</v>
      </c>
      <c r="Y16" s="56"/>
      <c r="AC16" s="64" t="s">
        <v>16</v>
      </c>
      <c r="AD16" s="160"/>
      <c r="AI16" s="64" t="s">
        <v>16</v>
      </c>
      <c r="AJ16" s="65"/>
      <c r="AL16" s="64" t="s">
        <v>16</v>
      </c>
      <c r="AM16" s="65"/>
    </row>
    <row r="17" spans="1:40" x14ac:dyDescent="0.35">
      <c r="A17" t="s">
        <v>17</v>
      </c>
      <c r="B17" t="s">
        <v>226</v>
      </c>
    </row>
    <row r="18" spans="1:40" x14ac:dyDescent="0.35">
      <c r="A18" t="s">
        <v>18</v>
      </c>
      <c r="B18" s="1" t="s">
        <v>13</v>
      </c>
      <c r="C18" s="1">
        <v>5</v>
      </c>
      <c r="D18" s="2" t="s">
        <v>12</v>
      </c>
      <c r="E18" s="2">
        <v>10</v>
      </c>
      <c r="F18" t="s">
        <v>35</v>
      </c>
      <c r="G18" s="3">
        <v>0.35</v>
      </c>
      <c r="H18" t="s">
        <v>240</v>
      </c>
    </row>
    <row r="19" spans="1:40" ht="15" thickBot="1" x14ac:dyDescent="0.4">
      <c r="A19" t="s">
        <v>19</v>
      </c>
      <c r="B19" t="s">
        <v>34</v>
      </c>
      <c r="AC19" s="95" t="s">
        <v>116</v>
      </c>
      <c r="AD19" s="71" t="s">
        <v>126</v>
      </c>
      <c r="AE19" s="71">
        <v>0</v>
      </c>
      <c r="AF19" s="96" t="s">
        <v>127</v>
      </c>
      <c r="AG19" s="96"/>
      <c r="AH19" s="70" t="s">
        <v>124</v>
      </c>
      <c r="AI19" s="70">
        <f>AE19+$AD$8</f>
        <v>25</v>
      </c>
      <c r="AJ19" s="98" t="s">
        <v>125</v>
      </c>
      <c r="AK19" s="98">
        <f>$AD$9+AG19</f>
        <v>30</v>
      </c>
      <c r="AM19" t="s">
        <v>234</v>
      </c>
      <c r="AN19">
        <v>1</v>
      </c>
    </row>
    <row r="20" spans="1:40" ht="29.5" thickBot="1" x14ac:dyDescent="0.4">
      <c r="A20" s="23" t="s">
        <v>20</v>
      </c>
      <c r="B20" s="359" t="s">
        <v>36</v>
      </c>
      <c r="C20" s="359"/>
      <c r="D20" s="12" t="s">
        <v>37</v>
      </c>
      <c r="E20" s="12"/>
      <c r="F20" s="13" t="s">
        <v>38</v>
      </c>
      <c r="G20" s="26">
        <v>20</v>
      </c>
      <c r="AC20" s="95" t="s">
        <v>115</v>
      </c>
      <c r="AD20" s="71" t="s">
        <v>126</v>
      </c>
      <c r="AE20" s="71">
        <v>13</v>
      </c>
      <c r="AF20" s="96"/>
      <c r="AG20" s="96"/>
      <c r="AH20" s="70" t="s">
        <v>124</v>
      </c>
      <c r="AI20" s="70">
        <f t="shared" ref="AI20:AI24" si="0">AE20+$AD$8</f>
        <v>38</v>
      </c>
      <c r="AJ20" s="98" t="s">
        <v>125</v>
      </c>
      <c r="AK20" s="98">
        <f t="shared" ref="AK20:AK24" si="1">$AD$9+AG20</f>
        <v>30</v>
      </c>
    </row>
    <row r="21" spans="1:40" ht="73" customHeight="1" thickBot="1" x14ac:dyDescent="0.4">
      <c r="A21" s="11" t="s">
        <v>21</v>
      </c>
      <c r="B21" s="359" t="s">
        <v>39</v>
      </c>
      <c r="C21" s="359"/>
      <c r="D21" s="12" t="s">
        <v>37</v>
      </c>
      <c r="E21" s="12"/>
      <c r="F21" s="13" t="s">
        <v>38</v>
      </c>
      <c r="G21" s="26">
        <v>30</v>
      </c>
      <c r="AC21" s="95" t="s">
        <v>117</v>
      </c>
      <c r="AD21" s="71" t="s">
        <v>126</v>
      </c>
      <c r="AE21" s="71"/>
      <c r="AF21" s="96"/>
      <c r="AG21" s="96"/>
      <c r="AH21" s="70" t="s">
        <v>124</v>
      </c>
      <c r="AI21" s="70">
        <f t="shared" si="0"/>
        <v>25</v>
      </c>
      <c r="AJ21" s="98" t="s">
        <v>125</v>
      </c>
      <c r="AK21" s="98">
        <f t="shared" si="1"/>
        <v>30</v>
      </c>
    </row>
    <row r="22" spans="1:40" ht="44" customHeight="1" thickBot="1" x14ac:dyDescent="0.4">
      <c r="A22" s="11" t="s">
        <v>22</v>
      </c>
      <c r="B22" s="359" t="s">
        <v>40</v>
      </c>
      <c r="C22" s="359"/>
      <c r="D22" s="12" t="s">
        <v>37</v>
      </c>
      <c r="E22" s="12"/>
      <c r="F22" s="13" t="s">
        <v>38</v>
      </c>
      <c r="G22" s="26">
        <v>40</v>
      </c>
      <c r="AC22" s="95" t="s">
        <v>118</v>
      </c>
      <c r="AD22" s="71" t="s">
        <v>126</v>
      </c>
      <c r="AE22" s="71"/>
      <c r="AF22" s="96"/>
      <c r="AG22" s="96"/>
      <c r="AH22" s="70" t="s">
        <v>124</v>
      </c>
      <c r="AI22" s="70">
        <f t="shared" si="0"/>
        <v>25</v>
      </c>
      <c r="AJ22" s="98" t="s">
        <v>125</v>
      </c>
      <c r="AK22" s="98">
        <f t="shared" si="1"/>
        <v>30</v>
      </c>
    </row>
    <row r="23" spans="1:40" ht="87.5" customHeight="1" thickBot="1" x14ac:dyDescent="0.4">
      <c r="A23" s="11" t="s">
        <v>23</v>
      </c>
      <c r="B23" s="359" t="s">
        <v>41</v>
      </c>
      <c r="C23" s="359"/>
      <c r="D23" s="12" t="s">
        <v>37</v>
      </c>
      <c r="E23" s="12"/>
      <c r="F23" s="13" t="s">
        <v>38</v>
      </c>
      <c r="G23" s="26">
        <v>60</v>
      </c>
      <c r="AC23" s="95" t="s">
        <v>119</v>
      </c>
      <c r="AD23" s="71" t="s">
        <v>126</v>
      </c>
      <c r="AE23" s="71"/>
      <c r="AF23" s="96"/>
      <c r="AG23" s="96"/>
      <c r="AH23" s="70" t="s">
        <v>124</v>
      </c>
      <c r="AI23" s="70">
        <f t="shared" si="0"/>
        <v>25</v>
      </c>
      <c r="AJ23" s="98" t="s">
        <v>125</v>
      </c>
      <c r="AK23" s="98">
        <f t="shared" si="1"/>
        <v>30</v>
      </c>
    </row>
    <row r="24" spans="1:40" ht="72.5" customHeight="1" x14ac:dyDescent="0.35">
      <c r="A24" s="355" t="s">
        <v>24</v>
      </c>
      <c r="B24" s="357" t="s">
        <v>42</v>
      </c>
      <c r="C24" s="357"/>
      <c r="D24" s="14" t="s">
        <v>37</v>
      </c>
      <c r="E24" s="14"/>
      <c r="F24" s="15" t="s">
        <v>38</v>
      </c>
      <c r="G24" s="27">
        <v>25</v>
      </c>
      <c r="AC24" s="95" t="s">
        <v>120</v>
      </c>
      <c r="AD24" s="71" t="s">
        <v>126</v>
      </c>
      <c r="AE24" s="71"/>
      <c r="AF24" s="96"/>
      <c r="AG24" s="96"/>
      <c r="AH24" s="70" t="s">
        <v>124</v>
      </c>
      <c r="AI24" s="70">
        <f t="shared" si="0"/>
        <v>25</v>
      </c>
      <c r="AJ24" s="98" t="s">
        <v>125</v>
      </c>
      <c r="AK24" s="98">
        <f t="shared" si="1"/>
        <v>30</v>
      </c>
    </row>
    <row r="25" spans="1:40" ht="15" thickBot="1" x14ac:dyDescent="0.4">
      <c r="A25" s="356"/>
      <c r="B25" s="358"/>
      <c r="C25" s="358"/>
      <c r="D25" s="16" t="s">
        <v>13</v>
      </c>
      <c r="E25" s="21">
        <v>5</v>
      </c>
      <c r="F25" s="22" t="s">
        <v>43</v>
      </c>
      <c r="G25" s="28">
        <v>-0.04</v>
      </c>
    </row>
    <row r="26" spans="1:40" ht="72.5" customHeight="1" x14ac:dyDescent="0.35">
      <c r="A26" s="355" t="s">
        <v>25</v>
      </c>
      <c r="B26" s="357" t="s">
        <v>44</v>
      </c>
      <c r="C26" s="357"/>
      <c r="D26" s="14" t="s">
        <v>37</v>
      </c>
      <c r="E26" s="14"/>
      <c r="F26" s="15" t="s">
        <v>38</v>
      </c>
      <c r="G26" s="27">
        <v>15</v>
      </c>
      <c r="AH26" s="118" t="s">
        <v>142</v>
      </c>
      <c r="AI26" s="70">
        <f>SUM(AI19:AI24)</f>
        <v>163</v>
      </c>
      <c r="AJ26" s="119" t="s">
        <v>143</v>
      </c>
      <c r="AK26" s="98">
        <f>SUM(AK19:AK24)</f>
        <v>180</v>
      </c>
    </row>
    <row r="27" spans="1:40" ht="15" thickBot="1" x14ac:dyDescent="0.4">
      <c r="A27" s="356"/>
      <c r="B27" s="358"/>
      <c r="C27" s="358"/>
      <c r="D27" s="16" t="s">
        <v>13</v>
      </c>
      <c r="E27" s="21">
        <v>15</v>
      </c>
      <c r="F27" s="17"/>
      <c r="G27" s="29"/>
    </row>
    <row r="28" spans="1:40" ht="44" customHeight="1" thickBot="1" x14ac:dyDescent="0.4">
      <c r="A28" s="11" t="s">
        <v>26</v>
      </c>
      <c r="B28" s="359" t="s">
        <v>45</v>
      </c>
      <c r="C28" s="359"/>
      <c r="D28" s="12" t="s">
        <v>37</v>
      </c>
      <c r="E28" s="12"/>
      <c r="F28" s="13" t="s">
        <v>38</v>
      </c>
      <c r="G28" s="26">
        <v>50</v>
      </c>
      <c r="AH28" s="4" t="s">
        <v>144</v>
      </c>
      <c r="AI28">
        <f>IF($AN$19=1,$AI$19*(1-(O6/(1000+O6))),IF($AN$19=2,$AK$19*(1-(O7/(1000+O7))),IF($AN$19=3,$AI$20*(1-(O7/(1000+O7))),IF($AN$19=4,$AK$20*(1-(O7/(1000+O7))),0))))</f>
        <v>24.666995559940798</v>
      </c>
    </row>
    <row r="29" spans="1:40" ht="87" customHeight="1" x14ac:dyDescent="0.35">
      <c r="A29" s="360" t="s">
        <v>27</v>
      </c>
      <c r="B29" s="357" t="s">
        <v>46</v>
      </c>
      <c r="C29" s="357"/>
      <c r="D29" s="14" t="s">
        <v>37</v>
      </c>
      <c r="E29" s="14"/>
      <c r="F29" s="18" t="s">
        <v>13</v>
      </c>
      <c r="G29" s="30">
        <v>10</v>
      </c>
      <c r="AH29" s="73" t="s">
        <v>145</v>
      </c>
      <c r="AI29">
        <f>IF($AN$19=1,$AI$19*(1-(H44/(1000+H44))),IF($AN$19=2,$AK$19*(1-(H45/(1000+H45))),IF($AN$19=3,$AI$20*(1-(H44/(1000+H44))),IF($AN$19=4,$AK$20*(1-(H45/(1000+H45))),0))))</f>
        <v>25</v>
      </c>
    </row>
    <row r="30" spans="1:40" ht="29.5" thickBot="1" x14ac:dyDescent="0.4">
      <c r="A30" s="361"/>
      <c r="B30" s="358"/>
      <c r="C30" s="358"/>
      <c r="D30" s="19" t="s">
        <v>49</v>
      </c>
      <c r="E30" s="20" t="s">
        <v>50</v>
      </c>
      <c r="F30" s="17"/>
      <c r="G30" s="29"/>
      <c r="AH30" s="73" t="s">
        <v>146</v>
      </c>
      <c r="AI30">
        <f>IF($AN$19=1,$AI$19*(1-(H76/(1000+H76))),IF($AN$19=2,$AK$19*(1-(H77/(1000+H77))),IF($AN$19=3,$AI$20*(1-(H76/(1000+H76))),IF($AN$19=4,$AK$20*(1-(H77/(1000+H77))),0))))</f>
        <v>24.03846153846154</v>
      </c>
    </row>
    <row r="31" spans="1:40" ht="58" customHeight="1" x14ac:dyDescent="0.35">
      <c r="A31" s="355" t="s">
        <v>28</v>
      </c>
      <c r="B31" s="357" t="s">
        <v>47</v>
      </c>
      <c r="C31" s="357"/>
      <c r="D31" s="14" t="s">
        <v>37</v>
      </c>
      <c r="E31" s="14"/>
      <c r="F31" s="15" t="s">
        <v>38</v>
      </c>
      <c r="G31" s="27">
        <v>60</v>
      </c>
      <c r="AH31" s="4" t="s">
        <v>147</v>
      </c>
      <c r="AI31">
        <f>IF($AN$19=1,$AI$19*(1-(M110/(1000+M110))),IF($AN$19=2,$AK$19*(1-(M111/(1000+M111))),IF($AN$19=3,$AI$20*(1-(M110/(1000+M110))),IF($AN$19=4,$AK$20*(1-(M111/(1000+M111))),0))))</f>
        <v>24.509803921568626</v>
      </c>
    </row>
    <row r="32" spans="1:40" ht="29.5" thickBot="1" x14ac:dyDescent="0.4">
      <c r="A32" s="356"/>
      <c r="B32" s="358"/>
      <c r="C32" s="358"/>
      <c r="D32" s="16" t="s">
        <v>13</v>
      </c>
      <c r="E32" s="16">
        <v>10</v>
      </c>
      <c r="F32" s="17"/>
      <c r="G32" s="29"/>
      <c r="AH32" s="4" t="s">
        <v>148</v>
      </c>
      <c r="AI32">
        <f>IF($AN$19=1,$AI$19*(1-(V76/(1000+V76))),IF($AN$19=2,$AK$19*(1-(V77/(1000+V77))),IF($AN$19=3,$AI$20*(1-(V76/(1000+V76))),IF($AN$19=4,$AK$20*(1-(V77/(1000+V77))),0))))</f>
        <v>24.390243902439025</v>
      </c>
    </row>
    <row r="33" spans="1:8" ht="102" customHeight="1" thickBot="1" x14ac:dyDescent="0.4">
      <c r="A33" s="11" t="s">
        <v>29</v>
      </c>
      <c r="B33" s="402" t="s">
        <v>48</v>
      </c>
      <c r="C33" s="402"/>
      <c r="D33" s="12" t="s">
        <v>37</v>
      </c>
      <c r="E33" s="12"/>
      <c r="F33" s="13" t="s">
        <v>38</v>
      </c>
      <c r="G33" s="26">
        <v>80</v>
      </c>
    </row>
    <row r="34" spans="1:8" ht="58.5" thickBot="1" x14ac:dyDescent="0.4">
      <c r="A34" s="58" t="s">
        <v>33</v>
      </c>
      <c r="B34" s="403"/>
      <c r="C34" s="403"/>
      <c r="D34" s="24" t="s">
        <v>54</v>
      </c>
      <c r="E34" s="24"/>
      <c r="F34" s="16" t="s">
        <v>56</v>
      </c>
      <c r="G34" s="16"/>
      <c r="H34" t="s">
        <v>66</v>
      </c>
    </row>
    <row r="35" spans="1:8" ht="58.5" thickBot="1" x14ac:dyDescent="0.4">
      <c r="A35" s="58" t="s">
        <v>31</v>
      </c>
      <c r="B35" s="404"/>
      <c r="C35" s="404"/>
      <c r="D35" s="24" t="s">
        <v>54</v>
      </c>
      <c r="E35" s="24"/>
      <c r="F35" s="16" t="s">
        <v>56</v>
      </c>
      <c r="G35" s="16"/>
    </row>
    <row r="36" spans="1:8" ht="58.5" thickBot="1" x14ac:dyDescent="0.4">
      <c r="A36" s="58" t="s">
        <v>32</v>
      </c>
      <c r="B36" s="405"/>
      <c r="C36" s="405"/>
      <c r="D36" s="24" t="s">
        <v>54</v>
      </c>
      <c r="E36" s="24"/>
      <c r="F36" s="16" t="s">
        <v>56</v>
      </c>
      <c r="G36" s="16"/>
    </row>
    <row r="38" spans="1:8" ht="15" thickBot="1" x14ac:dyDescent="0.4"/>
    <row r="39" spans="1:8" ht="15" thickBot="1" x14ac:dyDescent="0.4">
      <c r="A39" s="41" t="s">
        <v>0</v>
      </c>
      <c r="B39" s="42" t="s">
        <v>58</v>
      </c>
      <c r="G39" s="32" t="s">
        <v>0</v>
      </c>
      <c r="H39" s="32" t="s">
        <v>58</v>
      </c>
    </row>
    <row r="40" spans="1:8" x14ac:dyDescent="0.35">
      <c r="A40" s="36" t="s">
        <v>1</v>
      </c>
      <c r="B40" s="37">
        <f>B2</f>
        <v>63.335184670924754</v>
      </c>
      <c r="G40" s="32" t="s">
        <v>1</v>
      </c>
      <c r="H40" s="57"/>
    </row>
    <row r="41" spans="1:8" x14ac:dyDescent="0.35">
      <c r="A41" s="36" t="s">
        <v>2</v>
      </c>
      <c r="B41" s="37">
        <f t="shared" ref="B41:B54" si="2">B3</f>
        <v>74</v>
      </c>
      <c r="G41" s="32" t="s">
        <v>2</v>
      </c>
      <c r="H41" s="57">
        <f>IF(E44=1, G34+B41-E58,IF(E44=2, G34+B41-E59, IF(E44=3, G34+B41-E60, IF(E44=4, G34+B41-E61, IF(E44=5, G34+B41-E62, IF(E44=6, G34+B41-E63, IF(E44=7, G34+B41-E64, IF(E44=8, G34+B41-E65, IF(E44=9, G34+B41-E66, IF(E44=10, G34+B41-E67,0))))))))))</f>
        <v>74</v>
      </c>
    </row>
    <row r="42" spans="1:8" x14ac:dyDescent="0.35">
      <c r="A42" s="36" t="s">
        <v>3</v>
      </c>
      <c r="B42" s="37">
        <f t="shared" si="2"/>
        <v>21</v>
      </c>
      <c r="G42" s="32" t="s">
        <v>3</v>
      </c>
      <c r="H42" s="57"/>
    </row>
    <row r="43" spans="1:8" x14ac:dyDescent="0.35">
      <c r="A43" s="36" t="s">
        <v>4</v>
      </c>
      <c r="B43" s="37">
        <f t="shared" si="2"/>
        <v>0</v>
      </c>
      <c r="G43" s="32" t="s">
        <v>4</v>
      </c>
      <c r="H43" s="57"/>
    </row>
    <row r="44" spans="1:8" x14ac:dyDescent="0.35">
      <c r="A44" s="36" t="s">
        <v>6</v>
      </c>
      <c r="B44" s="37">
        <f t="shared" si="2"/>
        <v>10</v>
      </c>
      <c r="D44" t="s">
        <v>76</v>
      </c>
      <c r="E44">
        <v>6</v>
      </c>
      <c r="G44" s="32" t="s">
        <v>6</v>
      </c>
      <c r="H44" s="57"/>
    </row>
    <row r="45" spans="1:8" x14ac:dyDescent="0.35">
      <c r="A45" s="36" t="s">
        <v>7</v>
      </c>
      <c r="B45" s="37">
        <f t="shared" si="2"/>
        <v>20</v>
      </c>
      <c r="D45" t="s">
        <v>75</v>
      </c>
      <c r="E45">
        <f>IF(E44=1,B47+D56+G58+B68*10+D68,IF(E44=2,B47+D56+G59+B68*10+D68, IF(E44=3,B47+D56+G60+B68*10+D68,  IF(E44=4,B47+D56+G61+B68*10+D68,  IF(E44=5,B47+D56+G62+B68*10+D68,  IF(E44=6,B47+D56+G63+B68*10+D68,  IF(E44=7,B47+D56+G64+B68*10+D68,  IF(E44=8,B47+D56+G65+B68*10+D68,  IF(E44=9,B47+D56+G66+B68*10+D68,IF(E44=10,B47+D56+G67+B68*10+D68,0))))))))))</f>
        <v>40</v>
      </c>
      <c r="G45" s="32" t="s">
        <v>7</v>
      </c>
      <c r="H45" s="57"/>
    </row>
    <row r="46" spans="1:8" x14ac:dyDescent="0.35">
      <c r="A46" s="36" t="s">
        <v>10</v>
      </c>
      <c r="B46" s="37">
        <f t="shared" si="2"/>
        <v>10</v>
      </c>
      <c r="D46" t="s">
        <v>77</v>
      </c>
      <c r="E46">
        <f ca="1">RANDBETWEEN(1,100)</f>
        <v>54</v>
      </c>
      <c r="G46" s="32" t="s">
        <v>10</v>
      </c>
      <c r="H46" s="57"/>
    </row>
    <row r="47" spans="1:8" x14ac:dyDescent="0.35">
      <c r="A47" s="36" t="s">
        <v>11</v>
      </c>
      <c r="B47" s="37">
        <f t="shared" si="2"/>
        <v>30</v>
      </c>
      <c r="D47" t="s">
        <v>78</v>
      </c>
      <c r="E47">
        <f ca="1">RANDBETWEEN(1,100)</f>
        <v>97</v>
      </c>
      <c r="G47" s="32" t="s">
        <v>11</v>
      </c>
      <c r="H47" s="57"/>
    </row>
    <row r="48" spans="1:8" x14ac:dyDescent="0.35">
      <c r="A48" s="36" t="s">
        <v>15</v>
      </c>
      <c r="B48" s="37">
        <f t="shared" si="2"/>
        <v>0</v>
      </c>
      <c r="G48" s="32" t="s">
        <v>15</v>
      </c>
      <c r="H48" s="57"/>
    </row>
    <row r="49" spans="1:8" x14ac:dyDescent="0.35">
      <c r="A49" s="36" t="s">
        <v>14</v>
      </c>
      <c r="B49" s="37">
        <f t="shared" si="2"/>
        <v>25</v>
      </c>
      <c r="G49" s="32" t="s">
        <v>14</v>
      </c>
      <c r="H49" s="57"/>
    </row>
    <row r="50" spans="1:8" x14ac:dyDescent="0.35">
      <c r="A50" s="36" t="s">
        <v>8</v>
      </c>
      <c r="B50" s="37">
        <f t="shared" si="2"/>
        <v>15</v>
      </c>
      <c r="G50" s="32" t="s">
        <v>8</v>
      </c>
      <c r="H50" s="57"/>
    </row>
    <row r="51" spans="1:8" x14ac:dyDescent="0.35">
      <c r="A51" s="36" t="s">
        <v>9</v>
      </c>
      <c r="B51" s="37">
        <f t="shared" si="2"/>
        <v>10</v>
      </c>
      <c r="G51" s="32" t="s">
        <v>9</v>
      </c>
      <c r="H51" s="57"/>
    </row>
    <row r="52" spans="1:8" x14ac:dyDescent="0.35">
      <c r="A52" s="36" t="s">
        <v>12</v>
      </c>
      <c r="B52" s="37">
        <f t="shared" si="2"/>
        <v>0</v>
      </c>
      <c r="G52" s="32" t="s">
        <v>12</v>
      </c>
      <c r="H52" s="57"/>
    </row>
    <row r="53" spans="1:8" x14ac:dyDescent="0.35">
      <c r="A53" s="36" t="s">
        <v>13</v>
      </c>
      <c r="B53" s="37">
        <f t="shared" si="2"/>
        <v>15</v>
      </c>
      <c r="G53" s="32" t="s">
        <v>13</v>
      </c>
      <c r="H53" s="57"/>
    </row>
    <row r="54" spans="1:8" ht="15" thickBot="1" x14ac:dyDescent="0.4">
      <c r="A54" s="39" t="s">
        <v>16</v>
      </c>
      <c r="B54" s="37">
        <f t="shared" si="2"/>
        <v>5</v>
      </c>
      <c r="G54" s="32" t="s">
        <v>16</v>
      </c>
      <c r="H54" s="33"/>
    </row>
    <row r="55" spans="1:8" x14ac:dyDescent="0.35">
      <c r="A55" t="s">
        <v>17</v>
      </c>
    </row>
    <row r="56" spans="1:8" x14ac:dyDescent="0.35">
      <c r="A56" t="s">
        <v>18</v>
      </c>
      <c r="B56" t="s">
        <v>59</v>
      </c>
      <c r="D56" s="71">
        <v>10</v>
      </c>
    </row>
    <row r="57" spans="1:8" ht="15" thickBot="1" x14ac:dyDescent="0.4">
      <c r="A57" t="s">
        <v>19</v>
      </c>
      <c r="B57" t="s">
        <v>34</v>
      </c>
    </row>
    <row r="58" spans="1:8" ht="53" customHeight="1" thickBot="1" x14ac:dyDescent="0.4">
      <c r="A58" s="11" t="s">
        <v>20</v>
      </c>
      <c r="B58" s="359" t="s">
        <v>60</v>
      </c>
      <c r="C58" s="359"/>
      <c r="D58" s="12" t="s">
        <v>37</v>
      </c>
      <c r="E58" s="12"/>
      <c r="F58" s="76" t="s">
        <v>71</v>
      </c>
      <c r="G58" s="77"/>
    </row>
    <row r="59" spans="1:8" ht="44" customHeight="1" thickBot="1" x14ac:dyDescent="0.4">
      <c r="A59" s="11" t="s">
        <v>21</v>
      </c>
      <c r="B59" s="359" t="s">
        <v>61</v>
      </c>
      <c r="C59" s="359"/>
      <c r="D59" s="12" t="s">
        <v>37</v>
      </c>
      <c r="E59" s="12"/>
      <c r="F59" s="76" t="s">
        <v>71</v>
      </c>
      <c r="G59" s="77"/>
    </row>
    <row r="60" spans="1:8" ht="58" customHeight="1" thickBot="1" x14ac:dyDescent="0.4">
      <c r="A60" s="11" t="s">
        <v>22</v>
      </c>
      <c r="B60" s="359" t="s">
        <v>62</v>
      </c>
      <c r="C60" s="359"/>
      <c r="D60" s="12" t="s">
        <v>37</v>
      </c>
      <c r="E60" s="12"/>
      <c r="F60" s="76" t="s">
        <v>71</v>
      </c>
      <c r="G60" s="77"/>
    </row>
    <row r="61" spans="1:8" ht="56" customHeight="1" thickBot="1" x14ac:dyDescent="0.4">
      <c r="A61" s="11" t="s">
        <v>23</v>
      </c>
      <c r="B61" s="353" t="s">
        <v>64</v>
      </c>
      <c r="C61" s="369"/>
      <c r="D61" s="12" t="s">
        <v>37</v>
      </c>
      <c r="E61" s="12"/>
      <c r="F61" s="76" t="s">
        <v>71</v>
      </c>
      <c r="G61" s="77"/>
    </row>
    <row r="62" spans="1:8" ht="52.5" customHeight="1" thickBot="1" x14ac:dyDescent="0.4">
      <c r="A62" s="11" t="s">
        <v>24</v>
      </c>
      <c r="B62" s="353" t="s">
        <v>63</v>
      </c>
      <c r="C62" s="353"/>
      <c r="D62" s="12" t="s">
        <v>37</v>
      </c>
      <c r="E62" s="12"/>
      <c r="F62" s="76" t="s">
        <v>71</v>
      </c>
      <c r="G62" s="77"/>
    </row>
    <row r="63" spans="1:8" ht="68" customHeight="1" thickBot="1" x14ac:dyDescent="0.4">
      <c r="A63" s="11" t="s">
        <v>25</v>
      </c>
      <c r="B63" s="359" t="s">
        <v>65</v>
      </c>
      <c r="C63" s="359"/>
      <c r="D63" s="12" t="s">
        <v>37</v>
      </c>
      <c r="E63" s="12"/>
      <c r="F63" s="76" t="s">
        <v>71</v>
      </c>
      <c r="G63" s="77"/>
    </row>
    <row r="64" spans="1:8" ht="57" customHeight="1" thickBot="1" x14ac:dyDescent="0.4">
      <c r="A64" s="11" t="s">
        <v>26</v>
      </c>
      <c r="B64" s="353" t="s">
        <v>67</v>
      </c>
      <c r="C64" s="353"/>
      <c r="D64" s="12" t="s">
        <v>37</v>
      </c>
      <c r="E64" s="12"/>
      <c r="F64" s="76" t="s">
        <v>71</v>
      </c>
      <c r="G64" s="77"/>
    </row>
    <row r="65" spans="1:24" ht="73" customHeight="1" thickBot="1" x14ac:dyDescent="0.4">
      <c r="A65" s="78" t="s">
        <v>27</v>
      </c>
      <c r="B65" s="353" t="s">
        <v>68</v>
      </c>
      <c r="C65" s="353"/>
      <c r="D65" s="12" t="s">
        <v>37</v>
      </c>
      <c r="E65" s="12"/>
      <c r="F65" s="76" t="s">
        <v>71</v>
      </c>
      <c r="G65" s="77"/>
    </row>
    <row r="66" spans="1:24" ht="88" customHeight="1" thickBot="1" x14ac:dyDescent="0.4">
      <c r="A66" s="11" t="s">
        <v>28</v>
      </c>
      <c r="B66" s="359" t="s">
        <v>69</v>
      </c>
      <c r="C66" s="359"/>
      <c r="D66" s="12" t="s">
        <v>37</v>
      </c>
      <c r="E66" s="12"/>
      <c r="F66" s="76" t="s">
        <v>71</v>
      </c>
      <c r="G66" s="77"/>
    </row>
    <row r="67" spans="1:24" ht="88" customHeight="1" thickBot="1" x14ac:dyDescent="0.4">
      <c r="A67" s="11" t="s">
        <v>29</v>
      </c>
      <c r="B67" s="353" t="s">
        <v>70</v>
      </c>
      <c r="C67" s="353"/>
      <c r="D67" s="12" t="s">
        <v>37</v>
      </c>
      <c r="E67" s="12"/>
      <c r="F67" s="76" t="s">
        <v>71</v>
      </c>
      <c r="G67" s="77"/>
    </row>
    <row r="68" spans="1:24" ht="97" customHeight="1" thickBot="1" x14ac:dyDescent="0.4">
      <c r="A68" s="68" t="s">
        <v>73</v>
      </c>
      <c r="B68" s="69"/>
      <c r="C68" s="72" t="s">
        <v>72</v>
      </c>
      <c r="D68" s="71"/>
      <c r="E68" s="73" t="s">
        <v>74</v>
      </c>
      <c r="G68" s="16" t="s">
        <v>56</v>
      </c>
      <c r="H68" s="16"/>
    </row>
    <row r="69" spans="1:24" ht="15" thickBot="1" x14ac:dyDescent="0.4">
      <c r="O69" t="s">
        <v>104</v>
      </c>
    </row>
    <row r="70" spans="1:24" ht="15" thickBot="1" x14ac:dyDescent="0.4">
      <c r="O70" s="31" t="s">
        <v>105</v>
      </c>
      <c r="P70" s="84">
        <v>0.15</v>
      </c>
      <c r="Q70" s="85">
        <v>0.15</v>
      </c>
    </row>
    <row r="71" spans="1:24" ht="15" thickBot="1" x14ac:dyDescent="0.4">
      <c r="A71" s="41" t="s">
        <v>0</v>
      </c>
      <c r="B71" s="42" t="s">
        <v>79</v>
      </c>
      <c r="G71" s="32" t="s">
        <v>0</v>
      </c>
      <c r="H71" s="32" t="s">
        <v>79</v>
      </c>
      <c r="L71" s="53" t="s">
        <v>0</v>
      </c>
      <c r="M71" s="53" t="s">
        <v>55</v>
      </c>
      <c r="O71" t="s">
        <v>106</v>
      </c>
      <c r="P71" s="89">
        <v>0.15</v>
      </c>
      <c r="Q71" s="88">
        <v>0.15</v>
      </c>
      <c r="R71" s="53" t="s">
        <v>0</v>
      </c>
      <c r="S71" s="53" t="s">
        <v>55</v>
      </c>
    </row>
    <row r="72" spans="1:24" x14ac:dyDescent="0.35">
      <c r="A72" s="36" t="s">
        <v>1</v>
      </c>
      <c r="B72" s="37"/>
      <c r="G72" s="32" t="s">
        <v>1</v>
      </c>
      <c r="H72" s="57"/>
      <c r="L72" s="53" t="s">
        <v>1</v>
      </c>
      <c r="M72" s="92">
        <v>55</v>
      </c>
      <c r="O72" t="s">
        <v>107</v>
      </c>
      <c r="P72" s="90">
        <v>7.0000000000000007E-2</v>
      </c>
      <c r="Q72" s="2">
        <v>10</v>
      </c>
      <c r="R72" s="53" t="s">
        <v>1</v>
      </c>
      <c r="S72" s="53">
        <f>IF(P73=1,M72*1.15,IF(P73=2,M72,IF(P73=3,M72,0)))</f>
        <v>55</v>
      </c>
      <c r="X72" t="s">
        <v>114</v>
      </c>
    </row>
    <row r="73" spans="1:24" x14ac:dyDescent="0.35">
      <c r="A73" s="36" t="s">
        <v>2</v>
      </c>
      <c r="B73" s="37"/>
      <c r="G73" s="32" t="s">
        <v>2</v>
      </c>
      <c r="H73" s="57"/>
      <c r="L73" s="53" t="s">
        <v>2</v>
      </c>
      <c r="M73" s="53"/>
      <c r="O73" t="s">
        <v>109</v>
      </c>
      <c r="P73" s="25">
        <v>2</v>
      </c>
      <c r="R73" s="53" t="s">
        <v>2</v>
      </c>
      <c r="S73" s="53"/>
    </row>
    <row r="74" spans="1:24" x14ac:dyDescent="0.35">
      <c r="A74" s="36" t="s">
        <v>3</v>
      </c>
      <c r="B74" s="37"/>
      <c r="G74" s="32" t="s">
        <v>3</v>
      </c>
      <c r="H74" s="57"/>
      <c r="L74" s="53" t="s">
        <v>3</v>
      </c>
      <c r="M74" s="53"/>
      <c r="R74" s="53" t="s">
        <v>3</v>
      </c>
      <c r="S74" s="53"/>
    </row>
    <row r="75" spans="1:24" x14ac:dyDescent="0.35">
      <c r="A75" s="36" t="s">
        <v>4</v>
      </c>
      <c r="B75" s="37"/>
      <c r="D75" t="s">
        <v>76</v>
      </c>
      <c r="E75">
        <v>1</v>
      </c>
      <c r="G75" s="32" t="s">
        <v>4</v>
      </c>
      <c r="H75" s="57">
        <f>IF(E75=1, B75+E90,IF(E75=2, B75+E91, IF(E75=3, B75+E92, IF(E75=4, B75+E93, IF(E75=6, G65+B72-E95, IF(E75=7, G65+B72-E96,0))))))</f>
        <v>10</v>
      </c>
      <c r="L75" s="53" t="s">
        <v>4</v>
      </c>
      <c r="M75" s="53">
        <v>20</v>
      </c>
      <c r="O75" t="s">
        <v>76</v>
      </c>
      <c r="P75" s="25">
        <v>1</v>
      </c>
      <c r="R75" s="53" t="s">
        <v>4</v>
      </c>
      <c r="S75" s="53">
        <f>IF(P75=1, M75+P90,IF(P75=2, M75+P91, IF(P75=3, M75+P92, IF(P75=4, M75+P93, IF(P75=6, R65+M72-P95, IF(P75=7, R65+M72-P96,0))))))+M75</f>
        <v>45</v>
      </c>
    </row>
    <row r="76" spans="1:24" x14ac:dyDescent="0.35">
      <c r="A76" s="36" t="s">
        <v>6</v>
      </c>
      <c r="B76" s="37">
        <f>B6*2</f>
        <v>20</v>
      </c>
      <c r="D76" t="s">
        <v>75</v>
      </c>
      <c r="E76">
        <f>IF(E75=1,B78+G90,IF(E75=4,B78+G93,IF(E75=6,B78+G95,IF(E75=7,B78+G96,IF(E75=10,B78+G99,0)))))</f>
        <v>30</v>
      </c>
      <c r="G76" s="32" t="s">
        <v>6</v>
      </c>
      <c r="H76" s="57">
        <f>IF(E75=5,B76+E94,IF(E75=8,B76+E97,0))+B76*2</f>
        <v>40</v>
      </c>
      <c r="L76" s="53" t="s">
        <v>6</v>
      </c>
      <c r="M76" s="53">
        <f>H6</f>
        <v>25</v>
      </c>
      <c r="O76" t="s">
        <v>75</v>
      </c>
      <c r="P76">
        <f>IF(P75=1,V78+R90,IF(P75=3,V78+R92,IF(P75=5,V78+R94,IF(P75=7,V78+R96,IF(P75=9,V78+R98,IF(P75=10,V78+R99,0))))))</f>
        <v>20</v>
      </c>
      <c r="R76" s="53" t="s">
        <v>111</v>
      </c>
      <c r="S76" s="53">
        <f>IF(P73=1,M76*1.15,IF(P73=2,M76,IF(P73=3,M76,0)))</f>
        <v>25</v>
      </c>
      <c r="T76" s="362" t="s">
        <v>110</v>
      </c>
      <c r="U76" s="363"/>
      <c r="V76">
        <f>IF(P75=8,S76+T97,0)+S76</f>
        <v>25</v>
      </c>
    </row>
    <row r="77" spans="1:24" ht="14.5" customHeight="1" x14ac:dyDescent="0.35">
      <c r="A77" s="36" t="s">
        <v>7</v>
      </c>
      <c r="B77" s="37">
        <f>B7*2</f>
        <v>40</v>
      </c>
      <c r="D77" t="s">
        <v>77</v>
      </c>
      <c r="E77">
        <f ca="1">RANDBETWEEN(1,100)</f>
        <v>6</v>
      </c>
      <c r="G77" s="32" t="s">
        <v>7</v>
      </c>
      <c r="H77" s="57">
        <f>IF(E76=8,B77+G97,0)+B77</f>
        <v>40</v>
      </c>
      <c r="L77" s="53" t="s">
        <v>7</v>
      </c>
      <c r="M77" s="53">
        <f>H7</f>
        <v>20</v>
      </c>
      <c r="O77" t="s">
        <v>77</v>
      </c>
      <c r="P77">
        <f ca="1">RANDBETWEEN(1,100)</f>
        <v>78</v>
      </c>
      <c r="R77" s="53" t="s">
        <v>112</v>
      </c>
      <c r="S77" s="53">
        <f>IF(P73=1,M77*1.15,IF(P73=2,M77,IF(P73=3,M77,0)))</f>
        <v>20</v>
      </c>
      <c r="T77" s="362" t="s">
        <v>110</v>
      </c>
      <c r="U77" s="363"/>
      <c r="V77">
        <f>IF(P75=8,S77+T97,0)+S77</f>
        <v>20</v>
      </c>
    </row>
    <row r="78" spans="1:24" x14ac:dyDescent="0.35">
      <c r="A78" s="36" t="s">
        <v>10</v>
      </c>
      <c r="B78" s="37">
        <v>10</v>
      </c>
      <c r="D78" t="s">
        <v>78</v>
      </c>
      <c r="E78">
        <f ca="1">RANDBETWEEN(1,100)</f>
        <v>33</v>
      </c>
      <c r="G78" s="32" t="s">
        <v>10</v>
      </c>
      <c r="H78" s="57">
        <f>IF(E75=9,B78+E98,0)+B78</f>
        <v>10</v>
      </c>
      <c r="L78" s="53" t="s">
        <v>10</v>
      </c>
      <c r="M78" s="53">
        <f>H8</f>
        <v>30</v>
      </c>
      <c r="O78" t="s">
        <v>78</v>
      </c>
      <c r="P78">
        <f ca="1">RANDBETWEEN(1,100)</f>
        <v>15</v>
      </c>
      <c r="R78" s="53" t="s">
        <v>10</v>
      </c>
      <c r="S78" s="53">
        <f>IF(P73=2,M78*1.15,IF(P73=1,M78,IF(P73=3,M78,0)))</f>
        <v>34.5</v>
      </c>
      <c r="T78" s="362" t="s">
        <v>113</v>
      </c>
      <c r="U78" s="363"/>
      <c r="V78" s="94">
        <f>IF(P75=4,S78+R93,0)</f>
        <v>0</v>
      </c>
    </row>
    <row r="79" spans="1:24" x14ac:dyDescent="0.35">
      <c r="A79" s="36" t="s">
        <v>11</v>
      </c>
      <c r="B79" s="37"/>
      <c r="G79" s="32" t="s">
        <v>11</v>
      </c>
      <c r="H79" s="57"/>
      <c r="L79" s="53" t="s">
        <v>11</v>
      </c>
      <c r="M79" s="53">
        <f>H9</f>
        <v>0</v>
      </c>
      <c r="O79" t="s">
        <v>101</v>
      </c>
      <c r="P79">
        <f ca="1">RANDBETWEEN(1,100)</f>
        <v>33</v>
      </c>
      <c r="R79" s="53" t="s">
        <v>11</v>
      </c>
      <c r="S79" s="53"/>
    </row>
    <row r="80" spans="1:24" x14ac:dyDescent="0.35">
      <c r="A80" s="36" t="s">
        <v>15</v>
      </c>
      <c r="B80" s="37"/>
      <c r="G80" s="32" t="s">
        <v>15</v>
      </c>
      <c r="H80" s="57"/>
      <c r="L80" s="53" t="s">
        <v>15</v>
      </c>
      <c r="M80" s="53"/>
      <c r="R80" s="53" t="s">
        <v>15</v>
      </c>
      <c r="S80" s="53"/>
    </row>
    <row r="81" spans="1:21" x14ac:dyDescent="0.35">
      <c r="A81" s="36" t="s">
        <v>14</v>
      </c>
      <c r="B81" s="38"/>
      <c r="G81" s="32" t="s">
        <v>14</v>
      </c>
      <c r="H81" s="57">
        <f>IF(E75=2,B81+G91,0)</f>
        <v>0</v>
      </c>
      <c r="L81" s="53" t="s">
        <v>14</v>
      </c>
      <c r="M81" s="53"/>
      <c r="R81" s="53" t="s">
        <v>14</v>
      </c>
      <c r="S81" s="53">
        <f>IF(P73=2,M81*1.15,IF(P73=1,M81,IF(P73=3,M81,0)))</f>
        <v>0</v>
      </c>
      <c r="T81" s="364"/>
      <c r="U81" s="365"/>
    </row>
    <row r="82" spans="1:21" x14ac:dyDescent="0.35">
      <c r="A82" s="36" t="s">
        <v>8</v>
      </c>
      <c r="B82" s="38"/>
      <c r="G82" s="32" t="s">
        <v>8</v>
      </c>
      <c r="H82" s="57">
        <f>IF(E75=9,B82+G98,0)</f>
        <v>0</v>
      </c>
      <c r="L82" s="53" t="s">
        <v>8</v>
      </c>
      <c r="M82" s="53"/>
      <c r="R82" s="53" t="s">
        <v>8</v>
      </c>
      <c r="S82" s="53">
        <f>IF(P75=9,M82+R98,0)</f>
        <v>0</v>
      </c>
    </row>
    <row r="83" spans="1:21" x14ac:dyDescent="0.35">
      <c r="A83" s="36" t="s">
        <v>9</v>
      </c>
      <c r="B83" s="38"/>
      <c r="G83" s="32" t="s">
        <v>9</v>
      </c>
      <c r="H83" s="57"/>
      <c r="L83" s="53" t="s">
        <v>9</v>
      </c>
      <c r="M83" s="53"/>
      <c r="R83" s="53" t="s">
        <v>9</v>
      </c>
      <c r="S83" s="53"/>
    </row>
    <row r="84" spans="1:21" x14ac:dyDescent="0.35">
      <c r="A84" s="36" t="s">
        <v>12</v>
      </c>
      <c r="B84" s="38"/>
      <c r="G84" s="32" t="s">
        <v>12</v>
      </c>
      <c r="H84" s="57"/>
      <c r="L84" s="53" t="s">
        <v>12</v>
      </c>
      <c r="M84" s="53"/>
      <c r="R84" s="53" t="s">
        <v>12</v>
      </c>
      <c r="S84" s="53"/>
    </row>
    <row r="85" spans="1:21" x14ac:dyDescent="0.35">
      <c r="A85" s="36" t="s">
        <v>13</v>
      </c>
      <c r="B85" s="38"/>
      <c r="G85" s="32" t="s">
        <v>13</v>
      </c>
      <c r="H85" s="57"/>
      <c r="L85" s="53" t="s">
        <v>13</v>
      </c>
      <c r="M85" s="53"/>
      <c r="R85" s="53" t="s">
        <v>13</v>
      </c>
      <c r="S85" s="53"/>
    </row>
    <row r="86" spans="1:21" ht="15" thickBot="1" x14ac:dyDescent="0.4">
      <c r="A86" s="39" t="s">
        <v>16</v>
      </c>
      <c r="B86" s="40"/>
      <c r="G86" s="32" t="s">
        <v>16</v>
      </c>
      <c r="H86" s="33"/>
      <c r="L86" s="53" t="s">
        <v>16</v>
      </c>
      <c r="M86" s="53"/>
      <c r="R86" s="53" t="s">
        <v>16</v>
      </c>
      <c r="S86" s="53"/>
    </row>
    <row r="87" spans="1:21" x14ac:dyDescent="0.35">
      <c r="A87" t="s">
        <v>17</v>
      </c>
      <c r="B87" s="75" t="s">
        <v>80</v>
      </c>
      <c r="C87" s="74" t="s">
        <v>81</v>
      </c>
      <c r="L87" t="s">
        <v>17</v>
      </c>
      <c r="M87" s="82" t="s">
        <v>102</v>
      </c>
      <c r="N87" s="83"/>
    </row>
    <row r="88" spans="1:21" x14ac:dyDescent="0.35">
      <c r="A88" t="s">
        <v>18</v>
      </c>
      <c r="B88" t="s">
        <v>227</v>
      </c>
      <c r="C88">
        <v>10</v>
      </c>
      <c r="D88" t="s">
        <v>228</v>
      </c>
      <c r="E88" s="3">
        <v>1</v>
      </c>
      <c r="L88" t="s">
        <v>18</v>
      </c>
      <c r="M88" t="s">
        <v>103</v>
      </c>
    </row>
    <row r="89" spans="1:21" ht="15" thickBot="1" x14ac:dyDescent="0.4">
      <c r="A89" t="s">
        <v>19</v>
      </c>
      <c r="L89" t="s">
        <v>19</v>
      </c>
      <c r="M89" t="s">
        <v>95</v>
      </c>
      <c r="N89" s="91">
        <v>5</v>
      </c>
      <c r="O89" t="s">
        <v>108</v>
      </c>
    </row>
    <row r="90" spans="1:21" ht="53" customHeight="1" thickBot="1" x14ac:dyDescent="0.4">
      <c r="A90" s="66" t="s">
        <v>20</v>
      </c>
      <c r="B90" s="357" t="s">
        <v>82</v>
      </c>
      <c r="C90" s="357"/>
      <c r="D90" s="105" t="s">
        <v>85</v>
      </c>
      <c r="E90" s="105">
        <v>10</v>
      </c>
      <c r="F90" s="76" t="s">
        <v>71</v>
      </c>
      <c r="G90" s="76">
        <v>20</v>
      </c>
      <c r="L90" s="66" t="s">
        <v>20</v>
      </c>
      <c r="M90" s="357" t="s">
        <v>128</v>
      </c>
      <c r="N90" s="357"/>
      <c r="O90" s="106" t="s">
        <v>85</v>
      </c>
      <c r="P90" s="106">
        <v>5</v>
      </c>
      <c r="Q90" s="76" t="s">
        <v>71</v>
      </c>
      <c r="R90" s="76">
        <v>20</v>
      </c>
    </row>
    <row r="91" spans="1:21" ht="60.5" customHeight="1" thickBot="1" x14ac:dyDescent="0.4">
      <c r="A91" s="11" t="s">
        <v>21</v>
      </c>
      <c r="B91" s="359" t="s">
        <v>83</v>
      </c>
      <c r="C91" s="359"/>
      <c r="D91" s="106" t="s">
        <v>85</v>
      </c>
      <c r="E91" s="106">
        <v>15</v>
      </c>
      <c r="F91" s="86" t="s">
        <v>86</v>
      </c>
      <c r="G91" s="87">
        <v>20</v>
      </c>
      <c r="L91" s="11" t="s">
        <v>21</v>
      </c>
      <c r="M91" s="359" t="s">
        <v>129</v>
      </c>
      <c r="N91" s="359"/>
      <c r="O91" s="106" t="s">
        <v>85</v>
      </c>
      <c r="P91" s="106">
        <v>5</v>
      </c>
      <c r="Q91" s="113" t="s">
        <v>131</v>
      </c>
      <c r="R91" s="113">
        <v>0.2</v>
      </c>
      <c r="S91" s="114" t="s">
        <v>15</v>
      </c>
      <c r="T91" s="115">
        <v>10</v>
      </c>
    </row>
    <row r="92" spans="1:21" ht="56.5" customHeight="1" thickBot="1" x14ac:dyDescent="0.4">
      <c r="A92" s="11" t="s">
        <v>22</v>
      </c>
      <c r="B92" s="359" t="s">
        <v>88</v>
      </c>
      <c r="C92" s="359"/>
      <c r="D92" s="106" t="s">
        <v>85</v>
      </c>
      <c r="E92" s="106">
        <v>10</v>
      </c>
      <c r="F92" s="79"/>
      <c r="G92" s="80"/>
      <c r="L92" s="11" t="s">
        <v>22</v>
      </c>
      <c r="M92" s="359" t="s">
        <v>130</v>
      </c>
      <c r="N92" s="359"/>
      <c r="O92" s="106" t="s">
        <v>85</v>
      </c>
      <c r="P92" s="106">
        <v>10</v>
      </c>
      <c r="Q92" s="76" t="s">
        <v>71</v>
      </c>
      <c r="R92" s="76"/>
      <c r="S92" s="114" t="s">
        <v>15</v>
      </c>
      <c r="T92" s="115">
        <v>10</v>
      </c>
    </row>
    <row r="93" spans="1:21" ht="68.5" customHeight="1" thickBot="1" x14ac:dyDescent="0.4">
      <c r="A93" s="11" t="s">
        <v>23</v>
      </c>
      <c r="B93" s="359" t="s">
        <v>84</v>
      </c>
      <c r="C93" s="359"/>
      <c r="D93" s="106" t="s">
        <v>85</v>
      </c>
      <c r="E93" s="106" t="s">
        <v>87</v>
      </c>
      <c r="F93" s="76" t="s">
        <v>71</v>
      </c>
      <c r="G93" s="76"/>
      <c r="L93" s="11" t="s">
        <v>23</v>
      </c>
      <c r="M93" s="359" t="s">
        <v>137</v>
      </c>
      <c r="N93" s="359"/>
      <c r="O93" s="106" t="s">
        <v>85</v>
      </c>
      <c r="P93" s="106">
        <v>-2</v>
      </c>
      <c r="Q93" s="112" t="s">
        <v>10</v>
      </c>
      <c r="R93" s="117">
        <v>45</v>
      </c>
    </row>
    <row r="94" spans="1:21" ht="75.5" customHeight="1" thickBot="1" x14ac:dyDescent="0.4">
      <c r="A94" s="11" t="s">
        <v>24</v>
      </c>
      <c r="B94" s="359" t="s">
        <v>89</v>
      </c>
      <c r="C94" s="359"/>
      <c r="D94" s="107" t="s">
        <v>5</v>
      </c>
      <c r="E94" s="107"/>
      <c r="F94" s="79"/>
      <c r="G94" s="80"/>
      <c r="L94" s="11" t="s">
        <v>24</v>
      </c>
      <c r="M94" s="359" t="s">
        <v>132</v>
      </c>
      <c r="N94" s="359"/>
      <c r="O94" s="106" t="s">
        <v>85</v>
      </c>
      <c r="P94" s="106">
        <v>-2</v>
      </c>
      <c r="Q94" s="76" t="s">
        <v>71</v>
      </c>
      <c r="R94" s="76"/>
    </row>
    <row r="95" spans="1:21" ht="62" customHeight="1" thickBot="1" x14ac:dyDescent="0.4">
      <c r="A95" s="11" t="s">
        <v>25</v>
      </c>
      <c r="B95" s="359" t="s">
        <v>90</v>
      </c>
      <c r="C95" s="359"/>
      <c r="D95" s="106" t="s">
        <v>85</v>
      </c>
      <c r="E95" s="106" t="s">
        <v>87</v>
      </c>
      <c r="F95" s="76" t="s">
        <v>71</v>
      </c>
      <c r="G95" s="76"/>
      <c r="L95" s="11" t="s">
        <v>25</v>
      </c>
      <c r="M95" s="359" t="s">
        <v>133</v>
      </c>
      <c r="N95" s="359"/>
      <c r="O95" s="106" t="s">
        <v>85</v>
      </c>
      <c r="P95" s="106" t="s">
        <v>134</v>
      </c>
      <c r="Q95" s="114" t="s">
        <v>15</v>
      </c>
      <c r="R95" s="115"/>
    </row>
    <row r="96" spans="1:21" ht="77" customHeight="1" thickBot="1" x14ac:dyDescent="0.4">
      <c r="A96" s="11" t="s">
        <v>26</v>
      </c>
      <c r="B96" s="359" t="s">
        <v>91</v>
      </c>
      <c r="C96" s="359"/>
      <c r="D96" s="106" t="s">
        <v>85</v>
      </c>
      <c r="E96" s="106" t="s">
        <v>87</v>
      </c>
      <c r="F96" s="76" t="s">
        <v>71</v>
      </c>
      <c r="G96" s="76"/>
      <c r="L96" s="11" t="s">
        <v>26</v>
      </c>
      <c r="M96" s="359" t="s">
        <v>135</v>
      </c>
      <c r="N96" s="359"/>
      <c r="O96" s="106" t="s">
        <v>85</v>
      </c>
      <c r="P96" s="106">
        <v>-2</v>
      </c>
      <c r="Q96" s="76" t="s">
        <v>71</v>
      </c>
      <c r="R96" s="76"/>
    </row>
    <row r="97" spans="1:20" ht="70" customHeight="1" thickBot="1" x14ac:dyDescent="0.4">
      <c r="A97" s="11" t="s">
        <v>27</v>
      </c>
      <c r="B97" s="359" t="s">
        <v>92</v>
      </c>
      <c r="C97" s="359"/>
      <c r="D97" s="107" t="s">
        <v>5</v>
      </c>
      <c r="E97" s="107"/>
      <c r="F97" s="108" t="s">
        <v>95</v>
      </c>
      <c r="G97" s="109"/>
      <c r="L97" s="11" t="s">
        <v>27</v>
      </c>
      <c r="M97" s="359" t="s">
        <v>136</v>
      </c>
      <c r="N97" s="359"/>
      <c r="O97" s="106" t="s">
        <v>85</v>
      </c>
      <c r="P97" s="106" t="s">
        <v>134</v>
      </c>
      <c r="Q97" s="107" t="s">
        <v>5</v>
      </c>
      <c r="R97" s="107"/>
      <c r="S97" s="108" t="s">
        <v>95</v>
      </c>
      <c r="T97" s="109"/>
    </row>
    <row r="98" spans="1:20" ht="80.5" customHeight="1" thickBot="1" x14ac:dyDescent="0.4">
      <c r="A98" s="11" t="s">
        <v>28</v>
      </c>
      <c r="B98" s="359" t="s">
        <v>93</v>
      </c>
      <c r="C98" s="359"/>
      <c r="D98" s="112" t="s">
        <v>96</v>
      </c>
      <c r="E98" s="112"/>
      <c r="F98" s="110" t="s">
        <v>97</v>
      </c>
      <c r="G98" s="111"/>
      <c r="L98" s="11" t="s">
        <v>28</v>
      </c>
      <c r="M98" s="353" t="s">
        <v>138</v>
      </c>
      <c r="N98" s="353"/>
      <c r="O98" s="106" t="s">
        <v>85</v>
      </c>
      <c r="P98" s="106">
        <v>-2</v>
      </c>
      <c r="Q98" s="76" t="s">
        <v>71</v>
      </c>
      <c r="R98" s="76"/>
      <c r="S98" s="114" t="s">
        <v>15</v>
      </c>
      <c r="T98" s="115"/>
    </row>
    <row r="99" spans="1:20" ht="99" customHeight="1" thickBot="1" x14ac:dyDescent="0.4">
      <c r="A99" s="11" t="s">
        <v>29</v>
      </c>
      <c r="B99" s="359" t="s">
        <v>94</v>
      </c>
      <c r="C99" s="359"/>
      <c r="D99" s="79" t="s">
        <v>98</v>
      </c>
      <c r="E99" s="81">
        <v>-0.25</v>
      </c>
      <c r="F99" s="76" t="s">
        <v>71</v>
      </c>
      <c r="G99" s="76"/>
      <c r="L99" s="11" t="s">
        <v>29</v>
      </c>
      <c r="M99" s="359" t="s">
        <v>139</v>
      </c>
      <c r="N99" s="359"/>
      <c r="O99" s="113" t="s">
        <v>140</v>
      </c>
      <c r="P99" s="113">
        <v>0.75</v>
      </c>
      <c r="Q99" s="76" t="s">
        <v>71</v>
      </c>
      <c r="R99" s="76"/>
      <c r="S99" s="116" t="s">
        <v>141</v>
      </c>
      <c r="T99" s="116"/>
    </row>
    <row r="100" spans="1:20" ht="43" customHeight="1" x14ac:dyDescent="0.35">
      <c r="A100" s="68" t="s">
        <v>73</v>
      </c>
      <c r="B100" s="69"/>
      <c r="C100" s="72" t="s">
        <v>72</v>
      </c>
      <c r="D100" s="71"/>
      <c r="E100" s="73" t="s">
        <v>74</v>
      </c>
      <c r="L100" s="67"/>
      <c r="M100" s="34"/>
      <c r="N100" s="103"/>
      <c r="O100" s="34"/>
      <c r="P100" s="104"/>
      <c r="Q100" s="34"/>
    </row>
    <row r="103" spans="1:20" x14ac:dyDescent="0.35">
      <c r="O103" s="120"/>
      <c r="P103" s="120"/>
      <c r="Q103" s="120"/>
    </row>
    <row r="104" spans="1:20" ht="15" thickBot="1" x14ac:dyDescent="0.4">
      <c r="O104" s="120"/>
      <c r="P104" s="120"/>
      <c r="Q104" s="120"/>
    </row>
    <row r="105" spans="1:20" ht="15" thickBot="1" x14ac:dyDescent="0.4">
      <c r="A105" s="41" t="s">
        <v>0</v>
      </c>
      <c r="B105" s="42" t="s">
        <v>170</v>
      </c>
      <c r="G105" s="32" t="s">
        <v>0</v>
      </c>
      <c r="H105" s="32" t="s">
        <v>170</v>
      </c>
      <c r="L105" s="43" t="s">
        <v>0</v>
      </c>
      <c r="M105" s="44" t="s">
        <v>186</v>
      </c>
      <c r="O105" s="120"/>
      <c r="P105" s="121"/>
      <c r="Q105" s="122"/>
      <c r="R105" s="46" t="s">
        <v>0</v>
      </c>
      <c r="S105" s="44" t="s">
        <v>186</v>
      </c>
    </row>
    <row r="106" spans="1:20" x14ac:dyDescent="0.35">
      <c r="A106" s="36" t="s">
        <v>1</v>
      </c>
      <c r="B106" s="37"/>
      <c r="G106" s="32" t="s">
        <v>1</v>
      </c>
      <c r="H106" s="57"/>
      <c r="L106" s="45" t="s">
        <v>1</v>
      </c>
      <c r="M106" s="138">
        <f>E2+M118</f>
        <v>126.83018867924528</v>
      </c>
      <c r="N106" t="s">
        <v>223</v>
      </c>
      <c r="O106" s="120"/>
      <c r="P106" s="122"/>
      <c r="Q106" s="120"/>
      <c r="R106" s="46" t="s">
        <v>1</v>
      </c>
      <c r="S106" s="46"/>
    </row>
    <row r="107" spans="1:20" x14ac:dyDescent="0.35">
      <c r="A107" s="36" t="s">
        <v>2</v>
      </c>
      <c r="B107" s="37"/>
      <c r="G107" s="32" t="s">
        <v>2</v>
      </c>
      <c r="H107" s="57"/>
      <c r="L107" s="45" t="s">
        <v>2</v>
      </c>
      <c r="M107" s="138">
        <v>26</v>
      </c>
      <c r="N107" t="s">
        <v>222</v>
      </c>
      <c r="O107" s="120"/>
      <c r="P107" s="123"/>
      <c r="Q107" s="120"/>
      <c r="R107" s="46" t="s">
        <v>2</v>
      </c>
      <c r="S107" s="46">
        <f>IF(P109=3,M107+P126, IF(P109=5, M107+P128,IF(P109=9, M107+R132,IF(P109=11,M107+P134,0))))</f>
        <v>0</v>
      </c>
    </row>
    <row r="108" spans="1:20" x14ac:dyDescent="0.35">
      <c r="A108" s="36" t="s">
        <v>3</v>
      </c>
      <c r="B108" s="37"/>
      <c r="G108" s="32" t="s">
        <v>3</v>
      </c>
      <c r="H108" s="57">
        <f>IF(E109=1,B108+E124,IF(E109=2,B108+E125,IF(E109=3,B108+E126,IF(E109=4,B108+E127,IF(E109=5,B108+E128,IF(E109=6,B108+E129,IF(E109=7,B108+E130,IF(E109=8,B108+E131,IF(E109=9,B108+E132,IF(E109=10,B108+E133,0))))))))))</f>
        <v>-5</v>
      </c>
      <c r="L108" s="45" t="s">
        <v>3</v>
      </c>
      <c r="M108" s="138">
        <v>79</v>
      </c>
      <c r="N108" t="s">
        <v>221</v>
      </c>
      <c r="O108" s="120"/>
      <c r="P108" s="120"/>
      <c r="Q108" s="120"/>
      <c r="R108" s="46" t="s">
        <v>3</v>
      </c>
      <c r="S108" s="46">
        <f>IF(P109=1,M108+P124, IF(P109=2, M108+P125,IF(P109=4, M108+P127,IF(P109=6, M108+P129,IF(P109=7, M108+P130,IF(P109=8, M108+P131,IF(P109=10, M108+P133,IF(P109=12, M108+P135,0))))))))</f>
        <v>69</v>
      </c>
    </row>
    <row r="109" spans="1:20" x14ac:dyDescent="0.35">
      <c r="A109" s="36" t="s">
        <v>4</v>
      </c>
      <c r="B109" s="37"/>
      <c r="D109" t="s">
        <v>76</v>
      </c>
      <c r="E109">
        <v>10</v>
      </c>
      <c r="G109" s="32" t="s">
        <v>4</v>
      </c>
      <c r="H109" s="57">
        <f>IF(E109=1, B109+E124,IF(E109=2, B109+E125, IF(E109=3, B109+E126, IF(E109=4, B109+E127, IF(E109=6, G99+B106-E129, IF(E109=7, G99+B106-E130,0))))))</f>
        <v>0</v>
      </c>
      <c r="L109" s="45" t="s">
        <v>4</v>
      </c>
      <c r="M109" s="138"/>
      <c r="O109" t="s">
        <v>76</v>
      </c>
      <c r="P109" s="25">
        <v>1</v>
      </c>
      <c r="R109" s="46" t="s">
        <v>4</v>
      </c>
      <c r="S109" s="46"/>
    </row>
    <row r="110" spans="1:20" x14ac:dyDescent="0.35">
      <c r="A110" s="36" t="s">
        <v>6</v>
      </c>
      <c r="B110" s="37"/>
      <c r="D110" t="s">
        <v>75</v>
      </c>
      <c r="E110">
        <f>IF(E109=1,B112+G124,IF(E109=4,B112+G127,IF(E109=6,B112+G129,IF(E109=7,B112+G130,IF(E109=10,B112+G133,0)))))</f>
        <v>0</v>
      </c>
      <c r="G110" s="32" t="s">
        <v>6</v>
      </c>
      <c r="H110" s="57">
        <f>IF(E109=5,B110+E128,IF(E109=8,B110+E131,0))</f>
        <v>0</v>
      </c>
      <c r="L110" s="45" t="s">
        <v>6</v>
      </c>
      <c r="M110" s="138">
        <v>20</v>
      </c>
      <c r="O110" t="s">
        <v>75</v>
      </c>
      <c r="P110">
        <f>IF(P109=1,S112+R124,IF(P109=3,S113+R126,IF(P109=4,S112+R127,IF(P109=5,S113+R128,IF(P109=6,S112+R129,IF(P109=7,S112+R130,IF(P109=8,S112+R131,IF(P109=10,S112+R133,IF(P109=11,S113+R134,IF(P109=12,S112+R135,0))))))))))</f>
        <v>75</v>
      </c>
      <c r="R110" s="46" t="s">
        <v>6</v>
      </c>
      <c r="S110" s="46">
        <f>M110</f>
        <v>20</v>
      </c>
    </row>
    <row r="111" spans="1:20" x14ac:dyDescent="0.35">
      <c r="A111" s="36" t="s">
        <v>7</v>
      </c>
      <c r="B111" s="37"/>
      <c r="D111" t="s">
        <v>77</v>
      </c>
      <c r="E111">
        <f ca="1">RANDBETWEEN(1,100)</f>
        <v>67</v>
      </c>
      <c r="G111" s="32" t="s">
        <v>7</v>
      </c>
      <c r="H111" s="57">
        <f>IF(E110=8,B111+G131,0)</f>
        <v>0</v>
      </c>
      <c r="L111" s="45" t="s">
        <v>7</v>
      </c>
      <c r="M111" s="138">
        <v>12</v>
      </c>
      <c r="O111" t="s">
        <v>77</v>
      </c>
      <c r="P111">
        <f ca="1">RANDBETWEEN(1,100)</f>
        <v>72</v>
      </c>
      <c r="R111" s="46" t="s">
        <v>7</v>
      </c>
      <c r="S111" s="46">
        <f>M111</f>
        <v>12</v>
      </c>
    </row>
    <row r="112" spans="1:20" x14ac:dyDescent="0.35">
      <c r="A112" s="36" t="s">
        <v>10</v>
      </c>
      <c r="B112" s="37"/>
      <c r="D112" t="s">
        <v>78</v>
      </c>
      <c r="E112">
        <f ca="1">RANDBETWEEN(1,100)</f>
        <v>13</v>
      </c>
      <c r="G112" s="32" t="s">
        <v>10</v>
      </c>
      <c r="H112" s="57">
        <f>IF(E109=9,B112+E132,0)</f>
        <v>0</v>
      </c>
      <c r="L112" s="45" t="s">
        <v>10</v>
      </c>
      <c r="M112" s="138">
        <v>40</v>
      </c>
      <c r="O112" t="s">
        <v>78</v>
      </c>
      <c r="P112">
        <f ca="1">RANDBETWEEN(1,100)</f>
        <v>1</v>
      </c>
      <c r="R112" s="46" t="s">
        <v>10</v>
      </c>
      <c r="S112" s="46">
        <f>IF(P109=2,M112*1.3,M112)</f>
        <v>40</v>
      </c>
    </row>
    <row r="113" spans="1:20" x14ac:dyDescent="0.35">
      <c r="A113" s="36" t="s">
        <v>11</v>
      </c>
      <c r="B113" s="37"/>
      <c r="G113" s="32" t="s">
        <v>11</v>
      </c>
      <c r="H113" s="57"/>
      <c r="L113" s="45" t="s">
        <v>11</v>
      </c>
      <c r="M113" s="138">
        <v>15</v>
      </c>
      <c r="R113" s="46" t="s">
        <v>11</v>
      </c>
      <c r="S113" s="46">
        <v>35</v>
      </c>
    </row>
    <row r="114" spans="1:20" x14ac:dyDescent="0.35">
      <c r="A114" s="36" t="s">
        <v>15</v>
      </c>
      <c r="B114" s="37"/>
      <c r="G114" s="32" t="s">
        <v>15</v>
      </c>
      <c r="H114" s="57"/>
      <c r="L114" s="45" t="s">
        <v>15</v>
      </c>
      <c r="M114" s="138"/>
      <c r="R114" s="46" t="s">
        <v>15</v>
      </c>
      <c r="S114" s="46"/>
    </row>
    <row r="115" spans="1:20" ht="15.5" x14ac:dyDescent="0.35">
      <c r="A115" s="36" t="s">
        <v>14</v>
      </c>
      <c r="B115" s="38"/>
      <c r="G115" s="32" t="s">
        <v>14</v>
      </c>
      <c r="H115" s="57">
        <f>IF(E109=2,B115+#REF!,0)</f>
        <v>0</v>
      </c>
      <c r="L115" s="45" t="s">
        <v>14</v>
      </c>
      <c r="M115" s="138">
        <v>20</v>
      </c>
      <c r="O115" s="132" t="s">
        <v>169</v>
      </c>
      <c r="P115" s="132">
        <f>P110+M136</f>
        <v>75</v>
      </c>
      <c r="R115" s="46" t="s">
        <v>14</v>
      </c>
      <c r="S115" s="46"/>
    </row>
    <row r="116" spans="1:20" x14ac:dyDescent="0.35">
      <c r="A116" s="36" t="s">
        <v>8</v>
      </c>
      <c r="B116" s="38"/>
      <c r="G116" s="32" t="s">
        <v>8</v>
      </c>
      <c r="H116" s="57">
        <f>IF(E109=9,B116+G132,0)</f>
        <v>0</v>
      </c>
      <c r="L116" s="45" t="s">
        <v>8</v>
      </c>
      <c r="M116" s="138">
        <v>15</v>
      </c>
      <c r="R116" s="46" t="s">
        <v>8</v>
      </c>
      <c r="S116" s="46"/>
    </row>
    <row r="117" spans="1:20" x14ac:dyDescent="0.35">
      <c r="A117" s="36" t="s">
        <v>9</v>
      </c>
      <c r="B117" s="38"/>
      <c r="G117" s="32" t="s">
        <v>9</v>
      </c>
      <c r="H117" s="57"/>
      <c r="L117" s="45" t="s">
        <v>9</v>
      </c>
      <c r="M117" s="138">
        <v>7.5</v>
      </c>
      <c r="R117" s="46" t="s">
        <v>9</v>
      </c>
      <c r="S117" s="46"/>
    </row>
    <row r="118" spans="1:20" x14ac:dyDescent="0.35">
      <c r="A118" s="36" t="s">
        <v>12</v>
      </c>
      <c r="B118" s="38"/>
      <c r="G118" s="32" t="s">
        <v>12</v>
      </c>
      <c r="H118" s="57"/>
      <c r="L118" s="45" t="s">
        <v>12</v>
      </c>
      <c r="M118" s="47"/>
      <c r="R118" s="46" t="s">
        <v>12</v>
      </c>
      <c r="S118" s="46"/>
    </row>
    <row r="119" spans="1:20" x14ac:dyDescent="0.35">
      <c r="A119" s="36" t="s">
        <v>13</v>
      </c>
      <c r="B119" s="38"/>
      <c r="G119" s="32" t="s">
        <v>13</v>
      </c>
      <c r="H119" s="57"/>
      <c r="L119" s="45" t="s">
        <v>13</v>
      </c>
      <c r="M119" s="47">
        <v>15</v>
      </c>
      <c r="R119" s="46" t="s">
        <v>13</v>
      </c>
      <c r="S119" s="46"/>
    </row>
    <row r="120" spans="1:20" ht="15" thickBot="1" x14ac:dyDescent="0.4">
      <c r="A120" s="39" t="s">
        <v>16</v>
      </c>
      <c r="B120" s="40"/>
      <c r="G120" s="32" t="s">
        <v>16</v>
      </c>
      <c r="H120" s="33"/>
      <c r="L120" s="48" t="s">
        <v>16</v>
      </c>
      <c r="M120" s="49">
        <v>10</v>
      </c>
      <c r="R120" s="46" t="s">
        <v>16</v>
      </c>
      <c r="S120" s="46"/>
    </row>
    <row r="121" spans="1:20" ht="15" thickBot="1" x14ac:dyDescent="0.4">
      <c r="A121" t="s">
        <v>17</v>
      </c>
      <c r="B121" s="112" t="s">
        <v>10</v>
      </c>
      <c r="C121" s="112">
        <v>15</v>
      </c>
      <c r="D121" s="86" t="s">
        <v>86</v>
      </c>
      <c r="E121" s="86">
        <v>20</v>
      </c>
      <c r="F121" s="133" t="s">
        <v>43</v>
      </c>
      <c r="G121" s="133">
        <v>5</v>
      </c>
      <c r="L121" t="s">
        <v>17</v>
      </c>
      <c r="M121" s="34" t="s">
        <v>229</v>
      </c>
      <c r="N121" s="155">
        <v>5</v>
      </c>
      <c r="O121" t="s">
        <v>230</v>
      </c>
      <c r="P121" t="s">
        <v>231</v>
      </c>
      <c r="Q121" t="s">
        <v>232</v>
      </c>
      <c r="R121" s="46" t="s">
        <v>233</v>
      </c>
    </row>
    <row r="122" spans="1:20" x14ac:dyDescent="0.35">
      <c r="A122" t="s">
        <v>18</v>
      </c>
      <c r="L122" t="s">
        <v>18</v>
      </c>
      <c r="M122" s="34"/>
      <c r="N122" s="34"/>
    </row>
    <row r="123" spans="1:20" ht="15" thickBot="1" x14ac:dyDescent="0.4">
      <c r="A123" t="s">
        <v>19</v>
      </c>
      <c r="B123" t="s">
        <v>34</v>
      </c>
      <c r="L123" t="s">
        <v>19</v>
      </c>
      <c r="M123" s="34"/>
      <c r="N123" s="34">
        <v>5</v>
      </c>
      <c r="O123" t="s">
        <v>108</v>
      </c>
    </row>
    <row r="124" spans="1:20" ht="89" customHeight="1" thickBot="1" x14ac:dyDescent="0.4">
      <c r="A124" s="66" t="s">
        <v>20</v>
      </c>
      <c r="B124" s="354" t="s">
        <v>171</v>
      </c>
      <c r="C124" s="354"/>
      <c r="D124" s="124" t="s">
        <v>3</v>
      </c>
      <c r="E124" s="124">
        <v>-5</v>
      </c>
      <c r="F124" s="76" t="s">
        <v>71</v>
      </c>
      <c r="G124" s="76"/>
      <c r="L124" s="66" t="s">
        <v>20</v>
      </c>
      <c r="M124" s="354" t="s">
        <v>151</v>
      </c>
      <c r="N124" s="354"/>
      <c r="O124" s="124" t="s">
        <v>3</v>
      </c>
      <c r="P124" s="124">
        <v>-10</v>
      </c>
      <c r="Q124" s="76" t="s">
        <v>71</v>
      </c>
      <c r="R124" s="76">
        <v>35</v>
      </c>
    </row>
    <row r="125" spans="1:20" ht="103" customHeight="1" thickBot="1" x14ac:dyDescent="0.4">
      <c r="A125" s="11" t="s">
        <v>21</v>
      </c>
      <c r="B125" s="353" t="s">
        <v>172</v>
      </c>
      <c r="C125" s="353"/>
      <c r="D125" s="124" t="s">
        <v>3</v>
      </c>
      <c r="E125" s="124">
        <v>-5</v>
      </c>
      <c r="F125" s="7" t="s">
        <v>181</v>
      </c>
      <c r="G125" s="7"/>
      <c r="L125" s="11" t="s">
        <v>21</v>
      </c>
      <c r="M125" s="353" t="s">
        <v>152</v>
      </c>
      <c r="N125" s="353"/>
      <c r="O125" s="124" t="s">
        <v>3</v>
      </c>
      <c r="P125" s="124">
        <v>-20</v>
      </c>
      <c r="Q125" s="112" t="s">
        <v>96</v>
      </c>
      <c r="R125" s="125">
        <v>0.3</v>
      </c>
      <c r="S125" s="102"/>
    </row>
    <row r="126" spans="1:20" ht="103" customHeight="1" thickBot="1" x14ac:dyDescent="0.4">
      <c r="A126" s="11" t="s">
        <v>22</v>
      </c>
      <c r="B126" s="353" t="s">
        <v>173</v>
      </c>
      <c r="C126" s="353"/>
      <c r="D126" s="124" t="s">
        <v>3</v>
      </c>
      <c r="E126" s="124">
        <v>-5</v>
      </c>
      <c r="F126" s="133" t="s">
        <v>182</v>
      </c>
      <c r="G126" s="134">
        <v>0.1</v>
      </c>
      <c r="H126" s="86" t="s">
        <v>86</v>
      </c>
      <c r="I126" s="87"/>
      <c r="L126" s="11" t="s">
        <v>22</v>
      </c>
      <c r="M126" s="353" t="s">
        <v>162</v>
      </c>
      <c r="N126" s="353"/>
      <c r="O126" s="12" t="s">
        <v>2</v>
      </c>
      <c r="P126" s="12">
        <v>-20</v>
      </c>
      <c r="Q126" s="76" t="s">
        <v>71</v>
      </c>
      <c r="R126" s="76">
        <v>20</v>
      </c>
      <c r="S126" s="126" t="s">
        <v>168</v>
      </c>
      <c r="T126" s="127">
        <v>-0.2</v>
      </c>
    </row>
    <row r="127" spans="1:20" ht="105.5" customHeight="1" thickBot="1" x14ac:dyDescent="0.4">
      <c r="A127" s="11" t="s">
        <v>23</v>
      </c>
      <c r="B127" s="353" t="s">
        <v>174</v>
      </c>
      <c r="C127" s="353"/>
      <c r="D127" s="124" t="s">
        <v>3</v>
      </c>
      <c r="E127" s="124">
        <v>-5</v>
      </c>
      <c r="F127" s="76" t="s">
        <v>71</v>
      </c>
      <c r="G127" s="76"/>
      <c r="L127" s="11" t="s">
        <v>23</v>
      </c>
      <c r="M127" s="359" t="s">
        <v>153</v>
      </c>
      <c r="N127" s="359"/>
      <c r="O127" s="124" t="s">
        <v>3</v>
      </c>
      <c r="P127" s="124">
        <v>-5</v>
      </c>
      <c r="Q127" s="76" t="s">
        <v>71</v>
      </c>
      <c r="R127" s="76">
        <v>30</v>
      </c>
      <c r="S127" s="126" t="s">
        <v>163</v>
      </c>
      <c r="T127" s="127">
        <v>-0.25</v>
      </c>
    </row>
    <row r="128" spans="1:20" ht="109" customHeight="1" thickBot="1" x14ac:dyDescent="0.4">
      <c r="A128" s="11" t="s">
        <v>24</v>
      </c>
      <c r="B128" s="353" t="s">
        <v>175</v>
      </c>
      <c r="C128" s="353"/>
      <c r="D128" s="124" t="s">
        <v>3</v>
      </c>
      <c r="E128" s="124">
        <v>-5</v>
      </c>
      <c r="F128" s="133" t="s">
        <v>43</v>
      </c>
      <c r="G128" s="134">
        <v>0.3</v>
      </c>
      <c r="L128" s="11" t="s">
        <v>24</v>
      </c>
      <c r="M128" s="353" t="s">
        <v>154</v>
      </c>
      <c r="N128" s="353"/>
      <c r="O128" s="12" t="s">
        <v>2</v>
      </c>
      <c r="P128" s="12">
        <v>-20</v>
      </c>
      <c r="Q128" s="76" t="s">
        <v>71</v>
      </c>
      <c r="R128" s="76">
        <v>50</v>
      </c>
    </row>
    <row r="129" spans="1:20" ht="99.5" customHeight="1" thickBot="1" x14ac:dyDescent="0.4">
      <c r="A129" s="11" t="s">
        <v>25</v>
      </c>
      <c r="B129" s="353" t="s">
        <v>176</v>
      </c>
      <c r="C129" s="353"/>
      <c r="D129" s="124" t="s">
        <v>3</v>
      </c>
      <c r="E129" s="124">
        <v>-5</v>
      </c>
      <c r="F129" s="76" t="s">
        <v>71</v>
      </c>
      <c r="G129" s="76"/>
      <c r="H129" s="110" t="s">
        <v>97</v>
      </c>
      <c r="I129" s="135">
        <v>0.3</v>
      </c>
      <c r="L129" s="11" t="s">
        <v>25</v>
      </c>
      <c r="M129" s="353" t="s">
        <v>155</v>
      </c>
      <c r="N129" s="353"/>
      <c r="O129" s="124" t="s">
        <v>3</v>
      </c>
      <c r="P129" s="124">
        <v>-5</v>
      </c>
      <c r="Q129" s="76" t="s">
        <v>71</v>
      </c>
      <c r="R129" s="76">
        <v>40</v>
      </c>
    </row>
    <row r="130" spans="1:20" ht="107.5" customHeight="1" thickBot="1" x14ac:dyDescent="0.4">
      <c r="A130" s="11" t="s">
        <v>26</v>
      </c>
      <c r="B130" s="353" t="s">
        <v>177</v>
      </c>
      <c r="C130" s="353"/>
      <c r="D130" s="124" t="s">
        <v>3</v>
      </c>
      <c r="E130" s="124">
        <v>-5</v>
      </c>
      <c r="F130" s="76" t="s">
        <v>71</v>
      </c>
      <c r="G130" s="76"/>
      <c r="H130" s="133" t="s">
        <v>43</v>
      </c>
      <c r="I130" s="134">
        <v>0.2</v>
      </c>
      <c r="L130" s="11" t="s">
        <v>26</v>
      </c>
      <c r="M130" s="353" t="s">
        <v>157</v>
      </c>
      <c r="N130" s="353"/>
      <c r="O130" s="124" t="s">
        <v>3</v>
      </c>
      <c r="P130" s="124">
        <v>-5</v>
      </c>
      <c r="Q130" s="76" t="s">
        <v>71</v>
      </c>
      <c r="R130" s="76">
        <v>70</v>
      </c>
      <c r="S130" s="128" t="s">
        <v>164</v>
      </c>
      <c r="T130" s="128"/>
    </row>
    <row r="131" spans="1:20" ht="107" customHeight="1" thickBot="1" x14ac:dyDescent="0.4">
      <c r="A131" s="11" t="s">
        <v>27</v>
      </c>
      <c r="B131" s="353" t="s">
        <v>178</v>
      </c>
      <c r="C131" s="353"/>
      <c r="D131" s="124" t="s">
        <v>3</v>
      </c>
      <c r="E131" s="124">
        <v>-5</v>
      </c>
      <c r="F131" s="76" t="s">
        <v>71</v>
      </c>
      <c r="G131" s="76"/>
      <c r="H131" s="86" t="s">
        <v>183</v>
      </c>
      <c r="I131" s="87"/>
      <c r="L131" s="11" t="s">
        <v>27</v>
      </c>
      <c r="M131" s="353" t="s">
        <v>156</v>
      </c>
      <c r="N131" s="353"/>
      <c r="O131" s="124" t="s">
        <v>3</v>
      </c>
      <c r="P131" s="124">
        <v>-5</v>
      </c>
      <c r="Q131" s="76" t="s">
        <v>71</v>
      </c>
      <c r="R131" s="76">
        <v>80</v>
      </c>
      <c r="S131" s="129"/>
    </row>
    <row r="132" spans="1:20" ht="129" customHeight="1" thickBot="1" x14ac:dyDescent="0.4">
      <c r="A132" s="11" t="s">
        <v>28</v>
      </c>
      <c r="B132" s="353" t="s">
        <v>179</v>
      </c>
      <c r="C132" s="353"/>
      <c r="D132" s="124" t="s">
        <v>3</v>
      </c>
      <c r="E132" s="124">
        <v>-5</v>
      </c>
      <c r="F132" s="76" t="s">
        <v>71</v>
      </c>
      <c r="G132" s="76"/>
      <c r="H132" t="s">
        <v>184</v>
      </c>
      <c r="L132" s="11" t="s">
        <v>28</v>
      </c>
      <c r="M132" s="353" t="s">
        <v>158</v>
      </c>
      <c r="N132" s="353"/>
      <c r="O132" s="13" t="s">
        <v>167</v>
      </c>
      <c r="P132" s="13">
        <v>10</v>
      </c>
      <c r="Q132" s="12" t="s">
        <v>2</v>
      </c>
      <c r="R132" s="12">
        <v>20</v>
      </c>
      <c r="S132" s="102"/>
    </row>
    <row r="133" spans="1:20" ht="97.5" customHeight="1" thickBot="1" x14ac:dyDescent="0.4">
      <c r="A133" s="11" t="s">
        <v>29</v>
      </c>
      <c r="B133" s="353" t="s">
        <v>180</v>
      </c>
      <c r="C133" s="353"/>
      <c r="D133" s="124" t="s">
        <v>3</v>
      </c>
      <c r="E133" s="124">
        <v>-5</v>
      </c>
      <c r="F133" s="76" t="s">
        <v>71</v>
      </c>
      <c r="G133" s="76"/>
      <c r="H133" s="7" t="s">
        <v>185</v>
      </c>
      <c r="I133" s="7"/>
      <c r="L133" s="11" t="s">
        <v>29</v>
      </c>
      <c r="M133" s="353" t="s">
        <v>159</v>
      </c>
      <c r="N133" s="353"/>
      <c r="O133" s="124" t="s">
        <v>3</v>
      </c>
      <c r="P133" s="124">
        <v>-5</v>
      </c>
      <c r="Q133" s="76" t="s">
        <v>71</v>
      </c>
      <c r="R133" s="76"/>
      <c r="S133" s="116" t="s">
        <v>141</v>
      </c>
    </row>
    <row r="134" spans="1:20" ht="118" customHeight="1" thickBot="1" x14ac:dyDescent="0.4">
      <c r="A134" s="68" t="s">
        <v>73</v>
      </c>
      <c r="B134" s="69"/>
      <c r="C134" s="72" t="s">
        <v>72</v>
      </c>
      <c r="D134" s="71"/>
      <c r="E134" s="73" t="s">
        <v>74</v>
      </c>
      <c r="L134" s="11" t="s">
        <v>149</v>
      </c>
      <c r="M134" s="357" t="s">
        <v>161</v>
      </c>
      <c r="N134" s="357"/>
      <c r="O134" s="12" t="s">
        <v>2</v>
      </c>
      <c r="P134" s="12">
        <v>-20</v>
      </c>
      <c r="Q134" s="76" t="s">
        <v>71</v>
      </c>
      <c r="R134" s="76">
        <v>45</v>
      </c>
      <c r="S134" s="126" t="s">
        <v>168</v>
      </c>
      <c r="T134" s="127">
        <v>-0.1</v>
      </c>
    </row>
    <row r="135" spans="1:20" ht="105.5" customHeight="1" thickBot="1" x14ac:dyDescent="0.4">
      <c r="L135" s="11" t="s">
        <v>150</v>
      </c>
      <c r="M135" s="373" t="s">
        <v>160</v>
      </c>
      <c r="N135" s="373"/>
      <c r="O135" s="124" t="s">
        <v>3</v>
      </c>
      <c r="P135" s="124">
        <v>-5</v>
      </c>
      <c r="Q135" s="76" t="s">
        <v>71</v>
      </c>
      <c r="R135" s="76">
        <v>150</v>
      </c>
    </row>
    <row r="136" spans="1:20" ht="79" customHeight="1" x14ac:dyDescent="0.35">
      <c r="L136" s="130" t="s">
        <v>165</v>
      </c>
      <c r="M136" s="97"/>
      <c r="N136" s="131" t="s">
        <v>166</v>
      </c>
      <c r="O136" s="131"/>
    </row>
  </sheetData>
  <mergeCells count="73">
    <mergeCell ref="M135:N135"/>
    <mergeCell ref="B129:C129"/>
    <mergeCell ref="M129:N129"/>
    <mergeCell ref="B130:C130"/>
    <mergeCell ref="M130:N130"/>
    <mergeCell ref="B131:C131"/>
    <mergeCell ref="M131:N131"/>
    <mergeCell ref="B132:C132"/>
    <mergeCell ref="M132:N132"/>
    <mergeCell ref="B133:C133"/>
    <mergeCell ref="M133:N133"/>
    <mergeCell ref="M134:N134"/>
    <mergeCell ref="B126:C126"/>
    <mergeCell ref="M126:N126"/>
    <mergeCell ref="B127:C127"/>
    <mergeCell ref="M127:N127"/>
    <mergeCell ref="B128:C128"/>
    <mergeCell ref="M128:N128"/>
    <mergeCell ref="B99:C99"/>
    <mergeCell ref="M99:N99"/>
    <mergeCell ref="B124:C124"/>
    <mergeCell ref="M124:N124"/>
    <mergeCell ref="B125:C125"/>
    <mergeCell ref="M125:N125"/>
    <mergeCell ref="B96:C96"/>
    <mergeCell ref="M96:N96"/>
    <mergeCell ref="B97:C97"/>
    <mergeCell ref="M97:N97"/>
    <mergeCell ref="B98:C98"/>
    <mergeCell ref="M98:N98"/>
    <mergeCell ref="B93:C93"/>
    <mergeCell ref="M93:N93"/>
    <mergeCell ref="B94:C94"/>
    <mergeCell ref="M94:N94"/>
    <mergeCell ref="B95:C95"/>
    <mergeCell ref="M95:N95"/>
    <mergeCell ref="B90:C90"/>
    <mergeCell ref="M90:N90"/>
    <mergeCell ref="B91:C91"/>
    <mergeCell ref="M91:N91"/>
    <mergeCell ref="B92:C92"/>
    <mergeCell ref="M92:N92"/>
    <mergeCell ref="T81:U81"/>
    <mergeCell ref="B60:C60"/>
    <mergeCell ref="B61:C61"/>
    <mergeCell ref="B62:C62"/>
    <mergeCell ref="B63:C63"/>
    <mergeCell ref="B64:C64"/>
    <mergeCell ref="B65:C65"/>
    <mergeCell ref="B66:C66"/>
    <mergeCell ref="B67:C67"/>
    <mergeCell ref="T76:U76"/>
    <mergeCell ref="T77:U77"/>
    <mergeCell ref="T78:U78"/>
    <mergeCell ref="B59:C59"/>
    <mergeCell ref="A26:A27"/>
    <mergeCell ref="B26:C27"/>
    <mergeCell ref="B28:C28"/>
    <mergeCell ref="A29:A30"/>
    <mergeCell ref="B29:C30"/>
    <mergeCell ref="A31:A32"/>
    <mergeCell ref="B31:C32"/>
    <mergeCell ref="B33:C33"/>
    <mergeCell ref="B34:C34"/>
    <mergeCell ref="B35:C35"/>
    <mergeCell ref="B36:C36"/>
    <mergeCell ref="B58:C58"/>
    <mergeCell ref="B20:C20"/>
    <mergeCell ref="B21:C21"/>
    <mergeCell ref="B22:C22"/>
    <mergeCell ref="B23:C23"/>
    <mergeCell ref="A24:A25"/>
    <mergeCell ref="B24:C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238"/>
  <sheetViews>
    <sheetView topLeftCell="AW7" zoomScale="50" zoomScaleNormal="50" workbookViewId="0">
      <selection activeCell="H225" sqref="H225:I238"/>
    </sheetView>
  </sheetViews>
  <sheetFormatPr defaultRowHeight="14.5" x14ac:dyDescent="0.35"/>
  <cols>
    <col min="1" max="1" width="20.1796875" customWidth="1"/>
    <col min="2" max="2" width="17.1796875" customWidth="1"/>
    <col min="3" max="3" width="44.36328125" customWidth="1"/>
    <col min="4" max="4" width="22.1796875" customWidth="1"/>
    <col min="5" max="5" width="17.6328125" customWidth="1"/>
    <col min="6" max="6" width="52.26953125" customWidth="1"/>
    <col min="7" max="7" width="18.90625" customWidth="1"/>
    <col min="9" max="9" width="20.90625" customWidth="1"/>
    <col min="10" max="10" width="18.90625" customWidth="1"/>
    <col min="11" max="11" width="14.36328125" customWidth="1"/>
    <col min="12" max="12" width="8.7265625" customWidth="1"/>
    <col min="13" max="13" width="19.08984375" customWidth="1"/>
    <col min="14" max="14" width="21.1796875" customWidth="1"/>
    <col min="15" max="15" width="20.7265625" customWidth="1"/>
    <col min="16" max="16" width="63.1796875" customWidth="1"/>
    <col min="17" max="17" width="23.6328125" customWidth="1"/>
    <col min="18" max="18" width="14" customWidth="1"/>
    <col min="19" max="19" width="18.08984375" bestFit="1" customWidth="1"/>
    <col min="20" max="20" width="20.08984375" customWidth="1"/>
    <col min="21" max="21" width="21.54296875" bestFit="1" customWidth="1"/>
    <col min="24" max="24" width="18.08984375" bestFit="1" customWidth="1"/>
    <col min="26" max="26" width="21.54296875" bestFit="1" customWidth="1"/>
    <col min="29" max="29" width="16" customWidth="1"/>
    <col min="30" max="30" width="15.08984375" customWidth="1"/>
    <col min="31" max="31" width="21.54296875" bestFit="1" customWidth="1"/>
    <col min="32" max="32" width="10.7265625" customWidth="1"/>
    <col min="34" max="34" width="16.6328125" customWidth="1"/>
    <col min="36" max="36" width="15.1796875" customWidth="1"/>
    <col min="37" max="37" width="21.54296875" bestFit="1" customWidth="1"/>
    <col min="38" max="38" width="11.6328125" customWidth="1"/>
    <col min="40" max="40" width="21.54296875" bestFit="1" customWidth="1"/>
    <col min="41" max="41" width="14.7265625" customWidth="1"/>
    <col min="45" max="45" width="25.6328125" bestFit="1" customWidth="1"/>
    <col min="46" max="46" width="12.08984375" customWidth="1"/>
    <col min="47" max="47" width="23.54296875" customWidth="1"/>
    <col min="48" max="48" width="17.453125" customWidth="1"/>
    <col min="49" max="49" width="12" customWidth="1"/>
    <col min="50" max="50" width="24.90625" customWidth="1"/>
    <col min="51" max="51" width="16" customWidth="1"/>
    <col min="52" max="52" width="11.26953125" customWidth="1"/>
    <col min="53" max="53" width="20.36328125" customWidth="1"/>
    <col min="54" max="54" width="16.6328125" customWidth="1"/>
    <col min="56" max="56" width="21.54296875" bestFit="1" customWidth="1"/>
    <col min="57" max="57" width="10.26953125" bestFit="1" customWidth="1"/>
    <col min="59" max="59" width="21.54296875" bestFit="1" customWidth="1"/>
    <col min="60" max="60" width="9.7265625" bestFit="1" customWidth="1"/>
    <col min="62" max="62" width="23.26953125" customWidth="1"/>
    <col min="63" max="63" width="18.90625" customWidth="1"/>
    <col min="64" max="64" width="9.453125" customWidth="1"/>
    <col min="67" max="67" width="14.54296875" customWidth="1"/>
    <col min="68" max="68" width="18" customWidth="1"/>
    <col min="74" max="74" width="17.453125" customWidth="1"/>
    <col min="75" max="75" width="16.54296875" customWidth="1"/>
    <col min="76" max="76" width="23.26953125" customWidth="1"/>
    <col min="77" max="77" width="24.453125" customWidth="1"/>
    <col min="80" max="80" width="22.81640625" customWidth="1"/>
    <col min="81" max="81" width="48.08984375" bestFit="1" customWidth="1"/>
    <col min="82" max="82" width="26.08984375" customWidth="1"/>
    <col min="83" max="83" width="29.08984375" customWidth="1"/>
    <col min="84" max="84" width="20.1796875" customWidth="1"/>
    <col min="85" max="85" width="56.453125" customWidth="1"/>
    <col min="86" max="86" width="24.54296875" customWidth="1"/>
  </cols>
  <sheetData>
    <row r="1" spans="1:89" ht="15" thickBot="1" x14ac:dyDescent="0.4">
      <c r="A1" s="41" t="s">
        <v>0</v>
      </c>
      <c r="B1" s="42" t="s">
        <v>53</v>
      </c>
      <c r="C1" s="157" t="s">
        <v>291</v>
      </c>
      <c r="D1" s="43" t="s">
        <v>0</v>
      </c>
      <c r="E1" s="44" t="s">
        <v>186</v>
      </c>
      <c r="F1" s="157" t="s">
        <v>291</v>
      </c>
      <c r="G1" s="50" t="s">
        <v>0</v>
      </c>
      <c r="H1" s="51" t="s">
        <v>55</v>
      </c>
      <c r="I1" s="157" t="s">
        <v>291</v>
      </c>
      <c r="J1" s="41" t="s">
        <v>0</v>
      </c>
      <c r="K1" s="42" t="s">
        <v>30</v>
      </c>
      <c r="O1" s="150" t="s">
        <v>225</v>
      </c>
      <c r="P1" s="32" t="s">
        <v>0</v>
      </c>
      <c r="Q1" s="32" t="s">
        <v>30</v>
      </c>
      <c r="U1" s="43" t="s">
        <v>0</v>
      </c>
      <c r="V1" s="44" t="s">
        <v>212</v>
      </c>
      <c r="Z1" s="50" t="s">
        <v>0</v>
      </c>
      <c r="AA1" s="51" t="s">
        <v>55</v>
      </c>
      <c r="AE1" s="59" t="s">
        <v>0</v>
      </c>
      <c r="AF1" s="60" t="s">
        <v>274</v>
      </c>
      <c r="AK1" s="59" t="s">
        <v>0</v>
      </c>
      <c r="AL1" s="60" t="s">
        <v>275</v>
      </c>
      <c r="AN1" s="59" t="s">
        <v>0</v>
      </c>
      <c r="AO1" s="60" t="s">
        <v>276</v>
      </c>
      <c r="AR1" s="41" t="s">
        <v>0</v>
      </c>
      <c r="AS1" s="42" t="s">
        <v>30</v>
      </c>
      <c r="AT1" s="156"/>
      <c r="AU1" s="43" t="s">
        <v>0</v>
      </c>
      <c r="AV1" s="44" t="s">
        <v>186</v>
      </c>
      <c r="AW1" s="157"/>
      <c r="AX1" s="50" t="s">
        <v>0</v>
      </c>
      <c r="AY1" s="51" t="s">
        <v>55</v>
      </c>
      <c r="BA1" s="32" t="s">
        <v>0</v>
      </c>
      <c r="BB1" s="32" t="s">
        <v>58</v>
      </c>
      <c r="BD1" s="32" t="s">
        <v>0</v>
      </c>
      <c r="BE1" s="32" t="s">
        <v>79</v>
      </c>
      <c r="BG1" s="32" t="s">
        <v>0</v>
      </c>
      <c r="BH1" s="32" t="s">
        <v>170</v>
      </c>
      <c r="BK1" s="59" t="s">
        <v>0</v>
      </c>
      <c r="BL1" s="60" t="s">
        <v>292</v>
      </c>
      <c r="BO1" s="59" t="s">
        <v>0</v>
      </c>
      <c r="BP1" s="60" t="s">
        <v>293</v>
      </c>
      <c r="BY1" s="141" t="s">
        <v>187</v>
      </c>
      <c r="BZ1" s="145" t="s">
        <v>210</v>
      </c>
      <c r="CA1" s="146">
        <v>425</v>
      </c>
      <c r="CB1" s="144" t="s">
        <v>189</v>
      </c>
      <c r="CC1" s="143" t="s">
        <v>190</v>
      </c>
      <c r="CD1" s="142" t="s">
        <v>191</v>
      </c>
      <c r="CE1" s="149" t="s">
        <v>199</v>
      </c>
      <c r="CF1" s="69" t="s">
        <v>201</v>
      </c>
      <c r="CG1" s="97" t="s">
        <v>203</v>
      </c>
      <c r="CH1" s="150" t="s">
        <v>204</v>
      </c>
      <c r="CI1" s="151" t="s">
        <v>206</v>
      </c>
      <c r="CJ1" s="71" t="s">
        <v>242</v>
      </c>
      <c r="CK1" s="144" t="s">
        <v>270</v>
      </c>
    </row>
    <row r="2" spans="1:89" x14ac:dyDescent="0.35">
      <c r="A2" s="36" t="s">
        <v>1</v>
      </c>
      <c r="B2" s="136">
        <v>145</v>
      </c>
      <c r="C2" t="s">
        <v>224</v>
      </c>
      <c r="D2" s="45" t="s">
        <v>1</v>
      </c>
      <c r="E2" s="138">
        <v>160</v>
      </c>
      <c r="F2" t="s">
        <v>223</v>
      </c>
      <c r="G2" s="52" t="s">
        <v>1</v>
      </c>
      <c r="H2" s="93">
        <v>200</v>
      </c>
      <c r="I2" s="116" t="s">
        <v>281</v>
      </c>
      <c r="J2" s="36" t="s">
        <v>1</v>
      </c>
      <c r="K2" s="136">
        <f>B2</f>
        <v>145</v>
      </c>
      <c r="P2" s="32" t="s">
        <v>1</v>
      </c>
      <c r="Q2" s="57">
        <f>IF(R2&gt;B2,B2,K2+N7)</f>
        <v>145</v>
      </c>
      <c r="R2">
        <f>IF(N4=1,$G$20+K2+$B$9+B35*10+E34,IF(N4=2,$G$21+K2+$B$9+B35*10+E34, IF(N4=3,$G$22+K2+$B$9+B35*10+E34,  IF(N4=4,$G$23+K2+$B$9+B35*10+E34,  IF(N4=5,$G$24+K2+$B$9+B35*10+E34,  IF(N4=6,$G$26+K2+$B$9+B35*10+E34,  IF(N4=7,$G$28+K2+$B$9+B35*10+E34,  IF(N4=9,$G$31+K2+$B$9+B35*10+E34,  IF(N4=10,$G$33+K2+$B$9+B35*10+E34,0)))))))))</f>
        <v>235</v>
      </c>
      <c r="U2" s="45" t="s">
        <v>1</v>
      </c>
      <c r="V2" s="46">
        <f>IF(W2&gt;E2,E2,0)</f>
        <v>160</v>
      </c>
      <c r="W2">
        <f>IF(T4=1,$G$20+E2+$B$9+B35*10+$E$35,IF(T4=2,$G$21+E2+$B$9+B35*10+$E$35, IF(T4=3,$G$22+E2+$B$9+B35*10+$E$35,  IF(T4=4,$G$23+E2+$B$9+B35*10+$E$35,  IF(T4=5,$G$24+E2+$B$9+B35*10+$E$35,  IF(T4=6,$G$26+E2+$B$9+B35*10+$E$35,  IF(T4=7,$G$28+E2+$B$9+B35*10+$E$35,  IF(T4=9,$G$31+E2+$B$9+B35*10+$E$35,  IF(T4=10,$G$33+E2+$B$9+B35*10+$E$35,0)))))))))</f>
        <v>310</v>
      </c>
      <c r="Z2" s="52" t="s">
        <v>1</v>
      </c>
      <c r="AA2" s="53">
        <f>IF(AB2&gt;H2,H2,0)</f>
        <v>0</v>
      </c>
      <c r="AB2">
        <f>IF(Y4=1,$G$20+H2+$B$9+$B$36*10+$E$36,IF(Y4=2,$G$21+H2+$B$9+$B$36*10+$E$36, IF(Y4=3,$G$22+H2+$B$9+$B$35606+$E$36,  IF(Y4=4,$G$23+H2+$B$9+$B$36*10+$E$36,  IF(Y4=5,$G$24+H2+$B$9+$B$36*10+$E$36,  IF(Y4=6,$G$26+H2+$B$9+$B$36*10+$E$36,  IF(Y4=7,$G$28+H2+$B$9+$B$36*10+$E$36,  IF(Y4=9,$G$31+H2+$B$9+$B$36*10+$E$36,  IF(Y4=10,$G$33+H2+$B$9+$B$36*10+$E$36,0)))))))))</f>
        <v>0</v>
      </c>
      <c r="AE2" s="61" t="s">
        <v>1</v>
      </c>
      <c r="AF2" s="158">
        <v>160</v>
      </c>
      <c r="AH2" s="100" t="s">
        <v>122</v>
      </c>
      <c r="AI2" s="71">
        <v>220</v>
      </c>
      <c r="AK2" s="61" t="s">
        <v>1</v>
      </c>
      <c r="AL2" s="158">
        <v>80</v>
      </c>
      <c r="AM2" s="71"/>
      <c r="AN2" s="61" t="s">
        <v>1</v>
      </c>
      <c r="AO2" s="158">
        <v>80</v>
      </c>
      <c r="AP2" s="71"/>
      <c r="AR2" s="36" t="s">
        <v>1</v>
      </c>
      <c r="AS2" s="136">
        <f>K2-AL28-BB28-BM28-BX28</f>
        <v>145</v>
      </c>
      <c r="AU2" s="45" t="s">
        <v>1</v>
      </c>
      <c r="AV2" s="138">
        <f>O71-AL31-BB31-BM31-BX31</f>
        <v>112</v>
      </c>
      <c r="AX2" s="52" t="s">
        <v>1</v>
      </c>
      <c r="AY2" s="170">
        <f>O40-AL31-BB32-BM32-BX32</f>
        <v>152</v>
      </c>
      <c r="BA2" s="32" t="s">
        <v>1</v>
      </c>
      <c r="BB2" s="57">
        <f>H40-AL29-BB29-BM29-BX29</f>
        <v>145</v>
      </c>
      <c r="BD2" s="32" t="s">
        <v>1</v>
      </c>
      <c r="BE2" s="57">
        <f>H72-AL30-BB30-BM30-BX30</f>
        <v>159.5</v>
      </c>
      <c r="BG2" s="32" t="s">
        <v>1</v>
      </c>
      <c r="BH2" s="32">
        <f>H106-AL33-BB33-BM33-BX33</f>
        <v>145</v>
      </c>
      <c r="BK2" s="61" t="s">
        <v>1</v>
      </c>
      <c r="BL2" s="158">
        <v>35</v>
      </c>
      <c r="BO2" s="61" t="s">
        <v>1</v>
      </c>
      <c r="BP2" s="62">
        <v>60</v>
      </c>
      <c r="BZ2" s="145" t="s">
        <v>211</v>
      </c>
      <c r="CA2" s="146">
        <v>375</v>
      </c>
      <c r="CB2" s="2" t="s">
        <v>188</v>
      </c>
      <c r="CC2" s="2" t="s">
        <v>196</v>
      </c>
      <c r="CD2" s="2" t="s">
        <v>216</v>
      </c>
      <c r="CE2" s="116" t="s">
        <v>200</v>
      </c>
      <c r="CF2" s="147" t="s">
        <v>202</v>
      </c>
      <c r="CG2" s="152" t="s">
        <v>246</v>
      </c>
      <c r="CH2" s="116"/>
      <c r="CI2" s="147" t="s">
        <v>207</v>
      </c>
      <c r="CJ2" s="147" t="s">
        <v>243</v>
      </c>
      <c r="CK2" s="152" t="s">
        <v>271</v>
      </c>
    </row>
    <row r="3" spans="1:89" x14ac:dyDescent="0.35">
      <c r="A3" s="36" t="s">
        <v>2</v>
      </c>
      <c r="B3" s="136">
        <v>95</v>
      </c>
      <c r="C3" s="116" t="s">
        <v>299</v>
      </c>
      <c r="D3" s="45" t="s">
        <v>2</v>
      </c>
      <c r="E3" s="138">
        <v>35</v>
      </c>
      <c r="F3" t="s">
        <v>222</v>
      </c>
      <c r="G3" s="52" t="s">
        <v>2</v>
      </c>
      <c r="H3" s="93">
        <v>0</v>
      </c>
      <c r="I3" t="s">
        <v>241</v>
      </c>
      <c r="J3" s="36" t="s">
        <v>2</v>
      </c>
      <c r="K3" s="136">
        <f t="shared" ref="K3:K13" si="0">B3</f>
        <v>95</v>
      </c>
      <c r="M3" t="s">
        <v>99</v>
      </c>
      <c r="P3" s="32" t="s">
        <v>2</v>
      </c>
      <c r="Q3" s="57">
        <f>IF(N4=1, K3-$E$20, IF(N4=2,K3-$E$21,IF(N4=3, K3-$E$22,IF(N4=4, K3-$E$23,IF(N4=5, K3-$E$24,IF(N4=6, K3-$E$26,IF(N4=7, K3-$E$28,IF(N4=8, K3-$E$29,IF(N4=9, K3-$E$31,IF(N4=10, K3-$E$33,0))))))))))</f>
        <v>55</v>
      </c>
      <c r="U3" s="45" t="s">
        <v>2</v>
      </c>
      <c r="V3" s="46"/>
      <c r="Z3" s="52" t="s">
        <v>2</v>
      </c>
      <c r="AA3" s="53"/>
      <c r="AE3" s="61" t="s">
        <v>2</v>
      </c>
      <c r="AF3" s="158"/>
      <c r="AH3" s="99" t="s">
        <v>123</v>
      </c>
      <c r="AI3" s="96">
        <v>0</v>
      </c>
      <c r="AK3" s="61" t="s">
        <v>2</v>
      </c>
      <c r="AL3" s="158"/>
      <c r="AM3" s="96"/>
      <c r="AN3" s="61" t="s">
        <v>2</v>
      </c>
      <c r="AO3" s="158"/>
      <c r="AP3" s="96"/>
      <c r="AR3" s="36" t="s">
        <v>2</v>
      </c>
      <c r="AS3" s="136">
        <f>K3</f>
        <v>95</v>
      </c>
      <c r="AT3" s="34"/>
      <c r="AU3" s="45" t="s">
        <v>2</v>
      </c>
      <c r="AV3" s="138">
        <f>U72</f>
        <v>35</v>
      </c>
      <c r="AX3" s="52" t="s">
        <v>2</v>
      </c>
      <c r="AY3" s="170">
        <f>O41</f>
        <v>0</v>
      </c>
      <c r="BA3" s="32" t="s">
        <v>2</v>
      </c>
      <c r="BB3" s="57">
        <f>B41</f>
        <v>95</v>
      </c>
      <c r="BD3" s="32" t="s">
        <v>2</v>
      </c>
      <c r="BE3" s="57">
        <f>B73</f>
        <v>95</v>
      </c>
      <c r="BG3" s="32" t="s">
        <v>2</v>
      </c>
      <c r="BH3" s="32">
        <f>B107</f>
        <v>95</v>
      </c>
      <c r="BK3" s="61" t="s">
        <v>2</v>
      </c>
      <c r="BL3" s="158"/>
      <c r="BO3" s="61" t="s">
        <v>2</v>
      </c>
      <c r="BP3" s="62"/>
      <c r="BZ3" s="145" t="s">
        <v>213</v>
      </c>
      <c r="CA3" s="146">
        <v>325</v>
      </c>
      <c r="CB3" s="2" t="s">
        <v>214</v>
      </c>
      <c r="CC3" s="147" t="s">
        <v>197</v>
      </c>
      <c r="CD3" s="2" t="s">
        <v>254</v>
      </c>
      <c r="CG3" s="2" t="s">
        <v>251</v>
      </c>
      <c r="CH3" s="154" t="s">
        <v>215</v>
      </c>
      <c r="CI3" s="10" t="s">
        <v>286</v>
      </c>
      <c r="CJ3" s="152" t="s">
        <v>269</v>
      </c>
    </row>
    <row r="4" spans="1:89" x14ac:dyDescent="0.35">
      <c r="A4" s="36" t="s">
        <v>3</v>
      </c>
      <c r="B4" s="136">
        <v>30</v>
      </c>
      <c r="C4" s="116" t="s">
        <v>284</v>
      </c>
      <c r="D4" s="45" t="s">
        <v>3</v>
      </c>
      <c r="E4" s="138">
        <v>120</v>
      </c>
      <c r="F4" s="116" t="s">
        <v>259</v>
      </c>
      <c r="G4" s="52" t="s">
        <v>3</v>
      </c>
      <c r="H4" s="93">
        <v>0</v>
      </c>
      <c r="I4" t="s">
        <v>260</v>
      </c>
      <c r="J4" s="36" t="s">
        <v>3</v>
      </c>
      <c r="K4" s="136">
        <f t="shared" si="0"/>
        <v>30</v>
      </c>
      <c r="M4" s="9" t="s">
        <v>51</v>
      </c>
      <c r="N4" s="25">
        <v>1</v>
      </c>
      <c r="P4" s="32" t="s">
        <v>3</v>
      </c>
      <c r="Q4" s="57">
        <v>21</v>
      </c>
      <c r="S4" s="9" t="s">
        <v>51</v>
      </c>
      <c r="T4">
        <v>10</v>
      </c>
      <c r="U4" s="45" t="s">
        <v>3</v>
      </c>
      <c r="V4" s="46"/>
      <c r="X4" s="9" t="s">
        <v>51</v>
      </c>
      <c r="Y4">
        <v>0</v>
      </c>
      <c r="Z4" s="52" t="s">
        <v>3</v>
      </c>
      <c r="AA4" s="53"/>
      <c r="AE4" s="61" t="s">
        <v>3</v>
      </c>
      <c r="AF4" s="158"/>
      <c r="AH4" s="101" t="s">
        <v>121</v>
      </c>
      <c r="AI4" s="101">
        <f>AI2*(1-(AF6/(1000+AF6))) + AI3*(1-(AF7/(1000+AF7)))</f>
        <v>214.63414634146341</v>
      </c>
      <c r="AK4" s="61" t="s">
        <v>3</v>
      </c>
      <c r="AL4" s="158"/>
      <c r="AM4" s="101">
        <f>AI2*(1-(AL6/(1000+AL6))) + AI3*(1-(AL7/(1000+AL7)))</f>
        <v>215.68627450980392</v>
      </c>
      <c r="AN4" s="61" t="s">
        <v>3</v>
      </c>
      <c r="AO4" s="158"/>
      <c r="AP4" s="101">
        <f>AI2*(1-(AO6/(1000+AO6))) + AI3*(1-(AO7/(1000+AO7)))</f>
        <v>215.68627450980392</v>
      </c>
      <c r="AR4" s="36" t="s">
        <v>3</v>
      </c>
      <c r="AS4" s="136">
        <f t="shared" ref="AS4:AS16" si="1">K4</f>
        <v>30</v>
      </c>
      <c r="AT4" s="34"/>
      <c r="AU4" s="45" t="s">
        <v>3</v>
      </c>
      <c r="AV4" s="138">
        <f t="shared" ref="AV4:AV16" si="2">U73</f>
        <v>110</v>
      </c>
      <c r="AX4" s="52" t="s">
        <v>3</v>
      </c>
      <c r="AY4" s="170">
        <f t="shared" ref="AY4:AY16" si="3">O42</f>
        <v>0</v>
      </c>
      <c r="BA4" s="32" t="s">
        <v>3</v>
      </c>
      <c r="BB4" s="57">
        <f t="shared" ref="BB4:BB16" si="4">B42</f>
        <v>30</v>
      </c>
      <c r="BD4" s="32" t="s">
        <v>3</v>
      </c>
      <c r="BE4" s="57">
        <f t="shared" ref="BE4:BE16" si="5">B74</f>
        <v>30</v>
      </c>
      <c r="BG4" s="32" t="s">
        <v>3</v>
      </c>
      <c r="BH4" s="32">
        <f t="shared" ref="BH4:BH16" si="6">B108</f>
        <v>30</v>
      </c>
      <c r="BK4" s="61" t="s">
        <v>3</v>
      </c>
      <c r="BL4" s="158"/>
      <c r="BO4" s="61" t="s">
        <v>3</v>
      </c>
      <c r="BP4" s="62"/>
      <c r="CB4" s="2" t="s">
        <v>258</v>
      </c>
      <c r="CC4" s="152" t="s">
        <v>209</v>
      </c>
      <c r="CD4" s="2" t="s">
        <v>192</v>
      </c>
      <c r="CG4" s="2" t="s">
        <v>252</v>
      </c>
      <c r="CH4" s="116" t="s">
        <v>218</v>
      </c>
      <c r="CI4" s="147" t="s">
        <v>257</v>
      </c>
      <c r="CJ4" s="154" t="s">
        <v>288</v>
      </c>
    </row>
    <row r="5" spans="1:89" x14ac:dyDescent="0.35">
      <c r="A5" s="36" t="s">
        <v>4</v>
      </c>
      <c r="B5" s="136"/>
      <c r="C5" s="116" t="s">
        <v>300</v>
      </c>
      <c r="D5" s="45" t="s">
        <v>4</v>
      </c>
      <c r="E5" s="138"/>
      <c r="F5" s="116" t="s">
        <v>301</v>
      </c>
      <c r="G5" s="52" t="s">
        <v>4</v>
      </c>
      <c r="H5" s="93">
        <v>20</v>
      </c>
      <c r="I5" t="s">
        <v>302</v>
      </c>
      <c r="J5" s="36" t="s">
        <v>4</v>
      </c>
      <c r="K5" s="136">
        <f t="shared" si="0"/>
        <v>0</v>
      </c>
      <c r="M5" t="s">
        <v>100</v>
      </c>
      <c r="N5">
        <f ca="1">RANDBETWEEN(1,100)</f>
        <v>30</v>
      </c>
      <c r="P5" s="32" t="s">
        <v>4</v>
      </c>
      <c r="Q5" s="57"/>
      <c r="S5" t="s">
        <v>100</v>
      </c>
      <c r="T5">
        <f ca="1">RANDBETWEEN(1,100)</f>
        <v>68</v>
      </c>
      <c r="U5" s="45" t="s">
        <v>4</v>
      </c>
      <c r="V5" s="46"/>
      <c r="X5" t="s">
        <v>100</v>
      </c>
      <c r="Y5">
        <f ca="1">RANDBETWEEN(1,100)</f>
        <v>7</v>
      </c>
      <c r="Z5" s="52" t="s">
        <v>4</v>
      </c>
      <c r="AA5" s="53"/>
      <c r="AE5" s="61" t="s">
        <v>4</v>
      </c>
      <c r="AF5" s="158"/>
      <c r="AK5" s="61" t="s">
        <v>4</v>
      </c>
      <c r="AL5" s="158"/>
      <c r="AN5" s="61" t="s">
        <v>4</v>
      </c>
      <c r="AO5" s="158"/>
      <c r="AR5" s="36" t="s">
        <v>4</v>
      </c>
      <c r="AS5" s="136">
        <f t="shared" si="1"/>
        <v>0</v>
      </c>
      <c r="AT5" s="34"/>
      <c r="AU5" s="45" t="s">
        <v>4</v>
      </c>
      <c r="AV5" s="138">
        <f t="shared" si="2"/>
        <v>0</v>
      </c>
      <c r="AX5" s="52" t="s">
        <v>4</v>
      </c>
      <c r="AY5" s="170">
        <f t="shared" si="3"/>
        <v>20</v>
      </c>
      <c r="BA5" s="32" t="s">
        <v>4</v>
      </c>
      <c r="BB5" s="57">
        <f t="shared" si="4"/>
        <v>0</v>
      </c>
      <c r="BD5" s="32" t="s">
        <v>4</v>
      </c>
      <c r="BE5" s="57">
        <f t="shared" si="5"/>
        <v>0</v>
      </c>
      <c r="BG5" s="32" t="s">
        <v>4</v>
      </c>
      <c r="BH5" s="32">
        <f t="shared" si="6"/>
        <v>0</v>
      </c>
      <c r="BK5" s="61" t="s">
        <v>4</v>
      </c>
      <c r="BL5" s="158"/>
      <c r="BO5" s="61" t="s">
        <v>4</v>
      </c>
      <c r="BP5" s="62"/>
      <c r="CB5" s="152" t="s">
        <v>272</v>
      </c>
      <c r="CC5" s="152" t="s">
        <v>245</v>
      </c>
      <c r="CD5" s="2" t="s">
        <v>193</v>
      </c>
      <c r="CG5" s="116" t="s">
        <v>262</v>
      </c>
      <c r="CH5" s="2" t="s">
        <v>285</v>
      </c>
      <c r="CI5" s="116" t="s">
        <v>268</v>
      </c>
    </row>
    <row r="6" spans="1:89" x14ac:dyDescent="0.35">
      <c r="A6" s="36" t="s">
        <v>6</v>
      </c>
      <c r="B6" s="136">
        <v>80</v>
      </c>
      <c r="D6" s="45" t="s">
        <v>6</v>
      </c>
      <c r="E6" s="138">
        <v>60</v>
      </c>
      <c r="F6" s="116" t="s">
        <v>303</v>
      </c>
      <c r="G6" s="52" t="s">
        <v>6</v>
      </c>
      <c r="H6" s="93">
        <v>85</v>
      </c>
      <c r="J6" s="36" t="s">
        <v>6</v>
      </c>
      <c r="K6" s="136">
        <f>B6+L6*B6</f>
        <v>108</v>
      </c>
      <c r="L6" s="153">
        <v>0.35</v>
      </c>
      <c r="M6" t="s">
        <v>52</v>
      </c>
      <c r="N6" t="s">
        <v>53</v>
      </c>
      <c r="P6" s="32" t="s">
        <v>6</v>
      </c>
      <c r="Q6" s="57">
        <f>B6+L6*B6</f>
        <v>108</v>
      </c>
      <c r="S6" t="s">
        <v>52</v>
      </c>
      <c r="T6" t="s">
        <v>212</v>
      </c>
      <c r="U6" s="45" t="s">
        <v>6</v>
      </c>
      <c r="V6" s="46"/>
      <c r="X6" t="s">
        <v>52</v>
      </c>
      <c r="Y6" t="s">
        <v>55</v>
      </c>
      <c r="Z6" s="52" t="s">
        <v>6</v>
      </c>
      <c r="AA6" s="53"/>
      <c r="AE6" s="61" t="s">
        <v>6</v>
      </c>
      <c r="AF6" s="158">
        <v>25</v>
      </c>
      <c r="AK6" s="61" t="s">
        <v>6</v>
      </c>
      <c r="AL6" s="158">
        <v>20</v>
      </c>
      <c r="AN6" s="61" t="s">
        <v>6</v>
      </c>
      <c r="AO6" s="158">
        <v>20</v>
      </c>
      <c r="AR6" s="36" t="s">
        <v>6</v>
      </c>
      <c r="AS6" s="136">
        <f t="shared" si="1"/>
        <v>108</v>
      </c>
      <c r="AT6" s="153"/>
      <c r="AU6" s="45" t="s">
        <v>6</v>
      </c>
      <c r="AV6" s="138">
        <f t="shared" si="2"/>
        <v>60</v>
      </c>
      <c r="AX6" s="52" t="s">
        <v>111</v>
      </c>
      <c r="AY6" s="170">
        <f t="shared" si="3"/>
        <v>85</v>
      </c>
      <c r="BA6" s="32" t="s">
        <v>6</v>
      </c>
      <c r="BB6" s="57">
        <f t="shared" si="4"/>
        <v>80</v>
      </c>
      <c r="BD6" s="32" t="s">
        <v>6</v>
      </c>
      <c r="BE6" s="57">
        <f t="shared" si="5"/>
        <v>160</v>
      </c>
      <c r="BG6" s="32" t="s">
        <v>6</v>
      </c>
      <c r="BH6" s="32">
        <f t="shared" si="6"/>
        <v>80</v>
      </c>
      <c r="BK6" s="61" t="s">
        <v>6</v>
      </c>
      <c r="BL6" s="158">
        <v>2</v>
      </c>
      <c r="BO6" s="61" t="s">
        <v>6</v>
      </c>
      <c r="BP6" s="62">
        <v>18</v>
      </c>
      <c r="CB6" s="2" t="s">
        <v>289</v>
      </c>
      <c r="CC6" s="2" t="s">
        <v>255</v>
      </c>
      <c r="CD6" s="2" t="s">
        <v>194</v>
      </c>
      <c r="CG6" s="116" t="s">
        <v>263</v>
      </c>
      <c r="CH6" s="2" t="s">
        <v>250</v>
      </c>
    </row>
    <row r="7" spans="1:89" x14ac:dyDescent="0.35">
      <c r="A7" s="36" t="s">
        <v>7</v>
      </c>
      <c r="B7" s="136">
        <f>10*1.15</f>
        <v>11.5</v>
      </c>
      <c r="C7" s="153"/>
      <c r="D7" s="45" t="s">
        <v>7</v>
      </c>
      <c r="E7" s="138">
        <v>12</v>
      </c>
      <c r="G7" s="52" t="s">
        <v>7</v>
      </c>
      <c r="H7" s="93">
        <v>20</v>
      </c>
      <c r="J7" s="36" t="s">
        <v>7</v>
      </c>
      <c r="K7" s="136">
        <f>B7+C7*B7</f>
        <v>11.5</v>
      </c>
      <c r="M7" t="s">
        <v>249</v>
      </c>
      <c r="N7">
        <f>IF(N4=1,$G$20+$B$9+B35*10+E34,IF(N4=2,$G$21+$B$9+B35*10+E34, IF(N4=3,$G$22+$B$9+B35*10+E34,  IF(N4=4,$G$23+$B$9+B35*10+E34,  IF(N4=5,$G$24+$B$9+B35*10+E34,  IF(N4=6,$G$26+$B$9+B35*10+E34,  IF(N4=7,$G$28+$B$9+B35*10+E34,  IF(N4=9,$G$31+$B$9+B35*10+E34,  IF(N4=10,$G$33+$B$9+B35*10+E34,0)))))))))</f>
        <v>90</v>
      </c>
      <c r="P7" s="32" t="s">
        <v>7</v>
      </c>
      <c r="Q7" s="57">
        <f>B7+C7*B7</f>
        <v>11.5</v>
      </c>
      <c r="S7" t="s">
        <v>249</v>
      </c>
      <c r="T7">
        <f>IF(T4=1,$G$20+$B$9+H35*10+M34,IF(T4=2,$G$21+$B$9+H35*10+M34, IF(T4=3,$G$22+$B$9+H35*10+M34,  IF(T4=4,$G$23+$B$9+H35*10+M34,  IF(T4=5,$G$24+$B$9+H35*10+M34,  IF(T4=6,$G$26+$B$9+H35*10+M34,  IF(T4=7,$G$28+$B$9+H35*10+M34,  IF(T4=9,$G$31+$B$9+H35*10+M34,  IF(T4=10,$G$33+$B$9+H35*10+M34,0)))))))))</f>
        <v>150</v>
      </c>
      <c r="U7" s="45" t="s">
        <v>7</v>
      </c>
      <c r="V7" s="46"/>
      <c r="X7" t="s">
        <v>249</v>
      </c>
      <c r="Y7">
        <f>IF(Y4=1,$G$20+$B$9+O35*10+R34,IF(Y4=2,$G$21+$B$9+O35*10+R34, IF(Y4=3,$G$22+$B$9+O35*10+R34,  IF(Y4=4,$G$23+$B$9+O35*10+R34,  IF(Y4=5,$G$24+$B$9+O35*10+R34,  IF(Y4=6,$G$26+$B$9+O35*10+R34,  IF(Y4=7,$G$28+$B$9+O35*10+R34,  IF(Y4=9,$G$31+$B$9+O35*10+R34,  IF(Y4=10,$G$33+$B$9+O35*10+R34,0)))))))))</f>
        <v>0</v>
      </c>
      <c r="Z7" s="52" t="s">
        <v>7</v>
      </c>
      <c r="AA7" s="53"/>
      <c r="AE7" s="61" t="s">
        <v>7</v>
      </c>
      <c r="AF7" s="158">
        <v>15</v>
      </c>
      <c r="AK7" s="61" t="s">
        <v>7</v>
      </c>
      <c r="AL7" s="158">
        <v>10</v>
      </c>
      <c r="AN7" s="61" t="s">
        <v>7</v>
      </c>
      <c r="AO7" s="158">
        <v>10</v>
      </c>
      <c r="AR7" s="36" t="s">
        <v>7</v>
      </c>
      <c r="AS7" s="136">
        <f t="shared" si="1"/>
        <v>11.5</v>
      </c>
      <c r="AT7" s="153"/>
      <c r="AU7" s="45" t="s">
        <v>7</v>
      </c>
      <c r="AV7" s="138">
        <f t="shared" si="2"/>
        <v>12</v>
      </c>
      <c r="AX7" s="52" t="s">
        <v>112</v>
      </c>
      <c r="AY7" s="170">
        <f t="shared" si="3"/>
        <v>20</v>
      </c>
      <c r="BA7" s="32" t="s">
        <v>7</v>
      </c>
      <c r="BB7" s="57">
        <f t="shared" si="4"/>
        <v>11.5</v>
      </c>
      <c r="BD7" s="32" t="s">
        <v>7</v>
      </c>
      <c r="BE7" s="57">
        <f t="shared" si="5"/>
        <v>11.5</v>
      </c>
      <c r="BG7" s="32" t="s">
        <v>7</v>
      </c>
      <c r="BH7" s="32">
        <f t="shared" si="6"/>
        <v>11.5</v>
      </c>
      <c r="BK7" s="61" t="s">
        <v>7</v>
      </c>
      <c r="BL7" s="158">
        <v>15</v>
      </c>
      <c r="BO7" s="61" t="s">
        <v>7</v>
      </c>
      <c r="BP7" s="62">
        <v>8</v>
      </c>
      <c r="CC7" s="2" t="s">
        <v>256</v>
      </c>
      <c r="CD7" s="116" t="s">
        <v>195</v>
      </c>
      <c r="CG7" s="154" t="s">
        <v>278</v>
      </c>
      <c r="CH7" s="116" t="s">
        <v>297</v>
      </c>
    </row>
    <row r="8" spans="1:89" x14ac:dyDescent="0.35">
      <c r="A8" s="36" t="s">
        <v>10</v>
      </c>
      <c r="B8" s="136">
        <v>25</v>
      </c>
      <c r="C8" s="34"/>
      <c r="D8" s="45" t="s">
        <v>10</v>
      </c>
      <c r="E8" s="138">
        <v>115</v>
      </c>
      <c r="G8" s="52" t="s">
        <v>10</v>
      </c>
      <c r="H8" s="93">
        <v>50</v>
      </c>
      <c r="J8" s="36" t="s">
        <v>10</v>
      </c>
      <c r="K8" s="136">
        <f t="shared" si="0"/>
        <v>25</v>
      </c>
      <c r="P8" s="32" t="s">
        <v>10</v>
      </c>
      <c r="Q8" s="57">
        <f t="shared" ref="Q8:Q13" si="7">B8</f>
        <v>25</v>
      </c>
      <c r="U8" s="45" t="s">
        <v>10</v>
      </c>
      <c r="V8" s="46"/>
      <c r="Z8" s="52" t="s">
        <v>10</v>
      </c>
      <c r="AA8" s="53"/>
      <c r="AE8" s="61" t="s">
        <v>10</v>
      </c>
      <c r="AF8" s="158">
        <v>40</v>
      </c>
      <c r="AH8" t="s">
        <v>100</v>
      </c>
      <c r="AI8">
        <f ca="1">RANDBETWEEN(1,100)</f>
        <v>14</v>
      </c>
      <c r="AK8" s="61" t="s">
        <v>10</v>
      </c>
      <c r="AL8" s="158">
        <v>30</v>
      </c>
      <c r="AN8" s="61" t="s">
        <v>10</v>
      </c>
      <c r="AO8" s="158">
        <v>30</v>
      </c>
      <c r="AR8" s="36" t="s">
        <v>10</v>
      </c>
      <c r="AS8" s="136">
        <f t="shared" si="1"/>
        <v>25</v>
      </c>
      <c r="AT8" s="34"/>
      <c r="AU8" s="45" t="s">
        <v>10</v>
      </c>
      <c r="AV8" s="138">
        <f t="shared" si="2"/>
        <v>115</v>
      </c>
      <c r="AX8" s="52" t="s">
        <v>10</v>
      </c>
      <c r="AY8" s="170">
        <f t="shared" si="3"/>
        <v>50</v>
      </c>
      <c r="BA8" s="32" t="s">
        <v>10</v>
      </c>
      <c r="BB8" s="57">
        <f t="shared" si="4"/>
        <v>25</v>
      </c>
      <c r="BD8" s="32" t="s">
        <v>10</v>
      </c>
      <c r="BE8" s="57">
        <f t="shared" si="5"/>
        <v>40</v>
      </c>
      <c r="BG8" s="32" t="s">
        <v>10</v>
      </c>
      <c r="BH8" s="32">
        <f t="shared" si="6"/>
        <v>45</v>
      </c>
      <c r="BK8" s="61" t="s">
        <v>10</v>
      </c>
      <c r="BL8" s="158">
        <v>43</v>
      </c>
      <c r="BO8" s="61" t="s">
        <v>10</v>
      </c>
      <c r="BP8" s="62">
        <v>20</v>
      </c>
      <c r="CC8" s="116" t="s">
        <v>266</v>
      </c>
      <c r="CD8" s="148" t="s">
        <v>198</v>
      </c>
      <c r="CH8" s="116" t="s">
        <v>261</v>
      </c>
    </row>
    <row r="9" spans="1:89" x14ac:dyDescent="0.35">
      <c r="A9" s="36" t="s">
        <v>11</v>
      </c>
      <c r="B9" s="136">
        <v>70</v>
      </c>
      <c r="C9" s="34"/>
      <c r="D9" s="45" t="s">
        <v>11</v>
      </c>
      <c r="E9" s="138">
        <v>15</v>
      </c>
      <c r="G9" s="52" t="s">
        <v>11</v>
      </c>
      <c r="H9" s="93">
        <v>0</v>
      </c>
      <c r="J9" s="36" t="s">
        <v>11</v>
      </c>
      <c r="K9" s="136">
        <f t="shared" si="0"/>
        <v>70</v>
      </c>
      <c r="P9" s="32" t="s">
        <v>11</v>
      </c>
      <c r="Q9" s="57">
        <f t="shared" si="7"/>
        <v>70</v>
      </c>
      <c r="U9" s="45" t="s">
        <v>11</v>
      </c>
      <c r="V9" s="46"/>
      <c r="Z9" s="52" t="s">
        <v>11</v>
      </c>
      <c r="AA9" s="53"/>
      <c r="AE9" s="61" t="s">
        <v>11</v>
      </c>
      <c r="AF9" s="158">
        <v>25</v>
      </c>
      <c r="AK9" s="61" t="s">
        <v>11</v>
      </c>
      <c r="AL9" s="158">
        <v>10</v>
      </c>
      <c r="AN9" s="61" t="s">
        <v>11</v>
      </c>
      <c r="AO9" s="158">
        <v>10</v>
      </c>
      <c r="AR9" s="36" t="s">
        <v>11</v>
      </c>
      <c r="AS9" s="136">
        <f t="shared" si="1"/>
        <v>70</v>
      </c>
      <c r="AT9" s="34"/>
      <c r="AU9" s="45" t="s">
        <v>11</v>
      </c>
      <c r="AV9" s="138">
        <f t="shared" si="2"/>
        <v>35</v>
      </c>
      <c r="AX9" s="52" t="s">
        <v>11</v>
      </c>
      <c r="AY9" s="170">
        <f t="shared" si="3"/>
        <v>0</v>
      </c>
      <c r="BA9" s="32" t="s">
        <v>11</v>
      </c>
      <c r="BB9" s="57">
        <f t="shared" si="4"/>
        <v>80</v>
      </c>
      <c r="BD9" s="32" t="s">
        <v>11</v>
      </c>
      <c r="BE9" s="57">
        <f t="shared" si="5"/>
        <v>70</v>
      </c>
      <c r="BG9" s="32" t="s">
        <v>11</v>
      </c>
      <c r="BH9" s="32">
        <f t="shared" si="6"/>
        <v>70</v>
      </c>
      <c r="BK9" s="61" t="s">
        <v>11</v>
      </c>
      <c r="BL9" s="158">
        <v>55</v>
      </c>
      <c r="BO9" s="61" t="s">
        <v>11</v>
      </c>
      <c r="BP9" s="62"/>
      <c r="CC9" s="116" t="s">
        <v>267</v>
      </c>
      <c r="CD9" s="116" t="s">
        <v>208</v>
      </c>
      <c r="CH9" s="154" t="s">
        <v>277</v>
      </c>
    </row>
    <row r="10" spans="1:89" x14ac:dyDescent="0.35">
      <c r="A10" s="36" t="s">
        <v>15</v>
      </c>
      <c r="B10" s="136"/>
      <c r="C10" s="34"/>
      <c r="D10" s="45" t="s">
        <v>15</v>
      </c>
      <c r="E10" s="138"/>
      <c r="G10" s="52" t="s">
        <v>15</v>
      </c>
      <c r="H10" s="93"/>
      <c r="J10" s="36" t="s">
        <v>15</v>
      </c>
      <c r="K10" s="136">
        <f t="shared" si="0"/>
        <v>0</v>
      </c>
      <c r="P10" s="32" t="s">
        <v>15</v>
      </c>
      <c r="Q10" s="57">
        <f t="shared" si="7"/>
        <v>0</v>
      </c>
      <c r="U10" s="45" t="s">
        <v>15</v>
      </c>
      <c r="V10" s="46"/>
      <c r="Z10" s="52" t="s">
        <v>15</v>
      </c>
      <c r="AA10" s="53"/>
      <c r="AE10" s="61" t="s">
        <v>15</v>
      </c>
      <c r="AF10" s="158"/>
      <c r="AK10" s="61" t="s">
        <v>15</v>
      </c>
      <c r="AL10" s="158"/>
      <c r="AN10" s="61" t="s">
        <v>15</v>
      </c>
      <c r="AO10" s="158"/>
      <c r="AR10" s="36" t="s">
        <v>15</v>
      </c>
      <c r="AS10" s="136">
        <f t="shared" si="1"/>
        <v>0</v>
      </c>
      <c r="AT10" s="34"/>
      <c r="AU10" s="45" t="s">
        <v>15</v>
      </c>
      <c r="AV10" s="138">
        <f t="shared" si="2"/>
        <v>0</v>
      </c>
      <c r="AX10" s="52" t="s">
        <v>15</v>
      </c>
      <c r="AY10" s="170">
        <f t="shared" si="3"/>
        <v>0</v>
      </c>
      <c r="BA10" s="32" t="s">
        <v>15</v>
      </c>
      <c r="BB10" s="57">
        <f t="shared" si="4"/>
        <v>0</v>
      </c>
      <c r="BD10" s="32" t="s">
        <v>15</v>
      </c>
      <c r="BE10" s="57">
        <f t="shared" si="5"/>
        <v>0</v>
      </c>
      <c r="BG10" s="32" t="s">
        <v>15</v>
      </c>
      <c r="BH10" s="32">
        <f t="shared" si="6"/>
        <v>0</v>
      </c>
      <c r="BK10" s="61" t="s">
        <v>15</v>
      </c>
      <c r="BL10" s="158"/>
      <c r="BO10" s="61" t="s">
        <v>15</v>
      </c>
      <c r="BP10" s="62"/>
      <c r="CC10" s="152" t="s">
        <v>280</v>
      </c>
      <c r="CD10" s="2" t="s">
        <v>253</v>
      </c>
      <c r="CH10" s="154" t="s">
        <v>279</v>
      </c>
    </row>
    <row r="11" spans="1:89" x14ac:dyDescent="0.35">
      <c r="A11" s="36" t="s">
        <v>14</v>
      </c>
      <c r="B11" s="137">
        <v>25</v>
      </c>
      <c r="C11" s="35"/>
      <c r="D11" s="45" t="s">
        <v>14</v>
      </c>
      <c r="E11" s="138">
        <v>20</v>
      </c>
      <c r="G11" s="52" t="s">
        <v>14</v>
      </c>
      <c r="H11" s="140">
        <v>12</v>
      </c>
      <c r="I11" s="3">
        <v>0.2</v>
      </c>
      <c r="J11" s="36" t="s">
        <v>14</v>
      </c>
      <c r="K11" s="136">
        <f t="shared" si="0"/>
        <v>25</v>
      </c>
      <c r="P11" s="32" t="s">
        <v>14</v>
      </c>
      <c r="Q11" s="57">
        <f t="shared" si="7"/>
        <v>25</v>
      </c>
      <c r="U11" s="45" t="s">
        <v>14</v>
      </c>
      <c r="V11" s="47"/>
      <c r="Z11" s="52" t="s">
        <v>14</v>
      </c>
      <c r="AA11" s="54"/>
      <c r="AE11" s="61" t="s">
        <v>14</v>
      </c>
      <c r="AF11" s="158"/>
      <c r="AK11" s="61" t="s">
        <v>14</v>
      </c>
      <c r="AL11" s="158"/>
      <c r="AN11" s="61" t="s">
        <v>14</v>
      </c>
      <c r="AO11" s="158"/>
      <c r="AR11" s="36" t="s">
        <v>14</v>
      </c>
      <c r="AS11" s="136">
        <f t="shared" si="1"/>
        <v>25</v>
      </c>
      <c r="AT11" s="35"/>
      <c r="AU11" s="45" t="s">
        <v>14</v>
      </c>
      <c r="AV11" s="138">
        <f t="shared" si="2"/>
        <v>20</v>
      </c>
      <c r="AX11" s="52" t="s">
        <v>14</v>
      </c>
      <c r="AY11" s="170">
        <f t="shared" si="3"/>
        <v>14.4</v>
      </c>
      <c r="BA11" s="32" t="s">
        <v>14</v>
      </c>
      <c r="BB11" s="57">
        <f t="shared" si="4"/>
        <v>25</v>
      </c>
      <c r="BD11" s="32" t="s">
        <v>14</v>
      </c>
      <c r="BE11" s="57">
        <f t="shared" si="5"/>
        <v>25</v>
      </c>
      <c r="BG11" s="32" t="s">
        <v>14</v>
      </c>
      <c r="BH11" s="32">
        <f t="shared" si="6"/>
        <v>45</v>
      </c>
      <c r="BK11" s="61" t="s">
        <v>14</v>
      </c>
      <c r="BL11" s="158"/>
      <c r="BO11" s="61" t="s">
        <v>14</v>
      </c>
      <c r="BP11" s="63"/>
      <c r="CC11" s="152" t="s">
        <v>287</v>
      </c>
      <c r="CD11" s="116" t="s">
        <v>264</v>
      </c>
      <c r="CH11" s="154" t="s">
        <v>282</v>
      </c>
    </row>
    <row r="12" spans="1:89" x14ac:dyDescent="0.35">
      <c r="A12" s="36" t="s">
        <v>8</v>
      </c>
      <c r="B12" s="137">
        <v>20</v>
      </c>
      <c r="C12" s="35"/>
      <c r="D12" s="45" t="s">
        <v>8</v>
      </c>
      <c r="E12" s="138">
        <v>20</v>
      </c>
      <c r="G12" s="52" t="s">
        <v>8</v>
      </c>
      <c r="H12" s="140">
        <v>20</v>
      </c>
      <c r="J12" s="36" t="s">
        <v>8</v>
      </c>
      <c r="K12" s="136">
        <f t="shared" si="0"/>
        <v>20</v>
      </c>
      <c r="P12" s="32" t="s">
        <v>8</v>
      </c>
      <c r="Q12" s="57">
        <f t="shared" si="7"/>
        <v>20</v>
      </c>
      <c r="U12" s="45" t="s">
        <v>8</v>
      </c>
      <c r="V12" s="47"/>
      <c r="Z12" s="52" t="s">
        <v>8</v>
      </c>
      <c r="AA12" s="54"/>
      <c r="AE12" s="61" t="s">
        <v>8</v>
      </c>
      <c r="AF12" s="159">
        <v>0.15</v>
      </c>
      <c r="AH12" t="s">
        <v>43</v>
      </c>
      <c r="AI12">
        <f ca="1">RANDBETWEEN(1,100)</f>
        <v>51</v>
      </c>
      <c r="AK12" s="61" t="s">
        <v>8</v>
      </c>
      <c r="AL12" s="159">
        <v>0.1</v>
      </c>
      <c r="AN12" s="61" t="s">
        <v>8</v>
      </c>
      <c r="AO12" s="159">
        <v>0.1</v>
      </c>
      <c r="AR12" s="36" t="s">
        <v>8</v>
      </c>
      <c r="AS12" s="136">
        <f t="shared" si="1"/>
        <v>20</v>
      </c>
      <c r="AT12" s="35"/>
      <c r="AU12" s="45" t="s">
        <v>8</v>
      </c>
      <c r="AV12" s="138">
        <f t="shared" si="2"/>
        <v>20</v>
      </c>
      <c r="AX12" s="52" t="s">
        <v>8</v>
      </c>
      <c r="AY12" s="170">
        <f t="shared" si="3"/>
        <v>20</v>
      </c>
      <c r="BA12" s="32" t="s">
        <v>8</v>
      </c>
      <c r="BB12" s="57">
        <f t="shared" si="4"/>
        <v>20</v>
      </c>
      <c r="BD12" s="32" t="s">
        <v>8</v>
      </c>
      <c r="BE12" s="57">
        <f t="shared" si="5"/>
        <v>20</v>
      </c>
      <c r="BG12" s="32" t="s">
        <v>8</v>
      </c>
      <c r="BH12" s="32">
        <f t="shared" si="6"/>
        <v>20</v>
      </c>
      <c r="BK12" s="61" t="s">
        <v>8</v>
      </c>
      <c r="BL12" s="158">
        <v>5</v>
      </c>
      <c r="BO12" s="61" t="s">
        <v>8</v>
      </c>
      <c r="BP12" s="63"/>
      <c r="CC12" s="116" t="s">
        <v>295</v>
      </c>
      <c r="CD12" s="116" t="s">
        <v>265</v>
      </c>
      <c r="CH12" s="116" t="s">
        <v>298</v>
      </c>
    </row>
    <row r="13" spans="1:89" x14ac:dyDescent="0.35">
      <c r="A13" s="36" t="s">
        <v>9</v>
      </c>
      <c r="B13" s="137">
        <v>10</v>
      </c>
      <c r="C13" s="35"/>
      <c r="D13" s="45" t="s">
        <v>9</v>
      </c>
      <c r="E13" s="138">
        <v>9.5</v>
      </c>
      <c r="G13" s="52" t="s">
        <v>9</v>
      </c>
      <c r="H13" s="140">
        <v>5</v>
      </c>
      <c r="J13" s="36" t="s">
        <v>9</v>
      </c>
      <c r="K13" s="136">
        <f t="shared" si="0"/>
        <v>10</v>
      </c>
      <c r="P13" s="32" t="s">
        <v>9</v>
      </c>
      <c r="Q13" s="57">
        <f t="shared" si="7"/>
        <v>10</v>
      </c>
      <c r="U13" s="45" t="s">
        <v>9</v>
      </c>
      <c r="V13" s="47"/>
      <c r="Z13" s="52" t="s">
        <v>9</v>
      </c>
      <c r="AA13" s="54"/>
      <c r="AE13" s="61" t="s">
        <v>9</v>
      </c>
      <c r="AF13" s="159">
        <v>0.1</v>
      </c>
      <c r="AK13" s="61" t="s">
        <v>9</v>
      </c>
      <c r="AL13" s="159">
        <v>0.05</v>
      </c>
      <c r="AN13" s="61" t="s">
        <v>9</v>
      </c>
      <c r="AO13" s="159">
        <v>0.05</v>
      </c>
      <c r="AR13" s="36" t="s">
        <v>9</v>
      </c>
      <c r="AS13" s="136">
        <f t="shared" si="1"/>
        <v>10</v>
      </c>
      <c r="AT13" s="35"/>
      <c r="AU13" s="45" t="s">
        <v>9</v>
      </c>
      <c r="AV13" s="138">
        <f t="shared" si="2"/>
        <v>9.5</v>
      </c>
      <c r="AX13" s="52" t="s">
        <v>9</v>
      </c>
      <c r="AY13" s="170">
        <f t="shared" si="3"/>
        <v>5</v>
      </c>
      <c r="BA13" s="32" t="s">
        <v>9</v>
      </c>
      <c r="BB13" s="57">
        <f t="shared" si="4"/>
        <v>10</v>
      </c>
      <c r="BD13" s="32" t="s">
        <v>9</v>
      </c>
      <c r="BE13" s="57">
        <f t="shared" si="5"/>
        <v>10</v>
      </c>
      <c r="BG13" s="32" t="s">
        <v>9</v>
      </c>
      <c r="BH13" s="32">
        <f t="shared" si="6"/>
        <v>15</v>
      </c>
      <c r="BK13" s="61" t="s">
        <v>9</v>
      </c>
      <c r="BL13" s="158">
        <v>5</v>
      </c>
      <c r="BO13" s="61" t="s">
        <v>9</v>
      </c>
      <c r="BP13" s="63"/>
      <c r="CC13" s="116" t="s">
        <v>296</v>
      </c>
      <c r="CD13" s="116" t="s">
        <v>294</v>
      </c>
    </row>
    <row r="14" spans="1:89" x14ac:dyDescent="0.35">
      <c r="A14" s="36" t="s">
        <v>12</v>
      </c>
      <c r="B14" s="137"/>
      <c r="C14" s="35"/>
      <c r="D14" s="45" t="s">
        <v>12</v>
      </c>
      <c r="E14" s="139">
        <v>5</v>
      </c>
      <c r="G14" s="52" t="s">
        <v>12</v>
      </c>
      <c r="H14" s="54"/>
      <c r="J14" s="36" t="s">
        <v>12</v>
      </c>
      <c r="K14" s="136">
        <f>B14+E18</f>
        <v>10</v>
      </c>
      <c r="P14" s="32" t="s">
        <v>12</v>
      </c>
      <c r="Q14" s="57">
        <f>B14+E18</f>
        <v>10</v>
      </c>
      <c r="U14" s="45" t="s">
        <v>12</v>
      </c>
      <c r="V14" s="47"/>
      <c r="Z14" s="52" t="s">
        <v>12</v>
      </c>
      <c r="AA14" s="54"/>
      <c r="AE14" s="61" t="s">
        <v>12</v>
      </c>
      <c r="AF14" s="158"/>
      <c r="AK14" s="61" t="s">
        <v>12</v>
      </c>
      <c r="AL14" s="158"/>
      <c r="AN14" s="61" t="s">
        <v>12</v>
      </c>
      <c r="AO14" s="158"/>
      <c r="AR14" s="36" t="s">
        <v>12</v>
      </c>
      <c r="AS14" s="136">
        <f t="shared" si="1"/>
        <v>10</v>
      </c>
      <c r="AT14" s="35"/>
      <c r="AU14" s="45" t="s">
        <v>12</v>
      </c>
      <c r="AV14" s="138">
        <f t="shared" si="2"/>
        <v>5</v>
      </c>
      <c r="AX14" s="52" t="s">
        <v>12</v>
      </c>
      <c r="AY14" s="170">
        <f t="shared" si="3"/>
        <v>0</v>
      </c>
      <c r="BA14" s="32" t="s">
        <v>12</v>
      </c>
      <c r="BB14" s="57">
        <f t="shared" si="4"/>
        <v>0</v>
      </c>
      <c r="BD14" s="32" t="s">
        <v>12</v>
      </c>
      <c r="BE14" s="57">
        <f t="shared" si="5"/>
        <v>0</v>
      </c>
      <c r="BG14" s="32" t="s">
        <v>12</v>
      </c>
      <c r="BH14" s="32">
        <f t="shared" si="6"/>
        <v>0</v>
      </c>
      <c r="BK14" s="61" t="s">
        <v>12</v>
      </c>
      <c r="BL14" s="158"/>
      <c r="BO14" s="61" t="s">
        <v>12</v>
      </c>
      <c r="BP14" s="63"/>
    </row>
    <row r="15" spans="1:89" x14ac:dyDescent="0.35">
      <c r="A15" s="36" t="s">
        <v>13</v>
      </c>
      <c r="B15" s="137">
        <f>15*1.2</f>
        <v>18</v>
      </c>
      <c r="C15" s="190"/>
      <c r="D15" s="45" t="s">
        <v>13</v>
      </c>
      <c r="E15" s="139">
        <v>10</v>
      </c>
      <c r="G15" s="52" t="s">
        <v>13</v>
      </c>
      <c r="H15" s="54"/>
      <c r="J15" s="36" t="s">
        <v>13</v>
      </c>
      <c r="K15" s="136">
        <f>B15+C18</f>
        <v>23</v>
      </c>
      <c r="P15" s="32" t="s">
        <v>13</v>
      </c>
      <c r="Q15" s="57">
        <f>B15+C18</f>
        <v>23</v>
      </c>
      <c r="U15" s="45" t="s">
        <v>13</v>
      </c>
      <c r="V15" s="47"/>
      <c r="Z15" s="52" t="s">
        <v>13</v>
      </c>
      <c r="AA15" s="54"/>
      <c r="AE15" s="61" t="s">
        <v>13</v>
      </c>
      <c r="AF15" s="158"/>
      <c r="AK15" s="61" t="s">
        <v>13</v>
      </c>
      <c r="AL15" s="158"/>
      <c r="AN15" s="61" t="s">
        <v>13</v>
      </c>
      <c r="AO15" s="158"/>
      <c r="AR15" s="36" t="s">
        <v>13</v>
      </c>
      <c r="AS15" s="136">
        <f t="shared" si="1"/>
        <v>23</v>
      </c>
      <c r="AT15" s="35"/>
      <c r="AU15" s="45" t="s">
        <v>13</v>
      </c>
      <c r="AV15" s="138">
        <f t="shared" si="2"/>
        <v>10</v>
      </c>
      <c r="AX15" s="52" t="s">
        <v>13</v>
      </c>
      <c r="AY15" s="170">
        <f t="shared" si="3"/>
        <v>0</v>
      </c>
      <c r="BA15" s="32" t="s">
        <v>13</v>
      </c>
      <c r="BB15" s="57">
        <f t="shared" si="4"/>
        <v>18</v>
      </c>
      <c r="BD15" s="32" t="s">
        <v>13</v>
      </c>
      <c r="BE15" s="57">
        <f t="shared" si="5"/>
        <v>18</v>
      </c>
      <c r="BG15" s="32" t="s">
        <v>13</v>
      </c>
      <c r="BH15" s="32">
        <f t="shared" si="6"/>
        <v>18</v>
      </c>
      <c r="BK15" s="61" t="s">
        <v>13</v>
      </c>
      <c r="BL15" s="158"/>
      <c r="BO15" s="61" t="s">
        <v>13</v>
      </c>
      <c r="BP15" s="63"/>
    </row>
    <row r="16" spans="1:89" ht="15" thickBot="1" x14ac:dyDescent="0.4">
      <c r="A16" s="39" t="s">
        <v>16</v>
      </c>
      <c r="B16" s="161">
        <v>5</v>
      </c>
      <c r="C16" s="35"/>
      <c r="D16" s="48" t="s">
        <v>16</v>
      </c>
      <c r="E16" s="189">
        <v>10</v>
      </c>
      <c r="G16" s="55" t="s">
        <v>16</v>
      </c>
      <c r="H16" s="56"/>
      <c r="J16" s="39" t="s">
        <v>16</v>
      </c>
      <c r="K16" s="136">
        <f>B16</f>
        <v>5</v>
      </c>
      <c r="P16" s="32" t="s">
        <v>16</v>
      </c>
      <c r="Q16" s="57">
        <f>B16</f>
        <v>5</v>
      </c>
      <c r="U16" s="48" t="s">
        <v>16</v>
      </c>
      <c r="V16" s="49"/>
      <c r="Z16" s="55" t="s">
        <v>16</v>
      </c>
      <c r="AA16" s="56"/>
      <c r="AE16" s="64" t="s">
        <v>16</v>
      </c>
      <c r="AF16" s="160"/>
      <c r="AK16" s="64" t="s">
        <v>16</v>
      </c>
      <c r="AL16" s="160"/>
      <c r="AN16" s="64" t="s">
        <v>16</v>
      </c>
      <c r="AO16" s="160"/>
      <c r="AR16" s="39" t="s">
        <v>16</v>
      </c>
      <c r="AS16" s="136">
        <f t="shared" si="1"/>
        <v>5</v>
      </c>
      <c r="AT16" s="35"/>
      <c r="AU16" s="48" t="s">
        <v>16</v>
      </c>
      <c r="AV16" s="138">
        <f t="shared" si="2"/>
        <v>10</v>
      </c>
      <c r="AX16" s="55" t="s">
        <v>16</v>
      </c>
      <c r="AY16" s="170">
        <f t="shared" si="3"/>
        <v>0</v>
      </c>
      <c r="BA16" s="32" t="s">
        <v>16</v>
      </c>
      <c r="BB16" s="57">
        <f t="shared" si="4"/>
        <v>5</v>
      </c>
      <c r="BD16" s="32" t="s">
        <v>16</v>
      </c>
      <c r="BE16" s="57">
        <f t="shared" si="5"/>
        <v>5</v>
      </c>
      <c r="BG16" s="32" t="s">
        <v>16</v>
      </c>
      <c r="BH16" s="32">
        <f t="shared" si="6"/>
        <v>5</v>
      </c>
      <c r="BK16" s="64" t="s">
        <v>16</v>
      </c>
      <c r="BL16" s="160"/>
      <c r="BO16" s="64" t="s">
        <v>16</v>
      </c>
      <c r="BP16" s="65"/>
    </row>
    <row r="17" spans="1:77" x14ac:dyDescent="0.35">
      <c r="A17" t="s">
        <v>17</v>
      </c>
      <c r="B17" t="s">
        <v>226</v>
      </c>
    </row>
    <row r="18" spans="1:77" x14ac:dyDescent="0.35">
      <c r="A18" t="s">
        <v>18</v>
      </c>
      <c r="B18" s="1" t="s">
        <v>13</v>
      </c>
      <c r="C18" s="1">
        <v>5</v>
      </c>
      <c r="D18" s="2" t="s">
        <v>12</v>
      </c>
      <c r="E18" s="2">
        <v>10</v>
      </c>
      <c r="F18" t="s">
        <v>35</v>
      </c>
      <c r="G18" s="3">
        <v>0.35</v>
      </c>
      <c r="AO18" t="s">
        <v>248</v>
      </c>
    </row>
    <row r="19" spans="1:77" ht="15" thickBot="1" x14ac:dyDescent="0.4">
      <c r="A19" t="s">
        <v>19</v>
      </c>
      <c r="B19" t="s">
        <v>34</v>
      </c>
      <c r="AE19" s="95" t="s">
        <v>116</v>
      </c>
      <c r="AF19" s="71" t="s">
        <v>126</v>
      </c>
      <c r="AG19" s="71">
        <v>35</v>
      </c>
      <c r="AH19" s="96" t="s">
        <v>127</v>
      </c>
      <c r="AI19" s="96">
        <v>25</v>
      </c>
      <c r="AJ19" s="70" t="s">
        <v>124</v>
      </c>
      <c r="AK19" s="70">
        <f>AG19+$AF$8</f>
        <v>75</v>
      </c>
      <c r="AL19" s="98" t="s">
        <v>125</v>
      </c>
      <c r="AM19" s="98">
        <f>$AF$9+AI19</f>
        <v>50</v>
      </c>
      <c r="AS19" s="95" t="s">
        <v>116</v>
      </c>
      <c r="AT19" s="71" t="s">
        <v>126</v>
      </c>
      <c r="AU19" s="71">
        <v>12</v>
      </c>
      <c r="AV19" s="96" t="s">
        <v>127</v>
      </c>
      <c r="AW19" s="96">
        <v>18</v>
      </c>
      <c r="AX19" s="70" t="s">
        <v>124</v>
      </c>
      <c r="AY19" s="70">
        <f>AU19+$AL$8</f>
        <v>42</v>
      </c>
      <c r="AZ19" s="98" t="s">
        <v>125</v>
      </c>
      <c r="BA19" s="98">
        <f>$AL$9+AW19</f>
        <v>28</v>
      </c>
      <c r="BD19" s="95" t="s">
        <v>116</v>
      </c>
      <c r="BE19" s="71" t="s">
        <v>126</v>
      </c>
      <c r="BF19" s="71">
        <v>12</v>
      </c>
      <c r="BG19" s="96" t="s">
        <v>127</v>
      </c>
      <c r="BH19" s="96">
        <v>18</v>
      </c>
      <c r="BI19" s="70" t="s">
        <v>124</v>
      </c>
      <c r="BJ19" s="70">
        <f t="shared" ref="BJ19:BJ24" si="8">BF19+$AO$8</f>
        <v>42</v>
      </c>
      <c r="BK19" s="98" t="s">
        <v>125</v>
      </c>
      <c r="BL19" s="98">
        <f t="shared" ref="BL19:BL24" si="9">$AO$9+BH19</f>
        <v>28</v>
      </c>
      <c r="BO19" s="95" t="s">
        <v>116</v>
      </c>
      <c r="BP19" s="71" t="s">
        <v>126</v>
      </c>
      <c r="BQ19" s="71">
        <v>12</v>
      </c>
      <c r="BR19" s="96" t="s">
        <v>127</v>
      </c>
      <c r="BS19" s="96">
        <v>18</v>
      </c>
      <c r="BT19" s="70" t="s">
        <v>124</v>
      </c>
      <c r="BU19" s="70">
        <f>BQ19+$BL$8</f>
        <v>55</v>
      </c>
      <c r="BV19" s="98" t="s">
        <v>125</v>
      </c>
      <c r="BW19" s="98">
        <f>$BL$9+BS19</f>
        <v>73</v>
      </c>
    </row>
    <row r="20" spans="1:77" ht="41" customHeight="1" thickBot="1" x14ac:dyDescent="0.4">
      <c r="A20" s="23" t="s">
        <v>20</v>
      </c>
      <c r="B20" s="359" t="s">
        <v>36</v>
      </c>
      <c r="C20" s="359"/>
      <c r="D20" s="178" t="s">
        <v>37</v>
      </c>
      <c r="E20" s="178">
        <v>40</v>
      </c>
      <c r="F20" s="179" t="s">
        <v>38</v>
      </c>
      <c r="G20" s="180">
        <v>20</v>
      </c>
      <c r="AE20" s="95" t="s">
        <v>115</v>
      </c>
      <c r="AF20" s="71" t="s">
        <v>126</v>
      </c>
      <c r="AG20" s="71">
        <v>15</v>
      </c>
      <c r="AH20" s="96"/>
      <c r="AI20" s="96"/>
      <c r="AJ20" s="70" t="s">
        <v>124</v>
      </c>
      <c r="AK20" s="70">
        <f t="shared" ref="AK20:AK24" si="10">AG20+$AF$8</f>
        <v>55</v>
      </c>
      <c r="AL20" s="98" t="s">
        <v>125</v>
      </c>
      <c r="AM20" s="98">
        <f t="shared" ref="AM20:AM24" si="11">$AF$9+AI20</f>
        <v>25</v>
      </c>
      <c r="AS20" s="95" t="s">
        <v>115</v>
      </c>
      <c r="AT20" s="71" t="s">
        <v>126</v>
      </c>
      <c r="AU20" s="71">
        <v>15</v>
      </c>
      <c r="AV20" s="96"/>
      <c r="AW20" s="96"/>
      <c r="AX20" s="70" t="s">
        <v>124</v>
      </c>
      <c r="AY20" s="70">
        <f t="shared" ref="AY20:AY24" si="12">AU20+$AL$8</f>
        <v>45</v>
      </c>
      <c r="AZ20" s="98" t="s">
        <v>125</v>
      </c>
      <c r="BA20" s="98">
        <f t="shared" ref="BA20:BA24" si="13">$AL$9+AW20</f>
        <v>10</v>
      </c>
      <c r="BD20" s="95" t="s">
        <v>115</v>
      </c>
      <c r="BE20" s="71" t="s">
        <v>126</v>
      </c>
      <c r="BF20" s="71">
        <v>15</v>
      </c>
      <c r="BG20" s="96"/>
      <c r="BH20" s="96">
        <v>50</v>
      </c>
      <c r="BI20" s="70" t="s">
        <v>124</v>
      </c>
      <c r="BJ20" s="70">
        <f t="shared" si="8"/>
        <v>45</v>
      </c>
      <c r="BK20" s="98" t="s">
        <v>125</v>
      </c>
      <c r="BL20" s="98">
        <f t="shared" si="9"/>
        <v>60</v>
      </c>
      <c r="BO20" s="95" t="s">
        <v>115</v>
      </c>
      <c r="BP20" s="71" t="s">
        <v>126</v>
      </c>
      <c r="BQ20" s="71">
        <v>15</v>
      </c>
      <c r="BR20" s="96"/>
      <c r="BS20" s="96">
        <v>50</v>
      </c>
      <c r="BT20" s="70" t="s">
        <v>124</v>
      </c>
      <c r="BU20" s="70">
        <v>58</v>
      </c>
      <c r="BV20" s="98" t="s">
        <v>125</v>
      </c>
      <c r="BW20" s="98">
        <f t="shared" ref="BW20:BW24" si="14">$BL$9+BS20</f>
        <v>105</v>
      </c>
    </row>
    <row r="21" spans="1:77" ht="73" customHeight="1" thickBot="1" x14ac:dyDescent="0.4">
      <c r="A21" s="11" t="s">
        <v>21</v>
      </c>
      <c r="B21" s="359" t="s">
        <v>39</v>
      </c>
      <c r="C21" s="359"/>
      <c r="D21" s="178" t="s">
        <v>37</v>
      </c>
      <c r="E21" s="178"/>
      <c r="F21" s="179" t="s">
        <v>38</v>
      </c>
      <c r="G21" s="180">
        <v>30</v>
      </c>
      <c r="AE21" s="95" t="s">
        <v>117</v>
      </c>
      <c r="AF21" s="71" t="s">
        <v>126</v>
      </c>
      <c r="AG21" s="71">
        <v>10</v>
      </c>
      <c r="AH21" s="96"/>
      <c r="AI21" s="96"/>
      <c r="AJ21" s="70" t="s">
        <v>124</v>
      </c>
      <c r="AK21" s="70">
        <f t="shared" si="10"/>
        <v>50</v>
      </c>
      <c r="AL21" s="98" t="s">
        <v>125</v>
      </c>
      <c r="AM21" s="98">
        <f t="shared" si="11"/>
        <v>25</v>
      </c>
      <c r="AO21" s="174" t="s">
        <v>234</v>
      </c>
      <c r="AP21" s="174">
        <v>5</v>
      </c>
      <c r="AS21" s="95" t="s">
        <v>117</v>
      </c>
      <c r="AT21" s="71" t="s">
        <v>126</v>
      </c>
      <c r="AU21" s="71">
        <v>10</v>
      </c>
      <c r="AV21" s="96"/>
      <c r="AW21" s="96"/>
      <c r="AX21" s="70" t="s">
        <v>124</v>
      </c>
      <c r="AY21" s="70">
        <f t="shared" si="12"/>
        <v>40</v>
      </c>
      <c r="AZ21" s="98" t="s">
        <v>125</v>
      </c>
      <c r="BA21" s="98">
        <f t="shared" si="13"/>
        <v>10</v>
      </c>
      <c r="BB21" s="174" t="s">
        <v>234</v>
      </c>
      <c r="BC21" s="174">
        <v>3</v>
      </c>
      <c r="BD21" s="95" t="s">
        <v>117</v>
      </c>
      <c r="BE21" s="71" t="s">
        <v>126</v>
      </c>
      <c r="BF21" s="71">
        <v>10</v>
      </c>
      <c r="BG21" s="96"/>
      <c r="BH21" s="96"/>
      <c r="BI21" s="70" t="s">
        <v>124</v>
      </c>
      <c r="BJ21" s="70">
        <f t="shared" si="8"/>
        <v>40</v>
      </c>
      <c r="BK21" s="98" t="s">
        <v>125</v>
      </c>
      <c r="BL21" s="98">
        <f t="shared" si="9"/>
        <v>10</v>
      </c>
      <c r="BM21" s="174" t="s">
        <v>234</v>
      </c>
      <c r="BN21" s="174">
        <v>1</v>
      </c>
      <c r="BO21" s="95" t="s">
        <v>117</v>
      </c>
      <c r="BP21" s="71" t="s">
        <v>126</v>
      </c>
      <c r="BQ21" s="71">
        <v>10</v>
      </c>
      <c r="BR21" s="96"/>
      <c r="BS21" s="96"/>
      <c r="BT21" s="70" t="s">
        <v>124</v>
      </c>
      <c r="BU21" s="70">
        <f t="shared" ref="BU21:BU24" si="15">BQ21+$BL$8</f>
        <v>53</v>
      </c>
      <c r="BV21" s="98" t="s">
        <v>125</v>
      </c>
      <c r="BW21" s="98">
        <f t="shared" si="14"/>
        <v>55</v>
      </c>
      <c r="BX21" s="174" t="s">
        <v>234</v>
      </c>
      <c r="BY21" s="174">
        <v>3</v>
      </c>
    </row>
    <row r="22" spans="1:77" ht="44" customHeight="1" thickBot="1" x14ac:dyDescent="0.4">
      <c r="A22" s="11" t="s">
        <v>22</v>
      </c>
      <c r="B22" s="359" t="s">
        <v>40</v>
      </c>
      <c r="C22" s="359"/>
      <c r="D22" s="178" t="s">
        <v>37</v>
      </c>
      <c r="E22" s="178"/>
      <c r="F22" s="179" t="s">
        <v>38</v>
      </c>
      <c r="G22" s="180">
        <v>40</v>
      </c>
      <c r="AE22" s="95" t="s">
        <v>118</v>
      </c>
      <c r="AF22" s="71" t="s">
        <v>126</v>
      </c>
      <c r="AG22" s="71">
        <v>20</v>
      </c>
      <c r="AH22" s="96"/>
      <c r="AI22" s="96">
        <v>20</v>
      </c>
      <c r="AJ22" s="70" t="s">
        <v>124</v>
      </c>
      <c r="AK22" s="70">
        <f t="shared" si="10"/>
        <v>60</v>
      </c>
      <c r="AL22" s="98" t="s">
        <v>125</v>
      </c>
      <c r="AM22" s="98">
        <f t="shared" si="11"/>
        <v>45</v>
      </c>
      <c r="AS22" s="95" t="s">
        <v>118</v>
      </c>
      <c r="AT22" s="71" t="s">
        <v>126</v>
      </c>
      <c r="AU22" s="71">
        <v>20</v>
      </c>
      <c r="AV22" s="96"/>
      <c r="AW22" s="96">
        <v>20</v>
      </c>
      <c r="AX22" s="70" t="s">
        <v>124</v>
      </c>
      <c r="AY22" s="70">
        <f t="shared" si="12"/>
        <v>50</v>
      </c>
      <c r="AZ22" s="98" t="s">
        <v>125</v>
      </c>
      <c r="BA22" s="98">
        <f t="shared" si="13"/>
        <v>30</v>
      </c>
      <c r="BD22" s="95" t="s">
        <v>118</v>
      </c>
      <c r="BE22" s="71" t="s">
        <v>126</v>
      </c>
      <c r="BF22" s="71">
        <v>20</v>
      </c>
      <c r="BG22" s="96"/>
      <c r="BH22" s="96">
        <v>20</v>
      </c>
      <c r="BI22" s="70" t="s">
        <v>124</v>
      </c>
      <c r="BJ22" s="70">
        <f t="shared" si="8"/>
        <v>50</v>
      </c>
      <c r="BK22" s="98" t="s">
        <v>125</v>
      </c>
      <c r="BL22" s="98">
        <f t="shared" si="9"/>
        <v>30</v>
      </c>
      <c r="BO22" s="95" t="s">
        <v>118</v>
      </c>
      <c r="BP22" s="71" t="s">
        <v>126</v>
      </c>
      <c r="BQ22" s="71">
        <v>20</v>
      </c>
      <c r="BR22" s="96"/>
      <c r="BS22" s="96">
        <v>20</v>
      </c>
      <c r="BT22" s="70" t="s">
        <v>124</v>
      </c>
      <c r="BU22" s="70">
        <f t="shared" si="15"/>
        <v>63</v>
      </c>
      <c r="BV22" s="98" t="s">
        <v>125</v>
      </c>
      <c r="BW22" s="98">
        <f t="shared" si="14"/>
        <v>75</v>
      </c>
    </row>
    <row r="23" spans="1:77" ht="87.5" customHeight="1" thickBot="1" x14ac:dyDescent="0.4">
      <c r="A23" s="11" t="s">
        <v>23</v>
      </c>
      <c r="B23" s="359" t="s">
        <v>41</v>
      </c>
      <c r="C23" s="359"/>
      <c r="D23" s="178" t="s">
        <v>37</v>
      </c>
      <c r="E23" s="178"/>
      <c r="F23" s="179" t="s">
        <v>38</v>
      </c>
      <c r="G23" s="180">
        <v>60</v>
      </c>
      <c r="AE23" s="95" t="s">
        <v>119</v>
      </c>
      <c r="AF23" s="71" t="s">
        <v>126</v>
      </c>
      <c r="AG23" s="71"/>
      <c r="AH23" s="96"/>
      <c r="AI23" s="96">
        <v>80</v>
      </c>
      <c r="AJ23" s="70" t="s">
        <v>124</v>
      </c>
      <c r="AK23" s="70">
        <f t="shared" si="10"/>
        <v>40</v>
      </c>
      <c r="AL23" s="98" t="s">
        <v>125</v>
      </c>
      <c r="AM23" s="98">
        <f t="shared" si="11"/>
        <v>105</v>
      </c>
      <c r="AS23" s="95" t="s">
        <v>119</v>
      </c>
      <c r="AT23" s="71" t="s">
        <v>126</v>
      </c>
      <c r="AU23" s="71"/>
      <c r="AV23" s="96"/>
      <c r="AW23" s="96">
        <v>80</v>
      </c>
      <c r="AX23" s="70" t="s">
        <v>124</v>
      </c>
      <c r="AY23" s="70">
        <f t="shared" si="12"/>
        <v>30</v>
      </c>
      <c r="AZ23" s="98" t="s">
        <v>125</v>
      </c>
      <c r="BA23" s="98">
        <f t="shared" si="13"/>
        <v>90</v>
      </c>
      <c r="BD23" s="95" t="s">
        <v>119</v>
      </c>
      <c r="BE23" s="71" t="s">
        <v>126</v>
      </c>
      <c r="BF23" s="71"/>
      <c r="BG23" s="96"/>
      <c r="BH23" s="96">
        <v>80</v>
      </c>
      <c r="BI23" s="70" t="s">
        <v>124</v>
      </c>
      <c r="BJ23" s="70">
        <f t="shared" si="8"/>
        <v>30</v>
      </c>
      <c r="BK23" s="98" t="s">
        <v>125</v>
      </c>
      <c r="BL23" s="98">
        <f t="shared" si="9"/>
        <v>90</v>
      </c>
      <c r="BO23" s="95" t="s">
        <v>119</v>
      </c>
      <c r="BP23" s="71" t="s">
        <v>126</v>
      </c>
      <c r="BQ23" s="71"/>
      <c r="BR23" s="96"/>
      <c r="BS23" s="96">
        <v>80</v>
      </c>
      <c r="BT23" s="70" t="s">
        <v>124</v>
      </c>
      <c r="BU23" s="70">
        <f t="shared" si="15"/>
        <v>43</v>
      </c>
      <c r="BV23" s="98" t="s">
        <v>125</v>
      </c>
      <c r="BW23" s="98">
        <f t="shared" si="14"/>
        <v>135</v>
      </c>
    </row>
    <row r="24" spans="1:77" ht="72.5" customHeight="1" x14ac:dyDescent="0.35">
      <c r="A24" s="355" t="s">
        <v>24</v>
      </c>
      <c r="B24" s="357" t="s">
        <v>42</v>
      </c>
      <c r="C24" s="357"/>
      <c r="D24" s="178" t="s">
        <v>37</v>
      </c>
      <c r="E24" s="178"/>
      <c r="F24" s="179" t="s">
        <v>38</v>
      </c>
      <c r="G24" s="180">
        <v>25</v>
      </c>
      <c r="AE24" s="95" t="s">
        <v>120</v>
      </c>
      <c r="AF24" s="71" t="s">
        <v>126</v>
      </c>
      <c r="AG24" s="71"/>
      <c r="AH24" s="96"/>
      <c r="AI24" s="96"/>
      <c r="AJ24" s="70" t="s">
        <v>124</v>
      </c>
      <c r="AK24" s="70">
        <f t="shared" si="10"/>
        <v>40</v>
      </c>
      <c r="AL24" s="98" t="s">
        <v>125</v>
      </c>
      <c r="AM24" s="98">
        <f t="shared" si="11"/>
        <v>25</v>
      </c>
      <c r="AS24" s="95" t="s">
        <v>120</v>
      </c>
      <c r="AT24" s="71" t="s">
        <v>126</v>
      </c>
      <c r="AU24" s="71"/>
      <c r="AV24" s="96"/>
      <c r="AW24" s="96"/>
      <c r="AX24" s="70" t="s">
        <v>124</v>
      </c>
      <c r="AY24" s="70">
        <f t="shared" si="12"/>
        <v>30</v>
      </c>
      <c r="AZ24" s="98" t="s">
        <v>125</v>
      </c>
      <c r="BA24" s="98">
        <f t="shared" si="13"/>
        <v>10</v>
      </c>
      <c r="BD24" s="95" t="s">
        <v>120</v>
      </c>
      <c r="BE24" s="71" t="s">
        <v>126</v>
      </c>
      <c r="BF24" s="71"/>
      <c r="BG24" s="96"/>
      <c r="BH24" s="96"/>
      <c r="BI24" s="70" t="s">
        <v>124</v>
      </c>
      <c r="BJ24" s="70">
        <f t="shared" si="8"/>
        <v>30</v>
      </c>
      <c r="BK24" s="98" t="s">
        <v>125</v>
      </c>
      <c r="BL24" s="98">
        <f t="shared" si="9"/>
        <v>10</v>
      </c>
      <c r="BO24" s="95" t="s">
        <v>120</v>
      </c>
      <c r="BP24" s="71" t="s">
        <v>126</v>
      </c>
      <c r="BQ24" s="71"/>
      <c r="BR24" s="96"/>
      <c r="BS24" s="96"/>
      <c r="BT24" s="70" t="s">
        <v>124</v>
      </c>
      <c r="BU24" s="70">
        <f t="shared" si="15"/>
        <v>43</v>
      </c>
      <c r="BV24" s="98" t="s">
        <v>125</v>
      </c>
      <c r="BW24" s="98">
        <f t="shared" si="14"/>
        <v>55</v>
      </c>
    </row>
    <row r="25" spans="1:77" ht="15" thickBot="1" x14ac:dyDescent="0.4">
      <c r="A25" s="356"/>
      <c r="B25" s="358"/>
      <c r="C25" s="358"/>
      <c r="D25" s="177" t="s">
        <v>13</v>
      </c>
      <c r="E25" s="181">
        <v>5</v>
      </c>
      <c r="F25" s="182" t="s">
        <v>43</v>
      </c>
      <c r="G25" s="183">
        <v>-0.04</v>
      </c>
    </row>
    <row r="26" spans="1:77" ht="72.5" customHeight="1" x14ac:dyDescent="0.35">
      <c r="A26" s="355" t="s">
        <v>25</v>
      </c>
      <c r="B26" s="357" t="s">
        <v>44</v>
      </c>
      <c r="C26" s="357"/>
      <c r="D26" s="178" t="s">
        <v>37</v>
      </c>
      <c r="E26" s="178"/>
      <c r="F26" s="179" t="s">
        <v>38</v>
      </c>
      <c r="G26" s="180">
        <v>15</v>
      </c>
      <c r="AJ26" s="118" t="s">
        <v>142</v>
      </c>
      <c r="AK26" s="70">
        <f>SUM(AK19:AK24)</f>
        <v>320</v>
      </c>
      <c r="AL26" s="119" t="s">
        <v>143</v>
      </c>
      <c r="AM26" s="98">
        <f>SUM(AM19:AM24)</f>
        <v>275</v>
      </c>
    </row>
    <row r="27" spans="1:77" ht="15" thickBot="1" x14ac:dyDescent="0.4">
      <c r="A27" s="356"/>
      <c r="B27" s="358"/>
      <c r="C27" s="358"/>
      <c r="D27" s="177" t="s">
        <v>13</v>
      </c>
      <c r="E27" s="181">
        <v>15</v>
      </c>
      <c r="F27" s="184"/>
      <c r="G27" s="185"/>
    </row>
    <row r="28" spans="1:77" ht="44" customHeight="1" thickBot="1" x14ac:dyDescent="0.4">
      <c r="A28" s="11" t="s">
        <v>26</v>
      </c>
      <c r="B28" s="359" t="s">
        <v>45</v>
      </c>
      <c r="C28" s="359"/>
      <c r="D28" s="178" t="s">
        <v>37</v>
      </c>
      <c r="E28" s="178"/>
      <c r="F28" s="179" t="s">
        <v>38</v>
      </c>
      <c r="G28" s="180">
        <v>50</v>
      </c>
      <c r="AJ28" s="171" t="s">
        <v>144</v>
      </c>
      <c r="AK28">
        <f>IF($AP$21=1,$AK$19*(1-(Q6/(1000+Q6))),IF($AP$21=2,$AM$19*(1-(Q7/(1000+Q7))),IF($AP$21=3,$AK$20*(1-(Q7/(1000+Q7))),IF($AP$21=4,$AM$20*(1-(Q7/(1000+Q7))),IF($AP$21=5,$AK$21*(1-(Q6/(1000+Q6))),IF($AP$21=6,$AM$21*(1-(Q7/(1000+Q7))),IF($AP$21=7,$AK$22*(1-(Q6/(1000+Q6))),IF($AP$21=8,$AM$22*(1-(Q7/(1000+Q7))),IF($AP$21=9,$AK$23*(1-(Q6/(1000+Q6))),IF($AP$21=10,$AM$23*(1-(Q7/(1000+Q7))),IF($AP$21=11,$AK$24*(1-(Q6/(1000+Q6))),IF($AP$21=12,$AM$24*(1-(Q7/(1000+Q7))),0))))))))))))</f>
        <v>45.126353790613713</v>
      </c>
      <c r="AZ28" s="171" t="s">
        <v>144</v>
      </c>
      <c r="BA28">
        <f>IF($BC$21=1,$AY$19*(1-(Q6/(1000+Q6))),IF($BC$21=2,$BA$19*(1-(Q7/(1000+Q7))),IF($BC$21=3,$AY$20*(1-(Q6/(1000+Q6))),IF($BC$21=4,$BA$20*(1-(Q7/(1000+Q7))),IF($BC$21=5,$AY$21*(1-(Q6/(1000+Q6))),IF($BC$21=6,$BA$21*(1-(Q7/(1000+Q7))),IF($BC$21=7,$AY$22*(1-(Q6/(1000+Q6))),IF($BC$21=8,$BA$22*(1-(Q7/(1000+Q7))),IF($BC$21=9,$AY$23*(1-(Q6/(1000+Q6))),IF($BC$21=10,$BA$23*(1-(Q7/(1000+Q7))),IF($BC$21=11,$AY$24*(1-(Q6/(1000+Q6))),IF($BC$21=12,$BA$24*(1-(Q7/(1000+Q7))),0))))))))))))</f>
        <v>40.613718411552341</v>
      </c>
      <c r="BK28" s="171" t="s">
        <v>144</v>
      </c>
      <c r="BL28" s="5">
        <f>IF($BN$21=1,$BJ$19*(1-(Q6/(1000+Q6))),IF($BN$21=2,$BL$19*(1-(Q7/(1000+Q7))),IF($BN$21=3,$BJ$20*(1-(Q6/(1000+Q6))),IF($BN$21=4,$BL$20*(1-(Q7/(1000+Q7))),IF($BN$21=5,$BJ$21*(1-(Q6/(1000+Q6))),IF($BN$21=6,$BL$21*(1-(Q7/(1000+Q7))),IF($BN$21=7,$BJ$22*(1-(Q6/(1000+Q6))),IF($BN$21=8,$BL$22*(1-(Q7/(1000+Q7))),IF($BN$21=9,$BJ$23*(1-(Q6/(1000+Q6))),IF($BN$21=10,$BL$23*(1-(Q7/(1000+Q7))),IF($BN$21=11,$BJ$24*(1-(Q6/(1000+Q6))),IF($BN$21=12,$BL$24*(1-(Q7/(1000+Q7))),0))))))))))))</f>
        <v>37.906137184115522</v>
      </c>
      <c r="BV28" s="171" t="s">
        <v>144</v>
      </c>
      <c r="BW28">
        <f>IF($BY$21=1,$BU$19*(1-(Q6/(1000+Q6))),IF($BY$21=2,$BW$19*(1-(Q7/(1000+Q7))),IF($BY$21=3,$BU$20*(1-(Q6/(1000+Q6))),IF($BY$21=4,$BW$20*(1-(Q7/(1000+Q7))),IF($BY$21=5,$BU$21*(1-(Q6/(1000+Q6))),IF($BY$21=6,$BW$21*(1-(Q7/(1000+Q7))),IF($BY$21=7,$BW$22*(1-(Q6/(1000+Q6))),IF($BY$21=8,$BU$22*(1-(Q7/(1000+Q7))),IF($BY$21=9,$BW$23*(1-(Q6/(1000+Q6))),IF($BY$21=10,$BU$23*(1-(Q7/(1000+Q7))),IF($BY$21=11,$BW$24*(1-(Q6/(1000+Q6))),IF($BY$21=12,$BU$24*(1-(Q7/(1000+Q7))),0))))))))))))</f>
        <v>52.346570397111911</v>
      </c>
    </row>
    <row r="29" spans="1:77" ht="87" customHeight="1" x14ac:dyDescent="0.35">
      <c r="A29" s="360" t="s">
        <v>27</v>
      </c>
      <c r="B29" s="357" t="s">
        <v>46</v>
      </c>
      <c r="C29" s="357"/>
      <c r="D29" s="178" t="s">
        <v>37</v>
      </c>
      <c r="E29" s="178"/>
      <c r="F29" s="177" t="s">
        <v>13</v>
      </c>
      <c r="G29" s="186">
        <v>10</v>
      </c>
      <c r="AJ29" s="171" t="s">
        <v>145</v>
      </c>
      <c r="AK29">
        <f>IF($AP$21=1,$AK$19*(1-(H44/(1000+H44))),IF($AP$21=2,$AM$19*(1-(H45/(1000+H45))),IF($AP$21=3,$AK$20*(1-(H44/(1000+H44))),IF($AP$21=4,$AM$20*(1-(H45/(1000+H45))),IF($AP$21=5,$AK$21*(1-(H44/(1000+H44))),IF($AP$21=6,$AM$21*(1-(H45/(1000+H45))),IF($AP$21=7,$AK$22*(1-(H44/(1000+H44))),IF($AP$21=8,$AM$22*(1-(H45/(1000+H45))),IF($AP$21=9,$AK$23*(1-(H44/(1000+H44))),IF($AP$21=10,$AM$23*(1-(H45/(1000+H45))),IF($AP$21=11,$AK$24*(1-(H44/(1000+H44))),IF($AP$21=12,$AM$24*(1-(H45/(1000+H45))),0))))))))))))</f>
        <v>46.296296296296298</v>
      </c>
      <c r="AZ29" s="171" t="s">
        <v>145</v>
      </c>
      <c r="BA29">
        <f>IF($BC$21=1,$AY$19*(1-(H44/(1000+H44))),IF($BC$21=2,$BA$19*(1-(H45/(1000+H45))),IF($BC$21=3,$AY$20*(1-(H44/(1000+H44))),IF($BC$21=4,$BA$20*(1-(H45/(1000+H45))),IF($BC$21=5,$AY$21*(1-(H44/(1000+H44))),IF($BC$21=6,$BA$21*(1-(H45/(1000+H45))),IF($BC$21=7,$AY$22*(1-(H44/(1000+H44))),IF($BC$21=8,$BA$22*(1-(H45/(1000+H45))),IF($BC$21=9,$AY$23*(1-(H44/(1000+H44))),IF($BC$21=10,$BA$23*(1-(H45/(1000+H45))),IF($BC$21=11,$AY$24*(1-(H44/(1000+H44))),IF($BC$21=12,$BA$24*(1-(H45/(1000+H45))),0))))))))))))</f>
        <v>41.666666666666664</v>
      </c>
      <c r="BK29" s="171" t="s">
        <v>145</v>
      </c>
      <c r="BL29" s="5">
        <f>IF($BN$21=1,$BJ$19*(1-(H44/(1000+H44))),IF($BN$21=2,$BL$19*(1-(H45/(1000+H45))),IF($BN$21=3,$BJ$20*(1-(H44/(1000+H44))),IF($BN$21=4,$BL$20*(1-(H45/(1000+H45))),IF($BN$21=5,$BJ$21*(1-(H44/(1000+H44))),IF($BN$21=6,$BL$21*(1-(H45/(1000+H45))),IF($BN$21=7,$BJ$22*(1-(H44/(1000+H44))),IF($BN$21=8,$BL$22*(1-(H45/(1000+H45))),IF($BN$21=9,$BJ$23*(1-(H44/(1000+H44))),IF($BN$21=10,$BL$23*(1-(H45/(1000+H45))),IF($BN$21=11,$BJ$24*(1-(H44/(1000+H44))),IF($BN$21=12,$BL$24*(1-(H45/(1000+H45))),0))))))))))))</f>
        <v>38.888888888888886</v>
      </c>
      <c r="BV29" s="171" t="s">
        <v>145</v>
      </c>
      <c r="BW29" s="5">
        <f>IF($BY$21=1,$BU$19*(1-(H44/(1000+H44))),IF($BY$21=2,$BW$19*(1-(H45/(1000+H45))),IF($BY$21=3,$BU$20*(1-(H44/(1000+H44))),IF($BY$21=4,$BW$20*(1-(H45/(1000+H45))),IF($BY$21=5,$BU$21*(1-(H44/(1000+H44))),IF($BY$21=6,$BW$21*(1-(H45/(1000+H45))),IF($BY$21=7,$BW$22*(1-(H44/(1000+H44))),IF($BY$21=8,$BU$22*(1-(H45/(1000+H45))),IF($BY$21=9,$BW$23*(1-(H44/(1000+H44))),IF($BY$21=10,$BU$23*(1-(H45/(1000+H45))),IF($BY$21=11,$BW$24*(1-(H44/(1000+H44))),IF($BY$21=12,$BU$24*(1-(H45/(1000+H45))),0))))))))))))</f>
        <v>53.703703703703702</v>
      </c>
    </row>
    <row r="30" spans="1:77" ht="50.5" customHeight="1" thickBot="1" x14ac:dyDescent="0.4">
      <c r="A30" s="361"/>
      <c r="B30" s="358"/>
      <c r="C30" s="358"/>
      <c r="D30" s="187" t="s">
        <v>49</v>
      </c>
      <c r="E30" s="188" t="s">
        <v>50</v>
      </c>
      <c r="F30" s="184"/>
      <c r="G30" s="185"/>
      <c r="AJ30" s="171" t="s">
        <v>146</v>
      </c>
      <c r="AK30">
        <f>IF($AP$21=1,$AK$19*(1-(H76/(1000+H76))),IF($AP$21=2,$AM$19*(1-(H77/(1000+H77))),IF($AP$21=3,$AK$20*(1-(H76/(1000+H76))),IF($AP$21=4,$AM$20*(1-(H77/(1000+H77))),IF($AP$21=5,$AK$21*(1-(H76/(1000+H76))),IF($AP$21=6,$AM$21*(1-(H77/(1000+H77))),IF($AP$21=7,$AK$22*(1-(H76/(1000+H76))),IF($AP$21=8,$AM$22*(1-(H77/(1000+H77))),IF($AP$21=9,$AK$23*(1-(H76/(1000+H76))),IF($AP$21=10,$AM$23*(1-(H77/(1000+H77))),IF($AP$21=11,$AK$24*(1-(H76/(1000+H76))),IF($AP$21=12,$AM$24*(1-(H77/(1000+H77))),0))))))))))))</f>
        <v>43.103448275862064</v>
      </c>
      <c r="AZ30" s="171" t="s">
        <v>146</v>
      </c>
      <c r="BA30">
        <f>IF($AP$21=1,$AY$19*(1-(H76/(1000+H76))),IF($AP$21=2,$BA$19*(1-(H77/(1000+H77))),IF($AP$21=3,$AY$20*(1-(H76/(1000+H76))),IF($AP$21=4,$BA$20*(1-(H77/(1000+H77))),IF($AP$21=5,$AY$21*(1-(H76/(1000+H76))),IF($AP$21=6,$BA$21*(1-(H77/(1000+H77))),IF($AP$21=7,$AY$22*(1-(H76/(1000+H76))),IF($AP$21=8,$BA$22*(1-(H77/(1000+H77))),IF($AP$21=9,$AY$23*(1-(H76/(1000+H76))),IF($AP$21=10,$BA$23*(1-(H77/(1000+H77))),IF($AP$21=11,$AY$24*(1-(H76/(1000+H76))),IF($AP$21=12,$BA$24*(1-(H77/(1000+H77))),0))))))))))))</f>
        <v>34.482758620689651</v>
      </c>
      <c r="BK30" s="171" t="s">
        <v>146</v>
      </c>
      <c r="BL30">
        <f>IF($BY$21=1,$BJ$19*(1-(H76/(1000+H76))),IF($BY$21=2,$BL$19*(1-(H77/(1000+H77))),IF($BY$21=3,$BJ$20*(1-(H76/(1000+H76))),IF($BY$21=4,$BL$20*(1-(H77/(1000+H77))),IF($BY$21=5,$BJ$21*(1-(H76/(1000+H76))),IF($BY$21=6,$BL$21*(1-(H77/(1000+H77))),IF($BY$21=7,$BJ$22*(1-(H76/(1000+H76))),IF($BY$21=8,$BL$22*(1-(H77/(1000+H77))),IF($BY$21=9,$BJ$23*(1-(H76/(1000+H76))),IF($BY$21=10,$BL$23*(1-(H77/(1000+H77))),IF($BY$21=11,$BJ$24*(1-(H76/(1000+H76))),IF($BY$21=12,$BL$24*(1-(H77/(1000+H77))),0))))))))))))</f>
        <v>38.793103448275858</v>
      </c>
      <c r="BV30" s="171" t="s">
        <v>146</v>
      </c>
      <c r="BW30">
        <f>IF($BY$21=1,$BU$19*(1-(H76/(1000+H76))),IF($BY$21=2,$BW$19*(1-(H77/(1000+H77))),IF($BY$21=3,$BU$20*(1-(H76/(1000+H76))),IF($BY$21=4,$BW$20*(1-(H77/(1000+H77))),IF($BY$21=5,$BU$21*(1-(H76/(1000+H76))),IF($BY$21=6,$BW$21*(1-(H77/(1000+H77))),IF($BY$21=7,$BW$22*(1-(H76/(1000+H76))),IF($BY$21=8,$BU$22*(1-(H77/(1000+H77))),IF($BY$21=9,$BW$23*(1-(H76/(1000+H76))),IF($BY$21=10,$BU$23*(1-(H77/(1000+H77))),IF($BY$21=11,$BW$24*(1-(H76/(1000+H76))),IF($BY$21=12,$BU$24*(1-(H77/(1000+H77))),0))))))))))))</f>
        <v>50</v>
      </c>
    </row>
    <row r="31" spans="1:77" ht="58" customHeight="1" x14ac:dyDescent="0.35">
      <c r="A31" s="355" t="s">
        <v>28</v>
      </c>
      <c r="B31" s="357" t="s">
        <v>47</v>
      </c>
      <c r="C31" s="357"/>
      <c r="D31" s="178" t="s">
        <v>37</v>
      </c>
      <c r="E31" s="178"/>
      <c r="F31" s="179" t="s">
        <v>38</v>
      </c>
      <c r="G31" s="180">
        <v>60</v>
      </c>
      <c r="AJ31" s="172" t="s">
        <v>147</v>
      </c>
      <c r="AK31">
        <f>IF($AP$21=1,$AK$19*(1-(O75/(1000+O75))),IF($AP$21=2,$AM$19*(1-(O76/(1000+O76))),IF($AP$21=3,$AK$20*(1-(O75/(1000+O75))),IF($AP$21=4,$AM$20*(1-(O76/(1000+O76))),IF($AP$21=5,$AK$21*(1-(O75/(1000+O75))),IF($AP$21=6,$AM$21*(1-(O76/(1000+O76))),IF($AP$21=7,$AK$22*(1-(O75/(1000+O75))),IF($AP$21=8,$AM$22*(1-(O76/(1000+O76))),IF($AP$21=9,$AK$23*(1-(O75/(1000+O75))),IF($AP$21=10,$AM$23*(1-(O76/(1000+O76))),IF($AP$21=11,$AK$24*(1-(O75/(1000+O75))),IF($AP$21=12,$AM$24*(1-(O76/(1000+O76))),0))))))))))))</f>
        <v>47.169811320754718</v>
      </c>
      <c r="AL31">
        <v>48</v>
      </c>
      <c r="AZ31" s="172" t="s">
        <v>147</v>
      </c>
      <c r="BA31">
        <f>IF($BC$21=1,$AY$19*(1-(H76/(1000+H76))),IF($BC$21=2,$BA$19*(1-(H77/(1000+H77))),IF($BC$21=3,$AY$20*(1-(H76/(1000+H76))),IF($BC$21=4,$BA$20*(1-(H77/(1000+H77))),IF($BC$21=5,$AY$21*(1-(H76/(1000+H76))),IF($BC$21=6,$BA$21*(1-(H77/(1000+H77))),IF($BC$21=7,$AY$22*(1-(H76/(1000+H76))),IF($BC$21=8,$BA$22*(1-(H77/(1000+H77))),IF($BC$21=9,$AY$23*(1-(H76/(1000+H76))),IF($BC$21=10,$BA$23*(1-(H77/(1000+H77))),IF($BC$21=11,$AY$24*(1-(H76/(1000+H76))),IF($BC$21=12,$BA$24*(1-(H77/(1000+H77))),0))))))))))))</f>
        <v>38.793103448275858</v>
      </c>
      <c r="BK31" s="172" t="s">
        <v>147</v>
      </c>
      <c r="BL31">
        <f>IF($BN$21=1,$BJ$19*(1-(H76/(1000+H76))),IF($BN$21=2,$BL$19*(1-(H77/(1000+H77))),IF($BN$21=3,$BJ$20*(1-(H76/(1000+H76))),IF($BN$21=4,$BL$20*(1-(H77/(1000+H77))),IF($BN$21=5,$BJ$21*(1-(H76/(1000+H76))),IF($BN$21=6,$BL$21*(1-(H77/(1000+H77))),IF($BN$21=7,$BJ$22*(1-(H76/(1000+H76))),IF($BN$21=8,$BL$22*(1-(H77/(1000+H77))),IF($BN$21=9,$BJ$23*(1-(H76/(1000+H76))),IF($BN$21=10,$BL$23*(1-(H77/(1000+H77))),IF($BN$21=11,$BJ$24*(1-(H76/(1000+H76))),IF($BN$21=12,$BL$24*(1-(H77/(1000+H77))),0))))))))))))</f>
        <v>36.206896551724135</v>
      </c>
      <c r="BV31" s="172" t="s">
        <v>147</v>
      </c>
      <c r="BW31">
        <f>IF($BY$21=1,$BU$19*(1-(O75/(1000+O75))),IF($BY$21=2,$BW$19*(1-(O76/(1000+O76))),IF($BY$21=3,$BU$20*(1-(O75/(1000+O75))),IF($BY$21=4,$BW$20*(1-(O76/(1000+O76))),IF($BY$21=5,$BU$21*(1-(O75/(1000+O75))),IF($BY$21=6,$BW$21*(1-(O76/(1000+O76))),IF($BY$21=7,$BW$22*(1-(O75/(1000+O75))),IF($BY$21=8,$BU$22*(1-(O76/(1000+O76))),IF($BY$21=9,$BW$23*(1-(O75/(1000+O75))),IF($BY$21=10,$BU$23*(1-(O76/(1000+O76))),IF($BY$21=11,$BW$24*(1-(O75/(1000+O75))),IF($BY$21=12,$BU$24*(1-(O76/(1000+O76))),0))))))))))))</f>
        <v>54.716981132075475</v>
      </c>
    </row>
    <row r="32" spans="1:77" ht="44" thickBot="1" x14ac:dyDescent="0.4">
      <c r="A32" s="356"/>
      <c r="B32" s="358"/>
      <c r="C32" s="358"/>
      <c r="D32" s="177" t="s">
        <v>13</v>
      </c>
      <c r="E32" s="177">
        <v>10</v>
      </c>
      <c r="F32" s="184"/>
      <c r="G32" s="185"/>
      <c r="AJ32" s="173" t="s">
        <v>148</v>
      </c>
      <c r="AK32">
        <f>IF($AP$21=1,$AK$19*(1-(X44/(1000+X44))),IF($AP$21=2,$AM$19*(1-(X45/(1000+X45))),IF($AP$21=3,$AK$20*(1-(X44/(1000+X44))),IF($AP$21=4,$AM$20*(1-(X45/(1000+X45))), IF($AP$21=5,$AK$21*(1-(X44/(1000+X44))),IF($AP$21=6,$AM$21*(1-(X45/(1000+X45))),IF($AP$21=7,$AK$22*(1-(X44/(1000+X44))),IF($AP$21=8,$AM$22*(1-(X45/(1000+X45))),IF($AP$21=9,$AK$23*(1-(X44/(1000+X44))),IF($AP$21=10,$AM$23*(1-(X45/(1000+X45))),IF($AP$21=11,$AK$24*(1-(X44/(1000+X44))),IF($AP$21=12,$AM$24*(1-(X45/(1000+X45))),0))))))))))))</f>
        <v>42.735042735042732</v>
      </c>
      <c r="AZ32" s="173" t="s">
        <v>148</v>
      </c>
      <c r="BA32">
        <f>IF($BC$21=1,$AY$19*(1-(X44/(1000+X44))),IF($BC$21=2,$BA$19*(1-(X45/(1000+X45))),IF($BC$21=3,$AY$20*(1-(X44/(1000+X44))),IF($BC$21=4,$BA$20*(1-(X45/(1000+X45))),IF($BC$21=5,$AY$21*(1-(X44/(1000+X44))),IF($BC$21=6,$BA$21*(1-(X45/(1000+X45))),IF($BC$21=7,$AY$22*(1-(X44/(1000+X44))),IF($BC$21=8,$BA$22*(1-(X45/(1000+X45))),IF($BC$21=9,$AY$23*(1-(X44/(1000+X44))),IF($BC$21=10,$BA$23*(1-(X45/(1000+X45))),IF($BC$21=11,$AY$24*(1-(X44/(1000+X44))),IF($BC$21=12,$BA$24*(1-(X45/(1000+X45))),0))))))))))))</f>
        <v>38.46153846153846</v>
      </c>
      <c r="BK32" s="173" t="s">
        <v>148</v>
      </c>
      <c r="BL32" s="5">
        <f>IF($BN$21=1,$BJ$19*(1-(O75/(1000+O75))),IF($BN$21=2,$BL$19*(1-(O76/(1000+O76))),IF($BN$21=3,$BJ$20*(1-(O75/(1000+O75))),IF($BN$21=4,$BL$20*(1-(O76/(1000+O76))),IF($BN$21=5,$BJ$21*(1-(O75/(1000+O75))),IF($BN$21=6,$BL$21*(1-(O76/(1000+O76))),IF($BN$21=7,$BJ$22*(1-(O75/(1000+O75))),IF($BN$21=8,$BL$22*(1-(O76/(1000+O76))),IF($BN$21=9,$BJ$23*(1-(O75/(1000+O75))),IF($BN$21=10,$BL$23*(1-(O76/(1000+O76))),IF($BN$21=11,$BJ$24*(1-(O75/(1000+O75))),IF($BN$21=12,$BL$24*(1-(O76/(1000+O76))),0))))))))))))</f>
        <v>39.622641509433961</v>
      </c>
      <c r="BV32" s="173" t="s">
        <v>148</v>
      </c>
      <c r="BW32" s="5">
        <f>IF($BY$21=1,$BU$19*(1-(X44/(1000+X44))),IF($BY$21=2,$BW$19*(1-(O76/(1000+O76))),IF($BY$21=3,$BU$20*(1-(X44/(1000+X44))),IF($BY$21=4,$BW$20*(1-(O76/(1000+O76))),IF($BY$21=5,$BU$21*(1-(X44/(1000+X44))),IF($BY$21=6,$BW$21*(1-(O76/(1000+O76))),IF($BY$21=7,$BW$22*(1-(X44/(1000+X44))),IF($BY$21=8,$BU$22*(1-(O76/(1000+O76))),IF($BY$21=9,$BW$23*(1-(X44/(1000+X44))),IF($BY$21=10,$BU$23*(1-(O76/(1000+O76))),IF($BY$21=11,$BW$24*(1-(X44/(1000+X44))),IF($BY$21=12,$BU$24*(1-(O76/(1000+O76))),0))))))))))))</f>
        <v>49.572649572649567</v>
      </c>
    </row>
    <row r="33" spans="1:75" ht="102" customHeight="1" x14ac:dyDescent="0.35">
      <c r="A33" s="66" t="s">
        <v>29</v>
      </c>
      <c r="B33" s="366" t="s">
        <v>48</v>
      </c>
      <c r="C33" s="366"/>
      <c r="D33" s="178" t="s">
        <v>37</v>
      </c>
      <c r="E33" s="178"/>
      <c r="F33" s="179" t="s">
        <v>38</v>
      </c>
      <c r="G33" s="180">
        <v>80</v>
      </c>
      <c r="AJ33" s="171" t="s">
        <v>283</v>
      </c>
      <c r="AK33">
        <f>IF($AP$21=1,$AK$19*(1-(H110/(1000+H110))),IF($AP$21=2,$AM$19*(1-(H111/(1000+H111))),IF($AP$21=3,$AK$20*(1-(H110/(1000+H110))),IF($AP$21=4,$AM$20*(1-(H111/(1000+H111))), IF($AP$21=5,$AK$21*(1-(H110/(1000+H110))),IF($AP$21=6,$AM$21*(1-(H111/(1000+H111))),IF($AP$21=7,$AK$22*(1-(H110/(1000+H110))),IF($AP$21=8,$AM$22*(1-(H111/(1000+H111))),IF($AP$21=9,$AK$23*(1-(H110/(1000+H110))),IF($AP$21=10,$AM$23*(1-(H111/(1000+H111))),IF($AP$21=11,$AK$24*(1-(H110/(1000+H110))),IF($AP$21=12,$AM$24*(1-(H111/(1000+H111))),0))))))))))))</f>
        <v>46.296296296296298</v>
      </c>
      <c r="AZ33" s="171" t="s">
        <v>283</v>
      </c>
      <c r="BA33" s="5">
        <f>IF($BC$21=1,$AY$19*(1-(H110/(1000+H110))),IF($BC$21=2,$BA$19*(1-(H111/(1000+H111))),IF($BC$21=3,$AY$20*(1-(H110/(1000+H110))),IF($BC$21=4,$BA$20*(1-(H111/(1000+H111))),IF($BC$21=5,$AY$21*(1-(H110/(1000+H110))),IF($BC$21=6,$BA$21*(1-(H111/(1000+H111))),IF($BC$21=7,$AY$22*(1-(H110/(1000+H110))),IF($BC$21=8,$BA$22*(1-(H111/(1000+H111))),IF($BC$21=9,$AY$23*(1-(H110/(1000+H110))),IF($BC$21=10,$BA$23*(1-(H111/(1000+H111))),IF($BC$21=11,$AY$24*(1-(H110/(1000+H110))),IF($BC$21=12,$BA$24*(1-(H111/(1000+H111))),0))))))))))))</f>
        <v>41.666666666666664</v>
      </c>
      <c r="BK33" s="171" t="s">
        <v>283</v>
      </c>
      <c r="BL33" s="5">
        <f>IF($BN$21=1,BJ19*(1-(H110/(1000+H110))),IF($BN$21=2,BL19*(1-(H111/(1000+H111))),IF($BN$21=3,BJ20*(1-(H110/(1000+H110))),IF($BN$21=4,BL20*(1-(H111/(1000+H111))),IF($BN$21=5,BJ21*(1-(H110/(1000+H110))),IF($BN$21=6,BL21*(1-(H111/(1000+H111))),IF($BN$21=7,BJ22*(1-(H110/(1000+H110))),IF($BN$21=8,BL22*(1-(H111/(1000+H111))),IF($BN$21=9,BJ23*(1-(H110/(1000+H110))),IF($BN$21=10,BL23*(1-(H111/(1000+H111))),IF($BN$21=11,BJ24*(1-(H110/(1000+H110))),IF($BN$21=12,BL24*(1-(H111/(1000+H111))),0))))))))))))</f>
        <v>38.888888888888886</v>
      </c>
      <c r="BV33" s="171" t="s">
        <v>283</v>
      </c>
      <c r="BW33" s="5">
        <f>IF($BY$21=1,$BU$19*(1-(X44/(1000+X44))),IF($BY$21=2,$BW$19*(1-(X45/(1000+X45))),IF($BY$21=3,$BU$20*(1-(X44/(1000+X44))),IF($BY$21=4,$BW$20*(1-(X45/(1000+X45))),IF($BY$21=5,$BU$21*(1-(X44/(1000+X44))),IF($BY$21=6,$BW$21*(1-(X45/(1000+X45))),IF($BY$21=7,$BW$22*(1-(X44/(1000+X44))),IF($BY$21=8,$BU$22*(1-(X45/(1000+X45))),IF($BY$21=9,$BW$23*(1-(X44/(1000+X44))),IF($BY$21=10,$BU$23*(1-(X45/(1000+X45))),IF($BY$21=11,$BW$24*(1-(X44/(1000+X44))),IF($BY$21=12,$BU$24*(1-(X45/(1000+X45))),0))))))))))))</f>
        <v>49.572649572649567</v>
      </c>
    </row>
    <row r="34" spans="1:75" ht="29" x14ac:dyDescent="0.35">
      <c r="A34" s="175" t="s">
        <v>33</v>
      </c>
      <c r="B34" s="367"/>
      <c r="C34" s="367"/>
      <c r="D34" s="176" t="s">
        <v>54</v>
      </c>
      <c r="E34" s="176"/>
      <c r="F34" s="177" t="s">
        <v>56</v>
      </c>
      <c r="G34" s="177"/>
      <c r="H34" t="s">
        <v>66</v>
      </c>
    </row>
    <row r="35" spans="1:75" ht="29" x14ac:dyDescent="0.35">
      <c r="A35" s="175" t="s">
        <v>31</v>
      </c>
      <c r="B35" s="368"/>
      <c r="C35" s="368"/>
      <c r="D35" s="176" t="s">
        <v>54</v>
      </c>
      <c r="E35" s="176"/>
      <c r="F35" s="177" t="s">
        <v>56</v>
      </c>
      <c r="G35" s="177"/>
    </row>
    <row r="36" spans="1:75" ht="29" x14ac:dyDescent="0.35">
      <c r="A36" s="175" t="s">
        <v>32</v>
      </c>
      <c r="B36" s="368"/>
      <c r="C36" s="368"/>
      <c r="D36" s="176" t="s">
        <v>54</v>
      </c>
      <c r="E36" s="176"/>
      <c r="F36" s="177" t="s">
        <v>56</v>
      </c>
      <c r="G36" s="177"/>
    </row>
    <row r="37" spans="1:75" ht="15" thickBot="1" x14ac:dyDescent="0.4">
      <c r="Q37" t="s">
        <v>104</v>
      </c>
    </row>
    <row r="38" spans="1:75" ht="15" thickBot="1" x14ac:dyDescent="0.4">
      <c r="Q38" s="31" t="s">
        <v>105</v>
      </c>
      <c r="R38" s="84">
        <v>0.15</v>
      </c>
      <c r="S38" s="85">
        <v>0.15</v>
      </c>
    </row>
    <row r="39" spans="1:75" ht="15" thickBot="1" x14ac:dyDescent="0.4">
      <c r="A39" s="41" t="s">
        <v>0</v>
      </c>
      <c r="B39" s="42" t="s">
        <v>58</v>
      </c>
      <c r="G39" s="32" t="s">
        <v>0</v>
      </c>
      <c r="H39" s="32" t="s">
        <v>58</v>
      </c>
      <c r="N39" s="53" t="s">
        <v>0</v>
      </c>
      <c r="O39" s="53" t="s">
        <v>55</v>
      </c>
      <c r="Q39" t="s">
        <v>106</v>
      </c>
      <c r="R39" s="89">
        <v>0.15</v>
      </c>
      <c r="S39" s="88">
        <v>0.15</v>
      </c>
      <c r="T39" s="53" t="s">
        <v>0</v>
      </c>
      <c r="U39" s="53" t="s">
        <v>55</v>
      </c>
    </row>
    <row r="40" spans="1:75" x14ac:dyDescent="0.35">
      <c r="A40" s="36" t="s">
        <v>1</v>
      </c>
      <c r="B40" s="37">
        <f>B2</f>
        <v>145</v>
      </c>
      <c r="G40" s="32" t="s">
        <v>1</v>
      </c>
      <c r="H40" s="57">
        <f>B40</f>
        <v>145</v>
      </c>
      <c r="N40" s="53" t="s">
        <v>1</v>
      </c>
      <c r="O40" s="92">
        <f t="shared" ref="O40:O48" si="16">H2</f>
        <v>200</v>
      </c>
      <c r="Q40" t="s">
        <v>107</v>
      </c>
      <c r="R40" s="90">
        <v>7.0000000000000007E-2</v>
      </c>
      <c r="S40" s="2">
        <v>10</v>
      </c>
      <c r="T40" s="53" t="s">
        <v>1</v>
      </c>
      <c r="U40" s="53">
        <f>IF(R41=1,O40*1.15,IF(R41=2,O40,IF(R41=3,O40,0)))</f>
        <v>200</v>
      </c>
    </row>
    <row r="41" spans="1:75" x14ac:dyDescent="0.35">
      <c r="A41" s="36" t="s">
        <v>2</v>
      </c>
      <c r="B41" s="37">
        <f t="shared" ref="B41:B54" si="17">B3</f>
        <v>95</v>
      </c>
      <c r="G41" s="32" t="s">
        <v>2</v>
      </c>
      <c r="H41" s="57">
        <f>IF(E44=1,B41-E58,IF(E44=2,B41-E59, IF(E44=3, B41-E60, IF(E44=4, B41-E61, IF(E44=5, B41-E62, IF(E44=6, B41-E63, IF(E44=7, B41-E64, IF(E44=8, B41-E65, IF(E44=9, B41-E66, IF(E44=10, B41-E67,0))))))))))</f>
        <v>45</v>
      </c>
      <c r="N41" s="53" t="s">
        <v>2</v>
      </c>
      <c r="O41" s="92">
        <f t="shared" si="16"/>
        <v>0</v>
      </c>
      <c r="Q41" t="s">
        <v>109</v>
      </c>
      <c r="R41" s="25">
        <v>2</v>
      </c>
      <c r="T41" s="53" t="s">
        <v>2</v>
      </c>
      <c r="U41" s="53">
        <v>0</v>
      </c>
    </row>
    <row r="42" spans="1:75" x14ac:dyDescent="0.35">
      <c r="A42" s="36" t="s">
        <v>3</v>
      </c>
      <c r="B42" s="37">
        <f t="shared" si="17"/>
        <v>30</v>
      </c>
      <c r="G42" s="32" t="s">
        <v>3</v>
      </c>
      <c r="H42" s="57">
        <f>B42</f>
        <v>30</v>
      </c>
      <c r="N42" s="53" t="s">
        <v>3</v>
      </c>
      <c r="O42" s="92">
        <f t="shared" si="16"/>
        <v>0</v>
      </c>
      <c r="T42" s="53" t="s">
        <v>3</v>
      </c>
      <c r="U42" s="53">
        <v>0</v>
      </c>
    </row>
    <row r="43" spans="1:75" x14ac:dyDescent="0.35">
      <c r="A43" s="36" t="s">
        <v>4</v>
      </c>
      <c r="B43" s="37">
        <f t="shared" si="17"/>
        <v>0</v>
      </c>
      <c r="G43" s="32" t="s">
        <v>4</v>
      </c>
      <c r="H43" s="57">
        <f>B43</f>
        <v>0</v>
      </c>
      <c r="N43" s="53" t="s">
        <v>4</v>
      </c>
      <c r="O43" s="92">
        <f t="shared" si="16"/>
        <v>20</v>
      </c>
      <c r="Q43" t="s">
        <v>76</v>
      </c>
      <c r="R43" s="25">
        <v>1</v>
      </c>
      <c r="T43" s="53" t="s">
        <v>4</v>
      </c>
      <c r="U43" s="92">
        <f>IF(R43=1, O43+R58,IF(R43=2, O43+R59, IF(R43=3, O43+R60, IF(R43=4, O43+R61, IF(R43=6,O43+R63, IF(R43=7, O43+R64,0))))))</f>
        <v>25</v>
      </c>
    </row>
    <row r="44" spans="1:75" x14ac:dyDescent="0.35">
      <c r="A44" s="36" t="s">
        <v>6</v>
      </c>
      <c r="B44" s="37">
        <f t="shared" si="17"/>
        <v>80</v>
      </c>
      <c r="C44" s="153"/>
      <c r="D44" t="s">
        <v>76</v>
      </c>
      <c r="E44">
        <v>6</v>
      </c>
      <c r="G44" s="32" t="s">
        <v>6</v>
      </c>
      <c r="H44" s="57">
        <f>B44</f>
        <v>80</v>
      </c>
      <c r="N44" s="53" t="s">
        <v>6</v>
      </c>
      <c r="O44" s="92">
        <f t="shared" si="16"/>
        <v>85</v>
      </c>
      <c r="Q44" t="s">
        <v>75</v>
      </c>
      <c r="R44">
        <f>IF(R43=1,X46+T58,IF(R43=3,X46+T60,IF(R43=5,X46+T62,IF(R43=7,X46+T64,IF(R43=9,X46+T66,IF(R43=10,X46+T67,0))))))</f>
        <v>92.5</v>
      </c>
      <c r="T44" s="53" t="s">
        <v>111</v>
      </c>
      <c r="U44" s="53">
        <f>IF(R41=1,O44*1.15,IF(R41=2,O44,IF(R41=3,O44,0)))</f>
        <v>85</v>
      </c>
      <c r="V44" s="362" t="s">
        <v>110</v>
      </c>
      <c r="W44" s="363"/>
      <c r="X44">
        <f>IF(R43=8,U44+V65,U44)+U44</f>
        <v>170</v>
      </c>
    </row>
    <row r="45" spans="1:75" x14ac:dyDescent="0.35">
      <c r="A45" s="36" t="s">
        <v>7</v>
      </c>
      <c r="B45" s="37">
        <f t="shared" si="17"/>
        <v>11.5</v>
      </c>
      <c r="C45" s="153"/>
      <c r="D45" t="s">
        <v>75</v>
      </c>
      <c r="E45">
        <f>IF(E44=1,B47+D56+G58+B68*10+D68,IF(E44=2,B47+D56+G59+B68*10+D68, IF(E44=3,B47+D56+G60+B68*10+D68,  IF(E44=4,B47+D56+G61+B68*10+D68,  IF(E44=5,B47+D56+G62+B68*10+D68,  IF(E44=6,B47+D56+G63+B68*10+D68,  IF(E44=7,B47+D56+G64+B68*10+D68,  IF(E44=8,B47+D56+G65+B68*10+D68,  IF(E44=9,B47+D56+G66+B68*10+D68,IF(E44=10,B47+D56+G67+B68*10+D68,0))))))))))</f>
        <v>90</v>
      </c>
      <c r="G45" s="32" t="s">
        <v>7</v>
      </c>
      <c r="H45" s="57">
        <f>B45+B45*C45</f>
        <v>11.5</v>
      </c>
      <c r="N45" s="53" t="s">
        <v>7</v>
      </c>
      <c r="O45" s="92">
        <f t="shared" si="16"/>
        <v>20</v>
      </c>
      <c r="Q45" t="s">
        <v>77</v>
      </c>
      <c r="R45">
        <f ca="1">RANDBETWEEN(1,100)</f>
        <v>74</v>
      </c>
      <c r="T45" s="53" t="s">
        <v>112</v>
      </c>
      <c r="U45" s="53">
        <f>IF(R41=1,O45*1.15,IF(R41=2,O45,IF(R41=3,O45,0)))</f>
        <v>20</v>
      </c>
      <c r="V45" s="362" t="s">
        <v>110</v>
      </c>
      <c r="W45" s="363"/>
      <c r="X45">
        <f>IF(R43=8,U45+V65,U45)+U45</f>
        <v>40</v>
      </c>
    </row>
    <row r="46" spans="1:75" x14ac:dyDescent="0.35">
      <c r="A46" s="36" t="s">
        <v>10</v>
      </c>
      <c r="B46" s="37">
        <f t="shared" si="17"/>
        <v>25</v>
      </c>
      <c r="D46" t="s">
        <v>77</v>
      </c>
      <c r="E46">
        <f ca="1">RANDBETWEEN(1,100)</f>
        <v>82</v>
      </c>
      <c r="G46" s="32" t="s">
        <v>10</v>
      </c>
      <c r="H46" s="57">
        <f t="shared" ref="H46" si="18">B46</f>
        <v>25</v>
      </c>
      <c r="N46" s="53" t="s">
        <v>10</v>
      </c>
      <c r="O46" s="92">
        <f t="shared" si="16"/>
        <v>50</v>
      </c>
      <c r="Q46" t="s">
        <v>78</v>
      </c>
      <c r="R46">
        <f ca="1">RANDBETWEEN(1,100)</f>
        <v>14</v>
      </c>
      <c r="T46" s="53" t="s">
        <v>10</v>
      </c>
      <c r="U46" s="53">
        <f>IF(R41=2,O46*1.15,IF(R41=1,O46,IF(R41=3,O46,0)))</f>
        <v>57.499999999999993</v>
      </c>
      <c r="V46" s="362" t="s">
        <v>113</v>
      </c>
      <c r="W46" s="363"/>
      <c r="X46" s="94">
        <f>IF(R43=4,U46+T61,U46)</f>
        <v>57.499999999999993</v>
      </c>
    </row>
    <row r="47" spans="1:75" x14ac:dyDescent="0.35">
      <c r="A47" s="36" t="s">
        <v>11</v>
      </c>
      <c r="B47" s="37">
        <f>B9+C47</f>
        <v>80</v>
      </c>
      <c r="C47" s="157">
        <v>10</v>
      </c>
      <c r="D47" t="s">
        <v>78</v>
      </c>
      <c r="E47">
        <f ca="1">RANDBETWEEN(1,100)</f>
        <v>29</v>
      </c>
      <c r="G47" s="32" t="s">
        <v>11</v>
      </c>
      <c r="H47" s="57">
        <f>B47</f>
        <v>80</v>
      </c>
      <c r="N47" s="53" t="s">
        <v>11</v>
      </c>
      <c r="O47" s="92">
        <f t="shared" si="16"/>
        <v>0</v>
      </c>
      <c r="Q47" t="s">
        <v>290</v>
      </c>
      <c r="R47">
        <f ca="1">RANDBETWEEN(1,100)</f>
        <v>73</v>
      </c>
      <c r="T47" s="53" t="s">
        <v>11</v>
      </c>
      <c r="U47" s="92">
        <f>O47</f>
        <v>0</v>
      </c>
    </row>
    <row r="48" spans="1:75" x14ac:dyDescent="0.35">
      <c r="A48" s="36" t="s">
        <v>15</v>
      </c>
      <c r="B48" s="37">
        <f t="shared" si="17"/>
        <v>0</v>
      </c>
      <c r="G48" s="32" t="s">
        <v>15</v>
      </c>
      <c r="H48" s="57">
        <f>B48</f>
        <v>0</v>
      </c>
      <c r="N48" s="53" t="s">
        <v>15</v>
      </c>
      <c r="O48" s="92">
        <f t="shared" si="16"/>
        <v>0</v>
      </c>
      <c r="T48" s="53" t="s">
        <v>15</v>
      </c>
      <c r="U48" s="92">
        <f>O48</f>
        <v>0</v>
      </c>
    </row>
    <row r="49" spans="1:23" x14ac:dyDescent="0.35">
      <c r="A49" s="36" t="s">
        <v>14</v>
      </c>
      <c r="B49" s="37">
        <f t="shared" si="17"/>
        <v>25</v>
      </c>
      <c r="G49" s="32" t="s">
        <v>14</v>
      </c>
      <c r="H49" s="57">
        <f t="shared" ref="H49:H54" si="19">B49</f>
        <v>25</v>
      </c>
      <c r="N49" s="53" t="s">
        <v>14</v>
      </c>
      <c r="O49" s="92">
        <f>H11+P49*H11</f>
        <v>14.4</v>
      </c>
      <c r="P49" s="3">
        <v>0.2</v>
      </c>
      <c r="T49" s="53" t="s">
        <v>14</v>
      </c>
      <c r="U49" s="92">
        <f>IF(R41=2,O49*1.15,IF(R41=1,O49,IF(R41=3,O49,0)))</f>
        <v>16.559999999999999</v>
      </c>
      <c r="V49" s="364"/>
      <c r="W49" s="365"/>
    </row>
    <row r="50" spans="1:23" x14ac:dyDescent="0.35">
      <c r="A50" s="36" t="s">
        <v>8</v>
      </c>
      <c r="B50" s="37">
        <f t="shared" si="17"/>
        <v>20</v>
      </c>
      <c r="G50" s="32" t="s">
        <v>8</v>
      </c>
      <c r="H50" s="57">
        <f t="shared" si="19"/>
        <v>20</v>
      </c>
      <c r="N50" s="53" t="s">
        <v>8</v>
      </c>
      <c r="O50" s="92">
        <f>H12</f>
        <v>20</v>
      </c>
      <c r="T50" s="53" t="s">
        <v>8</v>
      </c>
      <c r="U50" s="92">
        <f>IF(R43=9,O50+T66,0)+O50</f>
        <v>20</v>
      </c>
    </row>
    <row r="51" spans="1:23" x14ac:dyDescent="0.35">
      <c r="A51" s="36" t="s">
        <v>9</v>
      </c>
      <c r="B51" s="37">
        <f t="shared" si="17"/>
        <v>10</v>
      </c>
      <c r="G51" s="32" t="s">
        <v>9</v>
      </c>
      <c r="H51" s="57">
        <f t="shared" si="19"/>
        <v>10</v>
      </c>
      <c r="N51" s="53" t="s">
        <v>9</v>
      </c>
      <c r="O51" s="92">
        <f>H13</f>
        <v>5</v>
      </c>
      <c r="T51" s="53" t="s">
        <v>9</v>
      </c>
      <c r="U51" s="92">
        <f>O51</f>
        <v>5</v>
      </c>
    </row>
    <row r="52" spans="1:23" x14ac:dyDescent="0.35">
      <c r="A52" s="36" t="s">
        <v>12</v>
      </c>
      <c r="B52" s="37">
        <f t="shared" si="17"/>
        <v>0</v>
      </c>
      <c r="G52" s="32" t="s">
        <v>12</v>
      </c>
      <c r="H52" s="57">
        <f t="shared" si="19"/>
        <v>0</v>
      </c>
      <c r="N52" s="53" t="s">
        <v>12</v>
      </c>
      <c r="O52" s="92">
        <f>H14</f>
        <v>0</v>
      </c>
      <c r="T52" s="53" t="s">
        <v>12</v>
      </c>
      <c r="U52" s="92">
        <f>IF(R41=3,10,0)+O52</f>
        <v>0</v>
      </c>
    </row>
    <row r="53" spans="1:23" x14ac:dyDescent="0.35">
      <c r="A53" s="36" t="s">
        <v>13</v>
      </c>
      <c r="B53" s="37">
        <f t="shared" si="17"/>
        <v>18</v>
      </c>
      <c r="G53" s="32" t="s">
        <v>13</v>
      </c>
      <c r="H53" s="57">
        <f t="shared" si="19"/>
        <v>18</v>
      </c>
      <c r="N53" s="53" t="s">
        <v>13</v>
      </c>
      <c r="O53" s="92">
        <f>H15</f>
        <v>0</v>
      </c>
      <c r="T53" s="53" t="s">
        <v>13</v>
      </c>
      <c r="U53" s="92">
        <f>O53</f>
        <v>0</v>
      </c>
    </row>
    <row r="54" spans="1:23" ht="15" thickBot="1" x14ac:dyDescent="0.4">
      <c r="A54" s="39" t="s">
        <v>16</v>
      </c>
      <c r="B54" s="37">
        <f t="shared" si="17"/>
        <v>5</v>
      </c>
      <c r="G54" s="32" t="s">
        <v>16</v>
      </c>
      <c r="H54" s="57">
        <f t="shared" si="19"/>
        <v>5</v>
      </c>
      <c r="N54" s="53" t="s">
        <v>16</v>
      </c>
      <c r="O54" s="92">
        <f>H16</f>
        <v>0</v>
      </c>
      <c r="T54" s="53" t="s">
        <v>16</v>
      </c>
      <c r="U54" s="92">
        <f>O54</f>
        <v>0</v>
      </c>
    </row>
    <row r="55" spans="1:23" x14ac:dyDescent="0.35">
      <c r="A55" t="s">
        <v>17</v>
      </c>
      <c r="N55" t="s">
        <v>17</v>
      </c>
      <c r="O55" s="82" t="s">
        <v>102</v>
      </c>
      <c r="P55" s="83"/>
    </row>
    <row r="56" spans="1:23" x14ac:dyDescent="0.35">
      <c r="A56" t="s">
        <v>18</v>
      </c>
      <c r="B56" t="s">
        <v>59</v>
      </c>
      <c r="D56" s="71">
        <v>10</v>
      </c>
      <c r="N56" t="s">
        <v>18</v>
      </c>
      <c r="O56" t="s">
        <v>103</v>
      </c>
    </row>
    <row r="57" spans="1:23" ht="15" thickBot="1" x14ac:dyDescent="0.4">
      <c r="A57" t="s">
        <v>19</v>
      </c>
      <c r="B57" t="s">
        <v>34</v>
      </c>
      <c r="N57" t="s">
        <v>19</v>
      </c>
      <c r="O57" t="s">
        <v>95</v>
      </c>
      <c r="P57" s="91">
        <v>5</v>
      </c>
      <c r="Q57" t="s">
        <v>108</v>
      </c>
    </row>
    <row r="58" spans="1:23" ht="53" customHeight="1" thickBot="1" x14ac:dyDescent="0.4">
      <c r="A58" s="11" t="s">
        <v>20</v>
      </c>
      <c r="B58" s="359" t="s">
        <v>60</v>
      </c>
      <c r="C58" s="359"/>
      <c r="D58" s="12" t="s">
        <v>37</v>
      </c>
      <c r="E58" s="12"/>
      <c r="F58" s="76" t="s">
        <v>71</v>
      </c>
      <c r="G58" s="77"/>
      <c r="N58" s="66" t="s">
        <v>20</v>
      </c>
      <c r="O58" s="359" t="s">
        <v>128</v>
      </c>
      <c r="P58" s="359"/>
      <c r="Q58" s="106" t="s">
        <v>85</v>
      </c>
      <c r="R58" s="106">
        <v>5</v>
      </c>
      <c r="S58" s="76" t="s">
        <v>71</v>
      </c>
      <c r="T58" s="76">
        <v>35</v>
      </c>
    </row>
    <row r="59" spans="1:23" ht="44" customHeight="1" thickBot="1" x14ac:dyDescent="0.4">
      <c r="A59" s="11" t="s">
        <v>21</v>
      </c>
      <c r="B59" s="359" t="s">
        <v>61</v>
      </c>
      <c r="C59" s="359"/>
      <c r="D59" s="12" t="s">
        <v>37</v>
      </c>
      <c r="E59" s="12"/>
      <c r="F59" s="76" t="s">
        <v>71</v>
      </c>
      <c r="G59" s="77"/>
      <c r="N59" s="11" t="s">
        <v>21</v>
      </c>
      <c r="O59" s="359" t="s">
        <v>129</v>
      </c>
      <c r="P59" s="359"/>
      <c r="Q59" s="106" t="s">
        <v>85</v>
      </c>
      <c r="R59" s="106">
        <v>5</v>
      </c>
      <c r="S59" s="113" t="s">
        <v>131</v>
      </c>
      <c r="T59" s="113">
        <v>0.2</v>
      </c>
      <c r="U59" s="114" t="s">
        <v>15</v>
      </c>
      <c r="V59" s="115">
        <v>10</v>
      </c>
    </row>
    <row r="60" spans="1:23" ht="58" customHeight="1" thickBot="1" x14ac:dyDescent="0.4">
      <c r="A60" s="11" t="s">
        <v>22</v>
      </c>
      <c r="B60" s="359" t="s">
        <v>62</v>
      </c>
      <c r="C60" s="359"/>
      <c r="D60" s="12" t="s">
        <v>37</v>
      </c>
      <c r="E60" s="12"/>
      <c r="F60" s="76" t="s">
        <v>71</v>
      </c>
      <c r="G60" s="77"/>
      <c r="N60" s="11" t="s">
        <v>22</v>
      </c>
      <c r="O60" s="359" t="s">
        <v>130</v>
      </c>
      <c r="P60" s="359"/>
      <c r="Q60" s="106" t="s">
        <v>85</v>
      </c>
      <c r="R60" s="106">
        <v>10</v>
      </c>
      <c r="S60" s="76" t="s">
        <v>71</v>
      </c>
      <c r="T60" s="76">
        <v>25</v>
      </c>
      <c r="U60" s="114" t="s">
        <v>15</v>
      </c>
      <c r="V60" s="115">
        <v>10</v>
      </c>
    </row>
    <row r="61" spans="1:23" ht="56" customHeight="1" thickBot="1" x14ac:dyDescent="0.4">
      <c r="A61" s="11" t="s">
        <v>23</v>
      </c>
      <c r="B61" s="353" t="s">
        <v>64</v>
      </c>
      <c r="C61" s="369"/>
      <c r="D61" s="12" t="s">
        <v>37</v>
      </c>
      <c r="E61" s="12"/>
      <c r="F61" s="76" t="s">
        <v>71</v>
      </c>
      <c r="G61" s="77"/>
      <c r="N61" s="11" t="s">
        <v>23</v>
      </c>
      <c r="O61" s="359" t="s">
        <v>137</v>
      </c>
      <c r="P61" s="359"/>
      <c r="Q61" s="106" t="s">
        <v>85</v>
      </c>
      <c r="R61" s="106">
        <v>-2</v>
      </c>
      <c r="S61" s="112" t="s">
        <v>10</v>
      </c>
      <c r="T61" s="117">
        <v>45</v>
      </c>
    </row>
    <row r="62" spans="1:23" ht="52.5" customHeight="1" thickBot="1" x14ac:dyDescent="0.4">
      <c r="A62" s="11" t="s">
        <v>24</v>
      </c>
      <c r="B62" s="353" t="s">
        <v>63</v>
      </c>
      <c r="C62" s="353"/>
      <c r="D62" s="12" t="s">
        <v>37</v>
      </c>
      <c r="E62" s="12"/>
      <c r="F62" s="76" t="s">
        <v>71</v>
      </c>
      <c r="G62" s="77"/>
      <c r="N62" s="11" t="s">
        <v>24</v>
      </c>
      <c r="O62" s="359" t="s">
        <v>132</v>
      </c>
      <c r="P62" s="359"/>
      <c r="Q62" s="106" t="s">
        <v>85</v>
      </c>
      <c r="R62" s="106">
        <v>-2</v>
      </c>
      <c r="S62" s="76" t="s">
        <v>71</v>
      </c>
      <c r="T62" s="76"/>
    </row>
    <row r="63" spans="1:23" ht="68" customHeight="1" thickBot="1" x14ac:dyDescent="0.4">
      <c r="A63" s="11" t="s">
        <v>25</v>
      </c>
      <c r="B63" s="359" t="s">
        <v>65</v>
      </c>
      <c r="C63" s="359"/>
      <c r="D63" s="12" t="s">
        <v>37</v>
      </c>
      <c r="E63" s="12">
        <v>50</v>
      </c>
      <c r="F63" s="76" t="s">
        <v>71</v>
      </c>
      <c r="G63" s="77"/>
      <c r="N63" s="11" t="s">
        <v>25</v>
      </c>
      <c r="O63" s="359" t="s">
        <v>133</v>
      </c>
      <c r="P63" s="359"/>
      <c r="Q63" s="106" t="s">
        <v>85</v>
      </c>
      <c r="R63" s="106">
        <v>5</v>
      </c>
      <c r="S63" s="114" t="s">
        <v>15</v>
      </c>
      <c r="T63" s="115"/>
    </row>
    <row r="64" spans="1:23" ht="57" customHeight="1" thickBot="1" x14ac:dyDescent="0.4">
      <c r="A64" s="11" t="s">
        <v>26</v>
      </c>
      <c r="B64" s="353" t="s">
        <v>67</v>
      </c>
      <c r="C64" s="353"/>
      <c r="D64" s="12" t="s">
        <v>37</v>
      </c>
      <c r="E64" s="12"/>
      <c r="F64" s="76" t="s">
        <v>71</v>
      </c>
      <c r="G64" s="77"/>
      <c r="N64" s="11" t="s">
        <v>26</v>
      </c>
      <c r="O64" s="359" t="s">
        <v>135</v>
      </c>
      <c r="P64" s="359"/>
      <c r="Q64" s="106" t="s">
        <v>85</v>
      </c>
      <c r="R64" s="106">
        <v>-2</v>
      </c>
      <c r="S64" s="76" t="s">
        <v>71</v>
      </c>
      <c r="T64" s="76"/>
    </row>
    <row r="65" spans="1:22" ht="73" customHeight="1" thickBot="1" x14ac:dyDescent="0.4">
      <c r="A65" s="78" t="s">
        <v>27</v>
      </c>
      <c r="B65" s="353" t="s">
        <v>68</v>
      </c>
      <c r="C65" s="353"/>
      <c r="D65" s="12" t="s">
        <v>37</v>
      </c>
      <c r="E65" s="12"/>
      <c r="F65" s="76" t="s">
        <v>71</v>
      </c>
      <c r="G65" s="77"/>
      <c r="N65" s="11" t="s">
        <v>27</v>
      </c>
      <c r="O65" s="359" t="s">
        <v>136</v>
      </c>
      <c r="P65" s="359"/>
      <c r="Q65" s="106" t="s">
        <v>85</v>
      </c>
      <c r="R65" s="106">
        <v>5</v>
      </c>
      <c r="S65" s="107" t="s">
        <v>5</v>
      </c>
      <c r="T65" s="107"/>
      <c r="U65" s="108" t="s">
        <v>95</v>
      </c>
      <c r="V65" s="109"/>
    </row>
    <row r="66" spans="1:22" ht="88" customHeight="1" thickBot="1" x14ac:dyDescent="0.4">
      <c r="A66" s="11" t="s">
        <v>28</v>
      </c>
      <c r="B66" s="359" t="s">
        <v>69</v>
      </c>
      <c r="C66" s="359"/>
      <c r="D66" s="12" t="s">
        <v>37</v>
      </c>
      <c r="E66" s="12"/>
      <c r="F66" s="76" t="s">
        <v>71</v>
      </c>
      <c r="G66" s="77"/>
      <c r="N66" s="11" t="s">
        <v>28</v>
      </c>
      <c r="O66" s="353" t="s">
        <v>138</v>
      </c>
      <c r="P66" s="353"/>
      <c r="Q66" s="106" t="s">
        <v>85</v>
      </c>
      <c r="R66" s="106">
        <v>-2</v>
      </c>
      <c r="S66" s="76" t="s">
        <v>71</v>
      </c>
      <c r="T66" s="76"/>
      <c r="U66" s="114" t="s">
        <v>15</v>
      </c>
      <c r="V66" s="115"/>
    </row>
    <row r="67" spans="1:22" ht="88" customHeight="1" thickBot="1" x14ac:dyDescent="0.4">
      <c r="A67" s="11" t="s">
        <v>29</v>
      </c>
      <c r="B67" s="353" t="s">
        <v>70</v>
      </c>
      <c r="C67" s="353"/>
      <c r="D67" s="12" t="s">
        <v>37</v>
      </c>
      <c r="E67" s="12"/>
      <c r="F67" s="76" t="s">
        <v>71</v>
      </c>
      <c r="G67" s="77"/>
      <c r="N67" s="11" t="s">
        <v>29</v>
      </c>
      <c r="O67" s="359" t="s">
        <v>139</v>
      </c>
      <c r="P67" s="359"/>
      <c r="Q67" s="113" t="s">
        <v>140</v>
      </c>
      <c r="R67" s="113">
        <v>0.75</v>
      </c>
      <c r="S67" s="76" t="s">
        <v>71</v>
      </c>
      <c r="T67" s="76"/>
      <c r="U67" s="116" t="s">
        <v>141</v>
      </c>
      <c r="V67" s="116"/>
    </row>
    <row r="68" spans="1:22" ht="97" customHeight="1" thickBot="1" x14ac:dyDescent="0.4">
      <c r="A68" s="68" t="s">
        <v>73</v>
      </c>
      <c r="B68" s="69"/>
      <c r="C68" s="72" t="s">
        <v>72</v>
      </c>
      <c r="D68" s="71"/>
      <c r="E68" s="73" t="s">
        <v>74</v>
      </c>
      <c r="G68" s="16" t="s">
        <v>56</v>
      </c>
      <c r="H68" s="16"/>
      <c r="N68" s="67"/>
      <c r="O68" s="34"/>
      <c r="P68" s="103"/>
      <c r="Q68" s="34"/>
      <c r="R68" s="104"/>
      <c r="S68" s="34"/>
    </row>
    <row r="69" spans="1:22" ht="15" thickBot="1" x14ac:dyDescent="0.4"/>
    <row r="70" spans="1:22" ht="15" thickBot="1" x14ac:dyDescent="0.4">
      <c r="N70" s="43" t="s">
        <v>0</v>
      </c>
      <c r="O70" s="44" t="s">
        <v>186</v>
      </c>
      <c r="Q70" s="120"/>
      <c r="R70" s="121"/>
      <c r="S70" s="122"/>
      <c r="T70" s="46" t="s">
        <v>0</v>
      </c>
      <c r="U70" s="44" t="s">
        <v>186</v>
      </c>
    </row>
    <row r="71" spans="1:22" ht="15" thickBot="1" x14ac:dyDescent="0.4">
      <c r="A71" s="41" t="s">
        <v>0</v>
      </c>
      <c r="B71" s="42" t="s">
        <v>79</v>
      </c>
      <c r="G71" s="32" t="s">
        <v>0</v>
      </c>
      <c r="H71" s="32" t="s">
        <v>79</v>
      </c>
      <c r="N71" s="45" t="s">
        <v>1</v>
      </c>
      <c r="O71" s="138">
        <f t="shared" ref="O71:O85" si="20">E2</f>
        <v>160</v>
      </c>
      <c r="Q71" s="120"/>
      <c r="R71" s="122"/>
      <c r="S71" s="120"/>
      <c r="T71" s="46" t="s">
        <v>1</v>
      </c>
      <c r="U71" s="46">
        <f>O71</f>
        <v>160</v>
      </c>
    </row>
    <row r="72" spans="1:22" x14ac:dyDescent="0.35">
      <c r="A72" s="36" t="s">
        <v>1</v>
      </c>
      <c r="B72" s="37">
        <f>B2+B2*C72</f>
        <v>159.5</v>
      </c>
      <c r="C72" s="162">
        <v>0.1</v>
      </c>
      <c r="G72" s="32" t="s">
        <v>1</v>
      </c>
      <c r="H72" s="57">
        <f>B72</f>
        <v>159.5</v>
      </c>
      <c r="N72" s="45" t="s">
        <v>2</v>
      </c>
      <c r="O72" s="138">
        <f t="shared" si="20"/>
        <v>35</v>
      </c>
      <c r="Q72" s="120"/>
      <c r="R72" s="123"/>
      <c r="S72" s="120"/>
      <c r="T72" s="46" t="s">
        <v>2</v>
      </c>
      <c r="U72" s="46">
        <f>IF(R74=3,O72+R91, IF(R74=5, O72+R93,IF(R74=9, O72+T97,IF(R74=11,O72+R99,O72))))</f>
        <v>35</v>
      </c>
    </row>
    <row r="73" spans="1:22" x14ac:dyDescent="0.35">
      <c r="A73" s="36" t="s">
        <v>2</v>
      </c>
      <c r="B73" s="37">
        <f t="shared" ref="B73:B86" si="21">B3</f>
        <v>95</v>
      </c>
      <c r="G73" s="32" t="s">
        <v>2</v>
      </c>
      <c r="H73" s="57">
        <f>B73</f>
        <v>95</v>
      </c>
      <c r="N73" s="45" t="s">
        <v>3</v>
      </c>
      <c r="O73" s="138">
        <f t="shared" si="20"/>
        <v>120</v>
      </c>
      <c r="Q73" s="120"/>
      <c r="R73" s="120"/>
      <c r="S73" s="120"/>
      <c r="T73" s="46" t="s">
        <v>3</v>
      </c>
      <c r="U73" s="46">
        <f>IF(R74=1,O73+R89, IF(R74=2, O73+R90,IF(R74=4, O73+R92,IF(R74=6, O73+R94,IF(R74=7, O73+R95,IF(R74=8, O73+R96,IF(R74=10, O73+R98,IF(R74=12, O73+R100,0))))))))</f>
        <v>110</v>
      </c>
    </row>
    <row r="74" spans="1:22" x14ac:dyDescent="0.35">
      <c r="A74" s="36" t="s">
        <v>3</v>
      </c>
      <c r="B74" s="37">
        <f t="shared" si="21"/>
        <v>30</v>
      </c>
      <c r="G74" s="32" t="s">
        <v>3</v>
      </c>
      <c r="H74" s="57"/>
      <c r="N74" s="45" t="s">
        <v>4</v>
      </c>
      <c r="O74" s="138">
        <f t="shared" si="20"/>
        <v>0</v>
      </c>
      <c r="Q74" t="s">
        <v>76</v>
      </c>
      <c r="R74" s="25">
        <v>1</v>
      </c>
      <c r="T74" s="46" t="s">
        <v>4</v>
      </c>
      <c r="U74" s="46"/>
    </row>
    <row r="75" spans="1:22" x14ac:dyDescent="0.35">
      <c r="A75" s="36" t="s">
        <v>4</v>
      </c>
      <c r="B75" s="37">
        <f t="shared" si="21"/>
        <v>0</v>
      </c>
      <c r="D75" t="s">
        <v>76</v>
      </c>
      <c r="E75">
        <v>1</v>
      </c>
      <c r="G75" s="32" t="s">
        <v>4</v>
      </c>
      <c r="H75" s="57">
        <f>IF(E75=1, B75+E90,IF(E75=2, B75+E91, IF(E75=3, B75+E92, IF(E75=4, B75+E93, IF(E75=6, G65+B72-E95, IF(E75=7, G65+B72-E96,0))))))</f>
        <v>10</v>
      </c>
      <c r="N75" s="45" t="s">
        <v>6</v>
      </c>
      <c r="O75" s="138">
        <f t="shared" si="20"/>
        <v>60</v>
      </c>
      <c r="Q75" t="s">
        <v>75</v>
      </c>
      <c r="R75">
        <f>IF(R74=1,U77+T89,IF(R74=3,U78+T91,IF(R74=4,U77+T92,IF(R74=5,U78+T93,IF(R74=6,U77+T94,IF(R74=7,U77+T95,IF(R74=8,U77+T96,IF(R74=10,U77+T98,IF(R74=11,U78+T99,IF(R74=12,U77+T100,0))))))))))</f>
        <v>150</v>
      </c>
      <c r="T75" s="46" t="s">
        <v>6</v>
      </c>
      <c r="U75" s="46">
        <f>O75</f>
        <v>60</v>
      </c>
    </row>
    <row r="76" spans="1:22" ht="14.5" customHeight="1" x14ac:dyDescent="0.35">
      <c r="A76" s="36" t="s">
        <v>6</v>
      </c>
      <c r="B76" s="37">
        <f>B6+B6*C76</f>
        <v>160</v>
      </c>
      <c r="C76" s="162">
        <v>1</v>
      </c>
      <c r="D76" t="s">
        <v>75</v>
      </c>
      <c r="E76">
        <f>IF(E75=1,H78+G90,IF(E75=4,H78+G93,IF(E75=6,H78+G95,IF(E75=7,H78+G96,IF(E75=10,H78+G99,0)))))</f>
        <v>60</v>
      </c>
      <c r="G76" s="32" t="s">
        <v>6</v>
      </c>
      <c r="H76" s="57">
        <f>IF(E75=5,B76+E94,IF(E75=8,B76+E97,0))+B76</f>
        <v>160</v>
      </c>
      <c r="N76" s="45" t="s">
        <v>7</v>
      </c>
      <c r="O76" s="138">
        <f t="shared" si="20"/>
        <v>12</v>
      </c>
      <c r="Q76" t="s">
        <v>77</v>
      </c>
      <c r="R76">
        <f ca="1">RANDBETWEEN(1,100)</f>
        <v>1</v>
      </c>
      <c r="T76" s="46" t="s">
        <v>7</v>
      </c>
      <c r="U76" s="46">
        <f>O76</f>
        <v>12</v>
      </c>
    </row>
    <row r="77" spans="1:22" ht="14.5" customHeight="1" x14ac:dyDescent="0.35">
      <c r="A77" s="36" t="s">
        <v>7</v>
      </c>
      <c r="B77" s="37">
        <f t="shared" si="21"/>
        <v>11.5</v>
      </c>
      <c r="C77" s="153"/>
      <c r="D77" t="s">
        <v>77</v>
      </c>
      <c r="E77">
        <f ca="1">RANDBETWEEN(1,100)</f>
        <v>48</v>
      </c>
      <c r="G77" s="32" t="s">
        <v>7</v>
      </c>
      <c r="H77" s="57">
        <f>IF(E76=8,B77+G97,0)+B77+B77*C77</f>
        <v>11.5</v>
      </c>
      <c r="N77" s="45" t="s">
        <v>10</v>
      </c>
      <c r="O77" s="138">
        <f t="shared" si="20"/>
        <v>115</v>
      </c>
      <c r="Q77" t="s">
        <v>78</v>
      </c>
      <c r="R77">
        <f ca="1">RANDBETWEEN(1,100)</f>
        <v>13</v>
      </c>
      <c r="T77" s="46" t="s">
        <v>10</v>
      </c>
      <c r="U77" s="46">
        <f>IF(R74=2,O77*1.3,O77)</f>
        <v>115</v>
      </c>
    </row>
    <row r="78" spans="1:22" x14ac:dyDescent="0.35">
      <c r="A78" s="36" t="s">
        <v>10</v>
      </c>
      <c r="B78" s="37">
        <f>B8+C78</f>
        <v>40</v>
      </c>
      <c r="C78" s="8">
        <v>15</v>
      </c>
      <c r="D78" t="s">
        <v>78</v>
      </c>
      <c r="E78">
        <f ca="1">RANDBETWEEN(1,100)</f>
        <v>26</v>
      </c>
      <c r="G78" s="32" t="s">
        <v>10</v>
      </c>
      <c r="H78" s="57">
        <f>IF(E75=9,B78+E98,B78)</f>
        <v>40</v>
      </c>
      <c r="N78" s="45" t="s">
        <v>11</v>
      </c>
      <c r="O78" s="138">
        <f t="shared" si="20"/>
        <v>15</v>
      </c>
      <c r="T78" s="46" t="s">
        <v>11</v>
      </c>
      <c r="U78" s="46">
        <v>35</v>
      </c>
    </row>
    <row r="79" spans="1:22" x14ac:dyDescent="0.35">
      <c r="A79" s="36" t="s">
        <v>11</v>
      </c>
      <c r="B79" s="37">
        <f t="shared" si="21"/>
        <v>70</v>
      </c>
      <c r="G79" s="32" t="s">
        <v>11</v>
      </c>
      <c r="H79" s="57"/>
      <c r="N79" s="45" t="s">
        <v>15</v>
      </c>
      <c r="O79" s="138">
        <f t="shared" si="20"/>
        <v>0</v>
      </c>
      <c r="T79" s="46" t="s">
        <v>15</v>
      </c>
      <c r="U79" s="46"/>
    </row>
    <row r="80" spans="1:22" ht="15.5" x14ac:dyDescent="0.35">
      <c r="A80" s="36" t="s">
        <v>15</v>
      </c>
      <c r="B80" s="37">
        <f t="shared" si="21"/>
        <v>0</v>
      </c>
      <c r="G80" s="32" t="s">
        <v>15</v>
      </c>
      <c r="H80" s="57"/>
      <c r="N80" s="45" t="s">
        <v>14</v>
      </c>
      <c r="O80" s="138">
        <f t="shared" si="20"/>
        <v>20</v>
      </c>
      <c r="Q80" s="132" t="s">
        <v>169</v>
      </c>
      <c r="R80" s="132">
        <f>R75+O101</f>
        <v>150</v>
      </c>
      <c r="T80" s="46" t="s">
        <v>14</v>
      </c>
      <c r="U80" s="46">
        <f t="shared" ref="U80:U85" si="22">O80</f>
        <v>20</v>
      </c>
    </row>
    <row r="81" spans="1:22" x14ac:dyDescent="0.35">
      <c r="A81" s="36" t="s">
        <v>14</v>
      </c>
      <c r="B81" s="37">
        <f t="shared" si="21"/>
        <v>25</v>
      </c>
      <c r="G81" s="32" t="s">
        <v>14</v>
      </c>
      <c r="H81" s="57">
        <f>IF(E75=2,B81+G91,0)+B81</f>
        <v>25</v>
      </c>
      <c r="N81" s="45" t="s">
        <v>8</v>
      </c>
      <c r="O81" s="138">
        <f t="shared" si="20"/>
        <v>20</v>
      </c>
      <c r="T81" s="46" t="s">
        <v>8</v>
      </c>
      <c r="U81" s="46">
        <f t="shared" si="22"/>
        <v>20</v>
      </c>
    </row>
    <row r="82" spans="1:22" x14ac:dyDescent="0.35">
      <c r="A82" s="36" t="s">
        <v>8</v>
      </c>
      <c r="B82" s="37">
        <f t="shared" si="21"/>
        <v>20</v>
      </c>
      <c r="G82" s="32" t="s">
        <v>8</v>
      </c>
      <c r="H82" s="57">
        <f>IF(E75=9,B82+G98,0)+B82</f>
        <v>20</v>
      </c>
      <c r="N82" s="45" t="s">
        <v>9</v>
      </c>
      <c r="O82" s="138">
        <f t="shared" si="20"/>
        <v>9.5</v>
      </c>
      <c r="T82" s="46" t="s">
        <v>9</v>
      </c>
      <c r="U82" s="46">
        <f t="shared" si="22"/>
        <v>9.5</v>
      </c>
    </row>
    <row r="83" spans="1:22" x14ac:dyDescent="0.35">
      <c r="A83" s="36" t="s">
        <v>9</v>
      </c>
      <c r="B83" s="37">
        <f t="shared" si="21"/>
        <v>10</v>
      </c>
      <c r="G83" s="32" t="s">
        <v>9</v>
      </c>
      <c r="H83" s="57">
        <f>B83</f>
        <v>10</v>
      </c>
      <c r="N83" s="45" t="s">
        <v>12</v>
      </c>
      <c r="O83" s="138">
        <f t="shared" si="20"/>
        <v>5</v>
      </c>
      <c r="T83" s="46" t="s">
        <v>12</v>
      </c>
      <c r="U83" s="46">
        <f t="shared" si="22"/>
        <v>5</v>
      </c>
    </row>
    <row r="84" spans="1:22" x14ac:dyDescent="0.35">
      <c r="A84" s="36" t="s">
        <v>12</v>
      </c>
      <c r="B84" s="37">
        <f t="shared" si="21"/>
        <v>0</v>
      </c>
      <c r="G84" s="32" t="s">
        <v>12</v>
      </c>
      <c r="H84" s="57">
        <f t="shared" ref="H84:H86" si="23">B84</f>
        <v>0</v>
      </c>
      <c r="N84" s="45" t="s">
        <v>13</v>
      </c>
      <c r="O84" s="138">
        <f t="shared" si="20"/>
        <v>10</v>
      </c>
      <c r="T84" s="46" t="s">
        <v>13</v>
      </c>
      <c r="U84" s="46">
        <f t="shared" si="22"/>
        <v>10</v>
      </c>
    </row>
    <row r="85" spans="1:22" ht="15" thickBot="1" x14ac:dyDescent="0.4">
      <c r="A85" s="36" t="s">
        <v>13</v>
      </c>
      <c r="B85" s="37">
        <f t="shared" si="21"/>
        <v>18</v>
      </c>
      <c r="G85" s="32" t="s">
        <v>13</v>
      </c>
      <c r="H85" s="57">
        <f t="shared" si="23"/>
        <v>18</v>
      </c>
      <c r="N85" s="48" t="s">
        <v>16</v>
      </c>
      <c r="O85" s="138">
        <f t="shared" si="20"/>
        <v>10</v>
      </c>
      <c r="T85" s="46" t="s">
        <v>16</v>
      </c>
      <c r="U85" s="46">
        <f t="shared" si="22"/>
        <v>10</v>
      </c>
    </row>
    <row r="86" spans="1:22" ht="15" thickBot="1" x14ac:dyDescent="0.4">
      <c r="A86" s="39" t="s">
        <v>16</v>
      </c>
      <c r="B86" s="37">
        <f t="shared" si="21"/>
        <v>5</v>
      </c>
      <c r="G86" s="32" t="s">
        <v>16</v>
      </c>
      <c r="H86" s="57">
        <f t="shared" si="23"/>
        <v>5</v>
      </c>
      <c r="N86" t="s">
        <v>17</v>
      </c>
      <c r="O86" s="154" t="s">
        <v>229</v>
      </c>
      <c r="P86" s="164">
        <v>5</v>
      </c>
      <c r="Q86" s="116" t="s">
        <v>230</v>
      </c>
      <c r="R86" s="116" t="s">
        <v>231</v>
      </c>
      <c r="S86" s="101" t="s">
        <v>232</v>
      </c>
      <c r="T86" s="163" t="s">
        <v>233</v>
      </c>
    </row>
    <row r="87" spans="1:22" x14ac:dyDescent="0.35">
      <c r="A87" t="s">
        <v>17</v>
      </c>
      <c r="B87" s="75" t="s">
        <v>80</v>
      </c>
      <c r="C87" s="74" t="s">
        <v>81</v>
      </c>
      <c r="N87" t="s">
        <v>18</v>
      </c>
      <c r="O87" s="34"/>
      <c r="P87" s="34"/>
    </row>
    <row r="88" spans="1:22" ht="15" thickBot="1" x14ac:dyDescent="0.4">
      <c r="A88" t="s">
        <v>18</v>
      </c>
      <c r="B88" s="141" t="s">
        <v>227</v>
      </c>
      <c r="C88" s="141">
        <v>15</v>
      </c>
      <c r="D88" s="82" t="s">
        <v>228</v>
      </c>
      <c r="E88" s="83">
        <v>1</v>
      </c>
      <c r="N88" t="s">
        <v>19</v>
      </c>
      <c r="O88" s="34"/>
      <c r="P88" s="34">
        <v>5</v>
      </c>
      <c r="Q88" t="s">
        <v>108</v>
      </c>
    </row>
    <row r="89" spans="1:22" ht="15" thickBot="1" x14ac:dyDescent="0.4">
      <c r="A89" t="s">
        <v>19</v>
      </c>
      <c r="N89" s="66" t="s">
        <v>20</v>
      </c>
      <c r="O89" s="354" t="s">
        <v>151</v>
      </c>
      <c r="P89" s="354"/>
      <c r="Q89" s="124" t="s">
        <v>3</v>
      </c>
      <c r="R89" s="124">
        <v>-10</v>
      </c>
      <c r="S89" s="76" t="s">
        <v>71</v>
      </c>
      <c r="T89" s="76">
        <v>35</v>
      </c>
    </row>
    <row r="90" spans="1:22" ht="73.5" customHeight="1" thickBot="1" x14ac:dyDescent="0.4">
      <c r="A90" s="66" t="s">
        <v>20</v>
      </c>
      <c r="B90" s="357" t="s">
        <v>82</v>
      </c>
      <c r="C90" s="357"/>
      <c r="D90" s="105" t="s">
        <v>85</v>
      </c>
      <c r="E90" s="105">
        <v>10</v>
      </c>
      <c r="F90" s="76" t="s">
        <v>71</v>
      </c>
      <c r="G90" s="76">
        <v>20</v>
      </c>
      <c r="N90" s="11" t="s">
        <v>21</v>
      </c>
      <c r="O90" s="353" t="s">
        <v>152</v>
      </c>
      <c r="P90" s="353"/>
      <c r="Q90" s="124" t="s">
        <v>3</v>
      </c>
      <c r="R90" s="124">
        <v>-20</v>
      </c>
      <c r="S90" s="112" t="s">
        <v>96</v>
      </c>
      <c r="T90" s="125">
        <v>0.3</v>
      </c>
      <c r="U90" s="102"/>
    </row>
    <row r="91" spans="1:22" ht="77" customHeight="1" thickBot="1" x14ac:dyDescent="0.4">
      <c r="A91" s="11" t="s">
        <v>21</v>
      </c>
      <c r="B91" s="359" t="s">
        <v>83</v>
      </c>
      <c r="C91" s="359"/>
      <c r="D91" s="106" t="s">
        <v>85</v>
      </c>
      <c r="E91" s="106">
        <v>15</v>
      </c>
      <c r="F91" s="86" t="s">
        <v>86</v>
      </c>
      <c r="G91" s="87">
        <v>20</v>
      </c>
      <c r="N91" s="11" t="s">
        <v>22</v>
      </c>
      <c r="O91" s="353" t="s">
        <v>162</v>
      </c>
      <c r="P91" s="353"/>
      <c r="Q91" s="12" t="s">
        <v>2</v>
      </c>
      <c r="R91" s="12">
        <v>-20</v>
      </c>
      <c r="S91" s="76" t="s">
        <v>71</v>
      </c>
      <c r="T91" s="76">
        <v>20</v>
      </c>
      <c r="U91" s="126" t="s">
        <v>168</v>
      </c>
      <c r="V91" s="127">
        <v>-0.2</v>
      </c>
    </row>
    <row r="92" spans="1:22" ht="72.5" customHeight="1" thickBot="1" x14ac:dyDescent="0.4">
      <c r="A92" s="11" t="s">
        <v>22</v>
      </c>
      <c r="B92" s="359" t="s">
        <v>88</v>
      </c>
      <c r="C92" s="359"/>
      <c r="D92" s="106" t="s">
        <v>85</v>
      </c>
      <c r="E92" s="106">
        <v>5</v>
      </c>
      <c r="F92" s="76" t="s">
        <v>71</v>
      </c>
      <c r="G92" s="76">
        <v>30</v>
      </c>
      <c r="H92" t="s">
        <v>273</v>
      </c>
      <c r="N92" s="11" t="s">
        <v>23</v>
      </c>
      <c r="O92" s="359" t="s">
        <v>153</v>
      </c>
      <c r="P92" s="359"/>
      <c r="Q92" s="124" t="s">
        <v>3</v>
      </c>
      <c r="R92" s="124">
        <v>-5</v>
      </c>
      <c r="S92" s="76" t="s">
        <v>71</v>
      </c>
      <c r="T92" s="76">
        <v>30</v>
      </c>
      <c r="U92" s="126" t="s">
        <v>163</v>
      </c>
      <c r="V92" s="127">
        <v>-0.25</v>
      </c>
    </row>
    <row r="93" spans="1:22" ht="68.5" customHeight="1" thickBot="1" x14ac:dyDescent="0.4">
      <c r="A93" s="11" t="s">
        <v>23</v>
      </c>
      <c r="B93" s="359" t="s">
        <v>84</v>
      </c>
      <c r="C93" s="359"/>
      <c r="D93" s="106" t="s">
        <v>85</v>
      </c>
      <c r="E93" s="106" t="s">
        <v>87</v>
      </c>
      <c r="F93" s="76" t="s">
        <v>71</v>
      </c>
      <c r="G93" s="76"/>
      <c r="N93" s="11" t="s">
        <v>24</v>
      </c>
      <c r="O93" s="353" t="s">
        <v>154</v>
      </c>
      <c r="P93" s="353"/>
      <c r="Q93" s="12" t="s">
        <v>2</v>
      </c>
      <c r="R93" s="12">
        <v>-20</v>
      </c>
      <c r="S93" s="76" t="s">
        <v>71</v>
      </c>
      <c r="T93" s="76">
        <v>50</v>
      </c>
    </row>
    <row r="94" spans="1:22" ht="75.5" customHeight="1" thickBot="1" x14ac:dyDescent="0.4">
      <c r="A94" s="11" t="s">
        <v>24</v>
      </c>
      <c r="B94" s="359" t="s">
        <v>89</v>
      </c>
      <c r="C94" s="359"/>
      <c r="D94" s="107" t="s">
        <v>5</v>
      </c>
      <c r="E94" s="107"/>
      <c r="F94" s="79"/>
      <c r="G94" s="80"/>
      <c r="N94" s="11" t="s">
        <v>25</v>
      </c>
      <c r="O94" s="353" t="s">
        <v>155</v>
      </c>
      <c r="P94" s="353"/>
      <c r="Q94" s="124" t="s">
        <v>3</v>
      </c>
      <c r="R94" s="124">
        <v>-5</v>
      </c>
      <c r="S94" s="76" t="s">
        <v>71</v>
      </c>
      <c r="T94" s="76">
        <v>40</v>
      </c>
    </row>
    <row r="95" spans="1:22" ht="62" customHeight="1" thickBot="1" x14ac:dyDescent="0.4">
      <c r="A95" s="11" t="s">
        <v>25</v>
      </c>
      <c r="B95" s="359" t="s">
        <v>90</v>
      </c>
      <c r="C95" s="359"/>
      <c r="D95" s="106" t="s">
        <v>85</v>
      </c>
      <c r="E95" s="106" t="s">
        <v>87</v>
      </c>
      <c r="F95" s="76" t="s">
        <v>71</v>
      </c>
      <c r="G95" s="76"/>
      <c r="N95" s="11" t="s">
        <v>26</v>
      </c>
      <c r="O95" s="353" t="s">
        <v>157</v>
      </c>
      <c r="P95" s="353"/>
      <c r="Q95" s="124" t="s">
        <v>3</v>
      </c>
      <c r="R95" s="124">
        <v>-5</v>
      </c>
      <c r="S95" s="76" t="s">
        <v>71</v>
      </c>
      <c r="T95" s="76">
        <v>70</v>
      </c>
      <c r="U95" s="128" t="s">
        <v>164</v>
      </c>
      <c r="V95" s="128"/>
    </row>
    <row r="96" spans="1:22" ht="77" customHeight="1" thickBot="1" x14ac:dyDescent="0.4">
      <c r="A96" s="11" t="s">
        <v>26</v>
      </c>
      <c r="B96" s="359" t="s">
        <v>91</v>
      </c>
      <c r="C96" s="359"/>
      <c r="D96" s="106" t="s">
        <v>85</v>
      </c>
      <c r="E96" s="106" t="s">
        <v>87</v>
      </c>
      <c r="F96" s="76" t="s">
        <v>71</v>
      </c>
      <c r="G96" s="76"/>
      <c r="N96" s="11" t="s">
        <v>27</v>
      </c>
      <c r="O96" s="353" t="s">
        <v>156</v>
      </c>
      <c r="P96" s="353"/>
      <c r="Q96" s="124" t="s">
        <v>3</v>
      </c>
      <c r="R96" s="124">
        <v>-5</v>
      </c>
      <c r="S96" s="76" t="s">
        <v>71</v>
      </c>
      <c r="T96" s="76">
        <v>80</v>
      </c>
      <c r="U96" s="129"/>
    </row>
    <row r="97" spans="1:22" ht="70" customHeight="1" thickBot="1" x14ac:dyDescent="0.4">
      <c r="A97" s="11" t="s">
        <v>27</v>
      </c>
      <c r="B97" s="359" t="s">
        <v>92</v>
      </c>
      <c r="C97" s="359"/>
      <c r="D97" s="107" t="s">
        <v>5</v>
      </c>
      <c r="E97" s="107"/>
      <c r="F97" s="108" t="s">
        <v>95</v>
      </c>
      <c r="G97" s="109"/>
      <c r="N97" s="11" t="s">
        <v>28</v>
      </c>
      <c r="O97" s="353" t="s">
        <v>158</v>
      </c>
      <c r="P97" s="353"/>
      <c r="Q97" s="13" t="s">
        <v>167</v>
      </c>
      <c r="R97" s="13">
        <v>10</v>
      </c>
      <c r="S97" s="12" t="s">
        <v>2</v>
      </c>
      <c r="T97" s="12">
        <v>20</v>
      </c>
      <c r="U97" s="102"/>
    </row>
    <row r="98" spans="1:22" ht="80.5" customHeight="1" thickBot="1" x14ac:dyDescent="0.4">
      <c r="A98" s="11" t="s">
        <v>28</v>
      </c>
      <c r="B98" s="359" t="s">
        <v>93</v>
      </c>
      <c r="C98" s="359"/>
      <c r="D98" s="112" t="s">
        <v>96</v>
      </c>
      <c r="E98" s="112"/>
      <c r="F98" s="110" t="s">
        <v>97</v>
      </c>
      <c r="G98" s="111"/>
      <c r="N98" s="11" t="s">
        <v>29</v>
      </c>
      <c r="O98" s="353" t="s">
        <v>159</v>
      </c>
      <c r="P98" s="353"/>
      <c r="Q98" s="124" t="s">
        <v>3</v>
      </c>
      <c r="R98" s="124">
        <v>-5</v>
      </c>
      <c r="S98" s="76" t="s">
        <v>71</v>
      </c>
      <c r="T98" s="76"/>
      <c r="U98" s="116" t="s">
        <v>141</v>
      </c>
    </row>
    <row r="99" spans="1:22" ht="99" customHeight="1" thickBot="1" x14ac:dyDescent="0.4">
      <c r="A99" s="11" t="s">
        <v>29</v>
      </c>
      <c r="B99" s="359" t="s">
        <v>94</v>
      </c>
      <c r="C99" s="359"/>
      <c r="D99" s="79" t="s">
        <v>98</v>
      </c>
      <c r="E99" s="81">
        <v>-0.25</v>
      </c>
      <c r="F99" s="76" t="s">
        <v>71</v>
      </c>
      <c r="G99" s="76"/>
      <c r="N99" s="11" t="s">
        <v>149</v>
      </c>
      <c r="O99" s="357" t="s">
        <v>161</v>
      </c>
      <c r="P99" s="357"/>
      <c r="Q99" s="12" t="s">
        <v>2</v>
      </c>
      <c r="R99" s="12">
        <v>-20</v>
      </c>
      <c r="S99" s="76" t="s">
        <v>71</v>
      </c>
      <c r="T99" s="76">
        <v>45</v>
      </c>
      <c r="U99" s="126" t="s">
        <v>168</v>
      </c>
      <c r="V99" s="127">
        <v>-0.1</v>
      </c>
    </row>
    <row r="100" spans="1:22" ht="43" customHeight="1" thickBot="1" x14ac:dyDescent="0.4">
      <c r="A100" s="68" t="s">
        <v>73</v>
      </c>
      <c r="B100" s="69"/>
      <c r="C100" s="72" t="s">
        <v>72</v>
      </c>
      <c r="D100" s="71"/>
      <c r="E100" s="73" t="s">
        <v>74</v>
      </c>
      <c r="N100" s="11" t="s">
        <v>150</v>
      </c>
      <c r="O100" s="373" t="s">
        <v>160</v>
      </c>
      <c r="P100" s="373"/>
      <c r="Q100" s="124" t="s">
        <v>3</v>
      </c>
      <c r="R100" s="124">
        <v>-5</v>
      </c>
      <c r="S100" s="76" t="s">
        <v>71</v>
      </c>
      <c r="T100" s="76">
        <v>150</v>
      </c>
    </row>
    <row r="101" spans="1:22" ht="29" x14ac:dyDescent="0.35">
      <c r="N101" s="130" t="s">
        <v>165</v>
      </c>
      <c r="O101" s="97"/>
      <c r="P101" s="131" t="s">
        <v>166</v>
      </c>
      <c r="Q101" s="131"/>
    </row>
    <row r="103" spans="1:22" x14ac:dyDescent="0.35">
      <c r="Q103" s="120"/>
      <c r="R103" s="120"/>
      <c r="S103" s="120"/>
    </row>
    <row r="104" spans="1:22" ht="15" thickBot="1" x14ac:dyDescent="0.4">
      <c r="Q104" s="120"/>
      <c r="R104" s="120"/>
      <c r="S104" s="120"/>
    </row>
    <row r="105" spans="1:22" ht="15" thickBot="1" x14ac:dyDescent="0.4">
      <c r="A105" s="41" t="s">
        <v>0</v>
      </c>
      <c r="B105" s="42" t="s">
        <v>170</v>
      </c>
      <c r="C105" s="166" t="s">
        <v>247</v>
      </c>
      <c r="G105" s="32" t="s">
        <v>0</v>
      </c>
      <c r="H105" s="32" t="s">
        <v>170</v>
      </c>
    </row>
    <row r="106" spans="1:22" x14ac:dyDescent="0.35">
      <c r="A106" s="36" t="s">
        <v>1</v>
      </c>
      <c r="B106" s="37">
        <f>B2</f>
        <v>145</v>
      </c>
      <c r="C106" s="166"/>
      <c r="G106" s="32" t="s">
        <v>1</v>
      </c>
      <c r="H106" s="57">
        <f>B106</f>
        <v>145</v>
      </c>
    </row>
    <row r="107" spans="1:22" x14ac:dyDescent="0.35">
      <c r="A107" s="36" t="s">
        <v>2</v>
      </c>
      <c r="B107" s="37">
        <f t="shared" ref="B107:B120" si="24">B3</f>
        <v>95</v>
      </c>
      <c r="C107" s="166"/>
      <c r="G107" s="32" t="s">
        <v>2</v>
      </c>
      <c r="H107" s="57">
        <f>B107</f>
        <v>95</v>
      </c>
    </row>
    <row r="108" spans="1:22" x14ac:dyDescent="0.35">
      <c r="A108" s="36" t="s">
        <v>3</v>
      </c>
      <c r="B108" s="37">
        <f t="shared" si="24"/>
        <v>30</v>
      </c>
      <c r="C108" s="166"/>
      <c r="G108" s="32" t="s">
        <v>3</v>
      </c>
      <c r="H108" s="57">
        <f>IF(E109=1,B108+E124,IF(E109=2,B108+E125,IF(E109=3,B108+E126,IF(E109=4,B108+E127,IF(E109=5,B108+E128,IF(E109=6,B108+E129,IF(E109=7,B108+E130,IF(E109=8,B108+E131,IF(E109=9,B108+E132,IF(E109=10,B108+E133,0))))))))))</f>
        <v>25</v>
      </c>
    </row>
    <row r="109" spans="1:22" x14ac:dyDescent="0.35">
      <c r="A109" s="36" t="s">
        <v>4</v>
      </c>
      <c r="B109" s="37">
        <f t="shared" si="24"/>
        <v>0</v>
      </c>
      <c r="C109" s="166"/>
      <c r="D109" t="s">
        <v>76</v>
      </c>
      <c r="E109">
        <v>1</v>
      </c>
      <c r="G109" s="32" t="s">
        <v>4</v>
      </c>
      <c r="H109" s="57">
        <f>IF(E109=1, B109+E124,IF(E109=2, B109+E125, IF(E109=3, B109+E126, IF(E109=4, B109+E127, IF(E109=6, G99+B106-E129, IF(E109=7, G99+B106-E130,0))))))+B109</f>
        <v>-5</v>
      </c>
    </row>
    <row r="110" spans="1:22" x14ac:dyDescent="0.35">
      <c r="A110" s="36" t="s">
        <v>6</v>
      </c>
      <c r="B110" s="37">
        <f t="shared" si="24"/>
        <v>80</v>
      </c>
      <c r="C110" s="166"/>
      <c r="D110" t="s">
        <v>75</v>
      </c>
      <c r="E110">
        <f>IF(E109=1,H112+G124,IF(E109=4,H112+G127,IF(E109=6,H112+G129,IF(E109=7,H112+G130,IF(E109=10,H112+G133,0)))))</f>
        <v>95</v>
      </c>
      <c r="G110" s="32" t="s">
        <v>6</v>
      </c>
      <c r="H110" s="57">
        <f>IF(E109=5,B110+E128,IF(E109=8,B110+E131,0))+B110</f>
        <v>80</v>
      </c>
    </row>
    <row r="111" spans="1:22" x14ac:dyDescent="0.35">
      <c r="A111" s="36" t="s">
        <v>7</v>
      </c>
      <c r="B111" s="37">
        <f t="shared" si="24"/>
        <v>11.5</v>
      </c>
      <c r="C111" s="167"/>
      <c r="D111" t="s">
        <v>77</v>
      </c>
      <c r="E111">
        <f ca="1">RANDBETWEEN(1,100)</f>
        <v>60</v>
      </c>
      <c r="G111" s="32" t="s">
        <v>7</v>
      </c>
      <c r="H111" s="57">
        <f>IF(E110=8,B111+G131,0)+B111+B111*C111</f>
        <v>11.5</v>
      </c>
    </row>
    <row r="112" spans="1:22" x14ac:dyDescent="0.35">
      <c r="A112" s="36" t="s">
        <v>10</v>
      </c>
      <c r="B112" s="37">
        <f>B8+C112</f>
        <v>45</v>
      </c>
      <c r="C112" s="168">
        <v>20</v>
      </c>
      <c r="D112" t="s">
        <v>78</v>
      </c>
      <c r="E112">
        <f ca="1">RANDBETWEEN(1,100)</f>
        <v>2</v>
      </c>
      <c r="G112" s="32" t="s">
        <v>10</v>
      </c>
      <c r="H112" s="57">
        <f>B112+C112</f>
        <v>65</v>
      </c>
    </row>
    <row r="113" spans="1:9" x14ac:dyDescent="0.35">
      <c r="A113" s="36" t="s">
        <v>11</v>
      </c>
      <c r="B113" s="37">
        <f t="shared" si="24"/>
        <v>70</v>
      </c>
      <c r="C113" s="166"/>
      <c r="G113" s="32" t="s">
        <v>11</v>
      </c>
      <c r="H113" s="57">
        <f>B113</f>
        <v>70</v>
      </c>
    </row>
    <row r="114" spans="1:9" x14ac:dyDescent="0.35">
      <c r="A114" s="36" t="s">
        <v>15</v>
      </c>
      <c r="B114" s="37">
        <f t="shared" si="24"/>
        <v>0</v>
      </c>
      <c r="C114" s="166"/>
      <c r="G114" s="32" t="s">
        <v>15</v>
      </c>
      <c r="H114" s="57">
        <f>B114</f>
        <v>0</v>
      </c>
    </row>
    <row r="115" spans="1:9" x14ac:dyDescent="0.35">
      <c r="A115" s="36" t="s">
        <v>14</v>
      </c>
      <c r="B115" s="37">
        <f>B11+C115</f>
        <v>45</v>
      </c>
      <c r="C115" s="169">
        <v>20</v>
      </c>
      <c r="G115" s="32" t="s">
        <v>14</v>
      </c>
      <c r="H115" s="57">
        <f>B115+C115+IF(E109=3,20,0)</f>
        <v>65</v>
      </c>
    </row>
    <row r="116" spans="1:9" x14ac:dyDescent="0.35">
      <c r="A116" s="36" t="s">
        <v>8</v>
      </c>
      <c r="B116" s="37">
        <f t="shared" si="24"/>
        <v>20</v>
      </c>
      <c r="C116" s="166"/>
      <c r="G116" s="32" t="s">
        <v>8</v>
      </c>
      <c r="H116" s="57">
        <f>B116</f>
        <v>20</v>
      </c>
    </row>
    <row r="117" spans="1:9" x14ac:dyDescent="0.35">
      <c r="A117" s="36" t="s">
        <v>9</v>
      </c>
      <c r="B117" s="191">
        <f>B13+C117</f>
        <v>15</v>
      </c>
      <c r="C117" s="192">
        <v>5</v>
      </c>
      <c r="G117" s="32" t="s">
        <v>9</v>
      </c>
      <c r="H117" s="57">
        <f>B117+IF(E109=3,5,0) + IF(E109=5,30,0) + IF(E109=7,20,0)</f>
        <v>15</v>
      </c>
    </row>
    <row r="118" spans="1:9" x14ac:dyDescent="0.35">
      <c r="A118" s="36" t="s">
        <v>12</v>
      </c>
      <c r="B118" s="37">
        <f t="shared" si="24"/>
        <v>0</v>
      </c>
      <c r="C118" s="166"/>
      <c r="G118" s="32" t="s">
        <v>12</v>
      </c>
      <c r="H118" s="57">
        <f t="shared" ref="H118:H120" si="25">B118</f>
        <v>0</v>
      </c>
    </row>
    <row r="119" spans="1:9" x14ac:dyDescent="0.35">
      <c r="A119" s="36" t="s">
        <v>13</v>
      </c>
      <c r="B119" s="37">
        <f t="shared" si="24"/>
        <v>18</v>
      </c>
      <c r="C119" s="166"/>
      <c r="G119" s="32" t="s">
        <v>13</v>
      </c>
      <c r="H119" s="57">
        <f t="shared" si="25"/>
        <v>18</v>
      </c>
    </row>
    <row r="120" spans="1:9" ht="15" thickBot="1" x14ac:dyDescent="0.4">
      <c r="A120" s="39" t="s">
        <v>16</v>
      </c>
      <c r="B120" s="37">
        <f t="shared" si="24"/>
        <v>5</v>
      </c>
      <c r="C120" s="166"/>
      <c r="G120" s="32" t="s">
        <v>16</v>
      </c>
      <c r="H120" s="57">
        <f t="shared" si="25"/>
        <v>5</v>
      </c>
    </row>
    <row r="121" spans="1:9" ht="15" thickBot="1" x14ac:dyDescent="0.4">
      <c r="A121" t="s">
        <v>17</v>
      </c>
      <c r="B121" s="112" t="s">
        <v>10</v>
      </c>
      <c r="C121" s="112">
        <v>20</v>
      </c>
      <c r="D121" s="86" t="s">
        <v>86</v>
      </c>
      <c r="E121" s="86">
        <v>20</v>
      </c>
      <c r="F121" s="133" t="s">
        <v>43</v>
      </c>
      <c r="G121" s="133">
        <v>5</v>
      </c>
    </row>
    <row r="122" spans="1:9" x14ac:dyDescent="0.35">
      <c r="A122" t="s">
        <v>18</v>
      </c>
    </row>
    <row r="123" spans="1:9" ht="15" thickBot="1" x14ac:dyDescent="0.4">
      <c r="A123" t="s">
        <v>19</v>
      </c>
      <c r="B123" t="s">
        <v>34</v>
      </c>
    </row>
    <row r="124" spans="1:9" ht="89" customHeight="1" thickBot="1" x14ac:dyDescent="0.4">
      <c r="A124" s="66" t="s">
        <v>20</v>
      </c>
      <c r="B124" s="354" t="s">
        <v>171</v>
      </c>
      <c r="C124" s="354"/>
      <c r="D124" s="124" t="s">
        <v>3</v>
      </c>
      <c r="E124" s="124">
        <v>-5</v>
      </c>
      <c r="F124" s="76" t="s">
        <v>71</v>
      </c>
      <c r="G124" s="76">
        <v>30</v>
      </c>
    </row>
    <row r="125" spans="1:9" ht="103" customHeight="1" thickBot="1" x14ac:dyDescent="0.4">
      <c r="A125" s="11" t="s">
        <v>21</v>
      </c>
      <c r="B125" s="353" t="s">
        <v>172</v>
      </c>
      <c r="C125" s="353"/>
      <c r="D125" s="124" t="s">
        <v>3</v>
      </c>
      <c r="E125" s="124">
        <v>-5</v>
      </c>
      <c r="F125" s="7" t="s">
        <v>181</v>
      </c>
      <c r="G125" s="7"/>
    </row>
    <row r="126" spans="1:9" ht="103" customHeight="1" thickBot="1" x14ac:dyDescent="0.4">
      <c r="A126" s="11" t="s">
        <v>22</v>
      </c>
      <c r="B126" s="353" t="s">
        <v>173</v>
      </c>
      <c r="C126" s="353"/>
      <c r="D126" s="124" t="s">
        <v>3</v>
      </c>
      <c r="E126" s="124">
        <v>-5</v>
      </c>
      <c r="F126" s="133" t="s">
        <v>182</v>
      </c>
      <c r="G126" s="134">
        <v>0.1</v>
      </c>
      <c r="H126" s="86" t="s">
        <v>86</v>
      </c>
      <c r="I126" s="87">
        <v>20</v>
      </c>
    </row>
    <row r="127" spans="1:9" ht="105.5" customHeight="1" thickBot="1" x14ac:dyDescent="0.4">
      <c r="A127" s="11" t="s">
        <v>23</v>
      </c>
      <c r="B127" s="353" t="s">
        <v>174</v>
      </c>
      <c r="C127" s="353"/>
      <c r="D127" s="124" t="s">
        <v>3</v>
      </c>
      <c r="E127" s="124">
        <v>-5</v>
      </c>
      <c r="F127" s="76" t="s">
        <v>71</v>
      </c>
      <c r="G127" s="76"/>
    </row>
    <row r="128" spans="1:9" ht="109" customHeight="1" thickBot="1" x14ac:dyDescent="0.4">
      <c r="A128" s="11" t="s">
        <v>24</v>
      </c>
      <c r="B128" s="353" t="s">
        <v>175</v>
      </c>
      <c r="C128" s="353"/>
      <c r="D128" s="124" t="s">
        <v>3</v>
      </c>
      <c r="E128" s="124">
        <v>-5</v>
      </c>
      <c r="F128" s="133" t="s">
        <v>43</v>
      </c>
      <c r="G128" s="134">
        <v>0.3</v>
      </c>
    </row>
    <row r="129" spans="1:20" ht="99.5" customHeight="1" thickBot="1" x14ac:dyDescent="0.4">
      <c r="A129" s="11" t="s">
        <v>25</v>
      </c>
      <c r="B129" s="353" t="s">
        <v>176</v>
      </c>
      <c r="C129" s="353"/>
      <c r="D129" s="124" t="s">
        <v>3</v>
      </c>
      <c r="E129" s="124">
        <v>-5</v>
      </c>
      <c r="F129" s="76" t="s">
        <v>71</v>
      </c>
      <c r="G129" s="76"/>
      <c r="H129" s="110" t="s">
        <v>97</v>
      </c>
      <c r="I129" s="135">
        <v>0.3</v>
      </c>
    </row>
    <row r="130" spans="1:20" ht="107.5" customHeight="1" thickBot="1" x14ac:dyDescent="0.4">
      <c r="A130" s="11" t="s">
        <v>26</v>
      </c>
      <c r="B130" s="353" t="s">
        <v>177</v>
      </c>
      <c r="C130" s="353"/>
      <c r="D130" s="124" t="s">
        <v>3</v>
      </c>
      <c r="E130" s="124">
        <v>-5</v>
      </c>
      <c r="F130" s="76" t="s">
        <v>71</v>
      </c>
      <c r="G130" s="76"/>
      <c r="H130" s="133" t="s">
        <v>43</v>
      </c>
      <c r="I130" s="134">
        <v>0.2</v>
      </c>
    </row>
    <row r="131" spans="1:20" ht="107" customHeight="1" thickBot="1" x14ac:dyDescent="0.4">
      <c r="A131" s="11" t="s">
        <v>27</v>
      </c>
      <c r="B131" s="353" t="s">
        <v>178</v>
      </c>
      <c r="C131" s="353"/>
      <c r="D131" s="124" t="s">
        <v>3</v>
      </c>
      <c r="E131" s="124">
        <v>-5</v>
      </c>
      <c r="F131" s="76" t="s">
        <v>71</v>
      </c>
      <c r="G131" s="76"/>
      <c r="H131" s="86" t="s">
        <v>183</v>
      </c>
      <c r="I131" s="87"/>
    </row>
    <row r="132" spans="1:20" ht="129" customHeight="1" thickBot="1" x14ac:dyDescent="0.4">
      <c r="A132" s="11" t="s">
        <v>28</v>
      </c>
      <c r="B132" s="353" t="s">
        <v>179</v>
      </c>
      <c r="C132" s="353"/>
      <c r="D132" s="124" t="s">
        <v>3</v>
      </c>
      <c r="E132" s="124">
        <v>-5</v>
      </c>
      <c r="F132" s="76" t="s">
        <v>71</v>
      </c>
      <c r="G132" s="76"/>
      <c r="H132" t="s">
        <v>184</v>
      </c>
    </row>
    <row r="133" spans="1:20" ht="97.5" customHeight="1" thickBot="1" x14ac:dyDescent="0.4">
      <c r="A133" s="11" t="s">
        <v>29</v>
      </c>
      <c r="B133" s="353" t="s">
        <v>180</v>
      </c>
      <c r="C133" s="353"/>
      <c r="D133" s="124" t="s">
        <v>3</v>
      </c>
      <c r="E133" s="124">
        <v>-5</v>
      </c>
      <c r="F133" s="76" t="s">
        <v>71</v>
      </c>
      <c r="G133" s="76"/>
      <c r="H133" s="7" t="s">
        <v>185</v>
      </c>
      <c r="I133" s="7"/>
    </row>
    <row r="134" spans="1:20" ht="118" customHeight="1" x14ac:dyDescent="0.35">
      <c r="A134" s="68" t="s">
        <v>73</v>
      </c>
      <c r="B134" s="69"/>
      <c r="C134" s="72" t="s">
        <v>72</v>
      </c>
      <c r="D134" s="71"/>
      <c r="E134" s="73" t="s">
        <v>74</v>
      </c>
    </row>
    <row r="135" spans="1:20" ht="105.5" customHeight="1" x14ac:dyDescent="0.35"/>
    <row r="136" spans="1:20" ht="79" customHeight="1" thickBot="1" x14ac:dyDescent="0.4">
      <c r="A136" s="372" t="s">
        <v>304</v>
      </c>
      <c r="B136" s="372"/>
      <c r="C136" s="372"/>
      <c r="D136" s="372"/>
      <c r="E136" s="372"/>
      <c r="F136" s="372"/>
      <c r="G136" s="372"/>
      <c r="H136" s="372"/>
      <c r="I136" s="372"/>
      <c r="J136" s="372"/>
      <c r="K136" s="372"/>
      <c r="L136" s="372"/>
      <c r="M136" s="372"/>
      <c r="N136" s="372"/>
      <c r="O136" s="372"/>
      <c r="P136" s="372"/>
      <c r="Q136" s="372"/>
      <c r="R136" s="372"/>
      <c r="S136" s="372"/>
      <c r="T136" s="372"/>
    </row>
    <row r="137" spans="1:20" ht="40.5" customHeight="1" thickBot="1" x14ac:dyDescent="0.4">
      <c r="A137" s="379" t="s">
        <v>305</v>
      </c>
      <c r="B137" s="380"/>
      <c r="C137" s="381" t="s">
        <v>306</v>
      </c>
      <c r="D137" s="382"/>
      <c r="E137" s="383" t="s">
        <v>307</v>
      </c>
      <c r="F137" s="384"/>
      <c r="G137" s="383" t="s">
        <v>308</v>
      </c>
      <c r="H137" s="385"/>
      <c r="I137" s="386"/>
      <c r="J137" s="370" t="s">
        <v>309</v>
      </c>
      <c r="K137" s="371"/>
      <c r="L137" s="371"/>
      <c r="M137" s="370" t="s">
        <v>310</v>
      </c>
      <c r="N137" s="371"/>
    </row>
    <row r="138" spans="1:20" x14ac:dyDescent="0.35">
      <c r="A138" s="194" t="s">
        <v>0</v>
      </c>
      <c r="B138" s="194" t="s">
        <v>186</v>
      </c>
      <c r="C138" s="194" t="s">
        <v>0</v>
      </c>
      <c r="D138" s="194" t="s">
        <v>186</v>
      </c>
      <c r="E138" s="194" t="s">
        <v>0</v>
      </c>
      <c r="F138" s="194" t="s">
        <v>186</v>
      </c>
      <c r="G138" s="194" t="s">
        <v>0</v>
      </c>
      <c r="H138" s="377" t="s">
        <v>186</v>
      </c>
      <c r="I138" s="378"/>
      <c r="J138" s="194" t="s">
        <v>0</v>
      </c>
      <c r="K138" s="196" t="s">
        <v>186</v>
      </c>
      <c r="L138" s="197"/>
      <c r="M138" s="194" t="s">
        <v>0</v>
      </c>
      <c r="N138" s="198"/>
    </row>
    <row r="139" spans="1:20" x14ac:dyDescent="0.35">
      <c r="A139" s="193" t="s">
        <v>1</v>
      </c>
      <c r="B139" s="193">
        <f>O71</f>
        <v>160</v>
      </c>
      <c r="C139" s="193" t="s">
        <v>1</v>
      </c>
      <c r="D139" s="193">
        <f>U71</f>
        <v>160</v>
      </c>
      <c r="E139" s="193" t="s">
        <v>1</v>
      </c>
      <c r="F139" s="193">
        <f>AV2</f>
        <v>112</v>
      </c>
      <c r="G139" s="193" t="s">
        <v>1</v>
      </c>
      <c r="H139" s="375">
        <f>IF(AV2+T7&gt;O71, O71, AV2+T7)</f>
        <v>160</v>
      </c>
      <c r="I139" s="376"/>
      <c r="J139" s="193" t="s">
        <v>1</v>
      </c>
      <c r="K139" s="375"/>
      <c r="L139" s="406"/>
      <c r="M139" s="193" t="s">
        <v>1</v>
      </c>
      <c r="N139" s="199">
        <f>K139+K151</f>
        <v>0</v>
      </c>
    </row>
    <row r="140" spans="1:20" x14ac:dyDescent="0.35">
      <c r="A140" s="193" t="s">
        <v>2</v>
      </c>
      <c r="B140" s="193">
        <f t="shared" ref="B140:B153" si="26">O72</f>
        <v>35</v>
      </c>
      <c r="C140" s="193" t="s">
        <v>2</v>
      </c>
      <c r="D140" s="193">
        <f t="shared" ref="D140:D153" si="27">U72</f>
        <v>35</v>
      </c>
      <c r="E140" s="193" t="s">
        <v>2</v>
      </c>
      <c r="F140" s="193">
        <f t="shared" ref="F140:F153" si="28">AV3</f>
        <v>35</v>
      </c>
      <c r="G140" s="193" t="s">
        <v>2</v>
      </c>
      <c r="H140" s="375">
        <f>O72</f>
        <v>35</v>
      </c>
      <c r="I140" s="376"/>
      <c r="J140" s="193" t="s">
        <v>2</v>
      </c>
      <c r="K140" s="375"/>
      <c r="L140" s="406"/>
      <c r="M140" s="193" t="s">
        <v>2</v>
      </c>
      <c r="N140" s="199">
        <f>K140+K152</f>
        <v>0</v>
      </c>
    </row>
    <row r="141" spans="1:20" x14ac:dyDescent="0.35">
      <c r="A141" s="193" t="s">
        <v>3</v>
      </c>
      <c r="B141" s="193">
        <f t="shared" si="26"/>
        <v>120</v>
      </c>
      <c r="C141" s="193" t="s">
        <v>3</v>
      </c>
      <c r="D141" s="193">
        <f t="shared" si="27"/>
        <v>110</v>
      </c>
      <c r="E141" s="193" t="s">
        <v>3</v>
      </c>
      <c r="F141" s="193">
        <f t="shared" si="28"/>
        <v>110</v>
      </c>
      <c r="G141" s="193" t="s">
        <v>3</v>
      </c>
      <c r="H141" s="375">
        <f t="shared" ref="H141:H153" si="29">O73</f>
        <v>120</v>
      </c>
      <c r="I141" s="376"/>
      <c r="J141" s="193" t="s">
        <v>3</v>
      </c>
      <c r="K141" s="375"/>
      <c r="L141" s="406"/>
      <c r="M141" s="193" t="s">
        <v>3</v>
      </c>
      <c r="N141" s="199">
        <f>K141+K153</f>
        <v>0</v>
      </c>
    </row>
    <row r="142" spans="1:20" x14ac:dyDescent="0.35">
      <c r="A142" s="193" t="s">
        <v>4</v>
      </c>
      <c r="B142" s="193">
        <f t="shared" si="26"/>
        <v>0</v>
      </c>
      <c r="C142" s="193" t="s">
        <v>4</v>
      </c>
      <c r="D142" s="193">
        <f t="shared" si="27"/>
        <v>0</v>
      </c>
      <c r="E142" s="193" t="s">
        <v>4</v>
      </c>
      <c r="F142" s="193">
        <f t="shared" si="28"/>
        <v>0</v>
      </c>
      <c r="G142" s="193" t="s">
        <v>4</v>
      </c>
      <c r="H142" s="375">
        <f t="shared" si="29"/>
        <v>0</v>
      </c>
      <c r="I142" s="376"/>
      <c r="J142" s="193" t="s">
        <v>4</v>
      </c>
      <c r="K142" s="375"/>
      <c r="L142" s="406"/>
      <c r="M142" s="193" t="s">
        <v>4</v>
      </c>
      <c r="N142" s="199"/>
    </row>
    <row r="143" spans="1:20" x14ac:dyDescent="0.35">
      <c r="A143" s="193" t="s">
        <v>6</v>
      </c>
      <c r="B143" s="193">
        <f t="shared" si="26"/>
        <v>60</v>
      </c>
      <c r="C143" s="193" t="s">
        <v>6</v>
      </c>
      <c r="D143" s="193">
        <f t="shared" si="27"/>
        <v>60</v>
      </c>
      <c r="E143" s="193" t="s">
        <v>6</v>
      </c>
      <c r="F143" s="193">
        <f t="shared" si="28"/>
        <v>60</v>
      </c>
      <c r="G143" s="193" t="s">
        <v>6</v>
      </c>
      <c r="H143" s="375">
        <f t="shared" si="29"/>
        <v>60</v>
      </c>
      <c r="I143" s="376"/>
      <c r="J143" s="193" t="s">
        <v>6</v>
      </c>
      <c r="K143" s="375"/>
      <c r="L143" s="406"/>
      <c r="M143" s="193" t="s">
        <v>6</v>
      </c>
      <c r="N143" s="199"/>
    </row>
    <row r="144" spans="1:20" x14ac:dyDescent="0.35">
      <c r="A144" s="193" t="s">
        <v>7</v>
      </c>
      <c r="B144" s="193">
        <f t="shared" si="26"/>
        <v>12</v>
      </c>
      <c r="C144" s="193" t="s">
        <v>7</v>
      </c>
      <c r="D144" s="193">
        <f t="shared" si="27"/>
        <v>12</v>
      </c>
      <c r="E144" s="193" t="s">
        <v>7</v>
      </c>
      <c r="F144" s="193">
        <f t="shared" si="28"/>
        <v>12</v>
      </c>
      <c r="G144" s="193" t="s">
        <v>7</v>
      </c>
      <c r="H144" s="375">
        <f t="shared" si="29"/>
        <v>12</v>
      </c>
      <c r="I144" s="376"/>
      <c r="J144" s="193" t="s">
        <v>7</v>
      </c>
      <c r="K144" s="375"/>
      <c r="L144" s="406"/>
      <c r="M144" s="193" t="s">
        <v>7</v>
      </c>
      <c r="N144" s="199"/>
    </row>
    <row r="145" spans="1:15" x14ac:dyDescent="0.35">
      <c r="A145" s="193" t="s">
        <v>10</v>
      </c>
      <c r="B145" s="193">
        <f t="shared" si="26"/>
        <v>115</v>
      </c>
      <c r="C145" s="193" t="s">
        <v>10</v>
      </c>
      <c r="D145" s="193">
        <f t="shared" si="27"/>
        <v>115</v>
      </c>
      <c r="E145" s="193" t="s">
        <v>10</v>
      </c>
      <c r="F145" s="193">
        <f t="shared" si="28"/>
        <v>115</v>
      </c>
      <c r="G145" s="193" t="s">
        <v>10</v>
      </c>
      <c r="H145" s="375">
        <f t="shared" si="29"/>
        <v>115</v>
      </c>
      <c r="I145" s="376"/>
      <c r="J145" s="193" t="s">
        <v>10</v>
      </c>
      <c r="K145" s="375"/>
      <c r="L145" s="406"/>
      <c r="M145" s="193" t="s">
        <v>10</v>
      </c>
      <c r="N145" s="199"/>
    </row>
    <row r="146" spans="1:15" x14ac:dyDescent="0.35">
      <c r="A146" s="193" t="s">
        <v>11</v>
      </c>
      <c r="B146" s="193">
        <f t="shared" si="26"/>
        <v>15</v>
      </c>
      <c r="C146" s="193" t="s">
        <v>11</v>
      </c>
      <c r="D146" s="193">
        <f t="shared" si="27"/>
        <v>35</v>
      </c>
      <c r="E146" s="193" t="s">
        <v>11</v>
      </c>
      <c r="F146" s="193">
        <f t="shared" si="28"/>
        <v>35</v>
      </c>
      <c r="G146" s="193" t="s">
        <v>11</v>
      </c>
      <c r="H146" s="375">
        <f t="shared" si="29"/>
        <v>15</v>
      </c>
      <c r="I146" s="376"/>
      <c r="J146" s="193" t="s">
        <v>11</v>
      </c>
      <c r="K146" s="375"/>
      <c r="L146" s="406"/>
      <c r="M146" s="193" t="s">
        <v>11</v>
      </c>
      <c r="N146" s="199"/>
    </row>
    <row r="147" spans="1:15" x14ac:dyDescent="0.35">
      <c r="A147" s="193" t="s">
        <v>15</v>
      </c>
      <c r="B147" s="193">
        <f t="shared" si="26"/>
        <v>0</v>
      </c>
      <c r="C147" s="193" t="s">
        <v>15</v>
      </c>
      <c r="D147" s="193">
        <f t="shared" si="27"/>
        <v>0</v>
      </c>
      <c r="E147" s="193" t="s">
        <v>15</v>
      </c>
      <c r="F147" s="193">
        <f t="shared" si="28"/>
        <v>0</v>
      </c>
      <c r="G147" s="193" t="s">
        <v>15</v>
      </c>
      <c r="H147" s="375">
        <f t="shared" si="29"/>
        <v>0</v>
      </c>
      <c r="I147" s="376"/>
      <c r="J147" s="193" t="s">
        <v>15</v>
      </c>
      <c r="K147" s="375"/>
      <c r="L147" s="406"/>
      <c r="M147" s="193" t="s">
        <v>15</v>
      </c>
      <c r="N147" s="199"/>
    </row>
    <row r="148" spans="1:15" x14ac:dyDescent="0.35">
      <c r="A148" s="193" t="s">
        <v>14</v>
      </c>
      <c r="B148" s="193">
        <f t="shared" si="26"/>
        <v>20</v>
      </c>
      <c r="C148" s="193" t="s">
        <v>14</v>
      </c>
      <c r="D148" s="193">
        <f t="shared" si="27"/>
        <v>20</v>
      </c>
      <c r="E148" s="193" t="s">
        <v>14</v>
      </c>
      <c r="F148" s="193">
        <f t="shared" si="28"/>
        <v>20</v>
      </c>
      <c r="G148" s="193" t="s">
        <v>14</v>
      </c>
      <c r="H148" s="375">
        <f t="shared" si="29"/>
        <v>20</v>
      </c>
      <c r="I148" s="376"/>
      <c r="J148" s="193" t="s">
        <v>14</v>
      </c>
      <c r="K148" s="375"/>
      <c r="L148" s="406"/>
      <c r="M148" s="193" t="s">
        <v>14</v>
      </c>
      <c r="N148" s="199"/>
    </row>
    <row r="149" spans="1:15" x14ac:dyDescent="0.35">
      <c r="A149" s="193" t="s">
        <v>8</v>
      </c>
      <c r="B149" s="193">
        <f t="shared" si="26"/>
        <v>20</v>
      </c>
      <c r="C149" s="193" t="s">
        <v>8</v>
      </c>
      <c r="D149" s="193">
        <f t="shared" si="27"/>
        <v>20</v>
      </c>
      <c r="E149" s="193" t="s">
        <v>8</v>
      </c>
      <c r="F149" s="193">
        <f t="shared" si="28"/>
        <v>20</v>
      </c>
      <c r="G149" s="193" t="s">
        <v>8</v>
      </c>
      <c r="H149" s="375">
        <f t="shared" si="29"/>
        <v>20</v>
      </c>
      <c r="I149" s="376"/>
      <c r="J149" s="193" t="s">
        <v>8</v>
      </c>
      <c r="K149" s="375"/>
      <c r="L149" s="406"/>
      <c r="M149" s="193" t="s">
        <v>8</v>
      </c>
      <c r="N149" s="199"/>
    </row>
    <row r="150" spans="1:15" x14ac:dyDescent="0.35">
      <c r="A150" s="193" t="s">
        <v>9</v>
      </c>
      <c r="B150" s="193">
        <f t="shared" si="26"/>
        <v>9.5</v>
      </c>
      <c r="C150" s="193" t="s">
        <v>9</v>
      </c>
      <c r="D150" s="193">
        <f t="shared" si="27"/>
        <v>9.5</v>
      </c>
      <c r="E150" s="193" t="s">
        <v>9</v>
      </c>
      <c r="F150" s="193">
        <f t="shared" si="28"/>
        <v>9.5</v>
      </c>
      <c r="G150" s="193" t="s">
        <v>9</v>
      </c>
      <c r="H150" s="375">
        <f t="shared" si="29"/>
        <v>9.5</v>
      </c>
      <c r="I150" s="376"/>
      <c r="J150" s="193" t="s">
        <v>9</v>
      </c>
      <c r="K150" s="375"/>
      <c r="L150" s="406"/>
      <c r="M150" s="193" t="s">
        <v>9</v>
      </c>
      <c r="N150" s="199"/>
    </row>
    <row r="151" spans="1:15" x14ac:dyDescent="0.35">
      <c r="A151" s="193" t="s">
        <v>12</v>
      </c>
      <c r="B151" s="193">
        <f t="shared" si="26"/>
        <v>5</v>
      </c>
      <c r="C151" s="193" t="s">
        <v>12</v>
      </c>
      <c r="D151" s="193">
        <f t="shared" si="27"/>
        <v>5</v>
      </c>
      <c r="E151" s="193" t="s">
        <v>12</v>
      </c>
      <c r="F151" s="193">
        <f t="shared" si="28"/>
        <v>5</v>
      </c>
      <c r="G151" s="193" t="s">
        <v>12</v>
      </c>
      <c r="H151" s="375">
        <f t="shared" si="29"/>
        <v>5</v>
      </c>
      <c r="I151" s="376"/>
      <c r="J151" s="193" t="s">
        <v>12</v>
      </c>
      <c r="K151" s="375"/>
      <c r="L151" s="406"/>
      <c r="M151" s="193" t="s">
        <v>12</v>
      </c>
      <c r="N151" s="199"/>
    </row>
    <row r="152" spans="1:15" x14ac:dyDescent="0.35">
      <c r="A152" s="193" t="s">
        <v>13</v>
      </c>
      <c r="B152" s="193">
        <f t="shared" si="26"/>
        <v>10</v>
      </c>
      <c r="C152" s="193" t="s">
        <v>13</v>
      </c>
      <c r="D152" s="193">
        <f t="shared" si="27"/>
        <v>10</v>
      </c>
      <c r="E152" s="193" t="s">
        <v>13</v>
      </c>
      <c r="F152" s="193">
        <f t="shared" si="28"/>
        <v>10</v>
      </c>
      <c r="G152" s="193" t="s">
        <v>13</v>
      </c>
      <c r="H152" s="375">
        <f t="shared" si="29"/>
        <v>10</v>
      </c>
      <c r="I152" s="376"/>
      <c r="J152" s="193" t="s">
        <v>13</v>
      </c>
      <c r="K152" s="375"/>
      <c r="L152" s="406"/>
      <c r="M152" s="193" t="s">
        <v>13</v>
      </c>
      <c r="N152" s="199"/>
    </row>
    <row r="153" spans="1:15" ht="15" thickBot="1" x14ac:dyDescent="0.4">
      <c r="A153" s="195" t="s">
        <v>16</v>
      </c>
      <c r="B153" s="195">
        <f t="shared" si="26"/>
        <v>10</v>
      </c>
      <c r="C153" s="195" t="s">
        <v>16</v>
      </c>
      <c r="D153" s="195">
        <f t="shared" si="27"/>
        <v>10</v>
      </c>
      <c r="E153" s="195" t="s">
        <v>16</v>
      </c>
      <c r="F153" s="193">
        <f t="shared" si="28"/>
        <v>10</v>
      </c>
      <c r="G153" s="195" t="s">
        <v>16</v>
      </c>
      <c r="H153" s="375">
        <f t="shared" si="29"/>
        <v>10</v>
      </c>
      <c r="I153" s="376"/>
      <c r="J153" s="195" t="s">
        <v>16</v>
      </c>
      <c r="K153" s="407"/>
      <c r="L153" s="408"/>
      <c r="M153" s="195" t="s">
        <v>16</v>
      </c>
      <c r="N153" s="200"/>
    </row>
    <row r="154" spans="1:15" ht="48.5" customHeight="1" thickBot="1" x14ac:dyDescent="0.4">
      <c r="A154" s="379" t="s">
        <v>305</v>
      </c>
      <c r="B154" s="380"/>
      <c r="C154" s="381" t="s">
        <v>306</v>
      </c>
      <c r="D154" s="382"/>
      <c r="E154" s="383" t="s">
        <v>307</v>
      </c>
      <c r="F154" s="384"/>
      <c r="G154" s="383" t="s">
        <v>308</v>
      </c>
      <c r="H154" s="385"/>
      <c r="I154" s="386"/>
      <c r="J154" s="370" t="s">
        <v>309</v>
      </c>
      <c r="K154" s="371"/>
      <c r="L154" s="371"/>
      <c r="M154" s="370" t="s">
        <v>310</v>
      </c>
      <c r="N154" s="371"/>
    </row>
    <row r="155" spans="1:15" x14ac:dyDescent="0.35">
      <c r="A155" s="202" t="s">
        <v>0</v>
      </c>
      <c r="B155" s="203" t="s">
        <v>55</v>
      </c>
      <c r="C155" s="202" t="s">
        <v>0</v>
      </c>
      <c r="D155" s="203" t="s">
        <v>55</v>
      </c>
      <c r="E155" s="202" t="s">
        <v>0</v>
      </c>
      <c r="F155" s="203" t="s">
        <v>55</v>
      </c>
      <c r="G155" s="207" t="s">
        <v>0</v>
      </c>
      <c r="H155" s="389" t="s">
        <v>55</v>
      </c>
      <c r="I155" s="390"/>
      <c r="J155" s="211" t="s">
        <v>0</v>
      </c>
      <c r="K155" s="389" t="s">
        <v>55</v>
      </c>
      <c r="L155" s="390"/>
      <c r="M155" s="203" t="s">
        <v>0</v>
      </c>
      <c r="N155" s="203" t="s">
        <v>55</v>
      </c>
      <c r="O155" s="6"/>
    </row>
    <row r="156" spans="1:15" x14ac:dyDescent="0.35">
      <c r="A156" s="204" t="s">
        <v>1</v>
      </c>
      <c r="B156" s="201">
        <f>O40</f>
        <v>200</v>
      </c>
      <c r="C156" s="204" t="s">
        <v>1</v>
      </c>
      <c r="D156" s="201">
        <f>U40</f>
        <v>200</v>
      </c>
      <c r="E156" s="204" t="s">
        <v>1</v>
      </c>
      <c r="F156" s="201">
        <f>AY2</f>
        <v>152</v>
      </c>
      <c r="G156" s="165" t="s">
        <v>1</v>
      </c>
      <c r="H156" s="391">
        <f>IF(AY2+Y7&gt;O40, O40, AY2+Y7)</f>
        <v>152</v>
      </c>
      <c r="I156" s="392"/>
      <c r="J156" s="210" t="s">
        <v>1</v>
      </c>
      <c r="K156" s="391"/>
      <c r="L156" s="392"/>
      <c r="M156" s="140" t="s">
        <v>1</v>
      </c>
      <c r="N156" s="201">
        <f>K156+K168</f>
        <v>0</v>
      </c>
      <c r="O156" s="6"/>
    </row>
    <row r="157" spans="1:15" x14ac:dyDescent="0.35">
      <c r="A157" s="204" t="s">
        <v>2</v>
      </c>
      <c r="B157" s="201">
        <f t="shared" ref="B157:B170" si="30">O41</f>
        <v>0</v>
      </c>
      <c r="C157" s="204" t="s">
        <v>2</v>
      </c>
      <c r="D157" s="201">
        <f t="shared" ref="D157:D170" si="31">U41</f>
        <v>0</v>
      </c>
      <c r="E157" s="204" t="s">
        <v>2</v>
      </c>
      <c r="F157" s="201">
        <f t="shared" ref="F157:F170" si="32">AY3</f>
        <v>0</v>
      </c>
      <c r="G157" s="165" t="s">
        <v>2</v>
      </c>
      <c r="H157" s="387">
        <f>O41</f>
        <v>0</v>
      </c>
      <c r="I157" s="392"/>
      <c r="J157" s="210" t="s">
        <v>2</v>
      </c>
      <c r="K157" s="391"/>
      <c r="L157" s="392"/>
      <c r="M157" s="140" t="s">
        <v>2</v>
      </c>
      <c r="N157" s="201">
        <f t="shared" ref="N157:N158" si="33">K157+K169</f>
        <v>0</v>
      </c>
      <c r="O157" s="6"/>
    </row>
    <row r="158" spans="1:15" x14ac:dyDescent="0.35">
      <c r="A158" s="204" t="s">
        <v>3</v>
      </c>
      <c r="B158" s="201">
        <f t="shared" si="30"/>
        <v>0</v>
      </c>
      <c r="C158" s="204" t="s">
        <v>3</v>
      </c>
      <c r="D158" s="201">
        <f t="shared" si="31"/>
        <v>0</v>
      </c>
      <c r="E158" s="204" t="s">
        <v>3</v>
      </c>
      <c r="F158" s="201">
        <f t="shared" si="32"/>
        <v>0</v>
      </c>
      <c r="G158" s="165" t="s">
        <v>3</v>
      </c>
      <c r="H158" s="387">
        <f t="shared" ref="H158:H170" si="34">O42</f>
        <v>0</v>
      </c>
      <c r="I158" s="392"/>
      <c r="J158" s="210" t="s">
        <v>3</v>
      </c>
      <c r="K158" s="391"/>
      <c r="L158" s="392"/>
      <c r="M158" s="140" t="s">
        <v>3</v>
      </c>
      <c r="N158" s="201">
        <f t="shared" si="33"/>
        <v>0</v>
      </c>
      <c r="O158" s="6"/>
    </row>
    <row r="159" spans="1:15" x14ac:dyDescent="0.35">
      <c r="A159" s="204" t="s">
        <v>4</v>
      </c>
      <c r="B159" s="201">
        <f t="shared" si="30"/>
        <v>20</v>
      </c>
      <c r="C159" s="204" t="s">
        <v>4</v>
      </c>
      <c r="D159" s="201">
        <f t="shared" si="31"/>
        <v>25</v>
      </c>
      <c r="E159" s="204" t="s">
        <v>4</v>
      </c>
      <c r="F159" s="201">
        <f t="shared" si="32"/>
        <v>20</v>
      </c>
      <c r="G159" s="165" t="s">
        <v>4</v>
      </c>
      <c r="H159" s="387">
        <f t="shared" si="34"/>
        <v>20</v>
      </c>
      <c r="I159" s="392"/>
      <c r="J159" s="210" t="s">
        <v>4</v>
      </c>
      <c r="K159" s="391"/>
      <c r="L159" s="392"/>
      <c r="M159" s="140" t="s">
        <v>4</v>
      </c>
      <c r="N159" s="201"/>
      <c r="O159" s="6"/>
    </row>
    <row r="160" spans="1:15" x14ac:dyDescent="0.35">
      <c r="A160" s="204" t="s">
        <v>6</v>
      </c>
      <c r="B160" s="201">
        <f t="shared" si="30"/>
        <v>85</v>
      </c>
      <c r="C160" s="204" t="s">
        <v>6</v>
      </c>
      <c r="D160" s="201">
        <f t="shared" si="31"/>
        <v>85</v>
      </c>
      <c r="E160" s="204" t="s">
        <v>6</v>
      </c>
      <c r="F160" s="201">
        <f t="shared" si="32"/>
        <v>85</v>
      </c>
      <c r="G160" s="165" t="s">
        <v>6</v>
      </c>
      <c r="H160" s="387">
        <f t="shared" si="34"/>
        <v>85</v>
      </c>
      <c r="I160" s="392"/>
      <c r="J160" s="210" t="s">
        <v>6</v>
      </c>
      <c r="K160" s="391"/>
      <c r="L160" s="392"/>
      <c r="M160" s="140" t="s">
        <v>6</v>
      </c>
      <c r="N160" s="201"/>
      <c r="O160" s="6"/>
    </row>
    <row r="161" spans="1:15" x14ac:dyDescent="0.35">
      <c r="A161" s="204" t="s">
        <v>7</v>
      </c>
      <c r="B161" s="201">
        <f t="shared" si="30"/>
        <v>20</v>
      </c>
      <c r="C161" s="204" t="s">
        <v>7</v>
      </c>
      <c r="D161" s="201">
        <f t="shared" si="31"/>
        <v>20</v>
      </c>
      <c r="E161" s="204" t="s">
        <v>7</v>
      </c>
      <c r="F161" s="201">
        <f t="shared" si="32"/>
        <v>20</v>
      </c>
      <c r="G161" s="165" t="s">
        <v>7</v>
      </c>
      <c r="H161" s="387">
        <f t="shared" si="34"/>
        <v>20</v>
      </c>
      <c r="I161" s="392"/>
      <c r="J161" s="210" t="s">
        <v>7</v>
      </c>
      <c r="K161" s="391"/>
      <c r="L161" s="392"/>
      <c r="M161" s="140" t="s">
        <v>7</v>
      </c>
      <c r="N161" s="201"/>
      <c r="O161" s="6"/>
    </row>
    <row r="162" spans="1:15" x14ac:dyDescent="0.35">
      <c r="A162" s="204" t="s">
        <v>10</v>
      </c>
      <c r="B162" s="201">
        <f t="shared" si="30"/>
        <v>50</v>
      </c>
      <c r="C162" s="204" t="s">
        <v>10</v>
      </c>
      <c r="D162" s="201">
        <f t="shared" si="31"/>
        <v>57.499999999999993</v>
      </c>
      <c r="E162" s="204" t="s">
        <v>10</v>
      </c>
      <c r="F162" s="201">
        <f t="shared" si="32"/>
        <v>50</v>
      </c>
      <c r="G162" s="165" t="s">
        <v>10</v>
      </c>
      <c r="H162" s="387">
        <f t="shared" si="34"/>
        <v>50</v>
      </c>
      <c r="I162" s="392"/>
      <c r="J162" s="210" t="s">
        <v>10</v>
      </c>
      <c r="K162" s="391"/>
      <c r="L162" s="392"/>
      <c r="M162" s="140" t="s">
        <v>10</v>
      </c>
      <c r="N162" s="201"/>
      <c r="O162" s="6"/>
    </row>
    <row r="163" spans="1:15" x14ac:dyDescent="0.35">
      <c r="A163" s="204" t="s">
        <v>11</v>
      </c>
      <c r="B163" s="201">
        <f t="shared" si="30"/>
        <v>0</v>
      </c>
      <c r="C163" s="204" t="s">
        <v>11</v>
      </c>
      <c r="D163" s="201">
        <f t="shared" si="31"/>
        <v>0</v>
      </c>
      <c r="E163" s="204" t="s">
        <v>11</v>
      </c>
      <c r="F163" s="201">
        <f t="shared" si="32"/>
        <v>0</v>
      </c>
      <c r="G163" s="165" t="s">
        <v>11</v>
      </c>
      <c r="H163" s="387">
        <f t="shared" si="34"/>
        <v>0</v>
      </c>
      <c r="I163" s="392"/>
      <c r="J163" s="210" t="s">
        <v>11</v>
      </c>
      <c r="K163" s="391"/>
      <c r="L163" s="392"/>
      <c r="M163" s="140" t="s">
        <v>11</v>
      </c>
      <c r="N163" s="201"/>
      <c r="O163" s="6"/>
    </row>
    <row r="164" spans="1:15" x14ac:dyDescent="0.35">
      <c r="A164" s="204" t="s">
        <v>15</v>
      </c>
      <c r="B164" s="201">
        <f t="shared" si="30"/>
        <v>0</v>
      </c>
      <c r="C164" s="204" t="s">
        <v>15</v>
      </c>
      <c r="D164" s="201">
        <f t="shared" si="31"/>
        <v>0</v>
      </c>
      <c r="E164" s="204" t="s">
        <v>15</v>
      </c>
      <c r="F164" s="201">
        <f t="shared" si="32"/>
        <v>0</v>
      </c>
      <c r="G164" s="165" t="s">
        <v>15</v>
      </c>
      <c r="H164" s="387">
        <f t="shared" si="34"/>
        <v>0</v>
      </c>
      <c r="I164" s="392"/>
      <c r="J164" s="210" t="s">
        <v>15</v>
      </c>
      <c r="K164" s="391"/>
      <c r="L164" s="392"/>
      <c r="M164" s="140" t="s">
        <v>15</v>
      </c>
      <c r="N164" s="201"/>
      <c r="O164" s="6"/>
    </row>
    <row r="165" spans="1:15" x14ac:dyDescent="0.35">
      <c r="A165" s="204" t="s">
        <v>14</v>
      </c>
      <c r="B165" s="201">
        <f t="shared" si="30"/>
        <v>14.4</v>
      </c>
      <c r="C165" s="204" t="s">
        <v>14</v>
      </c>
      <c r="D165" s="201">
        <f t="shared" si="31"/>
        <v>16.559999999999999</v>
      </c>
      <c r="E165" s="204" t="s">
        <v>14</v>
      </c>
      <c r="F165" s="201">
        <f t="shared" si="32"/>
        <v>14.4</v>
      </c>
      <c r="G165" s="165" t="s">
        <v>14</v>
      </c>
      <c r="H165" s="387">
        <f t="shared" si="34"/>
        <v>14.4</v>
      </c>
      <c r="I165" s="392"/>
      <c r="J165" s="210" t="s">
        <v>14</v>
      </c>
      <c r="K165" s="391"/>
      <c r="L165" s="392"/>
      <c r="M165" s="140" t="s">
        <v>14</v>
      </c>
      <c r="N165" s="201"/>
      <c r="O165" s="6"/>
    </row>
    <row r="166" spans="1:15" x14ac:dyDescent="0.35">
      <c r="A166" s="204" t="s">
        <v>8</v>
      </c>
      <c r="B166" s="201">
        <f t="shared" si="30"/>
        <v>20</v>
      </c>
      <c r="C166" s="204" t="s">
        <v>8</v>
      </c>
      <c r="D166" s="201">
        <f t="shared" si="31"/>
        <v>20</v>
      </c>
      <c r="E166" s="204" t="s">
        <v>8</v>
      </c>
      <c r="F166" s="201">
        <f t="shared" si="32"/>
        <v>20</v>
      </c>
      <c r="G166" s="165" t="s">
        <v>8</v>
      </c>
      <c r="H166" s="387">
        <f t="shared" si="34"/>
        <v>20</v>
      </c>
      <c r="I166" s="392"/>
      <c r="J166" s="210" t="s">
        <v>8</v>
      </c>
      <c r="K166" s="391"/>
      <c r="L166" s="392"/>
      <c r="M166" s="140" t="s">
        <v>8</v>
      </c>
      <c r="N166" s="201"/>
      <c r="O166" s="6"/>
    </row>
    <row r="167" spans="1:15" x14ac:dyDescent="0.35">
      <c r="A167" s="204" t="s">
        <v>9</v>
      </c>
      <c r="B167" s="201">
        <f t="shared" si="30"/>
        <v>5</v>
      </c>
      <c r="C167" s="204" t="s">
        <v>9</v>
      </c>
      <c r="D167" s="201">
        <f t="shared" si="31"/>
        <v>5</v>
      </c>
      <c r="E167" s="204" t="s">
        <v>9</v>
      </c>
      <c r="F167" s="201">
        <f t="shared" si="32"/>
        <v>5</v>
      </c>
      <c r="G167" s="165" t="s">
        <v>9</v>
      </c>
      <c r="H167" s="387">
        <f t="shared" si="34"/>
        <v>5</v>
      </c>
      <c r="I167" s="392"/>
      <c r="J167" s="210" t="s">
        <v>9</v>
      </c>
      <c r="K167" s="391"/>
      <c r="L167" s="392"/>
      <c r="M167" s="140" t="s">
        <v>9</v>
      </c>
      <c r="N167" s="201"/>
      <c r="O167" s="6"/>
    </row>
    <row r="168" spans="1:15" x14ac:dyDescent="0.35">
      <c r="A168" s="204" t="s">
        <v>12</v>
      </c>
      <c r="B168" s="201">
        <f t="shared" si="30"/>
        <v>0</v>
      </c>
      <c r="C168" s="204" t="s">
        <v>12</v>
      </c>
      <c r="D168" s="201">
        <f t="shared" si="31"/>
        <v>0</v>
      </c>
      <c r="E168" s="204" t="s">
        <v>12</v>
      </c>
      <c r="F168" s="201">
        <f t="shared" si="32"/>
        <v>0</v>
      </c>
      <c r="G168" s="165" t="s">
        <v>12</v>
      </c>
      <c r="H168" s="387">
        <f t="shared" si="34"/>
        <v>0</v>
      </c>
      <c r="I168" s="392"/>
      <c r="J168" s="210" t="s">
        <v>12</v>
      </c>
      <c r="K168" s="391"/>
      <c r="L168" s="392"/>
      <c r="M168" s="140" t="s">
        <v>12</v>
      </c>
      <c r="N168" s="201"/>
      <c r="O168" s="6"/>
    </row>
    <row r="169" spans="1:15" x14ac:dyDescent="0.35">
      <c r="A169" s="204" t="s">
        <v>13</v>
      </c>
      <c r="B169" s="201">
        <f t="shared" si="30"/>
        <v>0</v>
      </c>
      <c r="C169" s="204" t="s">
        <v>13</v>
      </c>
      <c r="D169" s="201">
        <f t="shared" si="31"/>
        <v>0</v>
      </c>
      <c r="E169" s="204" t="s">
        <v>13</v>
      </c>
      <c r="F169" s="201">
        <f t="shared" si="32"/>
        <v>0</v>
      </c>
      <c r="G169" s="165" t="s">
        <v>13</v>
      </c>
      <c r="H169" s="387">
        <f t="shared" si="34"/>
        <v>0</v>
      </c>
      <c r="I169" s="392"/>
      <c r="J169" s="210" t="s">
        <v>13</v>
      </c>
      <c r="K169" s="391"/>
      <c r="L169" s="392"/>
      <c r="M169" s="140" t="s">
        <v>13</v>
      </c>
      <c r="N169" s="201"/>
      <c r="O169" s="6"/>
    </row>
    <row r="170" spans="1:15" ht="15" thickBot="1" x14ac:dyDescent="0.4">
      <c r="A170" s="205" t="s">
        <v>16</v>
      </c>
      <c r="B170" s="206">
        <f t="shared" si="30"/>
        <v>0</v>
      </c>
      <c r="C170" s="205" t="s">
        <v>16</v>
      </c>
      <c r="D170" s="206">
        <f t="shared" si="31"/>
        <v>0</v>
      </c>
      <c r="E170" s="205" t="s">
        <v>16</v>
      </c>
      <c r="F170" s="201">
        <f t="shared" si="32"/>
        <v>0</v>
      </c>
      <c r="G170" s="208" t="s">
        <v>16</v>
      </c>
      <c r="H170" s="387">
        <f t="shared" si="34"/>
        <v>0</v>
      </c>
      <c r="I170" s="392"/>
      <c r="J170" s="212" t="s">
        <v>16</v>
      </c>
      <c r="K170" s="409"/>
      <c r="L170" s="410"/>
      <c r="M170" s="209" t="s">
        <v>16</v>
      </c>
      <c r="N170" s="206"/>
      <c r="O170" s="6"/>
    </row>
    <row r="171" spans="1:15" ht="47.5" customHeight="1" thickBot="1" x14ac:dyDescent="0.4">
      <c r="A171" s="379" t="s">
        <v>305</v>
      </c>
      <c r="B171" s="380"/>
      <c r="C171" s="381" t="s">
        <v>306</v>
      </c>
      <c r="D171" s="382"/>
      <c r="E171" s="383" t="s">
        <v>307</v>
      </c>
      <c r="F171" s="384"/>
      <c r="G171" s="383" t="s">
        <v>308</v>
      </c>
      <c r="H171" s="385"/>
      <c r="I171" s="386"/>
      <c r="J171" s="370" t="s">
        <v>309</v>
      </c>
      <c r="K171" s="371"/>
      <c r="L171" s="371"/>
      <c r="M171" s="370" t="s">
        <v>310</v>
      </c>
      <c r="N171" s="371"/>
    </row>
    <row r="172" spans="1:15" x14ac:dyDescent="0.35">
      <c r="A172" s="223" t="s">
        <v>0</v>
      </c>
      <c r="B172" s="214" t="s">
        <v>30</v>
      </c>
      <c r="C172" s="213" t="s">
        <v>0</v>
      </c>
      <c r="D172" s="214" t="s">
        <v>30</v>
      </c>
      <c r="E172" s="213" t="s">
        <v>0</v>
      </c>
      <c r="F172" s="214" t="s">
        <v>30</v>
      </c>
      <c r="G172" s="214" t="s">
        <v>0</v>
      </c>
      <c r="H172" s="395" t="s">
        <v>30</v>
      </c>
      <c r="I172" s="396"/>
      <c r="J172" s="215" t="s">
        <v>0</v>
      </c>
      <c r="K172" s="395" t="s">
        <v>30</v>
      </c>
      <c r="L172" s="396"/>
      <c r="M172" s="215" t="s">
        <v>0</v>
      </c>
      <c r="N172" s="213" t="s">
        <v>30</v>
      </c>
    </row>
    <row r="173" spans="1:15" x14ac:dyDescent="0.35">
      <c r="A173" s="224" t="s">
        <v>1</v>
      </c>
      <c r="B173" s="217">
        <f>K2</f>
        <v>145</v>
      </c>
      <c r="C173" s="216" t="s">
        <v>1</v>
      </c>
      <c r="D173" s="217">
        <f>Q2</f>
        <v>145</v>
      </c>
      <c r="E173" s="216" t="s">
        <v>1</v>
      </c>
      <c r="F173" s="217">
        <f>AS2</f>
        <v>145</v>
      </c>
      <c r="G173" s="217" t="s">
        <v>1</v>
      </c>
      <c r="H173" s="397">
        <f>IF(N7+AS2&gt;K2, K2, N7+AS2)</f>
        <v>145</v>
      </c>
      <c r="I173" s="394"/>
      <c r="J173" s="218" t="s">
        <v>1</v>
      </c>
      <c r="K173" s="397"/>
      <c r="L173" s="394"/>
      <c r="M173" s="218" t="s">
        <v>1</v>
      </c>
      <c r="N173" s="216">
        <f>K173+K185</f>
        <v>0</v>
      </c>
    </row>
    <row r="174" spans="1:15" x14ac:dyDescent="0.35">
      <c r="A174" s="224" t="s">
        <v>2</v>
      </c>
      <c r="B174" s="217">
        <f t="shared" ref="B174:B187" si="35">K3</f>
        <v>95</v>
      </c>
      <c r="C174" s="216" t="s">
        <v>2</v>
      </c>
      <c r="D174" s="217">
        <f t="shared" ref="D174:D187" si="36">Q3</f>
        <v>55</v>
      </c>
      <c r="E174" s="216" t="s">
        <v>2</v>
      </c>
      <c r="F174" s="217">
        <f t="shared" ref="F174:F187" si="37">AS3</f>
        <v>95</v>
      </c>
      <c r="G174" s="217" t="s">
        <v>2</v>
      </c>
      <c r="H174" s="393">
        <f>K3</f>
        <v>95</v>
      </c>
      <c r="I174" s="394"/>
      <c r="J174" s="218" t="s">
        <v>2</v>
      </c>
      <c r="K174" s="397"/>
      <c r="L174" s="394"/>
      <c r="M174" s="218" t="s">
        <v>2</v>
      </c>
      <c r="N174" s="216">
        <f t="shared" ref="N174:N175" si="38">K174+K186</f>
        <v>0</v>
      </c>
    </row>
    <row r="175" spans="1:15" x14ac:dyDescent="0.35">
      <c r="A175" s="224" t="s">
        <v>3</v>
      </c>
      <c r="B175" s="217">
        <f t="shared" si="35"/>
        <v>30</v>
      </c>
      <c r="C175" s="216" t="s">
        <v>3</v>
      </c>
      <c r="D175" s="217">
        <f t="shared" si="36"/>
        <v>21</v>
      </c>
      <c r="E175" s="216" t="s">
        <v>3</v>
      </c>
      <c r="F175" s="217">
        <f t="shared" si="37"/>
        <v>30</v>
      </c>
      <c r="G175" s="217" t="s">
        <v>3</v>
      </c>
      <c r="H175" s="393">
        <f t="shared" ref="H175:H187" si="39">K4</f>
        <v>30</v>
      </c>
      <c r="I175" s="394"/>
      <c r="J175" s="218" t="s">
        <v>3</v>
      </c>
      <c r="K175" s="397"/>
      <c r="L175" s="394"/>
      <c r="M175" s="218" t="s">
        <v>3</v>
      </c>
      <c r="N175" s="216">
        <f t="shared" si="38"/>
        <v>0</v>
      </c>
    </row>
    <row r="176" spans="1:15" x14ac:dyDescent="0.35">
      <c r="A176" s="224" t="s">
        <v>4</v>
      </c>
      <c r="B176" s="217">
        <f t="shared" si="35"/>
        <v>0</v>
      </c>
      <c r="C176" s="216" t="s">
        <v>4</v>
      </c>
      <c r="D176" s="217">
        <f t="shared" si="36"/>
        <v>0</v>
      </c>
      <c r="E176" s="216" t="s">
        <v>4</v>
      </c>
      <c r="F176" s="217">
        <f t="shared" si="37"/>
        <v>0</v>
      </c>
      <c r="G176" s="217" t="s">
        <v>4</v>
      </c>
      <c r="H176" s="393">
        <f t="shared" si="39"/>
        <v>0</v>
      </c>
      <c r="I176" s="394"/>
      <c r="J176" s="218" t="s">
        <v>4</v>
      </c>
      <c r="K176" s="397"/>
      <c r="L176" s="394"/>
      <c r="M176" s="218" t="s">
        <v>4</v>
      </c>
      <c r="N176" s="216"/>
    </row>
    <row r="177" spans="1:14" x14ac:dyDescent="0.35">
      <c r="A177" s="224" t="s">
        <v>6</v>
      </c>
      <c r="B177" s="217">
        <f t="shared" si="35"/>
        <v>108</v>
      </c>
      <c r="C177" s="216" t="s">
        <v>6</v>
      </c>
      <c r="D177" s="217">
        <f t="shared" si="36"/>
        <v>108</v>
      </c>
      <c r="E177" s="216" t="s">
        <v>6</v>
      </c>
      <c r="F177" s="217">
        <f t="shared" si="37"/>
        <v>108</v>
      </c>
      <c r="G177" s="217" t="s">
        <v>6</v>
      </c>
      <c r="H177" s="393">
        <f t="shared" si="39"/>
        <v>108</v>
      </c>
      <c r="I177" s="394"/>
      <c r="J177" s="218" t="s">
        <v>6</v>
      </c>
      <c r="K177" s="397"/>
      <c r="L177" s="394"/>
      <c r="M177" s="218" t="s">
        <v>6</v>
      </c>
      <c r="N177" s="216"/>
    </row>
    <row r="178" spans="1:14" x14ac:dyDescent="0.35">
      <c r="A178" s="224" t="s">
        <v>7</v>
      </c>
      <c r="B178" s="217">
        <f t="shared" si="35"/>
        <v>11.5</v>
      </c>
      <c r="C178" s="216" t="s">
        <v>7</v>
      </c>
      <c r="D178" s="217">
        <f t="shared" si="36"/>
        <v>11.5</v>
      </c>
      <c r="E178" s="216" t="s">
        <v>7</v>
      </c>
      <c r="F178" s="217">
        <f t="shared" si="37"/>
        <v>11.5</v>
      </c>
      <c r="G178" s="217" t="s">
        <v>7</v>
      </c>
      <c r="H178" s="393">
        <f t="shared" si="39"/>
        <v>11.5</v>
      </c>
      <c r="I178" s="394"/>
      <c r="J178" s="218" t="s">
        <v>7</v>
      </c>
      <c r="K178" s="397"/>
      <c r="L178" s="394"/>
      <c r="M178" s="218" t="s">
        <v>7</v>
      </c>
      <c r="N178" s="216"/>
    </row>
    <row r="179" spans="1:14" x14ac:dyDescent="0.35">
      <c r="A179" s="224" t="s">
        <v>10</v>
      </c>
      <c r="B179" s="217">
        <f t="shared" si="35"/>
        <v>25</v>
      </c>
      <c r="C179" s="216" t="s">
        <v>10</v>
      </c>
      <c r="D179" s="217">
        <f t="shared" si="36"/>
        <v>25</v>
      </c>
      <c r="E179" s="216" t="s">
        <v>10</v>
      </c>
      <c r="F179" s="217">
        <f t="shared" si="37"/>
        <v>25</v>
      </c>
      <c r="G179" s="217" t="s">
        <v>10</v>
      </c>
      <c r="H179" s="393">
        <f t="shared" si="39"/>
        <v>25</v>
      </c>
      <c r="I179" s="394"/>
      <c r="J179" s="218" t="s">
        <v>10</v>
      </c>
      <c r="K179" s="397"/>
      <c r="L179" s="394"/>
      <c r="M179" s="218" t="s">
        <v>10</v>
      </c>
      <c r="N179" s="216"/>
    </row>
    <row r="180" spans="1:14" x14ac:dyDescent="0.35">
      <c r="A180" s="224" t="s">
        <v>11</v>
      </c>
      <c r="B180" s="217">
        <f t="shared" si="35"/>
        <v>70</v>
      </c>
      <c r="C180" s="216" t="s">
        <v>11</v>
      </c>
      <c r="D180" s="217">
        <f t="shared" si="36"/>
        <v>70</v>
      </c>
      <c r="E180" s="216" t="s">
        <v>11</v>
      </c>
      <c r="F180" s="217">
        <f t="shared" si="37"/>
        <v>70</v>
      </c>
      <c r="G180" s="217" t="s">
        <v>11</v>
      </c>
      <c r="H180" s="393">
        <f t="shared" si="39"/>
        <v>70</v>
      </c>
      <c r="I180" s="394"/>
      <c r="J180" s="218" t="s">
        <v>11</v>
      </c>
      <c r="K180" s="397"/>
      <c r="L180" s="394"/>
      <c r="M180" s="218" t="s">
        <v>11</v>
      </c>
      <c r="N180" s="216"/>
    </row>
    <row r="181" spans="1:14" x14ac:dyDescent="0.35">
      <c r="A181" s="224" t="s">
        <v>15</v>
      </c>
      <c r="B181" s="217">
        <f t="shared" si="35"/>
        <v>0</v>
      </c>
      <c r="C181" s="216" t="s">
        <v>15</v>
      </c>
      <c r="D181" s="217">
        <f t="shared" si="36"/>
        <v>0</v>
      </c>
      <c r="E181" s="216" t="s">
        <v>15</v>
      </c>
      <c r="F181" s="217">
        <f t="shared" si="37"/>
        <v>0</v>
      </c>
      <c r="G181" s="217" t="s">
        <v>15</v>
      </c>
      <c r="H181" s="393">
        <f t="shared" si="39"/>
        <v>0</v>
      </c>
      <c r="I181" s="394"/>
      <c r="J181" s="218" t="s">
        <v>15</v>
      </c>
      <c r="K181" s="397"/>
      <c r="L181" s="394"/>
      <c r="M181" s="218" t="s">
        <v>15</v>
      </c>
      <c r="N181" s="216"/>
    </row>
    <row r="182" spans="1:14" x14ac:dyDescent="0.35">
      <c r="A182" s="224" t="s">
        <v>14</v>
      </c>
      <c r="B182" s="217">
        <f t="shared" si="35"/>
        <v>25</v>
      </c>
      <c r="C182" s="216" t="s">
        <v>14</v>
      </c>
      <c r="D182" s="217">
        <f t="shared" si="36"/>
        <v>25</v>
      </c>
      <c r="E182" s="216" t="s">
        <v>14</v>
      </c>
      <c r="F182" s="217">
        <f t="shared" si="37"/>
        <v>25</v>
      </c>
      <c r="G182" s="217" t="s">
        <v>14</v>
      </c>
      <c r="H182" s="393">
        <f t="shared" si="39"/>
        <v>25</v>
      </c>
      <c r="I182" s="394"/>
      <c r="J182" s="218" t="s">
        <v>14</v>
      </c>
      <c r="K182" s="397"/>
      <c r="L182" s="394"/>
      <c r="M182" s="218" t="s">
        <v>14</v>
      </c>
      <c r="N182" s="216"/>
    </row>
    <row r="183" spans="1:14" x14ac:dyDescent="0.35">
      <c r="A183" s="224" t="s">
        <v>8</v>
      </c>
      <c r="B183" s="217">
        <f t="shared" si="35"/>
        <v>20</v>
      </c>
      <c r="C183" s="216" t="s">
        <v>8</v>
      </c>
      <c r="D183" s="217">
        <f t="shared" si="36"/>
        <v>20</v>
      </c>
      <c r="E183" s="216" t="s">
        <v>8</v>
      </c>
      <c r="F183" s="217">
        <f t="shared" si="37"/>
        <v>20</v>
      </c>
      <c r="G183" s="217" t="s">
        <v>8</v>
      </c>
      <c r="H183" s="393">
        <f t="shared" si="39"/>
        <v>20</v>
      </c>
      <c r="I183" s="394"/>
      <c r="J183" s="218" t="s">
        <v>8</v>
      </c>
      <c r="K183" s="397"/>
      <c r="L183" s="394"/>
      <c r="M183" s="218" t="s">
        <v>8</v>
      </c>
      <c r="N183" s="216"/>
    </row>
    <row r="184" spans="1:14" x14ac:dyDescent="0.35">
      <c r="A184" s="224" t="s">
        <v>9</v>
      </c>
      <c r="B184" s="217">
        <f t="shared" si="35"/>
        <v>10</v>
      </c>
      <c r="C184" s="216" t="s">
        <v>9</v>
      </c>
      <c r="D184" s="217">
        <f t="shared" si="36"/>
        <v>10</v>
      </c>
      <c r="E184" s="216" t="s">
        <v>9</v>
      </c>
      <c r="F184" s="217">
        <f t="shared" si="37"/>
        <v>10</v>
      </c>
      <c r="G184" s="217" t="s">
        <v>9</v>
      </c>
      <c r="H184" s="393">
        <f t="shared" si="39"/>
        <v>10</v>
      </c>
      <c r="I184" s="394"/>
      <c r="J184" s="218" t="s">
        <v>9</v>
      </c>
      <c r="K184" s="397"/>
      <c r="L184" s="394"/>
      <c r="M184" s="218" t="s">
        <v>9</v>
      </c>
      <c r="N184" s="216"/>
    </row>
    <row r="185" spans="1:14" x14ac:dyDescent="0.35">
      <c r="A185" s="224" t="s">
        <v>12</v>
      </c>
      <c r="B185" s="217">
        <f t="shared" si="35"/>
        <v>10</v>
      </c>
      <c r="C185" s="216" t="s">
        <v>12</v>
      </c>
      <c r="D185" s="217">
        <f t="shared" si="36"/>
        <v>10</v>
      </c>
      <c r="E185" s="216" t="s">
        <v>12</v>
      </c>
      <c r="F185" s="217">
        <f t="shared" si="37"/>
        <v>10</v>
      </c>
      <c r="G185" s="217" t="s">
        <v>12</v>
      </c>
      <c r="H185" s="393">
        <f t="shared" si="39"/>
        <v>10</v>
      </c>
      <c r="I185" s="394"/>
      <c r="J185" s="218" t="s">
        <v>12</v>
      </c>
      <c r="K185" s="397"/>
      <c r="L185" s="394"/>
      <c r="M185" s="218" t="s">
        <v>12</v>
      </c>
      <c r="N185" s="216"/>
    </row>
    <row r="186" spans="1:14" x14ac:dyDescent="0.35">
      <c r="A186" s="224" t="s">
        <v>13</v>
      </c>
      <c r="B186" s="217">
        <f t="shared" si="35"/>
        <v>23</v>
      </c>
      <c r="C186" s="216" t="s">
        <v>13</v>
      </c>
      <c r="D186" s="217">
        <f t="shared" si="36"/>
        <v>23</v>
      </c>
      <c r="E186" s="216" t="s">
        <v>13</v>
      </c>
      <c r="F186" s="217">
        <f t="shared" si="37"/>
        <v>23</v>
      </c>
      <c r="G186" s="217" t="s">
        <v>13</v>
      </c>
      <c r="H186" s="393">
        <f t="shared" si="39"/>
        <v>23</v>
      </c>
      <c r="I186" s="394"/>
      <c r="J186" s="218" t="s">
        <v>13</v>
      </c>
      <c r="K186" s="397"/>
      <c r="L186" s="394"/>
      <c r="M186" s="218" t="s">
        <v>13</v>
      </c>
      <c r="N186" s="216"/>
    </row>
    <row r="187" spans="1:14" ht="15" thickBot="1" x14ac:dyDescent="0.4">
      <c r="A187" s="225" t="s">
        <v>16</v>
      </c>
      <c r="B187" s="219">
        <f t="shared" si="35"/>
        <v>5</v>
      </c>
      <c r="C187" s="220" t="s">
        <v>16</v>
      </c>
      <c r="D187" s="221">
        <f t="shared" si="36"/>
        <v>5</v>
      </c>
      <c r="E187" s="220" t="s">
        <v>16</v>
      </c>
      <c r="F187" s="221">
        <f t="shared" si="37"/>
        <v>5</v>
      </c>
      <c r="G187" s="221" t="s">
        <v>16</v>
      </c>
      <c r="H187" s="400">
        <f t="shared" si="39"/>
        <v>5</v>
      </c>
      <c r="I187" s="401"/>
      <c r="J187" s="222" t="s">
        <v>16</v>
      </c>
      <c r="K187" s="411"/>
      <c r="L187" s="401"/>
      <c r="M187" s="222" t="s">
        <v>16</v>
      </c>
      <c r="N187" s="220"/>
    </row>
    <row r="188" spans="1:14" ht="51.5" customHeight="1" thickBot="1" x14ac:dyDescent="0.4">
      <c r="A188" s="379" t="s">
        <v>305</v>
      </c>
      <c r="B188" s="380"/>
      <c r="C188" s="381" t="s">
        <v>306</v>
      </c>
      <c r="D188" s="382"/>
      <c r="E188" s="383" t="s">
        <v>307</v>
      </c>
      <c r="F188" s="384"/>
      <c r="G188" s="383" t="s">
        <v>308</v>
      </c>
      <c r="H188" s="385"/>
      <c r="I188" s="386"/>
      <c r="J188" s="370" t="s">
        <v>309</v>
      </c>
      <c r="K188" s="371"/>
      <c r="L188" s="371"/>
      <c r="M188" s="370" t="s">
        <v>310</v>
      </c>
      <c r="N188" s="371"/>
    </row>
    <row r="189" spans="1:14" x14ac:dyDescent="0.35">
      <c r="A189" s="223" t="s">
        <v>0</v>
      </c>
      <c r="B189" s="214" t="s">
        <v>311</v>
      </c>
      <c r="C189" s="213" t="s">
        <v>0</v>
      </c>
      <c r="D189" s="214" t="s">
        <v>311</v>
      </c>
      <c r="E189" s="213" t="s">
        <v>0</v>
      </c>
      <c r="F189" s="214" t="s">
        <v>311</v>
      </c>
      <c r="G189" s="214" t="s">
        <v>0</v>
      </c>
      <c r="H189" s="395" t="s">
        <v>311</v>
      </c>
      <c r="I189" s="396"/>
      <c r="J189" s="215" t="s">
        <v>0</v>
      </c>
      <c r="K189" s="395" t="s">
        <v>311</v>
      </c>
      <c r="L189" s="396"/>
      <c r="M189" s="215" t="s">
        <v>0</v>
      </c>
      <c r="N189" s="213" t="s">
        <v>311</v>
      </c>
    </row>
    <row r="190" spans="1:14" x14ac:dyDescent="0.35">
      <c r="A190" s="224" t="s">
        <v>1</v>
      </c>
      <c r="B190" s="217">
        <f>B40</f>
        <v>145</v>
      </c>
      <c r="C190" s="216" t="s">
        <v>1</v>
      </c>
      <c r="D190" s="217">
        <f>H40</f>
        <v>145</v>
      </c>
      <c r="E190" s="216" t="s">
        <v>1</v>
      </c>
      <c r="F190" s="217">
        <f>BB2</f>
        <v>145</v>
      </c>
      <c r="G190" s="217" t="s">
        <v>1</v>
      </c>
      <c r="H190" s="397">
        <f>IF(E34+BB2&gt;H40, H40, E34+BB2)</f>
        <v>145</v>
      </c>
      <c r="I190" s="394"/>
      <c r="J190" s="218" t="s">
        <v>1</v>
      </c>
      <c r="K190" s="397"/>
      <c r="L190" s="394"/>
      <c r="M190" s="218" t="s">
        <v>1</v>
      </c>
      <c r="N190" s="216">
        <f>K190+K202</f>
        <v>0</v>
      </c>
    </row>
    <row r="191" spans="1:14" x14ac:dyDescent="0.35">
      <c r="A191" s="224" t="s">
        <v>2</v>
      </c>
      <c r="B191" s="217">
        <f t="shared" ref="B191:B204" si="40">B41</f>
        <v>95</v>
      </c>
      <c r="C191" s="216" t="s">
        <v>2</v>
      </c>
      <c r="D191" s="217">
        <f t="shared" ref="D191:D204" si="41">H41</f>
        <v>45</v>
      </c>
      <c r="E191" s="216" t="s">
        <v>2</v>
      </c>
      <c r="F191" s="217">
        <f t="shared" ref="F191:F204" si="42">BB3</f>
        <v>95</v>
      </c>
      <c r="G191" s="217" t="s">
        <v>2</v>
      </c>
      <c r="H191" s="393">
        <f>H41</f>
        <v>45</v>
      </c>
      <c r="I191" s="394"/>
      <c r="J191" s="218" t="s">
        <v>2</v>
      </c>
      <c r="K191" s="397"/>
      <c r="L191" s="394"/>
      <c r="M191" s="218" t="s">
        <v>2</v>
      </c>
      <c r="N191" s="216">
        <f>K191+K203</f>
        <v>0</v>
      </c>
    </row>
    <row r="192" spans="1:14" x14ac:dyDescent="0.35">
      <c r="A192" s="224" t="s">
        <v>3</v>
      </c>
      <c r="B192" s="217">
        <f t="shared" si="40"/>
        <v>30</v>
      </c>
      <c r="C192" s="216" t="s">
        <v>3</v>
      </c>
      <c r="D192" s="217">
        <f t="shared" si="41"/>
        <v>30</v>
      </c>
      <c r="E192" s="216" t="s">
        <v>3</v>
      </c>
      <c r="F192" s="217">
        <f t="shared" si="42"/>
        <v>30</v>
      </c>
      <c r="G192" s="217" t="s">
        <v>3</v>
      </c>
      <c r="H192" s="393">
        <f t="shared" ref="H192:H204" si="43">H42</f>
        <v>30</v>
      </c>
      <c r="I192" s="394"/>
      <c r="J192" s="218" t="s">
        <v>3</v>
      </c>
      <c r="K192" s="397"/>
      <c r="L192" s="394"/>
      <c r="M192" s="218" t="s">
        <v>3</v>
      </c>
      <c r="N192" s="216">
        <f t="shared" ref="N192" si="44">K192+K204</f>
        <v>0</v>
      </c>
    </row>
    <row r="193" spans="1:14" x14ac:dyDescent="0.35">
      <c r="A193" s="224" t="s">
        <v>4</v>
      </c>
      <c r="B193" s="217">
        <f t="shared" si="40"/>
        <v>0</v>
      </c>
      <c r="C193" s="216" t="s">
        <v>4</v>
      </c>
      <c r="D193" s="217">
        <f t="shared" si="41"/>
        <v>0</v>
      </c>
      <c r="E193" s="216" t="s">
        <v>4</v>
      </c>
      <c r="F193" s="217">
        <f t="shared" si="42"/>
        <v>0</v>
      </c>
      <c r="G193" s="217" t="s">
        <v>4</v>
      </c>
      <c r="H193" s="393">
        <f t="shared" si="43"/>
        <v>0</v>
      </c>
      <c r="I193" s="394"/>
      <c r="J193" s="218" t="s">
        <v>4</v>
      </c>
      <c r="K193" s="397"/>
      <c r="L193" s="394"/>
      <c r="M193" s="218" t="s">
        <v>4</v>
      </c>
      <c r="N193" s="216"/>
    </row>
    <row r="194" spans="1:14" x14ac:dyDescent="0.35">
      <c r="A194" s="224" t="s">
        <v>6</v>
      </c>
      <c r="B194" s="217">
        <f t="shared" si="40"/>
        <v>80</v>
      </c>
      <c r="C194" s="216" t="s">
        <v>6</v>
      </c>
      <c r="D194" s="217">
        <f t="shared" si="41"/>
        <v>80</v>
      </c>
      <c r="E194" s="216" t="s">
        <v>6</v>
      </c>
      <c r="F194" s="217">
        <f t="shared" si="42"/>
        <v>80</v>
      </c>
      <c r="G194" s="217" t="s">
        <v>6</v>
      </c>
      <c r="H194" s="393">
        <f t="shared" si="43"/>
        <v>80</v>
      </c>
      <c r="I194" s="394"/>
      <c r="J194" s="218" t="s">
        <v>6</v>
      </c>
      <c r="K194" s="397"/>
      <c r="L194" s="394"/>
      <c r="M194" s="218" t="s">
        <v>6</v>
      </c>
      <c r="N194" s="216"/>
    </row>
    <row r="195" spans="1:14" x14ac:dyDescent="0.35">
      <c r="A195" s="224" t="s">
        <v>7</v>
      </c>
      <c r="B195" s="217">
        <f t="shared" si="40"/>
        <v>11.5</v>
      </c>
      <c r="C195" s="216" t="s">
        <v>7</v>
      </c>
      <c r="D195" s="217">
        <f t="shared" si="41"/>
        <v>11.5</v>
      </c>
      <c r="E195" s="216" t="s">
        <v>7</v>
      </c>
      <c r="F195" s="217">
        <f t="shared" si="42"/>
        <v>11.5</v>
      </c>
      <c r="G195" s="217" t="s">
        <v>7</v>
      </c>
      <c r="H195" s="393">
        <f t="shared" si="43"/>
        <v>11.5</v>
      </c>
      <c r="I195" s="394"/>
      <c r="J195" s="218" t="s">
        <v>7</v>
      </c>
      <c r="K195" s="397"/>
      <c r="L195" s="394"/>
      <c r="M195" s="218" t="s">
        <v>7</v>
      </c>
      <c r="N195" s="216"/>
    </row>
    <row r="196" spans="1:14" x14ac:dyDescent="0.35">
      <c r="A196" s="224" t="s">
        <v>10</v>
      </c>
      <c r="B196" s="217">
        <f t="shared" si="40"/>
        <v>25</v>
      </c>
      <c r="C196" s="216" t="s">
        <v>10</v>
      </c>
      <c r="D196" s="217">
        <f t="shared" si="41"/>
        <v>25</v>
      </c>
      <c r="E196" s="216" t="s">
        <v>10</v>
      </c>
      <c r="F196" s="217">
        <f t="shared" si="42"/>
        <v>25</v>
      </c>
      <c r="G196" s="217" t="s">
        <v>10</v>
      </c>
      <c r="H196" s="393">
        <f t="shared" si="43"/>
        <v>25</v>
      </c>
      <c r="I196" s="394"/>
      <c r="J196" s="218" t="s">
        <v>10</v>
      </c>
      <c r="K196" s="397"/>
      <c r="L196" s="394"/>
      <c r="M196" s="218" t="s">
        <v>10</v>
      </c>
      <c r="N196" s="216"/>
    </row>
    <row r="197" spans="1:14" x14ac:dyDescent="0.35">
      <c r="A197" s="224" t="s">
        <v>11</v>
      </c>
      <c r="B197" s="217">
        <f t="shared" si="40"/>
        <v>80</v>
      </c>
      <c r="C197" s="216" t="s">
        <v>11</v>
      </c>
      <c r="D197" s="217">
        <f t="shared" si="41"/>
        <v>80</v>
      </c>
      <c r="E197" s="216" t="s">
        <v>11</v>
      </c>
      <c r="F197" s="217">
        <f t="shared" si="42"/>
        <v>80</v>
      </c>
      <c r="G197" s="217" t="s">
        <v>11</v>
      </c>
      <c r="H197" s="393">
        <f t="shared" si="43"/>
        <v>80</v>
      </c>
      <c r="I197" s="394"/>
      <c r="J197" s="218" t="s">
        <v>11</v>
      </c>
      <c r="K197" s="397"/>
      <c r="L197" s="394"/>
      <c r="M197" s="218" t="s">
        <v>11</v>
      </c>
      <c r="N197" s="216"/>
    </row>
    <row r="198" spans="1:14" x14ac:dyDescent="0.35">
      <c r="A198" s="224" t="s">
        <v>15</v>
      </c>
      <c r="B198" s="217">
        <f t="shared" si="40"/>
        <v>0</v>
      </c>
      <c r="C198" s="216" t="s">
        <v>15</v>
      </c>
      <c r="D198" s="217">
        <f t="shared" si="41"/>
        <v>0</v>
      </c>
      <c r="E198" s="216" t="s">
        <v>15</v>
      </c>
      <c r="F198" s="217">
        <f t="shared" si="42"/>
        <v>0</v>
      </c>
      <c r="G198" s="217" t="s">
        <v>15</v>
      </c>
      <c r="H198" s="393">
        <f t="shared" si="43"/>
        <v>0</v>
      </c>
      <c r="I198" s="394"/>
      <c r="J198" s="218" t="s">
        <v>15</v>
      </c>
      <c r="K198" s="397"/>
      <c r="L198" s="394"/>
      <c r="M198" s="218" t="s">
        <v>15</v>
      </c>
      <c r="N198" s="216"/>
    </row>
    <row r="199" spans="1:14" x14ac:dyDescent="0.35">
      <c r="A199" s="224" t="s">
        <v>14</v>
      </c>
      <c r="B199" s="217">
        <f t="shared" si="40"/>
        <v>25</v>
      </c>
      <c r="C199" s="216" t="s">
        <v>14</v>
      </c>
      <c r="D199" s="217">
        <f t="shared" si="41"/>
        <v>25</v>
      </c>
      <c r="E199" s="216" t="s">
        <v>14</v>
      </c>
      <c r="F199" s="217">
        <f t="shared" si="42"/>
        <v>25</v>
      </c>
      <c r="G199" s="217" t="s">
        <v>14</v>
      </c>
      <c r="H199" s="393">
        <f t="shared" si="43"/>
        <v>25</v>
      </c>
      <c r="I199" s="394"/>
      <c r="J199" s="218" t="s">
        <v>14</v>
      </c>
      <c r="K199" s="397"/>
      <c r="L199" s="394"/>
      <c r="M199" s="218" t="s">
        <v>14</v>
      </c>
      <c r="N199" s="216"/>
    </row>
    <row r="200" spans="1:14" x14ac:dyDescent="0.35">
      <c r="A200" s="224" t="s">
        <v>8</v>
      </c>
      <c r="B200" s="217">
        <f t="shared" si="40"/>
        <v>20</v>
      </c>
      <c r="C200" s="216" t="s">
        <v>8</v>
      </c>
      <c r="D200" s="217">
        <f t="shared" si="41"/>
        <v>20</v>
      </c>
      <c r="E200" s="216" t="s">
        <v>8</v>
      </c>
      <c r="F200" s="217">
        <f t="shared" si="42"/>
        <v>20</v>
      </c>
      <c r="G200" s="217" t="s">
        <v>8</v>
      </c>
      <c r="H200" s="393">
        <f t="shared" si="43"/>
        <v>20</v>
      </c>
      <c r="I200" s="394"/>
      <c r="J200" s="218" t="s">
        <v>8</v>
      </c>
      <c r="K200" s="397"/>
      <c r="L200" s="394"/>
      <c r="M200" s="218" t="s">
        <v>8</v>
      </c>
      <c r="N200" s="216"/>
    </row>
    <row r="201" spans="1:14" x14ac:dyDescent="0.35">
      <c r="A201" s="224" t="s">
        <v>9</v>
      </c>
      <c r="B201" s="217">
        <f t="shared" si="40"/>
        <v>10</v>
      </c>
      <c r="C201" s="216" t="s">
        <v>9</v>
      </c>
      <c r="D201" s="217">
        <f t="shared" si="41"/>
        <v>10</v>
      </c>
      <c r="E201" s="216" t="s">
        <v>9</v>
      </c>
      <c r="F201" s="217">
        <f t="shared" si="42"/>
        <v>10</v>
      </c>
      <c r="G201" s="217" t="s">
        <v>9</v>
      </c>
      <c r="H201" s="393">
        <f t="shared" si="43"/>
        <v>10</v>
      </c>
      <c r="I201" s="394"/>
      <c r="J201" s="218" t="s">
        <v>9</v>
      </c>
      <c r="K201" s="397"/>
      <c r="L201" s="394"/>
      <c r="M201" s="218" t="s">
        <v>9</v>
      </c>
      <c r="N201" s="216"/>
    </row>
    <row r="202" spans="1:14" x14ac:dyDescent="0.35">
      <c r="A202" s="224" t="s">
        <v>12</v>
      </c>
      <c r="B202" s="217">
        <f t="shared" si="40"/>
        <v>0</v>
      </c>
      <c r="C202" s="216" t="s">
        <v>12</v>
      </c>
      <c r="D202" s="217">
        <f t="shared" si="41"/>
        <v>0</v>
      </c>
      <c r="E202" s="216" t="s">
        <v>12</v>
      </c>
      <c r="F202" s="217">
        <f t="shared" si="42"/>
        <v>0</v>
      </c>
      <c r="G202" s="217" t="s">
        <v>12</v>
      </c>
      <c r="H202" s="393">
        <f t="shared" si="43"/>
        <v>0</v>
      </c>
      <c r="I202" s="394"/>
      <c r="J202" s="218" t="s">
        <v>12</v>
      </c>
      <c r="K202" s="397"/>
      <c r="L202" s="394"/>
      <c r="M202" s="218" t="s">
        <v>12</v>
      </c>
      <c r="N202" s="216"/>
    </row>
    <row r="203" spans="1:14" x14ac:dyDescent="0.35">
      <c r="A203" s="224" t="s">
        <v>13</v>
      </c>
      <c r="B203" s="217">
        <f t="shared" si="40"/>
        <v>18</v>
      </c>
      <c r="C203" s="216" t="s">
        <v>13</v>
      </c>
      <c r="D203" s="217">
        <f t="shared" si="41"/>
        <v>18</v>
      </c>
      <c r="E203" s="216" t="s">
        <v>13</v>
      </c>
      <c r="F203" s="217">
        <f t="shared" si="42"/>
        <v>18</v>
      </c>
      <c r="G203" s="217" t="s">
        <v>13</v>
      </c>
      <c r="H203" s="393">
        <f t="shared" si="43"/>
        <v>18</v>
      </c>
      <c r="I203" s="394"/>
      <c r="J203" s="218" t="s">
        <v>13</v>
      </c>
      <c r="K203" s="397"/>
      <c r="L203" s="394"/>
      <c r="M203" s="218" t="s">
        <v>13</v>
      </c>
      <c r="N203" s="216"/>
    </row>
    <row r="204" spans="1:14" ht="15" thickBot="1" x14ac:dyDescent="0.4">
      <c r="A204" s="225" t="s">
        <v>16</v>
      </c>
      <c r="B204" s="221">
        <f t="shared" si="40"/>
        <v>5</v>
      </c>
      <c r="C204" s="220" t="s">
        <v>16</v>
      </c>
      <c r="D204" s="221">
        <f t="shared" si="41"/>
        <v>5</v>
      </c>
      <c r="E204" s="220" t="s">
        <v>16</v>
      </c>
      <c r="F204" s="221">
        <f t="shared" si="42"/>
        <v>5</v>
      </c>
      <c r="G204" s="221" t="s">
        <v>16</v>
      </c>
      <c r="H204" s="400">
        <f t="shared" si="43"/>
        <v>5</v>
      </c>
      <c r="I204" s="401"/>
      <c r="J204" s="222" t="s">
        <v>16</v>
      </c>
      <c r="K204" s="411"/>
      <c r="L204" s="401"/>
      <c r="M204" s="222" t="s">
        <v>16</v>
      </c>
      <c r="N204" s="220"/>
    </row>
    <row r="205" spans="1:14" ht="41.5" customHeight="1" thickBot="1" x14ac:dyDescent="0.4">
      <c r="A205" s="379" t="s">
        <v>305</v>
      </c>
      <c r="B205" s="380"/>
      <c r="C205" s="381" t="s">
        <v>306</v>
      </c>
      <c r="D205" s="382"/>
      <c r="E205" s="383" t="s">
        <v>307</v>
      </c>
      <c r="F205" s="384"/>
      <c r="G205" s="383" t="s">
        <v>308</v>
      </c>
      <c r="H205" s="385"/>
      <c r="I205" s="386"/>
      <c r="J205" s="370" t="s">
        <v>309</v>
      </c>
      <c r="K205" s="371"/>
      <c r="L205" s="371"/>
      <c r="M205" s="370" t="s">
        <v>310</v>
      </c>
      <c r="N205" s="371"/>
    </row>
    <row r="206" spans="1:14" x14ac:dyDescent="0.35">
      <c r="A206" s="223" t="s">
        <v>0</v>
      </c>
      <c r="B206" s="214" t="s">
        <v>79</v>
      </c>
      <c r="C206" s="213" t="s">
        <v>0</v>
      </c>
      <c r="D206" s="214" t="s">
        <v>79</v>
      </c>
      <c r="E206" s="213" t="s">
        <v>0</v>
      </c>
      <c r="F206" s="214" t="s">
        <v>79</v>
      </c>
      <c r="G206" s="214" t="s">
        <v>0</v>
      </c>
      <c r="H206" s="395" t="s">
        <v>79</v>
      </c>
      <c r="I206" s="396"/>
      <c r="J206" s="215" t="s">
        <v>0</v>
      </c>
      <c r="K206" s="395" t="s">
        <v>79</v>
      </c>
      <c r="L206" s="396"/>
      <c r="M206" s="215" t="s">
        <v>0</v>
      </c>
      <c r="N206" s="213" t="s">
        <v>79</v>
      </c>
    </row>
    <row r="207" spans="1:14" x14ac:dyDescent="0.35">
      <c r="A207" s="224" t="s">
        <v>1</v>
      </c>
      <c r="B207" s="217">
        <f>B72</f>
        <v>159.5</v>
      </c>
      <c r="C207" s="216" t="s">
        <v>1</v>
      </c>
      <c r="D207" s="217">
        <f>H72</f>
        <v>159.5</v>
      </c>
      <c r="E207" s="216" t="s">
        <v>1</v>
      </c>
      <c r="F207" s="217">
        <f>BE2</f>
        <v>159.5</v>
      </c>
      <c r="G207" s="217" t="s">
        <v>1</v>
      </c>
      <c r="H207" s="397">
        <f>IF($E$34+BE2&gt;H72, H72, $E$34+BE2)</f>
        <v>159.5</v>
      </c>
      <c r="I207" s="394"/>
      <c r="J207" s="218" t="s">
        <v>1</v>
      </c>
      <c r="K207" s="397"/>
      <c r="L207" s="394"/>
      <c r="M207" s="218" t="s">
        <v>1</v>
      </c>
      <c r="N207" s="216">
        <f>K207+K219</f>
        <v>0</v>
      </c>
    </row>
    <row r="208" spans="1:14" x14ac:dyDescent="0.35">
      <c r="A208" s="224" t="s">
        <v>2</v>
      </c>
      <c r="B208" s="217">
        <f t="shared" ref="B208:B221" si="45">B73</f>
        <v>95</v>
      </c>
      <c r="C208" s="216" t="s">
        <v>2</v>
      </c>
      <c r="D208" s="217">
        <f t="shared" ref="D208:D221" si="46">H73</f>
        <v>95</v>
      </c>
      <c r="E208" s="216" t="s">
        <v>2</v>
      </c>
      <c r="F208" s="217">
        <f t="shared" ref="F208:F221" si="47">BE3</f>
        <v>95</v>
      </c>
      <c r="G208" s="217" t="s">
        <v>2</v>
      </c>
      <c r="H208" s="393">
        <f>H73</f>
        <v>95</v>
      </c>
      <c r="I208" s="394"/>
      <c r="J208" s="218" t="s">
        <v>2</v>
      </c>
      <c r="K208" s="397"/>
      <c r="L208" s="394"/>
      <c r="M208" s="218" t="s">
        <v>2</v>
      </c>
      <c r="N208" s="216">
        <f>K208+K220</f>
        <v>0</v>
      </c>
    </row>
    <row r="209" spans="1:14" x14ac:dyDescent="0.35">
      <c r="A209" s="224" t="s">
        <v>3</v>
      </c>
      <c r="B209" s="217">
        <f t="shared" si="45"/>
        <v>30</v>
      </c>
      <c r="C209" s="216" t="s">
        <v>3</v>
      </c>
      <c r="D209" s="217">
        <f t="shared" si="46"/>
        <v>0</v>
      </c>
      <c r="E209" s="216" t="s">
        <v>3</v>
      </c>
      <c r="F209" s="217">
        <f t="shared" si="47"/>
        <v>30</v>
      </c>
      <c r="G209" s="217" t="s">
        <v>3</v>
      </c>
      <c r="H209" s="393">
        <f t="shared" ref="H209:H221" si="48">H74</f>
        <v>0</v>
      </c>
      <c r="I209" s="394"/>
      <c r="J209" s="218" t="s">
        <v>3</v>
      </c>
      <c r="K209" s="397"/>
      <c r="L209" s="394"/>
      <c r="M209" s="218" t="s">
        <v>3</v>
      </c>
      <c r="N209" s="216">
        <f t="shared" ref="N209" si="49">K209+K221</f>
        <v>0</v>
      </c>
    </row>
    <row r="210" spans="1:14" x14ac:dyDescent="0.35">
      <c r="A210" s="224" t="s">
        <v>4</v>
      </c>
      <c r="B210" s="217">
        <f t="shared" si="45"/>
        <v>0</v>
      </c>
      <c r="C210" s="216" t="s">
        <v>4</v>
      </c>
      <c r="D210" s="217">
        <f t="shared" si="46"/>
        <v>10</v>
      </c>
      <c r="E210" s="216" t="s">
        <v>4</v>
      </c>
      <c r="F210" s="217">
        <f t="shared" si="47"/>
        <v>0</v>
      </c>
      <c r="G210" s="217" t="s">
        <v>4</v>
      </c>
      <c r="H210" s="393">
        <f t="shared" si="48"/>
        <v>10</v>
      </c>
      <c r="I210" s="394"/>
      <c r="J210" s="218" t="s">
        <v>4</v>
      </c>
      <c r="K210" s="397"/>
      <c r="L210" s="394"/>
      <c r="M210" s="218" t="s">
        <v>4</v>
      </c>
      <c r="N210" s="216"/>
    </row>
    <row r="211" spans="1:14" x14ac:dyDescent="0.35">
      <c r="A211" s="224" t="s">
        <v>6</v>
      </c>
      <c r="B211" s="217">
        <f t="shared" si="45"/>
        <v>160</v>
      </c>
      <c r="C211" s="216" t="s">
        <v>6</v>
      </c>
      <c r="D211" s="217">
        <f t="shared" si="46"/>
        <v>160</v>
      </c>
      <c r="E211" s="216" t="s">
        <v>6</v>
      </c>
      <c r="F211" s="217">
        <f t="shared" si="47"/>
        <v>160</v>
      </c>
      <c r="G211" s="217" t="s">
        <v>6</v>
      </c>
      <c r="H211" s="393">
        <f t="shared" si="48"/>
        <v>160</v>
      </c>
      <c r="I211" s="394"/>
      <c r="J211" s="218" t="s">
        <v>6</v>
      </c>
      <c r="K211" s="397"/>
      <c r="L211" s="394"/>
      <c r="M211" s="218" t="s">
        <v>6</v>
      </c>
      <c r="N211" s="216"/>
    </row>
    <row r="212" spans="1:14" x14ac:dyDescent="0.35">
      <c r="A212" s="224" t="s">
        <v>7</v>
      </c>
      <c r="B212" s="217">
        <f t="shared" si="45"/>
        <v>11.5</v>
      </c>
      <c r="C212" s="216" t="s">
        <v>7</v>
      </c>
      <c r="D212" s="217">
        <f t="shared" si="46"/>
        <v>11.5</v>
      </c>
      <c r="E212" s="216" t="s">
        <v>7</v>
      </c>
      <c r="F212" s="217">
        <f t="shared" si="47"/>
        <v>11.5</v>
      </c>
      <c r="G212" s="217" t="s">
        <v>7</v>
      </c>
      <c r="H212" s="393">
        <f t="shared" si="48"/>
        <v>11.5</v>
      </c>
      <c r="I212" s="394"/>
      <c r="J212" s="218" t="s">
        <v>7</v>
      </c>
      <c r="K212" s="397"/>
      <c r="L212" s="394"/>
      <c r="M212" s="218" t="s">
        <v>7</v>
      </c>
      <c r="N212" s="216"/>
    </row>
    <row r="213" spans="1:14" x14ac:dyDescent="0.35">
      <c r="A213" s="224" t="s">
        <v>10</v>
      </c>
      <c r="B213" s="217">
        <f t="shared" si="45"/>
        <v>40</v>
      </c>
      <c r="C213" s="216" t="s">
        <v>10</v>
      </c>
      <c r="D213" s="217">
        <f t="shared" si="46"/>
        <v>40</v>
      </c>
      <c r="E213" s="216" t="s">
        <v>10</v>
      </c>
      <c r="F213" s="217">
        <f t="shared" si="47"/>
        <v>40</v>
      </c>
      <c r="G213" s="217" t="s">
        <v>10</v>
      </c>
      <c r="H213" s="393">
        <f t="shared" si="48"/>
        <v>40</v>
      </c>
      <c r="I213" s="394"/>
      <c r="J213" s="218" t="s">
        <v>10</v>
      </c>
      <c r="K213" s="397"/>
      <c r="L213" s="394"/>
      <c r="M213" s="218" t="s">
        <v>10</v>
      </c>
      <c r="N213" s="216"/>
    </row>
    <row r="214" spans="1:14" x14ac:dyDescent="0.35">
      <c r="A214" s="224" t="s">
        <v>11</v>
      </c>
      <c r="B214" s="217">
        <f t="shared" si="45"/>
        <v>70</v>
      </c>
      <c r="C214" s="216" t="s">
        <v>11</v>
      </c>
      <c r="D214" s="217">
        <f t="shared" si="46"/>
        <v>0</v>
      </c>
      <c r="E214" s="216" t="s">
        <v>11</v>
      </c>
      <c r="F214" s="217">
        <f t="shared" si="47"/>
        <v>70</v>
      </c>
      <c r="G214" s="217" t="s">
        <v>11</v>
      </c>
      <c r="H214" s="393">
        <f t="shared" si="48"/>
        <v>0</v>
      </c>
      <c r="I214" s="394"/>
      <c r="J214" s="218" t="s">
        <v>11</v>
      </c>
      <c r="K214" s="397"/>
      <c r="L214" s="394"/>
      <c r="M214" s="218" t="s">
        <v>11</v>
      </c>
      <c r="N214" s="216"/>
    </row>
    <row r="215" spans="1:14" x14ac:dyDescent="0.35">
      <c r="A215" s="224" t="s">
        <v>15</v>
      </c>
      <c r="B215" s="217">
        <f t="shared" si="45"/>
        <v>0</v>
      </c>
      <c r="C215" s="216" t="s">
        <v>15</v>
      </c>
      <c r="D215" s="217">
        <f t="shared" si="46"/>
        <v>0</v>
      </c>
      <c r="E215" s="216" t="s">
        <v>15</v>
      </c>
      <c r="F215" s="217">
        <f t="shared" si="47"/>
        <v>0</v>
      </c>
      <c r="G215" s="217" t="s">
        <v>15</v>
      </c>
      <c r="H215" s="393">
        <f t="shared" si="48"/>
        <v>0</v>
      </c>
      <c r="I215" s="394"/>
      <c r="J215" s="218" t="s">
        <v>15</v>
      </c>
      <c r="K215" s="397"/>
      <c r="L215" s="394"/>
      <c r="M215" s="218" t="s">
        <v>15</v>
      </c>
      <c r="N215" s="216"/>
    </row>
    <row r="216" spans="1:14" x14ac:dyDescent="0.35">
      <c r="A216" s="224" t="s">
        <v>14</v>
      </c>
      <c r="B216" s="217">
        <f t="shared" si="45"/>
        <v>25</v>
      </c>
      <c r="C216" s="216" t="s">
        <v>14</v>
      </c>
      <c r="D216" s="217">
        <f t="shared" si="46"/>
        <v>25</v>
      </c>
      <c r="E216" s="216" t="s">
        <v>14</v>
      </c>
      <c r="F216" s="217">
        <f t="shared" si="47"/>
        <v>25</v>
      </c>
      <c r="G216" s="217" t="s">
        <v>14</v>
      </c>
      <c r="H216" s="393">
        <f t="shared" si="48"/>
        <v>25</v>
      </c>
      <c r="I216" s="394"/>
      <c r="J216" s="218" t="s">
        <v>14</v>
      </c>
      <c r="K216" s="397"/>
      <c r="L216" s="394"/>
      <c r="M216" s="218" t="s">
        <v>14</v>
      </c>
      <c r="N216" s="216"/>
    </row>
    <row r="217" spans="1:14" x14ac:dyDescent="0.35">
      <c r="A217" s="224" t="s">
        <v>8</v>
      </c>
      <c r="B217" s="217">
        <f t="shared" si="45"/>
        <v>20</v>
      </c>
      <c r="C217" s="216" t="s">
        <v>8</v>
      </c>
      <c r="D217" s="217">
        <f t="shared" si="46"/>
        <v>20</v>
      </c>
      <c r="E217" s="216" t="s">
        <v>8</v>
      </c>
      <c r="F217" s="217">
        <f t="shared" si="47"/>
        <v>20</v>
      </c>
      <c r="G217" s="217" t="s">
        <v>8</v>
      </c>
      <c r="H217" s="393">
        <f t="shared" si="48"/>
        <v>20</v>
      </c>
      <c r="I217" s="394"/>
      <c r="J217" s="218" t="s">
        <v>8</v>
      </c>
      <c r="K217" s="397"/>
      <c r="L217" s="394"/>
      <c r="M217" s="218" t="s">
        <v>8</v>
      </c>
      <c r="N217" s="216"/>
    </row>
    <row r="218" spans="1:14" x14ac:dyDescent="0.35">
      <c r="A218" s="224" t="s">
        <v>9</v>
      </c>
      <c r="B218" s="217">
        <f t="shared" si="45"/>
        <v>10</v>
      </c>
      <c r="C218" s="216" t="s">
        <v>9</v>
      </c>
      <c r="D218" s="217">
        <f t="shared" si="46"/>
        <v>10</v>
      </c>
      <c r="E218" s="216" t="s">
        <v>9</v>
      </c>
      <c r="F218" s="217">
        <f t="shared" si="47"/>
        <v>10</v>
      </c>
      <c r="G218" s="217" t="s">
        <v>9</v>
      </c>
      <c r="H218" s="393">
        <f t="shared" si="48"/>
        <v>10</v>
      </c>
      <c r="I218" s="394"/>
      <c r="J218" s="218" t="s">
        <v>9</v>
      </c>
      <c r="K218" s="397"/>
      <c r="L218" s="394"/>
      <c r="M218" s="218" t="s">
        <v>9</v>
      </c>
      <c r="N218" s="216"/>
    </row>
    <row r="219" spans="1:14" x14ac:dyDescent="0.35">
      <c r="A219" s="224" t="s">
        <v>12</v>
      </c>
      <c r="B219" s="217">
        <f t="shared" si="45"/>
        <v>0</v>
      </c>
      <c r="C219" s="216" t="s">
        <v>12</v>
      </c>
      <c r="D219" s="217">
        <f t="shared" si="46"/>
        <v>0</v>
      </c>
      <c r="E219" s="216" t="s">
        <v>12</v>
      </c>
      <c r="F219" s="217">
        <f t="shared" si="47"/>
        <v>0</v>
      </c>
      <c r="G219" s="217" t="s">
        <v>12</v>
      </c>
      <c r="H219" s="393">
        <f t="shared" si="48"/>
        <v>0</v>
      </c>
      <c r="I219" s="394"/>
      <c r="J219" s="218" t="s">
        <v>12</v>
      </c>
      <c r="K219" s="397"/>
      <c r="L219" s="394"/>
      <c r="M219" s="218" t="s">
        <v>12</v>
      </c>
      <c r="N219" s="216"/>
    </row>
    <row r="220" spans="1:14" x14ac:dyDescent="0.35">
      <c r="A220" s="224" t="s">
        <v>13</v>
      </c>
      <c r="B220" s="217">
        <f t="shared" si="45"/>
        <v>18</v>
      </c>
      <c r="C220" s="216" t="s">
        <v>13</v>
      </c>
      <c r="D220" s="217">
        <f t="shared" si="46"/>
        <v>18</v>
      </c>
      <c r="E220" s="216" t="s">
        <v>13</v>
      </c>
      <c r="F220" s="217">
        <f t="shared" si="47"/>
        <v>18</v>
      </c>
      <c r="G220" s="217" t="s">
        <v>13</v>
      </c>
      <c r="H220" s="393">
        <f t="shared" si="48"/>
        <v>18</v>
      </c>
      <c r="I220" s="394"/>
      <c r="J220" s="218" t="s">
        <v>13</v>
      </c>
      <c r="K220" s="397"/>
      <c r="L220" s="394"/>
      <c r="M220" s="218" t="s">
        <v>13</v>
      </c>
      <c r="N220" s="216"/>
    </row>
    <row r="221" spans="1:14" ht="15" thickBot="1" x14ac:dyDescent="0.4">
      <c r="A221" s="225" t="s">
        <v>16</v>
      </c>
      <c r="B221" s="221">
        <f t="shared" si="45"/>
        <v>5</v>
      </c>
      <c r="C221" s="220" t="s">
        <v>16</v>
      </c>
      <c r="D221" s="221">
        <f t="shared" si="46"/>
        <v>5</v>
      </c>
      <c r="E221" s="220" t="s">
        <v>16</v>
      </c>
      <c r="F221" s="221">
        <f t="shared" si="47"/>
        <v>5</v>
      </c>
      <c r="G221" s="221" t="s">
        <v>16</v>
      </c>
      <c r="H221" s="400">
        <f t="shared" si="48"/>
        <v>5</v>
      </c>
      <c r="I221" s="401"/>
      <c r="J221" s="222" t="s">
        <v>16</v>
      </c>
      <c r="K221" s="411"/>
      <c r="L221" s="401"/>
      <c r="M221" s="222" t="s">
        <v>16</v>
      </c>
      <c r="N221" s="220"/>
    </row>
    <row r="222" spans="1:14" ht="41.5" customHeight="1" thickBot="1" x14ac:dyDescent="0.4">
      <c r="A222" s="379" t="s">
        <v>305</v>
      </c>
      <c r="B222" s="380"/>
      <c r="C222" s="381" t="s">
        <v>306</v>
      </c>
      <c r="D222" s="382"/>
      <c r="E222" s="383" t="s">
        <v>307</v>
      </c>
      <c r="F222" s="384"/>
      <c r="G222" s="383" t="s">
        <v>308</v>
      </c>
      <c r="H222" s="385"/>
      <c r="I222" s="386"/>
      <c r="J222" s="370" t="s">
        <v>309</v>
      </c>
      <c r="K222" s="371"/>
      <c r="L222" s="371"/>
      <c r="M222" s="370" t="s">
        <v>310</v>
      </c>
      <c r="N222" s="371"/>
    </row>
    <row r="223" spans="1:14" x14ac:dyDescent="0.35">
      <c r="A223" s="223" t="s">
        <v>0</v>
      </c>
      <c r="B223" s="214" t="s">
        <v>170</v>
      </c>
      <c r="C223" s="213" t="s">
        <v>0</v>
      </c>
      <c r="D223" s="214" t="s">
        <v>170</v>
      </c>
      <c r="E223" s="213" t="s">
        <v>0</v>
      </c>
      <c r="F223" s="214" t="s">
        <v>170</v>
      </c>
      <c r="G223" s="214" t="s">
        <v>0</v>
      </c>
      <c r="H223" s="395" t="s">
        <v>170</v>
      </c>
      <c r="I223" s="396"/>
      <c r="J223" s="215" t="s">
        <v>0</v>
      </c>
      <c r="K223" s="395" t="s">
        <v>170</v>
      </c>
      <c r="L223" s="396"/>
      <c r="M223" s="215" t="s">
        <v>0</v>
      </c>
      <c r="N223" s="214" t="s">
        <v>170</v>
      </c>
    </row>
    <row r="224" spans="1:14" x14ac:dyDescent="0.35">
      <c r="A224" s="224" t="s">
        <v>1</v>
      </c>
      <c r="B224" s="217">
        <f>B106</f>
        <v>145</v>
      </c>
      <c r="C224" s="216" t="s">
        <v>1</v>
      </c>
      <c r="D224" s="217">
        <f>H106</f>
        <v>145</v>
      </c>
      <c r="E224" s="216" t="s">
        <v>1</v>
      </c>
      <c r="F224" s="217">
        <f>BH2</f>
        <v>145</v>
      </c>
      <c r="G224" s="217" t="s">
        <v>1</v>
      </c>
      <c r="H224" s="397">
        <f>IF($E$34+BH2&gt;H106, H106, $E$34+BH2)</f>
        <v>145</v>
      </c>
      <c r="I224" s="394"/>
      <c r="J224" s="218" t="s">
        <v>1</v>
      </c>
      <c r="K224" s="397"/>
      <c r="L224" s="394"/>
      <c r="M224" s="218" t="s">
        <v>1</v>
      </c>
      <c r="N224" s="216">
        <f>K224+K236</f>
        <v>0</v>
      </c>
    </row>
    <row r="225" spans="1:14" x14ac:dyDescent="0.35">
      <c r="A225" s="224" t="s">
        <v>2</v>
      </c>
      <c r="B225" s="217">
        <f t="shared" ref="B225:B238" si="50">B107</f>
        <v>95</v>
      </c>
      <c r="C225" s="216" t="s">
        <v>2</v>
      </c>
      <c r="D225" s="217">
        <f t="shared" ref="D225:D238" si="51">H107</f>
        <v>95</v>
      </c>
      <c r="E225" s="216" t="s">
        <v>2</v>
      </c>
      <c r="F225" s="217">
        <f t="shared" ref="F225:F238" si="52">BH3</f>
        <v>95</v>
      </c>
      <c r="G225" s="217" t="s">
        <v>2</v>
      </c>
      <c r="H225" s="393">
        <f>H107</f>
        <v>95</v>
      </c>
      <c r="I225" s="394"/>
      <c r="J225" s="218" t="s">
        <v>2</v>
      </c>
      <c r="K225" s="397"/>
      <c r="L225" s="394"/>
      <c r="M225" s="218" t="s">
        <v>2</v>
      </c>
      <c r="N225" s="216">
        <f>K225+K237</f>
        <v>0</v>
      </c>
    </row>
    <row r="226" spans="1:14" x14ac:dyDescent="0.35">
      <c r="A226" s="224" t="s">
        <v>3</v>
      </c>
      <c r="B226" s="217">
        <f t="shared" si="50"/>
        <v>30</v>
      </c>
      <c r="C226" s="216" t="s">
        <v>3</v>
      </c>
      <c r="D226" s="217">
        <f t="shared" si="51"/>
        <v>25</v>
      </c>
      <c r="E226" s="216" t="s">
        <v>3</v>
      </c>
      <c r="F226" s="217">
        <f t="shared" si="52"/>
        <v>30</v>
      </c>
      <c r="G226" s="217" t="s">
        <v>3</v>
      </c>
      <c r="H226" s="393">
        <f t="shared" ref="H226:H238" si="53">H108</f>
        <v>25</v>
      </c>
      <c r="I226" s="394"/>
      <c r="J226" s="218" t="s">
        <v>3</v>
      </c>
      <c r="K226" s="397"/>
      <c r="L226" s="394"/>
      <c r="M226" s="218" t="s">
        <v>3</v>
      </c>
      <c r="N226" s="216">
        <f t="shared" ref="N226" si="54">K226+K238</f>
        <v>0</v>
      </c>
    </row>
    <row r="227" spans="1:14" x14ac:dyDescent="0.35">
      <c r="A227" s="224" t="s">
        <v>4</v>
      </c>
      <c r="B227" s="217">
        <f t="shared" si="50"/>
        <v>0</v>
      </c>
      <c r="C227" s="216" t="s">
        <v>4</v>
      </c>
      <c r="D227" s="217">
        <f t="shared" si="51"/>
        <v>-5</v>
      </c>
      <c r="E227" s="216" t="s">
        <v>4</v>
      </c>
      <c r="F227" s="217">
        <f t="shared" si="52"/>
        <v>0</v>
      </c>
      <c r="G227" s="217" t="s">
        <v>4</v>
      </c>
      <c r="H227" s="393">
        <f t="shared" si="53"/>
        <v>-5</v>
      </c>
      <c r="I227" s="394"/>
      <c r="J227" s="218" t="s">
        <v>4</v>
      </c>
      <c r="K227" s="397"/>
      <c r="L227" s="394"/>
      <c r="M227" s="218" t="s">
        <v>4</v>
      </c>
      <c r="N227" s="216"/>
    </row>
    <row r="228" spans="1:14" x14ac:dyDescent="0.35">
      <c r="A228" s="224" t="s">
        <v>6</v>
      </c>
      <c r="B228" s="217">
        <f t="shared" si="50"/>
        <v>80</v>
      </c>
      <c r="C228" s="216" t="s">
        <v>6</v>
      </c>
      <c r="D228" s="217">
        <f t="shared" si="51"/>
        <v>80</v>
      </c>
      <c r="E228" s="216" t="s">
        <v>6</v>
      </c>
      <c r="F228" s="217">
        <f t="shared" si="52"/>
        <v>80</v>
      </c>
      <c r="G228" s="217" t="s">
        <v>6</v>
      </c>
      <c r="H228" s="393">
        <f t="shared" si="53"/>
        <v>80</v>
      </c>
      <c r="I228" s="394"/>
      <c r="J228" s="218" t="s">
        <v>6</v>
      </c>
      <c r="K228" s="397"/>
      <c r="L228" s="394"/>
      <c r="M228" s="218" t="s">
        <v>6</v>
      </c>
      <c r="N228" s="216"/>
    </row>
    <row r="229" spans="1:14" x14ac:dyDescent="0.35">
      <c r="A229" s="224" t="s">
        <v>7</v>
      </c>
      <c r="B229" s="217">
        <f t="shared" si="50"/>
        <v>11.5</v>
      </c>
      <c r="C229" s="216" t="s">
        <v>7</v>
      </c>
      <c r="D229" s="217">
        <f t="shared" si="51"/>
        <v>11.5</v>
      </c>
      <c r="E229" s="216" t="s">
        <v>7</v>
      </c>
      <c r="F229" s="217">
        <f t="shared" si="52"/>
        <v>11.5</v>
      </c>
      <c r="G229" s="217" t="s">
        <v>7</v>
      </c>
      <c r="H229" s="393">
        <f t="shared" si="53"/>
        <v>11.5</v>
      </c>
      <c r="I229" s="394"/>
      <c r="J229" s="218" t="s">
        <v>7</v>
      </c>
      <c r="K229" s="397"/>
      <c r="L229" s="394"/>
      <c r="M229" s="218" t="s">
        <v>7</v>
      </c>
      <c r="N229" s="216"/>
    </row>
    <row r="230" spans="1:14" x14ac:dyDescent="0.35">
      <c r="A230" s="224" t="s">
        <v>10</v>
      </c>
      <c r="B230" s="217">
        <f t="shared" si="50"/>
        <v>45</v>
      </c>
      <c r="C230" s="216" t="s">
        <v>10</v>
      </c>
      <c r="D230" s="217">
        <f t="shared" si="51"/>
        <v>65</v>
      </c>
      <c r="E230" s="216" t="s">
        <v>10</v>
      </c>
      <c r="F230" s="217">
        <f t="shared" si="52"/>
        <v>45</v>
      </c>
      <c r="G230" s="217" t="s">
        <v>10</v>
      </c>
      <c r="H230" s="393">
        <f t="shared" si="53"/>
        <v>65</v>
      </c>
      <c r="I230" s="394"/>
      <c r="J230" s="218" t="s">
        <v>10</v>
      </c>
      <c r="K230" s="397"/>
      <c r="L230" s="394"/>
      <c r="M230" s="218" t="s">
        <v>10</v>
      </c>
      <c r="N230" s="216"/>
    </row>
    <row r="231" spans="1:14" x14ac:dyDescent="0.35">
      <c r="A231" s="224" t="s">
        <v>11</v>
      </c>
      <c r="B231" s="217">
        <f t="shared" si="50"/>
        <v>70</v>
      </c>
      <c r="C231" s="216" t="s">
        <v>11</v>
      </c>
      <c r="D231" s="217">
        <f t="shared" si="51"/>
        <v>70</v>
      </c>
      <c r="E231" s="216" t="s">
        <v>11</v>
      </c>
      <c r="F231" s="217">
        <f t="shared" si="52"/>
        <v>70</v>
      </c>
      <c r="G231" s="217" t="s">
        <v>11</v>
      </c>
      <c r="H231" s="393">
        <f t="shared" si="53"/>
        <v>70</v>
      </c>
      <c r="I231" s="394"/>
      <c r="J231" s="218" t="s">
        <v>11</v>
      </c>
      <c r="K231" s="397"/>
      <c r="L231" s="394"/>
      <c r="M231" s="218" t="s">
        <v>11</v>
      </c>
      <c r="N231" s="216"/>
    </row>
    <row r="232" spans="1:14" x14ac:dyDescent="0.35">
      <c r="A232" s="224" t="s">
        <v>15</v>
      </c>
      <c r="B232" s="217">
        <f t="shared" si="50"/>
        <v>0</v>
      </c>
      <c r="C232" s="216" t="s">
        <v>15</v>
      </c>
      <c r="D232" s="217">
        <f t="shared" si="51"/>
        <v>0</v>
      </c>
      <c r="E232" s="216" t="s">
        <v>15</v>
      </c>
      <c r="F232" s="217">
        <f t="shared" si="52"/>
        <v>0</v>
      </c>
      <c r="G232" s="217" t="s">
        <v>15</v>
      </c>
      <c r="H232" s="393">
        <f t="shared" si="53"/>
        <v>0</v>
      </c>
      <c r="I232" s="394"/>
      <c r="J232" s="218" t="s">
        <v>15</v>
      </c>
      <c r="K232" s="397"/>
      <c r="L232" s="394"/>
      <c r="M232" s="218" t="s">
        <v>15</v>
      </c>
      <c r="N232" s="216"/>
    </row>
    <row r="233" spans="1:14" x14ac:dyDescent="0.35">
      <c r="A233" s="224" t="s">
        <v>14</v>
      </c>
      <c r="B233" s="217">
        <f t="shared" si="50"/>
        <v>45</v>
      </c>
      <c r="C233" s="216" t="s">
        <v>14</v>
      </c>
      <c r="D233" s="217">
        <f t="shared" si="51"/>
        <v>65</v>
      </c>
      <c r="E233" s="216" t="s">
        <v>14</v>
      </c>
      <c r="F233" s="217">
        <f t="shared" si="52"/>
        <v>45</v>
      </c>
      <c r="G233" s="217" t="s">
        <v>14</v>
      </c>
      <c r="H233" s="393">
        <f t="shared" si="53"/>
        <v>65</v>
      </c>
      <c r="I233" s="394"/>
      <c r="J233" s="218" t="s">
        <v>14</v>
      </c>
      <c r="K233" s="397"/>
      <c r="L233" s="394"/>
      <c r="M233" s="218" t="s">
        <v>14</v>
      </c>
      <c r="N233" s="216"/>
    </row>
    <row r="234" spans="1:14" x14ac:dyDescent="0.35">
      <c r="A234" s="224" t="s">
        <v>8</v>
      </c>
      <c r="B234" s="217">
        <f t="shared" si="50"/>
        <v>20</v>
      </c>
      <c r="C234" s="216" t="s">
        <v>8</v>
      </c>
      <c r="D234" s="217">
        <f t="shared" si="51"/>
        <v>20</v>
      </c>
      <c r="E234" s="216" t="s">
        <v>8</v>
      </c>
      <c r="F234" s="217">
        <f t="shared" si="52"/>
        <v>20</v>
      </c>
      <c r="G234" s="217" t="s">
        <v>8</v>
      </c>
      <c r="H234" s="393">
        <f t="shared" si="53"/>
        <v>20</v>
      </c>
      <c r="I234" s="394"/>
      <c r="J234" s="218" t="s">
        <v>8</v>
      </c>
      <c r="K234" s="397"/>
      <c r="L234" s="394"/>
      <c r="M234" s="218" t="s">
        <v>8</v>
      </c>
      <c r="N234" s="216"/>
    </row>
    <row r="235" spans="1:14" x14ac:dyDescent="0.35">
      <c r="A235" s="224" t="s">
        <v>9</v>
      </c>
      <c r="B235" s="217">
        <f t="shared" si="50"/>
        <v>15</v>
      </c>
      <c r="C235" s="216" t="s">
        <v>9</v>
      </c>
      <c r="D235" s="217">
        <f t="shared" si="51"/>
        <v>15</v>
      </c>
      <c r="E235" s="216" t="s">
        <v>9</v>
      </c>
      <c r="F235" s="217">
        <f t="shared" si="52"/>
        <v>15</v>
      </c>
      <c r="G235" s="217" t="s">
        <v>9</v>
      </c>
      <c r="H235" s="393">
        <f t="shared" si="53"/>
        <v>15</v>
      </c>
      <c r="I235" s="394"/>
      <c r="J235" s="218" t="s">
        <v>9</v>
      </c>
      <c r="K235" s="397"/>
      <c r="L235" s="394"/>
      <c r="M235" s="218" t="s">
        <v>9</v>
      </c>
      <c r="N235" s="216"/>
    </row>
    <row r="236" spans="1:14" x14ac:dyDescent="0.35">
      <c r="A236" s="224" t="s">
        <v>12</v>
      </c>
      <c r="B236" s="217">
        <f t="shared" si="50"/>
        <v>0</v>
      </c>
      <c r="C236" s="216" t="s">
        <v>12</v>
      </c>
      <c r="D236" s="217">
        <f t="shared" si="51"/>
        <v>0</v>
      </c>
      <c r="E236" s="216" t="s">
        <v>12</v>
      </c>
      <c r="F236" s="217">
        <f t="shared" si="52"/>
        <v>0</v>
      </c>
      <c r="G236" s="217" t="s">
        <v>12</v>
      </c>
      <c r="H236" s="393">
        <f t="shared" si="53"/>
        <v>0</v>
      </c>
      <c r="I236" s="394"/>
      <c r="J236" s="218" t="s">
        <v>12</v>
      </c>
      <c r="K236" s="397"/>
      <c r="L236" s="394"/>
      <c r="M236" s="218" t="s">
        <v>12</v>
      </c>
      <c r="N236" s="216"/>
    </row>
    <row r="237" spans="1:14" x14ac:dyDescent="0.35">
      <c r="A237" s="224" t="s">
        <v>13</v>
      </c>
      <c r="B237" s="217">
        <f t="shared" si="50"/>
        <v>18</v>
      </c>
      <c r="C237" s="216" t="s">
        <v>13</v>
      </c>
      <c r="D237" s="217">
        <f t="shared" si="51"/>
        <v>18</v>
      </c>
      <c r="E237" s="216" t="s">
        <v>13</v>
      </c>
      <c r="F237" s="217">
        <f t="shared" si="52"/>
        <v>18</v>
      </c>
      <c r="G237" s="217" t="s">
        <v>13</v>
      </c>
      <c r="H237" s="393">
        <f t="shared" si="53"/>
        <v>18</v>
      </c>
      <c r="I237" s="394"/>
      <c r="J237" s="218" t="s">
        <v>13</v>
      </c>
      <c r="K237" s="397"/>
      <c r="L237" s="394"/>
      <c r="M237" s="218" t="s">
        <v>13</v>
      </c>
      <c r="N237" s="216"/>
    </row>
    <row r="238" spans="1:14" ht="15" thickBot="1" x14ac:dyDescent="0.4">
      <c r="A238" s="225" t="s">
        <v>16</v>
      </c>
      <c r="B238" s="217">
        <f t="shared" si="50"/>
        <v>5</v>
      </c>
      <c r="C238" s="220" t="s">
        <v>16</v>
      </c>
      <c r="D238" s="217">
        <f t="shared" si="51"/>
        <v>5</v>
      </c>
      <c r="E238" s="220" t="s">
        <v>16</v>
      </c>
      <c r="F238" s="217">
        <f t="shared" si="52"/>
        <v>5</v>
      </c>
      <c r="G238" s="221" t="s">
        <v>16</v>
      </c>
      <c r="H238" s="393">
        <f t="shared" si="53"/>
        <v>5</v>
      </c>
      <c r="I238" s="394"/>
      <c r="J238" s="222" t="s">
        <v>16</v>
      </c>
      <c r="K238" s="411"/>
      <c r="L238" s="401"/>
      <c r="M238" s="222" t="s">
        <v>16</v>
      </c>
      <c r="N238" s="220"/>
    </row>
  </sheetData>
  <mergeCells count="301">
    <mergeCell ref="H238:I238"/>
    <mergeCell ref="K238:L238"/>
    <mergeCell ref="H235:I235"/>
    <mergeCell ref="K235:L235"/>
    <mergeCell ref="H236:I236"/>
    <mergeCell ref="K236:L236"/>
    <mergeCell ref="H237:I237"/>
    <mergeCell ref="K237:L237"/>
    <mergeCell ref="H232:I232"/>
    <mergeCell ref="K232:L232"/>
    <mergeCell ref="H233:I233"/>
    <mergeCell ref="K233:L233"/>
    <mergeCell ref="H234:I234"/>
    <mergeCell ref="K234:L234"/>
    <mergeCell ref="H229:I229"/>
    <mergeCell ref="K229:L229"/>
    <mergeCell ref="H230:I230"/>
    <mergeCell ref="K230:L230"/>
    <mergeCell ref="H231:I231"/>
    <mergeCell ref="K231:L231"/>
    <mergeCell ref="H226:I226"/>
    <mergeCell ref="K226:L226"/>
    <mergeCell ref="H227:I227"/>
    <mergeCell ref="K227:L227"/>
    <mergeCell ref="H228:I228"/>
    <mergeCell ref="K228:L228"/>
    <mergeCell ref="M222:N222"/>
    <mergeCell ref="H223:I223"/>
    <mergeCell ref="K223:L223"/>
    <mergeCell ref="H224:I224"/>
    <mergeCell ref="K224:L224"/>
    <mergeCell ref="H225:I225"/>
    <mergeCell ref="K225:L225"/>
    <mergeCell ref="H221:I221"/>
    <mergeCell ref="K221:L221"/>
    <mergeCell ref="A222:B222"/>
    <mergeCell ref="C222:D222"/>
    <mergeCell ref="E222:F222"/>
    <mergeCell ref="G222:I222"/>
    <mergeCell ref="J222:L222"/>
    <mergeCell ref="H218:I218"/>
    <mergeCell ref="K218:L218"/>
    <mergeCell ref="H219:I219"/>
    <mergeCell ref="K219:L219"/>
    <mergeCell ref="H220:I220"/>
    <mergeCell ref="K220:L220"/>
    <mergeCell ref="H215:I215"/>
    <mergeCell ref="K215:L215"/>
    <mergeCell ref="H216:I216"/>
    <mergeCell ref="K216:L216"/>
    <mergeCell ref="H217:I217"/>
    <mergeCell ref="K217:L217"/>
    <mergeCell ref="H212:I212"/>
    <mergeCell ref="K212:L212"/>
    <mergeCell ref="H213:I213"/>
    <mergeCell ref="K213:L213"/>
    <mergeCell ref="H214:I214"/>
    <mergeCell ref="K214:L214"/>
    <mergeCell ref="H209:I209"/>
    <mergeCell ref="K209:L209"/>
    <mergeCell ref="H210:I210"/>
    <mergeCell ref="K210:L210"/>
    <mergeCell ref="H211:I211"/>
    <mergeCell ref="K211:L211"/>
    <mergeCell ref="M205:N205"/>
    <mergeCell ref="H206:I206"/>
    <mergeCell ref="K206:L206"/>
    <mergeCell ref="H207:I207"/>
    <mergeCell ref="K207:L207"/>
    <mergeCell ref="H208:I208"/>
    <mergeCell ref="K208:L208"/>
    <mergeCell ref="H204:I204"/>
    <mergeCell ref="K204:L204"/>
    <mergeCell ref="A205:B205"/>
    <mergeCell ref="C205:D205"/>
    <mergeCell ref="E205:F205"/>
    <mergeCell ref="G205:I205"/>
    <mergeCell ref="J205:L205"/>
    <mergeCell ref="H201:I201"/>
    <mergeCell ref="K201:L201"/>
    <mergeCell ref="H202:I202"/>
    <mergeCell ref="K202:L202"/>
    <mergeCell ref="H203:I203"/>
    <mergeCell ref="K203:L203"/>
    <mergeCell ref="H198:I198"/>
    <mergeCell ref="K198:L198"/>
    <mergeCell ref="H199:I199"/>
    <mergeCell ref="K199:L199"/>
    <mergeCell ref="H200:I200"/>
    <mergeCell ref="K200:L200"/>
    <mergeCell ref="H195:I195"/>
    <mergeCell ref="K195:L195"/>
    <mergeCell ref="H196:I196"/>
    <mergeCell ref="K196:L196"/>
    <mergeCell ref="H197:I197"/>
    <mergeCell ref="K197:L197"/>
    <mergeCell ref="H192:I192"/>
    <mergeCell ref="K192:L192"/>
    <mergeCell ref="H193:I193"/>
    <mergeCell ref="K193:L193"/>
    <mergeCell ref="H194:I194"/>
    <mergeCell ref="K194:L194"/>
    <mergeCell ref="M188:N188"/>
    <mergeCell ref="H189:I189"/>
    <mergeCell ref="K189:L189"/>
    <mergeCell ref="H190:I190"/>
    <mergeCell ref="K190:L190"/>
    <mergeCell ref="H191:I191"/>
    <mergeCell ref="K191:L191"/>
    <mergeCell ref="H187:I187"/>
    <mergeCell ref="K187:L187"/>
    <mergeCell ref="A188:B188"/>
    <mergeCell ref="C188:D188"/>
    <mergeCell ref="E188:F188"/>
    <mergeCell ref="G188:I188"/>
    <mergeCell ref="J188:L188"/>
    <mergeCell ref="H184:I184"/>
    <mergeCell ref="K184:L184"/>
    <mergeCell ref="H185:I185"/>
    <mergeCell ref="K185:L185"/>
    <mergeCell ref="H186:I186"/>
    <mergeCell ref="K186:L186"/>
    <mergeCell ref="H181:I181"/>
    <mergeCell ref="K181:L181"/>
    <mergeCell ref="H182:I182"/>
    <mergeCell ref="K182:L182"/>
    <mergeCell ref="H183:I183"/>
    <mergeCell ref="K183:L183"/>
    <mergeCell ref="H178:I178"/>
    <mergeCell ref="K178:L178"/>
    <mergeCell ref="H179:I179"/>
    <mergeCell ref="K179:L179"/>
    <mergeCell ref="H180:I180"/>
    <mergeCell ref="K180:L180"/>
    <mergeCell ref="H176:I176"/>
    <mergeCell ref="K176:L176"/>
    <mergeCell ref="H177:I177"/>
    <mergeCell ref="K177:L177"/>
    <mergeCell ref="M171:N171"/>
    <mergeCell ref="H172:I172"/>
    <mergeCell ref="K172:L172"/>
    <mergeCell ref="H173:I173"/>
    <mergeCell ref="K173:L173"/>
    <mergeCell ref="H174:I174"/>
    <mergeCell ref="K174:L174"/>
    <mergeCell ref="K170:L170"/>
    <mergeCell ref="A171:B171"/>
    <mergeCell ref="C171:D171"/>
    <mergeCell ref="E171:F171"/>
    <mergeCell ref="G171:I171"/>
    <mergeCell ref="J171:L171"/>
    <mergeCell ref="H170:I170"/>
    <mergeCell ref="H175:I175"/>
    <mergeCell ref="K175:L175"/>
    <mergeCell ref="K164:L164"/>
    <mergeCell ref="K165:L165"/>
    <mergeCell ref="K166:L166"/>
    <mergeCell ref="H167:I167"/>
    <mergeCell ref="H168:I168"/>
    <mergeCell ref="H169:I169"/>
    <mergeCell ref="H164:I164"/>
    <mergeCell ref="H165:I165"/>
    <mergeCell ref="H166:I166"/>
    <mergeCell ref="K167:L167"/>
    <mergeCell ref="K168:L168"/>
    <mergeCell ref="K169:L169"/>
    <mergeCell ref="K155:L155"/>
    <mergeCell ref="K156:L156"/>
    <mergeCell ref="K157:L157"/>
    <mergeCell ref="K158:L158"/>
    <mergeCell ref="K159:L159"/>
    <mergeCell ref="K160:L160"/>
    <mergeCell ref="H161:I161"/>
    <mergeCell ref="H162:I162"/>
    <mergeCell ref="H163:I163"/>
    <mergeCell ref="H155:I155"/>
    <mergeCell ref="H156:I156"/>
    <mergeCell ref="H157:I157"/>
    <mergeCell ref="H158:I158"/>
    <mergeCell ref="H159:I159"/>
    <mergeCell ref="H160:I160"/>
    <mergeCell ref="K161:L161"/>
    <mergeCell ref="K162:L162"/>
    <mergeCell ref="K163:L163"/>
    <mergeCell ref="A154:B154"/>
    <mergeCell ref="C154:D154"/>
    <mergeCell ref="E154:F154"/>
    <mergeCell ref="G154:I154"/>
    <mergeCell ref="J154:L154"/>
    <mergeCell ref="M154:N154"/>
    <mergeCell ref="K150:L150"/>
    <mergeCell ref="K151:L151"/>
    <mergeCell ref="K152:L152"/>
    <mergeCell ref="K153:L153"/>
    <mergeCell ref="M137:N137"/>
    <mergeCell ref="K144:L144"/>
    <mergeCell ref="K145:L145"/>
    <mergeCell ref="K146:L146"/>
    <mergeCell ref="K147:L147"/>
    <mergeCell ref="K148:L148"/>
    <mergeCell ref="K149:L149"/>
    <mergeCell ref="H153:I153"/>
    <mergeCell ref="J137:L137"/>
    <mergeCell ref="K139:L139"/>
    <mergeCell ref="K140:L140"/>
    <mergeCell ref="K141:L141"/>
    <mergeCell ref="K142:L142"/>
    <mergeCell ref="K143:L143"/>
    <mergeCell ref="H147:I147"/>
    <mergeCell ref="H148:I148"/>
    <mergeCell ref="H149:I149"/>
    <mergeCell ref="H150:I150"/>
    <mergeCell ref="H151:I151"/>
    <mergeCell ref="H152:I152"/>
    <mergeCell ref="H138:I138"/>
    <mergeCell ref="H139:I139"/>
    <mergeCell ref="H140:I140"/>
    <mergeCell ref="H141:I141"/>
    <mergeCell ref="H142:I142"/>
    <mergeCell ref="H143:I143"/>
    <mergeCell ref="H144:I144"/>
    <mergeCell ref="H145:I145"/>
    <mergeCell ref="H146:I146"/>
    <mergeCell ref="V45:W45"/>
    <mergeCell ref="V44:W44"/>
    <mergeCell ref="A137:B137"/>
    <mergeCell ref="C137:D137"/>
    <mergeCell ref="A136:T136"/>
    <mergeCell ref="E137:F137"/>
    <mergeCell ref="G137:I137"/>
    <mergeCell ref="B130:C130"/>
    <mergeCell ref="B131:C131"/>
    <mergeCell ref="B132:C132"/>
    <mergeCell ref="B133:C133"/>
    <mergeCell ref="V49:W49"/>
    <mergeCell ref="V46:W46"/>
    <mergeCell ref="B124:C124"/>
    <mergeCell ref="B125:C125"/>
    <mergeCell ref="B126:C126"/>
    <mergeCell ref="B127:C127"/>
    <mergeCell ref="B128:C128"/>
    <mergeCell ref="B129:C129"/>
    <mergeCell ref="O95:P95"/>
    <mergeCell ref="O96:P96"/>
    <mergeCell ref="O97:P97"/>
    <mergeCell ref="O98:P98"/>
    <mergeCell ref="O99:P99"/>
    <mergeCell ref="O100:P100"/>
    <mergeCell ref="O89:P89"/>
    <mergeCell ref="O90:P90"/>
    <mergeCell ref="O91:P91"/>
    <mergeCell ref="O92:P92"/>
    <mergeCell ref="O93:P93"/>
    <mergeCell ref="O94:P94"/>
    <mergeCell ref="O64:P64"/>
    <mergeCell ref="O65:P65"/>
    <mergeCell ref="O66:P66"/>
    <mergeCell ref="O67:P67"/>
    <mergeCell ref="O58:P58"/>
    <mergeCell ref="O59:P59"/>
    <mergeCell ref="O60:P60"/>
    <mergeCell ref="O61:P61"/>
    <mergeCell ref="O62:P62"/>
    <mergeCell ref="O63:P63"/>
    <mergeCell ref="B94:C94"/>
    <mergeCell ref="B95:C95"/>
    <mergeCell ref="B96:C96"/>
    <mergeCell ref="B97:C97"/>
    <mergeCell ref="B98:C98"/>
    <mergeCell ref="B99:C99"/>
    <mergeCell ref="B66:C66"/>
    <mergeCell ref="B67:C67"/>
    <mergeCell ref="B90:C90"/>
    <mergeCell ref="B91:C91"/>
    <mergeCell ref="B92:C92"/>
    <mergeCell ref="B93:C93"/>
    <mergeCell ref="B58:C58"/>
    <mergeCell ref="B59:C59"/>
    <mergeCell ref="B60:C60"/>
    <mergeCell ref="B61:C61"/>
    <mergeCell ref="B62:C62"/>
    <mergeCell ref="B63:C63"/>
    <mergeCell ref="B64:C64"/>
    <mergeCell ref="B65:C65"/>
    <mergeCell ref="B31:C32"/>
    <mergeCell ref="B33:C33"/>
    <mergeCell ref="B35:C35"/>
    <mergeCell ref="B36:C36"/>
    <mergeCell ref="B34:C34"/>
    <mergeCell ref="A31:A32"/>
    <mergeCell ref="B20:C20"/>
    <mergeCell ref="B21:C21"/>
    <mergeCell ref="B22:C22"/>
    <mergeCell ref="B23:C23"/>
    <mergeCell ref="B24:C25"/>
    <mergeCell ref="B26:C27"/>
    <mergeCell ref="B28:C28"/>
    <mergeCell ref="B29:C30"/>
    <mergeCell ref="A24:A25"/>
    <mergeCell ref="A26:A27"/>
    <mergeCell ref="A29:A30"/>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D8849-FB34-43D6-AAFF-5A5CC7B2022B}">
  <dimension ref="A1:BJ238"/>
  <sheetViews>
    <sheetView topLeftCell="A94" zoomScale="55" zoomScaleNormal="55" workbookViewId="0">
      <selection activeCell="T138" sqref="T138"/>
    </sheetView>
  </sheetViews>
  <sheetFormatPr defaultRowHeight="14.5" x14ac:dyDescent="0.35"/>
  <cols>
    <col min="1" max="1" width="20.1796875" customWidth="1"/>
    <col min="2" max="2" width="17.1796875" customWidth="1"/>
    <col min="3" max="3" width="44.36328125" customWidth="1"/>
    <col min="4" max="4" width="28.6328125" customWidth="1"/>
    <col min="5" max="5" width="16.81640625" customWidth="1"/>
    <col min="6" max="6" width="34.453125" customWidth="1"/>
    <col min="7" max="7" width="18.90625" customWidth="1"/>
    <col min="8" max="8" width="16.90625" customWidth="1"/>
    <col min="9" max="9" width="23.90625" customWidth="1"/>
    <col min="10" max="10" width="18.90625" customWidth="1"/>
    <col min="11" max="11" width="14.36328125" customWidth="1"/>
    <col min="12" max="12" width="19.08984375" customWidth="1"/>
    <col min="13" max="13" width="21.1796875" style="25" customWidth="1"/>
    <col min="14" max="14" width="22.7265625" customWidth="1"/>
    <col min="15" max="15" width="66.81640625" customWidth="1"/>
    <col min="16" max="16" width="34.81640625" customWidth="1"/>
    <col min="17" max="17" width="14" customWidth="1"/>
    <col min="18" max="18" width="18.08984375" bestFit="1" customWidth="1"/>
    <col min="19" max="19" width="20.08984375" customWidth="1"/>
    <col min="20" max="20" width="20.26953125" customWidth="1"/>
    <col min="21" max="21" width="21.1796875" customWidth="1"/>
    <col min="22" max="22" width="16.1796875" customWidth="1"/>
    <col min="23" max="23" width="18.08984375" bestFit="1" customWidth="1"/>
    <col min="24" max="24" width="10.26953125" customWidth="1"/>
    <col min="25" max="25" width="16.81640625" customWidth="1"/>
    <col min="27" max="27" width="20.6328125" customWidth="1"/>
    <col min="28" max="28" width="13.7265625" customWidth="1"/>
    <col min="29" max="29" width="7.36328125" customWidth="1"/>
    <col min="30" max="30" width="83.81640625" customWidth="1"/>
    <col min="31" max="31" width="31.08984375" customWidth="1"/>
    <col min="32" max="32" width="10.7265625" customWidth="1"/>
    <col min="33" max="33" width="12.36328125" customWidth="1"/>
    <col min="34" max="34" width="16.6328125" customWidth="1"/>
    <col min="35" max="35" width="13.36328125" customWidth="1"/>
    <col min="36" max="36" width="21.6328125" customWidth="1"/>
    <col min="37" max="37" width="21.54296875" bestFit="1" customWidth="1"/>
    <col min="38" max="38" width="11.6328125" customWidth="1"/>
    <col min="40" max="40" width="21.54296875" bestFit="1" customWidth="1"/>
    <col min="41" max="41" width="14.7265625" customWidth="1"/>
    <col min="45" max="45" width="25.6328125" bestFit="1" customWidth="1"/>
    <col min="46" max="46" width="12.08984375" customWidth="1"/>
    <col min="47" max="47" width="23.54296875" customWidth="1"/>
    <col min="48" max="48" width="17.453125" customWidth="1"/>
    <col min="49" max="49" width="12" customWidth="1"/>
    <col min="50" max="50" width="24.90625" customWidth="1"/>
    <col min="51" max="51" width="16" customWidth="1"/>
    <col min="52" max="52" width="11.26953125" customWidth="1"/>
    <col min="53" max="53" width="20.36328125" customWidth="1"/>
    <col min="54" max="54" width="16.6328125" customWidth="1"/>
    <col min="56" max="56" width="32.81640625" customWidth="1"/>
    <col min="57" max="57" width="41.1796875" customWidth="1"/>
    <col min="59" max="59" width="21.54296875" bestFit="1" customWidth="1"/>
    <col min="60" max="60" width="33.453125" customWidth="1"/>
    <col min="61" max="61" width="47" bestFit="1" customWidth="1"/>
    <col min="62" max="62" width="23.26953125" customWidth="1"/>
    <col min="63" max="63" width="18.90625" customWidth="1"/>
    <col min="64" max="64" width="9.453125" customWidth="1"/>
    <col min="67" max="67" width="14.54296875" customWidth="1"/>
    <col min="68" max="68" width="18" customWidth="1"/>
    <col min="71" max="73" width="8.7265625" customWidth="1"/>
    <col min="74" max="74" width="17.453125" customWidth="1"/>
    <col min="75" max="75" width="16.54296875" customWidth="1"/>
    <col min="76" max="76" width="23.26953125" customWidth="1"/>
    <col min="77" max="77" width="24.453125" customWidth="1"/>
    <col min="78" max="79" width="8.7265625" customWidth="1"/>
    <col min="80" max="80" width="22.81640625" customWidth="1"/>
    <col min="81" max="81" width="48.08984375" customWidth="1"/>
    <col min="82" max="82" width="26.08984375" customWidth="1"/>
    <col min="83" max="83" width="29.08984375" customWidth="1"/>
    <col min="84" max="84" width="20.1796875" customWidth="1"/>
    <col min="85" max="85" width="56.453125" customWidth="1"/>
    <col min="86" max="86" width="24.54296875" customWidth="1"/>
  </cols>
  <sheetData>
    <row r="1" spans="1:62" ht="15" thickBot="1" x14ac:dyDescent="0.4">
      <c r="A1" s="41" t="s">
        <v>0</v>
      </c>
      <c r="B1" s="42" t="s">
        <v>53</v>
      </c>
      <c r="C1" s="157" t="s">
        <v>342</v>
      </c>
      <c r="D1" s="43" t="s">
        <v>0</v>
      </c>
      <c r="E1" s="44" t="s">
        <v>186</v>
      </c>
      <c r="F1" s="157" t="s">
        <v>342</v>
      </c>
      <c r="G1" s="50" t="s">
        <v>0</v>
      </c>
      <c r="H1" s="51" t="s">
        <v>55</v>
      </c>
      <c r="I1" s="157" t="s">
        <v>343</v>
      </c>
      <c r="J1" s="41" t="s">
        <v>0</v>
      </c>
      <c r="K1" s="42" t="s">
        <v>30</v>
      </c>
      <c r="L1" s="301" t="s">
        <v>431</v>
      </c>
      <c r="N1" s="150" t="s">
        <v>225</v>
      </c>
      <c r="O1" s="213" t="s">
        <v>0</v>
      </c>
      <c r="P1" s="317" t="s">
        <v>30</v>
      </c>
      <c r="Q1" s="328">
        <f>N6+K2</f>
        <v>605</v>
      </c>
      <c r="T1" s="43" t="s">
        <v>0</v>
      </c>
      <c r="U1" s="44" t="s">
        <v>212</v>
      </c>
      <c r="V1" s="301">
        <f>S6+N71</f>
        <v>600</v>
      </c>
      <c r="Y1" s="50" t="s">
        <v>0</v>
      </c>
      <c r="Z1" s="51" t="s">
        <v>55</v>
      </c>
      <c r="AA1" s="328">
        <f>X6+N40</f>
        <v>827.99999999999989</v>
      </c>
      <c r="AC1" s="142" t="s">
        <v>347</v>
      </c>
      <c r="AD1" s="142"/>
      <c r="AE1" s="41" t="s">
        <v>0</v>
      </c>
      <c r="AF1" s="42" t="s">
        <v>30</v>
      </c>
      <c r="AG1" s="156"/>
      <c r="AH1" s="43" t="s">
        <v>0</v>
      </c>
      <c r="AI1" s="44" t="s">
        <v>186</v>
      </c>
      <c r="AJ1" s="157"/>
      <c r="AK1" s="50" t="s">
        <v>0</v>
      </c>
      <c r="AL1" s="51" t="s">
        <v>55</v>
      </c>
      <c r="AN1" s="32" t="s">
        <v>0</v>
      </c>
      <c r="AO1" s="32" t="s">
        <v>58</v>
      </c>
      <c r="AQ1" s="32" t="s">
        <v>0</v>
      </c>
      <c r="AR1" s="32" t="s">
        <v>79</v>
      </c>
      <c r="AT1" s="32" t="s">
        <v>0</v>
      </c>
      <c r="AU1" s="32" t="s">
        <v>170</v>
      </c>
      <c r="AX1" s="141" t="s">
        <v>187</v>
      </c>
      <c r="AY1" s="145" t="s">
        <v>210</v>
      </c>
      <c r="AZ1" s="146">
        <f>425+166-65-45</f>
        <v>481</v>
      </c>
      <c r="BA1" s="144" t="s">
        <v>189</v>
      </c>
      <c r="BB1" s="143" t="s">
        <v>190</v>
      </c>
      <c r="BC1" s="142" t="s">
        <v>191</v>
      </c>
      <c r="BD1" s="149" t="s">
        <v>199</v>
      </c>
      <c r="BE1" s="69" t="s">
        <v>201</v>
      </c>
      <c r="BF1" s="97" t="s">
        <v>203</v>
      </c>
      <c r="BG1" s="150" t="s">
        <v>204</v>
      </c>
      <c r="BH1" s="151" t="s">
        <v>206</v>
      </c>
      <c r="BI1" s="71" t="s">
        <v>242</v>
      </c>
      <c r="BJ1" s="144" t="s">
        <v>270</v>
      </c>
    </row>
    <row r="2" spans="1:62" x14ac:dyDescent="0.35">
      <c r="A2" s="36" t="s">
        <v>1</v>
      </c>
      <c r="B2" s="136">
        <v>605</v>
      </c>
      <c r="C2" s="154" t="s">
        <v>324</v>
      </c>
      <c r="D2" s="45" t="s">
        <v>1</v>
      </c>
      <c r="E2" s="351">
        <v>600</v>
      </c>
      <c r="F2" t="s">
        <v>223</v>
      </c>
      <c r="G2" s="52" t="s">
        <v>1</v>
      </c>
      <c r="H2" s="93">
        <v>720</v>
      </c>
      <c r="I2" s="116" t="s">
        <v>331</v>
      </c>
      <c r="J2" s="36" t="s">
        <v>1</v>
      </c>
      <c r="K2" s="136">
        <f>B2</f>
        <v>605</v>
      </c>
      <c r="L2" s="302">
        <f>K2/B2</f>
        <v>1</v>
      </c>
      <c r="M2" s="25" t="s">
        <v>99</v>
      </c>
      <c r="O2" s="216" t="s">
        <v>1</v>
      </c>
      <c r="P2" s="333">
        <f>IF(Q1&gt;B2,B2,K2+N6)</f>
        <v>605</v>
      </c>
      <c r="Q2" s="329">
        <f>IF(N3=1,$G$20+K2+$B$9+B35*10+E35,IF(N3=2,$G$21+K2+$B$9+B35*10+E35, IF(N3=3,$G$22+K2+$B$9+B35*10+E35,  IF(N3=4,$G$23+K2+$B$9+B35*10+E35,  IF(N3=5,$G$24+K2+$B$9+B35*10+E35,  IF(N3=6,$G$26+K2+$B$9+B35*10+E35,  IF(N3=7,$G$28+K2+$B$9+B35*10+E35,  IF(N3=9,$G$31+K2+$B$9+B35*10+E35,  IF(N3=10,$G$33+K2+$B$9+B35*10+E35,0)))))))))</f>
        <v>0</v>
      </c>
      <c r="T2" s="45" t="s">
        <v>1</v>
      </c>
      <c r="U2" s="46">
        <f>IF(J20="ours",IF(V1&gt;E2*1.1,E2*1.1,S6+N71),IF(V1&gt;E2,E2,S6+N71))</f>
        <v>600</v>
      </c>
      <c r="V2" s="6">
        <f>IF(S3=1,$G$20+E2+$B$9+B35*10+$E$35,IF(S3=2,$G$21+E2+$B$9+B35*10+$E$35, IF(S3=3,$G$22+E2+$B$9+B35*10+$E$35,  IF(S3=4,$G$23+E2+$B$9+B35*10+$E$35,  IF(S3=5,$G$24+E2+$B$9+B35*10+$E$35,  IF(S3=6,$G$26+E2+$B$9+B35*10+$E$35,  IF(S3=7,$G$28+E2+$B$9+B35*10+$E$35,  IF(S3=9,$G$31+E2+$B$9+B35*10+$E$35,  IF(S3=10,$G$33+E2+$B$9+B35*10+$E$35,0)))))))))</f>
        <v>0</v>
      </c>
      <c r="Y2" s="52" t="s">
        <v>1</v>
      </c>
      <c r="Z2" s="92" cm="1">
        <f t="array" ref="Z2">IF(J20="ours",IF(Q41=1,IF(AA1+X6&gt;H2*1.15*1.1,H2*1.15*1.1,N40+X6), IF(AA1+X6&gt;H2*1.1,H2*1.1,N40+X6)),IF(Q41=1,IF(AA1+X6&gt;H2*1.15,H2*1.15,N40+X6), IF(AA1+X6&gt;H2H2,N40+X6)))</f>
        <v>827.99999999999989</v>
      </c>
      <c r="AA2" s="6">
        <f>IF(Q41=1,(IF(X3=1,$G$20+H2*1.15+$B$9+$B$36*10+$E$36,IF(X3=2,$G$21+H2*1.15+$B$9+$B$36*10+$E$36, IF(X3=3,$G$22+H2*1.15+$B$9+$B$35606+$E$36,  IF(X3=4,$G$23+H2*1.15+$B$9+$B$36*10+$E$36,  IF(X3=5,$G$24+H2*1.15+$B$9+$B$36*10+$E$36,  IF(X3=6,$G$26+H2*1.15+$B$9+$B$36*10+$E$36,  IF(X3=7,$G$28+H2*1.15+$B$9+$B$36*10+$E$36,  IF(X3=9,$G$31+H2*1.15+$B$9+$B$36*10+$E$36,  IF(X3=10,$G$33+H2*1.15+$B$9+$B$36*10+$E$36,H2*1.15)))))))))),IF(X3=1,$G$20+H2+$B$9+$B$36*10+$E$36,IF(X3=2,$G$21+H2+$B$9+$B$36*10+$E$36, IF(X3=3,$G$22+H2+$B$9+$B$35606+$E$36,  IF(X3=4,$G$23+H2+$B$9+$B$36*10+$E$36,  IF(X3=5,$G$24+H2+$B$9+$B$36*10+$E$36,  IF(X3=6,$G$26+H2+$B$9+$B$36*10+$E$36,  IF(X3=7,$G$28+H2+$B$9+$B$36*10+$E$36,  IF(X3=9,$G$31+H2+$B$9+$B$36*10+$E$36,  IF(X3=10,$G$33+H2+$B$9+$B$36*10+$E$36,H2))))))))))</f>
        <v>827.99999999999989</v>
      </c>
      <c r="AC2" s="237" t="s">
        <v>1</v>
      </c>
      <c r="AD2" s="142">
        <f>IF(N6+AF2&gt;B2,B2,N6+AF2)</f>
        <v>605</v>
      </c>
      <c r="AE2" s="36" t="s">
        <v>1</v>
      </c>
      <c r="AF2" s="136">
        <f>K2-V169-AM169-AX169-BI169</f>
        <v>605</v>
      </c>
      <c r="AG2" s="237">
        <f>IF(AI2+S6&gt;E2,E2,AI2+S6)</f>
        <v>267</v>
      </c>
      <c r="AH2" s="45" t="s">
        <v>1</v>
      </c>
      <c r="AI2" s="351">
        <f>N71-V172-AM172-AX172-BI172</f>
        <v>267</v>
      </c>
      <c r="AJ2" s="237">
        <f>IF(Q41=1,IF(AL2+X6&gt;H2*1.15,H2*1.15,AL2+X6), IF(Q41=2,IF(AL2+X6&gt;H2,H2,AL2+X6), IF(Q41=3,IF(AL2+X6&gt;H2,H2,AL2+X6),"quelle inspiration?")))</f>
        <v>406.99999999999989</v>
      </c>
      <c r="AK2" s="52" t="s">
        <v>1</v>
      </c>
      <c r="AL2" s="338">
        <f>IF(Q38=3,(T40-V173*0.93-AM173*0.93-AX173*0.93-BI173*0.93),T40-V173-AM173-AX173-BI173)</f>
        <v>406.99999999999989</v>
      </c>
      <c r="AN2" s="32" t="s">
        <v>1</v>
      </c>
      <c r="AO2" s="57">
        <f>IF((H40-V170-AM170-AX170-BI170 + IF(E44=4,0.5*E45,0))&gt;B2,B2, H40-V170-AM170-AX170-BI170 + IF(E44=4,0.5*E45,0))</f>
        <v>605</v>
      </c>
      <c r="AQ2" s="32" t="s">
        <v>1</v>
      </c>
      <c r="AR2" s="236">
        <f>H72-V171-AM171-AX171-BI171</f>
        <v>665.5</v>
      </c>
      <c r="AT2" s="32" t="s">
        <v>1</v>
      </c>
      <c r="AU2" s="32">
        <f>H106-V174-AM174-AX174-BI174</f>
        <v>605</v>
      </c>
      <c r="AY2" s="145" t="s">
        <v>211</v>
      </c>
      <c r="AZ2" s="146">
        <f>375+167+50</f>
        <v>592</v>
      </c>
      <c r="BA2" s="2" t="s">
        <v>188</v>
      </c>
      <c r="BB2" s="2" t="s">
        <v>196</v>
      </c>
      <c r="BC2" s="2" t="s">
        <v>216</v>
      </c>
      <c r="BD2" s="116" t="s">
        <v>200</v>
      </c>
      <c r="BE2" s="147" t="s">
        <v>202</v>
      </c>
      <c r="BF2" s="152" t="s">
        <v>246</v>
      </c>
      <c r="BG2" s="116"/>
      <c r="BH2" s="147" t="s">
        <v>207</v>
      </c>
      <c r="BI2" s="147" t="s">
        <v>243</v>
      </c>
      <c r="BJ2" s="152" t="s">
        <v>271</v>
      </c>
    </row>
    <row r="3" spans="1:62" x14ac:dyDescent="0.35">
      <c r="A3" s="36" t="s">
        <v>2</v>
      </c>
      <c r="B3" s="136">
        <v>369</v>
      </c>
      <c r="C3" s="116" t="s">
        <v>299</v>
      </c>
      <c r="D3" s="45" t="s">
        <v>2</v>
      </c>
      <c r="E3" s="351">
        <v>141</v>
      </c>
      <c r="F3" t="s">
        <v>222</v>
      </c>
      <c r="G3" s="52" t="s">
        <v>2</v>
      </c>
      <c r="H3" s="93">
        <v>0</v>
      </c>
      <c r="I3" t="s">
        <v>241</v>
      </c>
      <c r="J3" s="36" t="s">
        <v>2</v>
      </c>
      <c r="K3" s="136">
        <f t="shared" ref="K3:K13" si="0">B3</f>
        <v>369</v>
      </c>
      <c r="M3" s="244" t="s">
        <v>51</v>
      </c>
      <c r="N3" s="25"/>
      <c r="O3" s="216" t="s">
        <v>2</v>
      </c>
      <c r="P3" s="333">
        <f>IF(N3=1,K3-$E$20,IF(N3=2,K3-$E$21,IF(N3=3,K3-$E$22,IF(N3=4,K3-$E$23,IF(N3=5,K3-$E$24,IF(N3=6,K3-$E$26,IF(N3=7,K3-$E$28,IF(N3=8,K3-$E$29,IF(N3=9,K3-$E$31,IF(N3=10,K3-$E$33,IF(S3=1,K3-$E$20,IF(S3=2,K3-$E$21,IF(S3=3,K3-$E$22,IF(S3=4,K3-$E$23,IF(S3=5,K3-$E$24,IF(S3=6,K3-$E$26,IF(S3=7,K3-$E$28,IF(S3=8,K3-$E$29,IF(S3=9,K3-$E$31,IF(S3=10,K3-$E$33,IF(X3=1, K3-$E$20, IF(X3=2,K3-$E$21,IF(X3=3, K3-$E$22,IF(X3=4, K3-$E$23,IF(X3=5, K3-$E$24,IF(X3=6, K3-$E$26,IF(X3=7, K3-$E$28,IF(X3=8, K3-$E$29,IF(X3=9, K3-$E$31,IF(X3=10, K3-$E$33,K3))))))))))))))))))))))))))))))</f>
        <v>369</v>
      </c>
      <c r="Q3" s="327" t="s">
        <v>437</v>
      </c>
      <c r="R3" s="9" t="s">
        <v>51</v>
      </c>
      <c r="T3" s="45" t="s">
        <v>2</v>
      </c>
      <c r="U3" s="46"/>
      <c r="V3" s="327" t="s">
        <v>437</v>
      </c>
      <c r="W3" s="9" t="s">
        <v>51</v>
      </c>
      <c r="Y3" s="52" t="s">
        <v>2</v>
      </c>
      <c r="Z3" s="53"/>
      <c r="AA3" s="327" t="s">
        <v>437</v>
      </c>
      <c r="AE3" s="36" t="s">
        <v>2</v>
      </c>
      <c r="AF3" s="136">
        <f t="shared" ref="AF3:AF16" si="1">K3</f>
        <v>369</v>
      </c>
      <c r="AG3" s="34"/>
      <c r="AH3" s="45" t="s">
        <v>2</v>
      </c>
      <c r="AI3" s="351">
        <f t="shared" ref="AI3:AI16" si="2">T72</f>
        <v>141</v>
      </c>
      <c r="AK3" s="52" t="s">
        <v>2</v>
      </c>
      <c r="AL3" s="338">
        <f t="shared" ref="AL3:AL16" si="3">N41</f>
        <v>0</v>
      </c>
      <c r="AN3" s="32" t="s">
        <v>2</v>
      </c>
      <c r="AO3" s="57">
        <f t="shared" ref="AO3:AO16" si="4">B41</f>
        <v>369</v>
      </c>
      <c r="AQ3" s="32" t="s">
        <v>2</v>
      </c>
      <c r="AR3" s="57">
        <f t="shared" ref="AR3:AR16" si="5">B73</f>
        <v>369</v>
      </c>
      <c r="AT3" s="32" t="s">
        <v>2</v>
      </c>
      <c r="AU3" s="32">
        <f t="shared" ref="AU3:AU16" si="6">B107</f>
        <v>369</v>
      </c>
      <c r="AY3" s="145" t="s">
        <v>213</v>
      </c>
      <c r="AZ3" s="146">
        <f>325+167-120-160-60</f>
        <v>152</v>
      </c>
      <c r="BA3" s="2" t="s">
        <v>214</v>
      </c>
      <c r="BB3" s="147" t="s">
        <v>197</v>
      </c>
      <c r="BC3" s="2" t="s">
        <v>325</v>
      </c>
      <c r="BF3" s="2" t="s">
        <v>251</v>
      </c>
      <c r="BG3" s="154" t="s">
        <v>215</v>
      </c>
      <c r="BH3" s="10" t="s">
        <v>286</v>
      </c>
      <c r="BI3" s="152" t="s">
        <v>269</v>
      </c>
    </row>
    <row r="4" spans="1:62" x14ac:dyDescent="0.35">
      <c r="A4" s="36" t="s">
        <v>3</v>
      </c>
      <c r="B4" s="136">
        <v>126</v>
      </c>
      <c r="C4" s="116" t="s">
        <v>344</v>
      </c>
      <c r="D4" s="45" t="s">
        <v>3</v>
      </c>
      <c r="E4" s="351">
        <v>445</v>
      </c>
      <c r="F4" s="116" t="s">
        <v>259</v>
      </c>
      <c r="G4" s="52" t="s">
        <v>3</v>
      </c>
      <c r="H4" s="93">
        <v>0</v>
      </c>
      <c r="I4" t="s">
        <v>260</v>
      </c>
      <c r="J4" s="36" t="s">
        <v>3</v>
      </c>
      <c r="K4" s="136">
        <f t="shared" si="0"/>
        <v>126</v>
      </c>
      <c r="M4" s="25" t="s">
        <v>100</v>
      </c>
      <c r="N4">
        <f ca="1">RANDBETWEEN(1,100)</f>
        <v>87</v>
      </c>
      <c r="O4" s="216" t="s">
        <v>3</v>
      </c>
      <c r="P4" s="333">
        <v>21</v>
      </c>
      <c r="Q4" s="327">
        <f>IF(Q1-P2&lt;0,0,Q1-P2)</f>
        <v>0</v>
      </c>
      <c r="R4" t="s">
        <v>100</v>
      </c>
      <c r="S4">
        <f ca="1">RANDBETWEEN(1,100)</f>
        <v>80</v>
      </c>
      <c r="T4" s="45" t="s">
        <v>3</v>
      </c>
      <c r="U4" s="46"/>
      <c r="V4" s="327">
        <f>IF(J20="ours",IF(V1-E2*1.1&gt;0,V1-U2,0), IF(V1-E2&gt;0, V1-U2,0))</f>
        <v>0</v>
      </c>
      <c r="W4" t="s">
        <v>100</v>
      </c>
      <c r="X4">
        <f ca="1">RANDBETWEEN(1,100)</f>
        <v>80</v>
      </c>
      <c r="Y4" s="52" t="s">
        <v>3</v>
      </c>
      <c r="Z4" s="53"/>
      <c r="AA4" s="327">
        <f>IF(AA1-Z2&lt;0,0,AA1-Z2)</f>
        <v>0</v>
      </c>
      <c r="AE4" s="36" t="s">
        <v>3</v>
      </c>
      <c r="AF4" s="136">
        <f t="shared" si="1"/>
        <v>126</v>
      </c>
      <c r="AG4" s="34"/>
      <c r="AH4" s="45" t="s">
        <v>3</v>
      </c>
      <c r="AI4" s="351">
        <f t="shared" si="2"/>
        <v>385</v>
      </c>
      <c r="AK4" s="52" t="s">
        <v>3</v>
      </c>
      <c r="AL4" s="338">
        <f t="shared" si="3"/>
        <v>0</v>
      </c>
      <c r="AN4" s="32" t="s">
        <v>3</v>
      </c>
      <c r="AO4" s="57">
        <f t="shared" si="4"/>
        <v>126</v>
      </c>
      <c r="AQ4" s="32" t="s">
        <v>3</v>
      </c>
      <c r="AR4" s="57">
        <f t="shared" si="5"/>
        <v>126</v>
      </c>
      <c r="AT4" s="32" t="s">
        <v>3</v>
      </c>
      <c r="AU4" s="32">
        <f t="shared" si="6"/>
        <v>126</v>
      </c>
      <c r="BA4" s="2" t="s">
        <v>258</v>
      </c>
      <c r="BB4" s="152" t="s">
        <v>209</v>
      </c>
      <c r="BC4" s="2" t="s">
        <v>192</v>
      </c>
      <c r="BF4" s="2" t="s">
        <v>252</v>
      </c>
      <c r="BG4" s="116" t="s">
        <v>328</v>
      </c>
      <c r="BH4" s="147" t="s">
        <v>257</v>
      </c>
      <c r="BI4" s="154" t="s">
        <v>288</v>
      </c>
    </row>
    <row r="5" spans="1:62" x14ac:dyDescent="0.35">
      <c r="A5" s="36" t="s">
        <v>4</v>
      </c>
      <c r="B5" s="136"/>
      <c r="C5" s="116" t="s">
        <v>300</v>
      </c>
      <c r="D5" s="45" t="s">
        <v>4</v>
      </c>
      <c r="E5" s="351"/>
      <c r="F5" s="116" t="s">
        <v>301</v>
      </c>
      <c r="G5" s="52" t="s">
        <v>4</v>
      </c>
      <c r="H5" s="93">
        <v>20</v>
      </c>
      <c r="I5" s="152" t="s">
        <v>334</v>
      </c>
      <c r="J5" s="36" t="s">
        <v>4</v>
      </c>
      <c r="K5" s="136">
        <f t="shared" si="0"/>
        <v>0</v>
      </c>
      <c r="M5" s="25" t="s">
        <v>52</v>
      </c>
      <c r="N5" t="s">
        <v>53</v>
      </c>
      <c r="O5" s="216" t="s">
        <v>4</v>
      </c>
      <c r="P5" s="333"/>
      <c r="R5" t="s">
        <v>52</v>
      </c>
      <c r="S5" t="s">
        <v>212</v>
      </c>
      <c r="T5" s="45" t="s">
        <v>4</v>
      </c>
      <c r="U5" s="46"/>
      <c r="W5" t="s">
        <v>52</v>
      </c>
      <c r="X5" t="s">
        <v>55</v>
      </c>
      <c r="Y5" s="52" t="s">
        <v>4</v>
      </c>
      <c r="Z5" s="53"/>
      <c r="AE5" s="36" t="s">
        <v>4</v>
      </c>
      <c r="AF5" s="136">
        <f t="shared" si="1"/>
        <v>0</v>
      </c>
      <c r="AG5" s="34"/>
      <c r="AH5" s="45" t="s">
        <v>4</v>
      </c>
      <c r="AI5" s="351">
        <f t="shared" si="2"/>
        <v>0</v>
      </c>
      <c r="AK5" s="52" t="s">
        <v>4</v>
      </c>
      <c r="AL5" s="338">
        <f t="shared" si="3"/>
        <v>20</v>
      </c>
      <c r="AN5" s="32" t="s">
        <v>4</v>
      </c>
      <c r="AO5" s="57">
        <f t="shared" si="4"/>
        <v>0</v>
      </c>
      <c r="AQ5" s="32" t="s">
        <v>4</v>
      </c>
      <c r="AR5" s="57">
        <f t="shared" si="5"/>
        <v>0</v>
      </c>
      <c r="AT5" s="32" t="s">
        <v>4</v>
      </c>
      <c r="AU5" s="32">
        <f t="shared" si="6"/>
        <v>0</v>
      </c>
      <c r="BA5" s="152" t="s">
        <v>272</v>
      </c>
      <c r="BB5" s="152" t="s">
        <v>245</v>
      </c>
      <c r="BC5" s="2" t="s">
        <v>193</v>
      </c>
      <c r="BF5" s="116" t="s">
        <v>262</v>
      </c>
      <c r="BG5" s="2" t="s">
        <v>285</v>
      </c>
      <c r="BH5" s="116" t="s">
        <v>268</v>
      </c>
    </row>
    <row r="6" spans="1:62" x14ac:dyDescent="0.35">
      <c r="A6" s="36" t="s">
        <v>6</v>
      </c>
      <c r="B6" s="136">
        <v>80</v>
      </c>
      <c r="C6" s="116" t="s">
        <v>335</v>
      </c>
      <c r="D6" s="45" t="s">
        <v>6</v>
      </c>
      <c r="E6" s="351">
        <v>60</v>
      </c>
      <c r="F6" s="116" t="s">
        <v>303</v>
      </c>
      <c r="G6" s="52" t="s">
        <v>6</v>
      </c>
      <c r="H6" s="93">
        <v>85</v>
      </c>
      <c r="I6" s="152" t="s">
        <v>330</v>
      </c>
      <c r="J6" s="36" t="s">
        <v>6</v>
      </c>
      <c r="K6" s="136">
        <f>B6+L6*B6</f>
        <v>108</v>
      </c>
      <c r="L6" s="3">
        <v>0.35</v>
      </c>
      <c r="M6" s="25" t="s">
        <v>249</v>
      </c>
      <c r="N6" cm="1">
        <f t="array" ref="N6">IF(N3=1,$G$20+$B$9+B34*10+E34,IF(N3=2,$G$21+$B$9+B34*10+E34, IF(N3=3,$G$22+$B$9+B34*10+E34,  IF(N3=4,$G$23+$B$9+B34*10+E3é4,  IF(N3=5,$G$24+$B$9+B34*10+E34,  IF(N3=6,$G$26+$B$9+B34*10+E34,  IF(N3=7,$G$28+$B$9+B34*10+E34,  IF(N3=9,$G$31+$B$9+B34*10+E34,  IF(N3=10,$G$33+G33*0.2*B34+$B$9+B34*10+E34,0)))))))))</f>
        <v>0</v>
      </c>
      <c r="O6" s="216" t="s">
        <v>6</v>
      </c>
      <c r="P6" s="333">
        <f>K6</f>
        <v>108</v>
      </c>
      <c r="R6" t="s">
        <v>249</v>
      </c>
      <c r="S6">
        <f>IF(S3=1,$G$20+$B$9+B35*10+E35,IF(S3=2,$G$21+$B$9+B35*10+E35, IF(S3=3,$G$22+$B$9+B35*10+E35,  IF(S3=4,$G$23+$B$9+B35*10+E35,  IF(S3=5,$G$24+$B$9+B35*10+E35,  IF(S3=6,$G$26+$B$9+B35*10+E35,  IF(S3=7,$G$28+$B$9+B35*10+E35,  IF(S3=9,$G$31+$B$9+B35*10+E35,  IF(S3=10,$G$33+G33*0.2*B35+$B$9+B35*10+E35,0)))))))))</f>
        <v>0</v>
      </c>
      <c r="T6" s="45" t="s">
        <v>6</v>
      </c>
      <c r="U6" s="46"/>
      <c r="W6" t="s">
        <v>249</v>
      </c>
      <c r="X6">
        <f>IF(X3=1,$G$20+$B$9+B36*10+E36,IF(X3=2,$G$21+$B$9+B36*10+E36, IF(X3=3,$G$22+$B$9+B36*10+E36,  IF(X3=4,$G$23+$B$9+B36*10+E36,  IF(X3=5,$G$24+$B$9+B36*10+E36,  IF(X3=6,$G$26+$B$9+B36*10+E36,  IF(X3=7,$G$28+$B$9+B36*10+E36,  IF(X3=9,$G$31+$B$9+B36*10+E36,  IF(X3=10,$G$33+G33*0.2*B36+$B$9+B36*10+E36,0)))))))))</f>
        <v>0</v>
      </c>
      <c r="Y6" s="52" t="s">
        <v>6</v>
      </c>
      <c r="Z6" s="53"/>
      <c r="AE6" s="36" t="s">
        <v>6</v>
      </c>
      <c r="AF6" s="136">
        <f t="shared" si="1"/>
        <v>108</v>
      </c>
      <c r="AG6" s="153"/>
      <c r="AH6" s="45" t="s">
        <v>6</v>
      </c>
      <c r="AI6" s="351">
        <f t="shared" si="2"/>
        <v>60</v>
      </c>
      <c r="AK6" s="52" t="s">
        <v>111</v>
      </c>
      <c r="AL6" s="338">
        <f t="shared" si="3"/>
        <v>85</v>
      </c>
      <c r="AN6" s="32" t="s">
        <v>6</v>
      </c>
      <c r="AO6" s="57">
        <f t="shared" si="4"/>
        <v>80</v>
      </c>
      <c r="AQ6" s="32" t="s">
        <v>6</v>
      </c>
      <c r="AR6" s="57">
        <f t="shared" si="5"/>
        <v>160</v>
      </c>
      <c r="AT6" s="32" t="s">
        <v>6</v>
      </c>
      <c r="AU6" s="32">
        <f t="shared" si="6"/>
        <v>80</v>
      </c>
      <c r="BA6" s="2" t="s">
        <v>289</v>
      </c>
      <c r="BB6" s="2" t="s">
        <v>255</v>
      </c>
      <c r="BC6" s="2" t="s">
        <v>194</v>
      </c>
      <c r="BF6" s="116" t="s">
        <v>263</v>
      </c>
      <c r="BG6" s="2" t="s">
        <v>250</v>
      </c>
      <c r="BH6" s="116" t="s">
        <v>346</v>
      </c>
    </row>
    <row r="7" spans="1:62" x14ac:dyDescent="0.35">
      <c r="A7" s="36" t="s">
        <v>7</v>
      </c>
      <c r="B7" s="136">
        <f>35</f>
        <v>35</v>
      </c>
      <c r="C7" s="116" t="s">
        <v>337</v>
      </c>
      <c r="D7" s="45" t="s">
        <v>7</v>
      </c>
      <c r="E7" s="351">
        <v>47</v>
      </c>
      <c r="F7" s="116" t="s">
        <v>323</v>
      </c>
      <c r="G7" s="52" t="s">
        <v>7</v>
      </c>
      <c r="H7" s="93">
        <v>45</v>
      </c>
      <c r="I7" s="10" t="s">
        <v>336</v>
      </c>
      <c r="J7" s="36" t="s">
        <v>7</v>
      </c>
      <c r="K7" s="136">
        <f>B7</f>
        <v>35</v>
      </c>
      <c r="M7" s="25" t="s">
        <v>355</v>
      </c>
      <c r="N7" s="25">
        <f>(N6+S6+X6)/100</f>
        <v>0</v>
      </c>
      <c r="O7" s="216" t="s">
        <v>7</v>
      </c>
      <c r="P7" s="333">
        <f>K7</f>
        <v>35</v>
      </c>
      <c r="T7" s="45" t="s">
        <v>7</v>
      </c>
      <c r="U7" s="46"/>
      <c r="Y7" s="52" t="s">
        <v>7</v>
      </c>
      <c r="Z7" s="53"/>
      <c r="AE7" s="36" t="s">
        <v>7</v>
      </c>
      <c r="AF7" s="136">
        <f t="shared" si="1"/>
        <v>35</v>
      </c>
      <c r="AG7" s="153"/>
      <c r="AH7" s="45" t="s">
        <v>7</v>
      </c>
      <c r="AI7" s="351">
        <f t="shared" si="2"/>
        <v>47</v>
      </c>
      <c r="AK7" s="52" t="s">
        <v>112</v>
      </c>
      <c r="AL7" s="338">
        <f t="shared" si="3"/>
        <v>45</v>
      </c>
      <c r="AN7" s="32" t="s">
        <v>7</v>
      </c>
      <c r="AO7" s="57">
        <f t="shared" si="4"/>
        <v>35</v>
      </c>
      <c r="AQ7" s="32" t="s">
        <v>7</v>
      </c>
      <c r="AR7" s="57">
        <f t="shared" si="5"/>
        <v>35</v>
      </c>
      <c r="AT7" s="32" t="s">
        <v>7</v>
      </c>
      <c r="AU7" s="32">
        <f t="shared" si="6"/>
        <v>35</v>
      </c>
      <c r="BB7" s="2" t="s">
        <v>256</v>
      </c>
      <c r="BC7" s="116" t="s">
        <v>195</v>
      </c>
      <c r="BF7" s="154" t="s">
        <v>278</v>
      </c>
      <c r="BG7" s="116" t="s">
        <v>297</v>
      </c>
    </row>
    <row r="8" spans="1:62" x14ac:dyDescent="0.35">
      <c r="A8" s="36" t="s">
        <v>10</v>
      </c>
      <c r="B8" s="136">
        <v>10</v>
      </c>
      <c r="C8" s="34"/>
      <c r="D8" s="45" t="s">
        <v>10</v>
      </c>
      <c r="E8" s="351">
        <v>115</v>
      </c>
      <c r="F8" s="116" t="s">
        <v>345</v>
      </c>
      <c r="G8" s="52" t="s">
        <v>10</v>
      </c>
      <c r="H8" s="93">
        <v>30</v>
      </c>
      <c r="J8" s="36" t="s">
        <v>10</v>
      </c>
      <c r="K8" s="136">
        <f t="shared" ref="K8:K18" si="7">B8</f>
        <v>10</v>
      </c>
      <c r="O8" s="216" t="s">
        <v>10</v>
      </c>
      <c r="P8" s="333">
        <f t="shared" ref="P8:P13" si="8">B8</f>
        <v>10</v>
      </c>
      <c r="T8" s="45" t="s">
        <v>10</v>
      </c>
      <c r="U8" s="46"/>
      <c r="Y8" s="52" t="s">
        <v>10</v>
      </c>
      <c r="Z8" s="53"/>
      <c r="AE8" s="36" t="s">
        <v>10</v>
      </c>
      <c r="AF8" s="136">
        <f t="shared" si="1"/>
        <v>10</v>
      </c>
      <c r="AG8" s="34"/>
      <c r="AH8" s="45" t="s">
        <v>10</v>
      </c>
      <c r="AI8" s="351">
        <f t="shared" si="2"/>
        <v>149.5</v>
      </c>
      <c r="AK8" s="52" t="s">
        <v>10</v>
      </c>
      <c r="AL8" s="338">
        <f t="shared" si="3"/>
        <v>30</v>
      </c>
      <c r="AN8" s="32" t="s">
        <v>10</v>
      </c>
      <c r="AO8" s="57">
        <f t="shared" si="4"/>
        <v>10</v>
      </c>
      <c r="AQ8" s="32" t="s">
        <v>10</v>
      </c>
      <c r="AR8" s="57">
        <f t="shared" si="5"/>
        <v>25</v>
      </c>
      <c r="AT8" s="32" t="s">
        <v>10</v>
      </c>
      <c r="AU8" s="32">
        <f t="shared" si="6"/>
        <v>31.5</v>
      </c>
      <c r="BB8" s="116" t="s">
        <v>266</v>
      </c>
      <c r="BC8" s="148" t="s">
        <v>198</v>
      </c>
      <c r="BF8" s="116" t="s">
        <v>338</v>
      </c>
      <c r="BG8" s="116" t="s">
        <v>261</v>
      </c>
    </row>
    <row r="9" spans="1:62" x14ac:dyDescent="0.35">
      <c r="A9" s="36" t="s">
        <v>11</v>
      </c>
      <c r="B9" s="436">
        <f>125*1.1</f>
        <v>137.5</v>
      </c>
      <c r="C9" s="34"/>
      <c r="D9" s="45" t="s">
        <v>11</v>
      </c>
      <c r="E9" s="351">
        <v>15</v>
      </c>
      <c r="G9" s="52" t="s">
        <v>11</v>
      </c>
      <c r="H9" s="93">
        <v>0</v>
      </c>
      <c r="J9" s="36" t="s">
        <v>11</v>
      </c>
      <c r="K9" s="436">
        <f t="shared" si="7"/>
        <v>137.5</v>
      </c>
      <c r="M9" s="432" t="str">
        <f>IF(N3=5, "Regen mana", IF(N3=6, "Regen mana",IF(N3=8, "Regen mana",IF(N3=9, "Regen mana",""))))</f>
        <v/>
      </c>
      <c r="O9" s="216" t="s">
        <v>11</v>
      </c>
      <c r="P9" s="333">
        <f t="shared" si="8"/>
        <v>137.5</v>
      </c>
      <c r="T9" s="45" t="s">
        <v>11</v>
      </c>
      <c r="U9" s="46"/>
      <c r="Y9" s="52" t="s">
        <v>11</v>
      </c>
      <c r="Z9" s="53"/>
      <c r="AE9" s="36" t="s">
        <v>11</v>
      </c>
      <c r="AF9" s="136">
        <f t="shared" si="1"/>
        <v>137.5</v>
      </c>
      <c r="AG9" s="34"/>
      <c r="AH9" s="45" t="s">
        <v>11</v>
      </c>
      <c r="AI9" s="351">
        <f t="shared" si="2"/>
        <v>35</v>
      </c>
      <c r="AK9" s="52" t="s">
        <v>11</v>
      </c>
      <c r="AL9" s="338">
        <f t="shared" si="3"/>
        <v>0</v>
      </c>
      <c r="AN9" s="32" t="s">
        <v>11</v>
      </c>
      <c r="AO9" s="57">
        <f t="shared" si="4"/>
        <v>147.5</v>
      </c>
      <c r="AQ9" s="32" t="s">
        <v>11</v>
      </c>
      <c r="AR9" s="57">
        <f t="shared" si="5"/>
        <v>137.5</v>
      </c>
      <c r="AT9" s="32" t="s">
        <v>11</v>
      </c>
      <c r="AU9" s="32">
        <f t="shared" si="6"/>
        <v>137.5</v>
      </c>
      <c r="BB9" s="116" t="s">
        <v>267</v>
      </c>
      <c r="BC9" s="116" t="s">
        <v>208</v>
      </c>
      <c r="BG9" s="154" t="s">
        <v>277</v>
      </c>
    </row>
    <row r="10" spans="1:62" x14ac:dyDescent="0.35">
      <c r="A10" s="36" t="s">
        <v>15</v>
      </c>
      <c r="B10" s="136"/>
      <c r="C10" s="34"/>
      <c r="D10" s="45" t="s">
        <v>15</v>
      </c>
      <c r="E10" s="351"/>
      <c r="G10" s="52" t="s">
        <v>15</v>
      </c>
      <c r="H10" s="93"/>
      <c r="J10" s="36" t="s">
        <v>15</v>
      </c>
      <c r="K10" s="136">
        <f t="shared" si="7"/>
        <v>0</v>
      </c>
      <c r="O10" s="216" t="s">
        <v>15</v>
      </c>
      <c r="P10" s="333">
        <f t="shared" si="8"/>
        <v>0</v>
      </c>
      <c r="T10" s="45" t="s">
        <v>15</v>
      </c>
      <c r="U10" s="46"/>
      <c r="Y10" s="52" t="s">
        <v>15</v>
      </c>
      <c r="Z10" s="53"/>
      <c r="AE10" s="36" t="s">
        <v>15</v>
      </c>
      <c r="AF10" s="136">
        <f t="shared" si="1"/>
        <v>0</v>
      </c>
      <c r="AG10" s="34"/>
      <c r="AH10" s="45" t="s">
        <v>15</v>
      </c>
      <c r="AI10" s="351">
        <f t="shared" si="2"/>
        <v>0</v>
      </c>
      <c r="AK10" s="52" t="s">
        <v>15</v>
      </c>
      <c r="AL10" s="338">
        <f t="shared" si="3"/>
        <v>0</v>
      </c>
      <c r="AN10" s="32" t="s">
        <v>15</v>
      </c>
      <c r="AO10" s="57">
        <f t="shared" si="4"/>
        <v>0</v>
      </c>
      <c r="AQ10" s="32" t="s">
        <v>15</v>
      </c>
      <c r="AR10" s="57">
        <f t="shared" si="5"/>
        <v>0</v>
      </c>
      <c r="AT10" s="32" t="s">
        <v>15</v>
      </c>
      <c r="AU10" s="32">
        <f t="shared" si="6"/>
        <v>0</v>
      </c>
      <c r="BB10" s="152" t="s">
        <v>280</v>
      </c>
      <c r="BC10" s="2" t="s">
        <v>253</v>
      </c>
      <c r="BG10" s="154" t="s">
        <v>279</v>
      </c>
    </row>
    <row r="11" spans="1:62" x14ac:dyDescent="0.35">
      <c r="A11" s="36" t="s">
        <v>14</v>
      </c>
      <c r="B11" s="333">
        <v>25</v>
      </c>
      <c r="C11" s="35"/>
      <c r="D11" s="45" t="s">
        <v>14</v>
      </c>
      <c r="E11" s="351">
        <v>20</v>
      </c>
      <c r="G11" s="52" t="s">
        <v>14</v>
      </c>
      <c r="H11" s="343">
        <v>12</v>
      </c>
      <c r="I11" s="3">
        <v>0.2</v>
      </c>
      <c r="J11" s="36" t="s">
        <v>14</v>
      </c>
      <c r="K11" s="136">
        <f t="shared" si="7"/>
        <v>25</v>
      </c>
      <c r="O11" s="216" t="s">
        <v>14</v>
      </c>
      <c r="P11" s="333">
        <f t="shared" si="8"/>
        <v>25</v>
      </c>
      <c r="T11" s="45" t="s">
        <v>14</v>
      </c>
      <c r="U11" s="47"/>
      <c r="Y11" s="52" t="s">
        <v>14</v>
      </c>
      <c r="Z11" s="54"/>
      <c r="AE11" s="36" t="s">
        <v>14</v>
      </c>
      <c r="AF11" s="136">
        <f t="shared" si="1"/>
        <v>25</v>
      </c>
      <c r="AG11" s="35"/>
      <c r="AH11" s="45" t="s">
        <v>14</v>
      </c>
      <c r="AI11" s="351">
        <f t="shared" si="2"/>
        <v>20</v>
      </c>
      <c r="AK11" s="52" t="s">
        <v>14</v>
      </c>
      <c r="AL11" s="338">
        <f t="shared" si="3"/>
        <v>14.4</v>
      </c>
      <c r="AN11" s="32" t="s">
        <v>14</v>
      </c>
      <c r="AO11" s="57">
        <f t="shared" si="4"/>
        <v>25</v>
      </c>
      <c r="AQ11" s="32" t="s">
        <v>14</v>
      </c>
      <c r="AR11" s="57">
        <f t="shared" si="5"/>
        <v>25</v>
      </c>
      <c r="AT11" s="32" t="s">
        <v>14</v>
      </c>
      <c r="AU11" s="32">
        <f t="shared" si="6"/>
        <v>45</v>
      </c>
      <c r="BB11" s="152" t="s">
        <v>287</v>
      </c>
      <c r="BC11" s="116" t="s">
        <v>264</v>
      </c>
      <c r="BG11" s="154" t="s">
        <v>282</v>
      </c>
    </row>
    <row r="12" spans="1:62" x14ac:dyDescent="0.35">
      <c r="A12" s="36" t="s">
        <v>8</v>
      </c>
      <c r="B12" s="333">
        <v>20</v>
      </c>
      <c r="C12" s="35"/>
      <c r="D12" s="45" t="s">
        <v>8</v>
      </c>
      <c r="E12" s="351">
        <v>20</v>
      </c>
      <c r="G12" s="52" t="s">
        <v>8</v>
      </c>
      <c r="H12" s="343">
        <v>15</v>
      </c>
      <c r="J12" s="36" t="s">
        <v>8</v>
      </c>
      <c r="K12" s="136">
        <f t="shared" si="7"/>
        <v>20</v>
      </c>
      <c r="O12" s="216" t="s">
        <v>8</v>
      </c>
      <c r="P12" s="333">
        <f t="shared" si="8"/>
        <v>20</v>
      </c>
      <c r="T12" s="45" t="s">
        <v>8</v>
      </c>
      <c r="U12" s="47"/>
      <c r="Y12" s="52" t="s">
        <v>8</v>
      </c>
      <c r="Z12" s="54"/>
      <c r="AE12" s="36" t="s">
        <v>8</v>
      </c>
      <c r="AF12" s="136">
        <f t="shared" si="1"/>
        <v>20</v>
      </c>
      <c r="AG12" s="35"/>
      <c r="AH12" s="45" t="s">
        <v>8</v>
      </c>
      <c r="AI12" s="351">
        <f t="shared" si="2"/>
        <v>20</v>
      </c>
      <c r="AK12" s="52" t="s">
        <v>8</v>
      </c>
      <c r="AL12" s="338">
        <f t="shared" si="3"/>
        <v>15</v>
      </c>
      <c r="AN12" s="32" t="s">
        <v>8</v>
      </c>
      <c r="AO12" s="57">
        <f t="shared" si="4"/>
        <v>20</v>
      </c>
      <c r="AQ12" s="32" t="s">
        <v>8</v>
      </c>
      <c r="AR12" s="57">
        <f t="shared" si="5"/>
        <v>20</v>
      </c>
      <c r="AT12" s="32" t="s">
        <v>8</v>
      </c>
      <c r="AU12" s="32">
        <f t="shared" si="6"/>
        <v>20</v>
      </c>
      <c r="BB12" s="116" t="s">
        <v>295</v>
      </c>
      <c r="BC12" s="116" t="s">
        <v>265</v>
      </c>
      <c r="BG12" s="116" t="s">
        <v>298</v>
      </c>
    </row>
    <row r="13" spans="1:62" x14ac:dyDescent="0.35">
      <c r="A13" s="36" t="s">
        <v>9</v>
      </c>
      <c r="B13" s="333">
        <v>10</v>
      </c>
      <c r="C13" s="35"/>
      <c r="D13" s="45" t="s">
        <v>9</v>
      </c>
      <c r="E13" s="351">
        <v>9.5</v>
      </c>
      <c r="G13" s="52" t="s">
        <v>9</v>
      </c>
      <c r="H13" s="343">
        <v>5</v>
      </c>
      <c r="J13" s="36" t="s">
        <v>9</v>
      </c>
      <c r="K13" s="136">
        <f t="shared" si="7"/>
        <v>10</v>
      </c>
      <c r="O13" s="216" t="s">
        <v>9</v>
      </c>
      <c r="P13" s="333">
        <f t="shared" si="8"/>
        <v>10</v>
      </c>
      <c r="T13" s="45" t="s">
        <v>9</v>
      </c>
      <c r="U13" s="47"/>
      <c r="Y13" s="52" t="s">
        <v>9</v>
      </c>
      <c r="Z13" s="54"/>
      <c r="AE13" s="36" t="s">
        <v>9</v>
      </c>
      <c r="AF13" s="136">
        <f t="shared" si="1"/>
        <v>10</v>
      </c>
      <c r="AG13" s="35"/>
      <c r="AH13" s="45" t="s">
        <v>9</v>
      </c>
      <c r="AI13" s="351">
        <f t="shared" si="2"/>
        <v>9.5</v>
      </c>
      <c r="AK13" s="52" t="s">
        <v>9</v>
      </c>
      <c r="AL13" s="338">
        <f t="shared" si="3"/>
        <v>5</v>
      </c>
      <c r="AN13" s="32" t="s">
        <v>9</v>
      </c>
      <c r="AO13" s="57">
        <f t="shared" si="4"/>
        <v>10</v>
      </c>
      <c r="AQ13" s="32" t="s">
        <v>9</v>
      </c>
      <c r="AR13" s="57">
        <f t="shared" si="5"/>
        <v>10</v>
      </c>
      <c r="AT13" s="32" t="s">
        <v>9</v>
      </c>
      <c r="AU13" s="32">
        <f t="shared" si="6"/>
        <v>15</v>
      </c>
      <c r="BB13" s="116" t="s">
        <v>296</v>
      </c>
      <c r="BC13" s="116" t="s">
        <v>294</v>
      </c>
      <c r="BG13" s="152" t="s">
        <v>329</v>
      </c>
    </row>
    <row r="14" spans="1:62" x14ac:dyDescent="0.35">
      <c r="A14" s="36" t="s">
        <v>12</v>
      </c>
      <c r="B14" s="333">
        <v>4</v>
      </c>
      <c r="C14" s="35"/>
      <c r="D14" s="45" t="s">
        <v>12</v>
      </c>
      <c r="E14" s="139">
        <v>10</v>
      </c>
      <c r="G14" s="52" t="s">
        <v>12</v>
      </c>
      <c r="H14" s="54"/>
      <c r="J14" s="36" t="s">
        <v>12</v>
      </c>
      <c r="K14" s="136">
        <f>B14+E18</f>
        <v>14</v>
      </c>
      <c r="O14" s="216" t="s">
        <v>12</v>
      </c>
      <c r="P14" s="333">
        <f>IF($V$71&lt;0.5,B14+10+E18, B14+E18)</f>
        <v>14</v>
      </c>
      <c r="T14" s="45" t="s">
        <v>12</v>
      </c>
      <c r="U14" s="47"/>
      <c r="Y14" s="52" t="s">
        <v>12</v>
      </c>
      <c r="Z14" s="54"/>
      <c r="AE14" s="36" t="s">
        <v>12</v>
      </c>
      <c r="AF14" s="136">
        <f t="shared" si="1"/>
        <v>14</v>
      </c>
      <c r="AG14" s="35"/>
      <c r="AH14" s="45" t="s">
        <v>12</v>
      </c>
      <c r="AI14" s="351">
        <f t="shared" si="2"/>
        <v>10</v>
      </c>
      <c r="AK14" s="52" t="s">
        <v>12</v>
      </c>
      <c r="AL14" s="338">
        <f t="shared" si="3"/>
        <v>0</v>
      </c>
      <c r="AN14" s="32" t="s">
        <v>12</v>
      </c>
      <c r="AO14" s="57">
        <f t="shared" si="4"/>
        <v>4</v>
      </c>
      <c r="AQ14" s="32" t="s">
        <v>12</v>
      </c>
      <c r="AR14" s="57">
        <f t="shared" si="5"/>
        <v>4</v>
      </c>
      <c r="AT14" s="32" t="s">
        <v>12</v>
      </c>
      <c r="AU14" s="32">
        <f t="shared" si="6"/>
        <v>4</v>
      </c>
      <c r="BB14" s="147" t="s">
        <v>326</v>
      </c>
    </row>
    <row r="15" spans="1:62" ht="15.5" x14ac:dyDescent="0.35">
      <c r="A15" s="36" t="s">
        <v>13</v>
      </c>
      <c r="B15" s="318">
        <f>21*1.2</f>
        <v>25.2</v>
      </c>
      <c r="C15" s="190"/>
      <c r="D15" s="45" t="s">
        <v>13</v>
      </c>
      <c r="E15" s="139">
        <v>12</v>
      </c>
      <c r="G15" s="52" t="s">
        <v>13</v>
      </c>
      <c r="H15" s="54"/>
      <c r="J15" s="36" t="s">
        <v>13</v>
      </c>
      <c r="K15" s="436">
        <f>IF(N3=5, B15+C18+E25,IF(N3=6, B15+C18+E27,IF(N3=8, B15+C18+G29,IF(N3=9, B15+C18+E32,IF(S3=9, B15+C18+E32,IF(X3=9, B15+C18+E32,B15+C18))))))</f>
        <v>30.2</v>
      </c>
      <c r="L15" s="435" t="s">
        <v>460</v>
      </c>
      <c r="O15" s="216" t="s">
        <v>13</v>
      </c>
      <c r="P15" s="333">
        <f>K15</f>
        <v>30.2</v>
      </c>
      <c r="T15" s="45" t="s">
        <v>13</v>
      </c>
      <c r="U15" s="47"/>
      <c r="Y15" s="52" t="s">
        <v>13</v>
      </c>
      <c r="Z15" s="54"/>
      <c r="AE15" s="36" t="s">
        <v>13</v>
      </c>
      <c r="AF15" s="136">
        <f t="shared" si="1"/>
        <v>30.2</v>
      </c>
      <c r="AG15" s="35"/>
      <c r="AH15" s="45" t="s">
        <v>13</v>
      </c>
      <c r="AI15" s="351">
        <f t="shared" si="2"/>
        <v>12</v>
      </c>
      <c r="AK15" s="52" t="s">
        <v>13</v>
      </c>
      <c r="AL15" s="338">
        <f t="shared" si="3"/>
        <v>0</v>
      </c>
      <c r="AN15" s="32" t="s">
        <v>13</v>
      </c>
      <c r="AO15" s="57">
        <f t="shared" si="4"/>
        <v>25.2</v>
      </c>
      <c r="AQ15" s="32" t="s">
        <v>13</v>
      </c>
      <c r="AR15" s="57">
        <f t="shared" si="5"/>
        <v>25.2</v>
      </c>
      <c r="AT15" s="32" t="s">
        <v>13</v>
      </c>
      <c r="AU15" s="32">
        <f t="shared" si="6"/>
        <v>25.2</v>
      </c>
      <c r="BB15" s="116" t="s">
        <v>327</v>
      </c>
    </row>
    <row r="16" spans="1:62" ht="15" thickBot="1" x14ac:dyDescent="0.4">
      <c r="A16" s="39" t="s">
        <v>16</v>
      </c>
      <c r="B16" s="336">
        <v>5</v>
      </c>
      <c r="C16" s="35"/>
      <c r="D16" s="48" t="s">
        <v>16</v>
      </c>
      <c r="E16" s="189">
        <v>10</v>
      </c>
      <c r="G16" s="55" t="s">
        <v>16</v>
      </c>
      <c r="H16" s="56"/>
      <c r="J16" s="39" t="s">
        <v>16</v>
      </c>
      <c r="K16" s="319">
        <f>B16</f>
        <v>5</v>
      </c>
      <c r="O16" s="220" t="s">
        <v>16</v>
      </c>
      <c r="P16" s="336">
        <f>B16</f>
        <v>5</v>
      </c>
      <c r="T16" s="48" t="s">
        <v>16</v>
      </c>
      <c r="U16" s="49"/>
      <c r="Y16" s="55" t="s">
        <v>16</v>
      </c>
      <c r="Z16" s="56"/>
      <c r="AE16" s="39" t="s">
        <v>16</v>
      </c>
      <c r="AF16" s="136">
        <f t="shared" si="1"/>
        <v>5</v>
      </c>
      <c r="AG16" s="35"/>
      <c r="AH16" s="48" t="s">
        <v>16</v>
      </c>
      <c r="AI16" s="351">
        <f t="shared" si="2"/>
        <v>10</v>
      </c>
      <c r="AK16" s="55" t="s">
        <v>16</v>
      </c>
      <c r="AL16" s="338">
        <f t="shared" si="3"/>
        <v>0</v>
      </c>
      <c r="AN16" s="32" t="s">
        <v>16</v>
      </c>
      <c r="AO16" s="57">
        <f t="shared" si="4"/>
        <v>5</v>
      </c>
      <c r="AQ16" s="32" t="s">
        <v>16</v>
      </c>
      <c r="AR16" s="57">
        <f t="shared" si="5"/>
        <v>5</v>
      </c>
      <c r="AT16" s="32" t="s">
        <v>16</v>
      </c>
      <c r="AU16" s="32">
        <f t="shared" si="6"/>
        <v>5</v>
      </c>
    </row>
    <row r="17" spans="1:10" x14ac:dyDescent="0.35">
      <c r="A17" t="s">
        <v>17</v>
      </c>
      <c r="B17" t="s">
        <v>226</v>
      </c>
    </row>
    <row r="18" spans="1:10" x14ac:dyDescent="0.35">
      <c r="A18" t="s">
        <v>18</v>
      </c>
      <c r="B18" s="1" t="s">
        <v>13</v>
      </c>
      <c r="C18" s="1">
        <v>5</v>
      </c>
      <c r="D18" s="2" t="s">
        <v>12</v>
      </c>
      <c r="E18" s="2">
        <v>10</v>
      </c>
      <c r="F18" t="s">
        <v>35</v>
      </c>
      <c r="G18" s="3">
        <v>0.35</v>
      </c>
    </row>
    <row r="19" spans="1:10" ht="15" thickBot="1" x14ac:dyDescent="0.4">
      <c r="A19" t="s">
        <v>19</v>
      </c>
      <c r="B19" t="s">
        <v>34</v>
      </c>
      <c r="E19" s="232">
        <v>0.9</v>
      </c>
    </row>
    <row r="20" spans="1:10" ht="41" customHeight="1" thickBot="1" x14ac:dyDescent="0.4">
      <c r="A20" s="23" t="s">
        <v>20</v>
      </c>
      <c r="B20" s="359" t="s">
        <v>36</v>
      </c>
      <c r="C20" s="359"/>
      <c r="D20" s="178" t="s">
        <v>37</v>
      </c>
      <c r="E20" s="178">
        <f>60*E19</f>
        <v>54</v>
      </c>
      <c r="F20" s="179" t="s">
        <v>38</v>
      </c>
      <c r="G20" s="180">
        <v>20</v>
      </c>
      <c r="H20" s="7" t="s">
        <v>351</v>
      </c>
      <c r="I20" s="265" t="s">
        <v>360</v>
      </c>
      <c r="J20" s="266" t="s">
        <v>361</v>
      </c>
    </row>
    <row r="21" spans="1:10" ht="73" customHeight="1" thickBot="1" x14ac:dyDescent="0.4">
      <c r="A21" s="11" t="s">
        <v>21</v>
      </c>
      <c r="B21" s="359" t="s">
        <v>39</v>
      </c>
      <c r="C21" s="359"/>
      <c r="D21" s="178" t="s">
        <v>37</v>
      </c>
      <c r="E21" s="178">
        <f>120*E19</f>
        <v>108</v>
      </c>
      <c r="F21" s="179" t="s">
        <v>38</v>
      </c>
      <c r="G21" s="180">
        <v>30</v>
      </c>
      <c r="H21" s="7" t="s">
        <v>354</v>
      </c>
      <c r="I21" s="266" t="s">
        <v>361</v>
      </c>
    </row>
    <row r="22" spans="1:10" ht="44" customHeight="1" thickBot="1" x14ac:dyDescent="0.4">
      <c r="A22" s="11" t="s">
        <v>22</v>
      </c>
      <c r="B22" s="359" t="s">
        <v>321</v>
      </c>
      <c r="C22" s="359"/>
      <c r="D22" s="178" t="s">
        <v>37</v>
      </c>
      <c r="E22" s="178">
        <f>150*E19</f>
        <v>135</v>
      </c>
      <c r="F22" s="179" t="s">
        <v>38</v>
      </c>
      <c r="G22" s="180">
        <v>15</v>
      </c>
      <c r="H22" s="7" t="s">
        <v>351</v>
      </c>
      <c r="I22" s="266" t="s">
        <v>362</v>
      </c>
    </row>
    <row r="23" spans="1:10" ht="87.5" customHeight="1" thickBot="1" x14ac:dyDescent="0.4">
      <c r="A23" s="11" t="s">
        <v>23</v>
      </c>
      <c r="B23" s="359" t="s">
        <v>41</v>
      </c>
      <c r="C23" s="359"/>
      <c r="D23" s="178" t="s">
        <v>37</v>
      </c>
      <c r="E23" s="178">
        <f>60*E19</f>
        <v>54</v>
      </c>
      <c r="F23" s="179" t="s">
        <v>38</v>
      </c>
      <c r="G23" s="180">
        <v>60</v>
      </c>
      <c r="H23" s="7"/>
      <c r="I23" s="266" t="s">
        <v>363</v>
      </c>
    </row>
    <row r="24" spans="1:10" ht="72.5" customHeight="1" x14ac:dyDescent="0.35">
      <c r="A24" s="355" t="s">
        <v>24</v>
      </c>
      <c r="B24" s="357" t="s">
        <v>359</v>
      </c>
      <c r="C24" s="357"/>
      <c r="D24" s="178" t="s">
        <v>37</v>
      </c>
      <c r="E24" s="178">
        <f>75*E19</f>
        <v>67.5</v>
      </c>
      <c r="F24" s="179" t="s">
        <v>38</v>
      </c>
      <c r="G24" s="180">
        <v>25</v>
      </c>
      <c r="H24" s="434" t="s">
        <v>456</v>
      </c>
      <c r="I24" s="266" t="s">
        <v>364</v>
      </c>
    </row>
    <row r="25" spans="1:10" ht="19" thickBot="1" x14ac:dyDescent="0.4">
      <c r="A25" s="356"/>
      <c r="B25" s="358"/>
      <c r="C25" s="358"/>
      <c r="D25" s="177" t="s">
        <v>13</v>
      </c>
      <c r="E25" s="181">
        <v>5</v>
      </c>
      <c r="F25" s="182" t="s">
        <v>43</v>
      </c>
      <c r="G25" s="183">
        <v>-0.05</v>
      </c>
      <c r="H25" s="434"/>
      <c r="I25" s="266" t="s">
        <v>365</v>
      </c>
    </row>
    <row r="26" spans="1:10" ht="72.5" customHeight="1" x14ac:dyDescent="0.35">
      <c r="A26" s="355" t="s">
        <v>25</v>
      </c>
      <c r="B26" s="357" t="s">
        <v>457</v>
      </c>
      <c r="C26" s="357"/>
      <c r="D26" s="178" t="s">
        <v>37</v>
      </c>
      <c r="E26" s="178">
        <f>50*E19</f>
        <v>45</v>
      </c>
      <c r="F26" s="179" t="s">
        <v>38</v>
      </c>
      <c r="G26" s="180">
        <v>15</v>
      </c>
      <c r="H26" s="434" t="s">
        <v>353</v>
      </c>
      <c r="I26" s="266" t="s">
        <v>366</v>
      </c>
    </row>
    <row r="27" spans="1:10" ht="15" thickBot="1" x14ac:dyDescent="0.4">
      <c r="A27" s="356"/>
      <c r="B27" s="358"/>
      <c r="C27" s="358"/>
      <c r="D27" s="177" t="s">
        <v>13</v>
      </c>
      <c r="E27" s="181">
        <v>15</v>
      </c>
      <c r="F27" s="184"/>
      <c r="G27" s="185"/>
      <c r="H27" s="434"/>
    </row>
    <row r="28" spans="1:10" ht="44" customHeight="1" thickBot="1" x14ac:dyDescent="0.4">
      <c r="A28" s="11" t="s">
        <v>26</v>
      </c>
      <c r="B28" s="359" t="s">
        <v>358</v>
      </c>
      <c r="C28" s="359"/>
      <c r="D28" s="178" t="s">
        <v>37</v>
      </c>
      <c r="E28" s="178">
        <f>80*E19</f>
        <v>72</v>
      </c>
      <c r="F28" s="179" t="s">
        <v>38</v>
      </c>
      <c r="G28" s="180">
        <v>50</v>
      </c>
      <c r="H28" s="142"/>
    </row>
    <row r="29" spans="1:10" ht="87" customHeight="1" x14ac:dyDescent="0.35">
      <c r="A29" s="360" t="s">
        <v>27</v>
      </c>
      <c r="B29" s="357" t="s">
        <v>458</v>
      </c>
      <c r="C29" s="357"/>
      <c r="D29" s="178" t="s">
        <v>37</v>
      </c>
      <c r="E29" s="178">
        <v>85</v>
      </c>
      <c r="F29" s="177" t="s">
        <v>13</v>
      </c>
      <c r="G29" s="186">
        <v>120</v>
      </c>
    </row>
    <row r="30" spans="1:10" ht="50.5" customHeight="1" thickBot="1" x14ac:dyDescent="0.4">
      <c r="A30" s="361"/>
      <c r="B30" s="358"/>
      <c r="C30" s="358"/>
      <c r="D30" s="187" t="s">
        <v>49</v>
      </c>
      <c r="E30" s="188" t="s">
        <v>50</v>
      </c>
      <c r="F30" s="184"/>
      <c r="G30" s="185"/>
      <c r="J30" s="428" t="s">
        <v>443</v>
      </c>
    </row>
    <row r="31" spans="1:10" ht="58" customHeight="1" x14ac:dyDescent="0.35">
      <c r="A31" s="355" t="s">
        <v>28</v>
      </c>
      <c r="B31" s="357" t="s">
        <v>47</v>
      </c>
      <c r="C31" s="357"/>
      <c r="D31" s="178" t="s">
        <v>37</v>
      </c>
      <c r="E31" s="178">
        <f>100*E19</f>
        <v>90</v>
      </c>
      <c r="F31" s="179" t="s">
        <v>38</v>
      </c>
      <c r="G31" s="180">
        <v>60</v>
      </c>
      <c r="H31" t="s">
        <v>354</v>
      </c>
    </row>
    <row r="32" spans="1:10" ht="15" thickBot="1" x14ac:dyDescent="0.4">
      <c r="A32" s="356"/>
      <c r="B32" s="358"/>
      <c r="C32" s="358"/>
      <c r="D32" s="177" t="s">
        <v>13</v>
      </c>
      <c r="E32" s="433">
        <v>10</v>
      </c>
      <c r="F32" s="184" t="s">
        <v>459</v>
      </c>
      <c r="G32" s="185"/>
    </row>
    <row r="33" spans="1:23" ht="102" customHeight="1" x14ac:dyDescent="0.35">
      <c r="A33" s="347" t="s">
        <v>29</v>
      </c>
      <c r="B33" s="366" t="s">
        <v>48</v>
      </c>
      <c r="C33" s="366"/>
      <c r="D33" s="178" t="s">
        <v>37</v>
      </c>
      <c r="E33" s="178"/>
      <c r="F33" s="179" t="s">
        <v>38</v>
      </c>
      <c r="G33" s="180">
        <v>80</v>
      </c>
      <c r="H33" t="s">
        <v>354</v>
      </c>
    </row>
    <row r="34" spans="1:23" ht="29" x14ac:dyDescent="0.35">
      <c r="A34" s="175" t="s">
        <v>33</v>
      </c>
      <c r="B34" s="367"/>
      <c r="C34" s="367"/>
      <c r="D34" s="176" t="s">
        <v>54</v>
      </c>
      <c r="E34" s="176"/>
      <c r="F34" s="177" t="s">
        <v>56</v>
      </c>
      <c r="G34" s="177"/>
      <c r="H34" t="s">
        <v>66</v>
      </c>
    </row>
    <row r="35" spans="1:23" ht="29" x14ac:dyDescent="0.35">
      <c r="A35" s="175" t="s">
        <v>31</v>
      </c>
      <c r="B35" s="368"/>
      <c r="C35" s="368"/>
      <c r="D35" s="176" t="s">
        <v>54</v>
      </c>
      <c r="E35" s="176"/>
      <c r="F35" s="177" t="s">
        <v>56</v>
      </c>
      <c r="G35" s="177"/>
    </row>
    <row r="36" spans="1:23" ht="29" x14ac:dyDescent="0.35">
      <c r="A36" s="175" t="s">
        <v>32</v>
      </c>
      <c r="B36" s="368"/>
      <c r="C36" s="368"/>
      <c r="D36" s="176" t="s">
        <v>54</v>
      </c>
      <c r="E36" s="176"/>
      <c r="F36" s="177" t="s">
        <v>56</v>
      </c>
      <c r="G36" s="177"/>
    </row>
    <row r="37" spans="1:23" ht="15" thickBot="1" x14ac:dyDescent="0.4">
      <c r="P37" t="s">
        <v>104</v>
      </c>
    </row>
    <row r="38" spans="1:23" ht="15" thickBot="1" x14ac:dyDescent="0.4">
      <c r="P38" s="31" t="s">
        <v>105</v>
      </c>
      <c r="Q38" s="84">
        <v>0.15</v>
      </c>
      <c r="R38" s="85">
        <v>0.15</v>
      </c>
    </row>
    <row r="39" spans="1:23" ht="15" customHeight="1" thickBot="1" x14ac:dyDescent="0.4">
      <c r="A39" s="41" t="s">
        <v>0</v>
      </c>
      <c r="B39" s="42" t="s">
        <v>58</v>
      </c>
      <c r="G39" s="316" t="s">
        <v>0</v>
      </c>
      <c r="H39" s="317" t="s">
        <v>58</v>
      </c>
      <c r="I39" s="301" t="s">
        <v>431</v>
      </c>
      <c r="M39" s="303" t="s">
        <v>0</v>
      </c>
      <c r="N39" s="304" t="s">
        <v>55</v>
      </c>
      <c r="P39" t="s">
        <v>106</v>
      </c>
      <c r="Q39" s="89">
        <v>0.15</v>
      </c>
      <c r="R39" s="308">
        <v>0.15</v>
      </c>
      <c r="S39" s="309" t="s">
        <v>0</v>
      </c>
      <c r="T39" s="304" t="s">
        <v>55</v>
      </c>
      <c r="U39" s="301" t="s">
        <v>429</v>
      </c>
    </row>
    <row r="40" spans="1:23" ht="15" customHeight="1" x14ac:dyDescent="0.35">
      <c r="A40" s="36" t="s">
        <v>1</v>
      </c>
      <c r="B40" s="37">
        <f>B2</f>
        <v>605</v>
      </c>
      <c r="G40" s="36" t="s">
        <v>1</v>
      </c>
      <c r="H40" s="333">
        <f>B40</f>
        <v>605</v>
      </c>
      <c r="I40" s="302">
        <f>H40/B2</f>
        <v>1</v>
      </c>
      <c r="M40" s="305" t="s">
        <v>1</v>
      </c>
      <c r="N40" s="92">
        <f>IF(J20="ours",IF(Q41=1,H2*1.15*1.1,IF(Q41=2,H2*1.1,IF(Q41=3,H2*1.1,0))), IF(Q41=1,H2*1.15,IF(Q41=2,H2,IF(Q41=3,H2,0))))</f>
        <v>827.99999999999989</v>
      </c>
      <c r="P40" t="s">
        <v>107</v>
      </c>
      <c r="Q40" s="90">
        <v>7.0000000000000007E-2</v>
      </c>
      <c r="R40" s="2">
        <v>10</v>
      </c>
      <c r="S40" s="310" t="s">
        <v>1</v>
      </c>
      <c r="T40" s="92">
        <f>N40</f>
        <v>827.99999999999989</v>
      </c>
      <c r="U40" s="302">
        <f>IF(J20="ours",IF(Q41=1, T40/(H2*1.1*1.15), T40/(H2*1.1)), IF(Q41=1, T40/(H2*1.15), T40/(H2)))</f>
        <v>1</v>
      </c>
    </row>
    <row r="41" spans="1:23" ht="15" customHeight="1" x14ac:dyDescent="0.35">
      <c r="A41" s="36" t="s">
        <v>2</v>
      </c>
      <c r="B41" s="37">
        <f t="shared" ref="B41:B54" si="9">B3</f>
        <v>369</v>
      </c>
      <c r="G41" s="36" t="s">
        <v>2</v>
      </c>
      <c r="H41" s="318">
        <f>IF(E44=1,B41-E58,IF(E44=2,B41-E59, IF(E44=3, B41-E60, IF(E44=4, B41-E61, IF(E44=5, B41-E62, IF(E44=6, B41-E63, IF(E44=7, B41-E64, IF(E44=8, B41-E65, IF(E44=9, B41-E66, IF(E44=10, B41-E67,B41))))))))))</f>
        <v>369</v>
      </c>
      <c r="M41" s="305" t="s">
        <v>2</v>
      </c>
      <c r="N41" s="92">
        <f t="shared" ref="N41:N48" si="10">H3</f>
        <v>0</v>
      </c>
      <c r="P41" t="s">
        <v>109</v>
      </c>
      <c r="Q41" s="25">
        <v>1</v>
      </c>
      <c r="S41" s="310" t="s">
        <v>2</v>
      </c>
      <c r="T41" s="53">
        <v>0</v>
      </c>
    </row>
    <row r="42" spans="1:23" ht="15" customHeight="1" x14ac:dyDescent="0.35">
      <c r="A42" s="36" t="s">
        <v>3</v>
      </c>
      <c r="B42" s="37">
        <f t="shared" si="9"/>
        <v>126</v>
      </c>
      <c r="G42" s="36" t="s">
        <v>3</v>
      </c>
      <c r="H42" s="333">
        <f>B42</f>
        <v>126</v>
      </c>
      <c r="M42" s="305" t="s">
        <v>3</v>
      </c>
      <c r="N42" s="92">
        <f t="shared" si="10"/>
        <v>0</v>
      </c>
      <c r="S42" s="310" t="s">
        <v>3</v>
      </c>
      <c r="T42" s="53">
        <v>0</v>
      </c>
    </row>
    <row r="43" spans="1:23" ht="15" customHeight="1" x14ac:dyDescent="0.35">
      <c r="A43" s="36" t="s">
        <v>4</v>
      </c>
      <c r="B43" s="37">
        <f t="shared" si="9"/>
        <v>0</v>
      </c>
      <c r="G43" s="36" t="s">
        <v>4</v>
      </c>
      <c r="H43" s="333">
        <f>B43</f>
        <v>0</v>
      </c>
      <c r="M43" s="305" t="s">
        <v>4</v>
      </c>
      <c r="N43" s="92">
        <f t="shared" si="10"/>
        <v>20</v>
      </c>
      <c r="P43" t="s">
        <v>76</v>
      </c>
      <c r="Q43" s="25">
        <v>1</v>
      </c>
      <c r="S43" s="310" t="s">
        <v>4</v>
      </c>
      <c r="T43" s="92">
        <f>IF(Q43=1, N43+Q58,IF(Q43=2, N43+Q59, IF(Q43=3, N43+Q60, IF(Q43=4, N43+Q61, IF(Q43=6,N43+Q63, IF(Q43=7, N43+Q64,0))))))</f>
        <v>25</v>
      </c>
    </row>
    <row r="44" spans="1:23" ht="15" customHeight="1" x14ac:dyDescent="0.35">
      <c r="A44" s="36" t="s">
        <v>6</v>
      </c>
      <c r="B44" s="37">
        <f t="shared" si="9"/>
        <v>80</v>
      </c>
      <c r="C44" s="153"/>
      <c r="D44" t="s">
        <v>76</v>
      </c>
      <c r="G44" s="36" t="s">
        <v>6</v>
      </c>
      <c r="H44" s="333">
        <f>B44</f>
        <v>80</v>
      </c>
      <c r="M44" s="305" t="s">
        <v>6</v>
      </c>
      <c r="N44" s="92">
        <f t="shared" si="10"/>
        <v>85</v>
      </c>
      <c r="P44" t="s">
        <v>75</v>
      </c>
      <c r="Q44" s="25">
        <f>IF(J20="requin",IF(Q43=1,(W46+S58)*1.04,IF(Q43=3,(W46+S60)*1.04,IF(Q43=5,(W46+S62)*1.04,IF(Q43=7,(W46+S64)*1.04,IF(Q43=9,(W46+S66)*1.04,IF(Q43=10,(W46+S67)*1.04,0)))))),IF(Q43=1,W46+S58,IF(Q43=3,W46+S60,IF(Q43=5,W46+S62,IF(Q43=7,W46+S64,IF(Q43=9,W46+S66,IF(Q43=10,W46+S67,0)))))))</f>
        <v>65</v>
      </c>
      <c r="S44" s="310" t="s">
        <v>111</v>
      </c>
      <c r="T44" s="92">
        <f>IF(Q41=1,N44*1.15,IF(Q41=2,N44,IF(Q41=3,N44,0)))</f>
        <v>97.749999999999986</v>
      </c>
      <c r="U44" s="362" t="s">
        <v>110</v>
      </c>
      <c r="V44" s="363"/>
      <c r="W44">
        <f>IF(Q43=8,T44+S65,T44)</f>
        <v>97.749999999999986</v>
      </c>
    </row>
    <row r="45" spans="1:23" ht="15" customHeight="1" x14ac:dyDescent="0.35">
      <c r="A45" s="36" t="s">
        <v>7</v>
      </c>
      <c r="B45" s="37">
        <f t="shared" si="9"/>
        <v>35</v>
      </c>
      <c r="C45" s="153"/>
      <c r="D45" t="s">
        <v>75</v>
      </c>
      <c r="E45" s="25">
        <f>IF(E44=1,B47+D56+G58+B68*10+D68,IF(E44=2,B47+D56+G59+B68*10+D68, IF(E44=3,B47+D56+G60+B68*10+D68,  IF(E44=4,B47+D56+G61+B68*10+D68,  IF(E44=5,B47+D56+G62+B68*10+D68,  IF(E44=6,B47+D56+G63+B68*10+D68,  IF(E44=7,B47+D56+G64+B68*10+D68,  IF(E44=8,(B47+D56+G65+B68*10+D68)*1.25,  IF(E44=9,B47+D56+G66+B68*10+D68,IF(E44=10,B47+D56+G67+B68*10+D68,0))))))))))</f>
        <v>0</v>
      </c>
      <c r="G45" s="36" t="s">
        <v>7</v>
      </c>
      <c r="H45" s="333">
        <f>B45+B45*C45</f>
        <v>35</v>
      </c>
      <c r="M45" s="305" t="s">
        <v>7</v>
      </c>
      <c r="N45" s="92">
        <f t="shared" si="10"/>
        <v>45</v>
      </c>
      <c r="O45" s="330">
        <v>1.05</v>
      </c>
      <c r="P45" t="s">
        <v>77</v>
      </c>
      <c r="Q45">
        <f t="shared" ref="Q45:Q50" ca="1" si="11">RANDBETWEEN(1,100)</f>
        <v>8</v>
      </c>
      <c r="S45" s="310" t="s">
        <v>112</v>
      </c>
      <c r="T45" s="92">
        <f>IF(Q41=1,(N45*1.15)*1.05,IF(Q41=2,N45*1.05,IF(Q41=3,N45*1.05,0)))</f>
        <v>54.337499999999991</v>
      </c>
      <c r="U45" s="362" t="s">
        <v>110</v>
      </c>
      <c r="V45" s="363"/>
      <c r="W45">
        <f>IF(Q43=8,T45+U65,T45)</f>
        <v>54.337499999999991</v>
      </c>
    </row>
    <row r="46" spans="1:23" ht="20.5" customHeight="1" x14ac:dyDescent="0.35">
      <c r="A46" s="36" t="s">
        <v>10</v>
      </c>
      <c r="B46" s="37">
        <f t="shared" si="9"/>
        <v>10</v>
      </c>
      <c r="D46" t="s">
        <v>77</v>
      </c>
      <c r="E46">
        <f ca="1">RANDBETWEEN(1,100)</f>
        <v>61</v>
      </c>
      <c r="G46" s="36" t="s">
        <v>10</v>
      </c>
      <c r="H46" s="333">
        <f t="shared" ref="H46" si="12">B46</f>
        <v>10</v>
      </c>
      <c r="M46" s="305" t="s">
        <v>10</v>
      </c>
      <c r="N46" s="92">
        <f>IF(J20="cerf",H8*1.05,H8)</f>
        <v>30</v>
      </c>
      <c r="P46" t="s">
        <v>78</v>
      </c>
      <c r="Q46">
        <f t="shared" ca="1" si="11"/>
        <v>99</v>
      </c>
      <c r="S46" s="310" t="s">
        <v>10</v>
      </c>
      <c r="T46" s="53">
        <f>IF(Q41=2,N46*1.15,IF(Q41=1,N46,IF(Q41=3,N46,0)))</f>
        <v>30</v>
      </c>
      <c r="U46" s="362" t="s">
        <v>463</v>
      </c>
      <c r="V46" s="363"/>
      <c r="W46" s="346">
        <f>IF(Q43=4,T46+S61,T46)</f>
        <v>30</v>
      </c>
    </row>
    <row r="47" spans="1:23" ht="15" customHeight="1" x14ac:dyDescent="0.35">
      <c r="A47" s="36" t="s">
        <v>11</v>
      </c>
      <c r="B47" s="37">
        <f>B9+C47</f>
        <v>147.5</v>
      </c>
      <c r="C47" s="157">
        <v>10</v>
      </c>
      <c r="D47" t="s">
        <v>78</v>
      </c>
      <c r="E47">
        <f ca="1">RANDBETWEEN(1,100)</f>
        <v>24</v>
      </c>
      <c r="G47" s="36" t="s">
        <v>11</v>
      </c>
      <c r="H47" s="333">
        <f>B47</f>
        <v>147.5</v>
      </c>
      <c r="M47" s="305" t="s">
        <v>11</v>
      </c>
      <c r="N47" s="92">
        <f t="shared" si="10"/>
        <v>0</v>
      </c>
      <c r="P47" t="s">
        <v>290</v>
      </c>
      <c r="Q47">
        <f t="shared" ca="1" si="11"/>
        <v>35</v>
      </c>
      <c r="S47" s="310" t="s">
        <v>11</v>
      </c>
      <c r="T47" s="92">
        <f>N47</f>
        <v>0</v>
      </c>
    </row>
    <row r="48" spans="1:23" ht="15" customHeight="1" x14ac:dyDescent="0.35">
      <c r="A48" s="36" t="s">
        <v>15</v>
      </c>
      <c r="B48" s="37">
        <f t="shared" si="9"/>
        <v>0</v>
      </c>
      <c r="G48" s="36" t="s">
        <v>15</v>
      </c>
      <c r="H48" s="333">
        <f>B48</f>
        <v>0</v>
      </c>
      <c r="M48" s="305" t="s">
        <v>15</v>
      </c>
      <c r="N48" s="92">
        <f t="shared" si="10"/>
        <v>0</v>
      </c>
      <c r="P48" t="s">
        <v>438</v>
      </c>
      <c r="Q48">
        <f t="shared" ca="1" si="11"/>
        <v>87</v>
      </c>
      <c r="S48" s="310" t="s">
        <v>15</v>
      </c>
      <c r="T48" s="92">
        <f>N48</f>
        <v>0</v>
      </c>
    </row>
    <row r="49" spans="1:22" ht="15.5" x14ac:dyDescent="0.35">
      <c r="A49" s="36" t="s">
        <v>14</v>
      </c>
      <c r="B49" s="37">
        <f t="shared" si="9"/>
        <v>25</v>
      </c>
      <c r="E49" s="430" t="str">
        <f>IF(E44=4, "HEAL", IF(E44=9,"HEAL",""))</f>
        <v/>
      </c>
      <c r="G49" s="36" t="s">
        <v>14</v>
      </c>
      <c r="H49" s="333">
        <f t="shared" ref="H49:H54" si="13">B49</f>
        <v>25</v>
      </c>
      <c r="M49" s="305" t="s">
        <v>14</v>
      </c>
      <c r="N49" s="92">
        <f>H11+O49*H11</f>
        <v>14.4</v>
      </c>
      <c r="O49" s="3">
        <v>0.2</v>
      </c>
      <c r="P49" t="s">
        <v>332</v>
      </c>
      <c r="Q49">
        <f t="shared" ca="1" si="11"/>
        <v>6</v>
      </c>
      <c r="S49" s="310" t="s">
        <v>14</v>
      </c>
      <c r="T49" s="92">
        <f>IF(Q41=2,N49*1.15,IF(Q41=1,N49,IF(Q41=3,N49,0)))</f>
        <v>14.4</v>
      </c>
      <c r="U49" s="364"/>
      <c r="V49" s="365"/>
    </row>
    <row r="50" spans="1:22" x14ac:dyDescent="0.35">
      <c r="A50" s="36" t="s">
        <v>8</v>
      </c>
      <c r="B50" s="37">
        <f t="shared" si="9"/>
        <v>20</v>
      </c>
      <c r="G50" s="36" t="s">
        <v>8</v>
      </c>
      <c r="H50" s="333">
        <f t="shared" si="13"/>
        <v>20</v>
      </c>
      <c r="M50" s="305" t="s">
        <v>8</v>
      </c>
      <c r="N50" s="92">
        <f>IF(J20="aigle",H12+5,H12)</f>
        <v>15</v>
      </c>
      <c r="P50" t="s">
        <v>333</v>
      </c>
      <c r="Q50">
        <f t="shared" ca="1" si="11"/>
        <v>29</v>
      </c>
      <c r="S50" s="310" t="s">
        <v>8</v>
      </c>
      <c r="T50" s="92">
        <f>IF(Q43=9,N50+S66,0)+N50</f>
        <v>15</v>
      </c>
    </row>
    <row r="51" spans="1:22" x14ac:dyDescent="0.35">
      <c r="A51" s="36" t="s">
        <v>9</v>
      </c>
      <c r="B51" s="37">
        <f t="shared" si="9"/>
        <v>10</v>
      </c>
      <c r="G51" s="36" t="s">
        <v>9</v>
      </c>
      <c r="H51" s="333">
        <f t="shared" si="13"/>
        <v>10</v>
      </c>
      <c r="M51" s="305" t="s">
        <v>9</v>
      </c>
      <c r="N51" s="92">
        <f>IF(J20="aigle",H13+5,H13)</f>
        <v>5</v>
      </c>
      <c r="P51" s="25" t="s">
        <v>355</v>
      </c>
      <c r="Q51" s="25">
        <f>Q44/100 + IF(Q43=2,10,IF(Q43=3,10,IF(Q43=4,10, IF(Q43=6,10,0))))</f>
        <v>0.65</v>
      </c>
      <c r="S51" s="310" t="s">
        <v>9</v>
      </c>
      <c r="T51" s="92">
        <f>N51</f>
        <v>5</v>
      </c>
    </row>
    <row r="52" spans="1:22" x14ac:dyDescent="0.35">
      <c r="A52" s="36" t="s">
        <v>12</v>
      </c>
      <c r="B52" s="37">
        <f t="shared" si="9"/>
        <v>4</v>
      </c>
      <c r="G52" s="36" t="s">
        <v>12</v>
      </c>
      <c r="H52" s="333">
        <f>IF($V$71&lt;0.5,B52+10, B52)</f>
        <v>4</v>
      </c>
      <c r="M52" s="305" t="s">
        <v>12</v>
      </c>
      <c r="N52" s="92">
        <f>H14</f>
        <v>0</v>
      </c>
      <c r="S52" s="310" t="s">
        <v>12</v>
      </c>
      <c r="T52" s="92">
        <f>IF($V$71&lt;0.5, IF(Q41=3,10+N53+10,N53+10),N53)</f>
        <v>0</v>
      </c>
    </row>
    <row r="53" spans="1:22" x14ac:dyDescent="0.35">
      <c r="A53" s="36" t="s">
        <v>13</v>
      </c>
      <c r="B53" s="37">
        <f t="shared" si="9"/>
        <v>25.2</v>
      </c>
      <c r="G53" s="36" t="s">
        <v>13</v>
      </c>
      <c r="H53" s="333">
        <f t="shared" si="13"/>
        <v>25.2</v>
      </c>
      <c r="M53" s="305" t="s">
        <v>13</v>
      </c>
      <c r="N53" s="92">
        <f>H15</f>
        <v>0</v>
      </c>
      <c r="S53" s="310" t="s">
        <v>13</v>
      </c>
      <c r="T53" s="92">
        <f>N53</f>
        <v>0</v>
      </c>
    </row>
    <row r="54" spans="1:22" ht="15" thickBot="1" x14ac:dyDescent="0.4">
      <c r="A54" s="39" t="s">
        <v>16</v>
      </c>
      <c r="B54" s="37">
        <f t="shared" si="9"/>
        <v>5</v>
      </c>
      <c r="G54" s="39" t="s">
        <v>16</v>
      </c>
      <c r="H54" s="336">
        <f t="shared" si="13"/>
        <v>5</v>
      </c>
      <c r="M54" s="306" t="s">
        <v>16</v>
      </c>
      <c r="N54" s="307">
        <f>H16</f>
        <v>0</v>
      </c>
      <c r="S54" s="311" t="s">
        <v>16</v>
      </c>
      <c r="T54" s="307">
        <f>N54</f>
        <v>0</v>
      </c>
    </row>
    <row r="55" spans="1:22" x14ac:dyDescent="0.35">
      <c r="A55" t="s">
        <v>17</v>
      </c>
      <c r="M55" s="25" t="s">
        <v>17</v>
      </c>
      <c r="N55" s="82" t="s">
        <v>102</v>
      </c>
      <c r="O55" s="83"/>
      <c r="V55" s="8"/>
    </row>
    <row r="56" spans="1:22" x14ac:dyDescent="0.35">
      <c r="A56" t="s">
        <v>18</v>
      </c>
      <c r="B56" t="s">
        <v>59</v>
      </c>
      <c r="D56" s="34"/>
      <c r="M56" s="25" t="s">
        <v>18</v>
      </c>
      <c r="N56" t="s">
        <v>103</v>
      </c>
      <c r="V56" s="8"/>
    </row>
    <row r="57" spans="1:22" ht="15" thickBot="1" x14ac:dyDescent="0.4">
      <c r="A57" t="s">
        <v>19</v>
      </c>
      <c r="B57" t="s">
        <v>34</v>
      </c>
      <c r="D57" s="232" t="s">
        <v>449</v>
      </c>
      <c r="E57" s="232">
        <v>0.9</v>
      </c>
      <c r="M57" s="25" t="s">
        <v>19</v>
      </c>
      <c r="N57" t="s">
        <v>95</v>
      </c>
      <c r="O57" s="449">
        <v>0.05</v>
      </c>
      <c r="P57" t="s">
        <v>108</v>
      </c>
      <c r="V57" s="8"/>
    </row>
    <row r="58" spans="1:22" ht="53" customHeight="1" thickBot="1" x14ac:dyDescent="0.4">
      <c r="A58" s="11" t="s">
        <v>20</v>
      </c>
      <c r="B58" s="359" t="s">
        <v>60</v>
      </c>
      <c r="C58" s="359"/>
      <c r="D58" s="12" t="s">
        <v>37</v>
      </c>
      <c r="E58" s="233">
        <f>45*E57</f>
        <v>40.5</v>
      </c>
      <c r="F58" s="76" t="s">
        <v>71</v>
      </c>
      <c r="G58" s="77">
        <v>15</v>
      </c>
      <c r="H58" s="97" t="s">
        <v>316</v>
      </c>
      <c r="I58" s="97"/>
      <c r="J58" s="428" t="s">
        <v>443</v>
      </c>
      <c r="M58" s="245" t="s">
        <v>20</v>
      </c>
      <c r="N58" s="359" t="s">
        <v>128</v>
      </c>
      <c r="O58" s="359"/>
      <c r="P58" s="106" t="s">
        <v>85</v>
      </c>
      <c r="Q58" s="106">
        <v>5</v>
      </c>
      <c r="R58" s="76" t="s">
        <v>71</v>
      </c>
      <c r="S58" s="76">
        <v>35</v>
      </c>
      <c r="V58" s="422" t="s">
        <v>442</v>
      </c>
    </row>
    <row r="59" spans="1:22" ht="44" customHeight="1" thickBot="1" x14ac:dyDescent="0.4">
      <c r="A59" s="11" t="s">
        <v>21</v>
      </c>
      <c r="B59" s="359" t="s">
        <v>61</v>
      </c>
      <c r="C59" s="359"/>
      <c r="D59" s="12" t="s">
        <v>37</v>
      </c>
      <c r="E59" s="233">
        <f>105*E57</f>
        <v>94.5</v>
      </c>
      <c r="F59" s="76" t="s">
        <v>71</v>
      </c>
      <c r="G59" s="77">
        <v>30</v>
      </c>
      <c r="H59" s="97" t="s">
        <v>317</v>
      </c>
      <c r="I59" s="97"/>
      <c r="J59" s="428" t="s">
        <v>443</v>
      </c>
      <c r="M59" s="246" t="s">
        <v>21</v>
      </c>
      <c r="N59" s="359" t="s">
        <v>129</v>
      </c>
      <c r="O59" s="359"/>
      <c r="P59" s="106" t="s">
        <v>85</v>
      </c>
      <c r="Q59" s="106">
        <v>5</v>
      </c>
      <c r="R59" s="113" t="s">
        <v>131</v>
      </c>
      <c r="S59" s="113">
        <v>0.2</v>
      </c>
      <c r="T59" s="114" t="s">
        <v>15</v>
      </c>
      <c r="U59" s="115">
        <v>10</v>
      </c>
      <c r="V59" s="8"/>
    </row>
    <row r="60" spans="1:22" ht="58" customHeight="1" thickBot="1" x14ac:dyDescent="0.4">
      <c r="A60" s="11" t="s">
        <v>22</v>
      </c>
      <c r="B60" s="359" t="s">
        <v>62</v>
      </c>
      <c r="C60" s="359"/>
      <c r="D60" s="12" t="s">
        <v>37</v>
      </c>
      <c r="E60" s="233">
        <f>75*E57</f>
        <v>67.5</v>
      </c>
      <c r="F60" s="228" t="s">
        <v>319</v>
      </c>
      <c r="G60" s="229">
        <v>60</v>
      </c>
      <c r="H60" s="97" t="s">
        <v>318</v>
      </c>
      <c r="I60" s="97"/>
      <c r="M60" s="246" t="s">
        <v>22</v>
      </c>
      <c r="N60" s="359" t="s">
        <v>130</v>
      </c>
      <c r="O60" s="359"/>
      <c r="P60" s="106" t="s">
        <v>85</v>
      </c>
      <c r="Q60" s="106">
        <v>10</v>
      </c>
      <c r="R60" s="76" t="s">
        <v>71</v>
      </c>
      <c r="S60" s="76">
        <v>25</v>
      </c>
      <c r="T60" s="114" t="s">
        <v>15</v>
      </c>
      <c r="U60" s="115">
        <v>10</v>
      </c>
      <c r="V60" s="422" t="s">
        <v>442</v>
      </c>
    </row>
    <row r="61" spans="1:22" ht="56" customHeight="1" thickBot="1" x14ac:dyDescent="0.4">
      <c r="A61" s="11" t="s">
        <v>23</v>
      </c>
      <c r="B61" s="353" t="s">
        <v>64</v>
      </c>
      <c r="C61" s="369"/>
      <c r="D61" s="12" t="s">
        <v>37</v>
      </c>
      <c r="E61" s="233">
        <f>105*E57</f>
        <v>94.5</v>
      </c>
      <c r="F61" s="76" t="s">
        <v>71</v>
      </c>
      <c r="G61" s="77">
        <v>50</v>
      </c>
      <c r="H61" s="230" t="s">
        <v>320</v>
      </c>
      <c r="I61" s="150"/>
      <c r="J61" s="428" t="s">
        <v>443</v>
      </c>
      <c r="M61" s="246" t="s">
        <v>23</v>
      </c>
      <c r="N61" s="359" t="s">
        <v>137</v>
      </c>
      <c r="O61" s="359"/>
      <c r="P61" s="106" t="s">
        <v>85</v>
      </c>
      <c r="Q61" s="106">
        <v>-12</v>
      </c>
      <c r="R61" s="226" t="s">
        <v>312</v>
      </c>
      <c r="S61" s="117">
        <v>45</v>
      </c>
      <c r="T61" s="114" t="s">
        <v>15</v>
      </c>
      <c r="U61" s="115">
        <v>10</v>
      </c>
      <c r="V61" s="8"/>
    </row>
    <row r="62" spans="1:22" ht="69" customHeight="1" thickBot="1" x14ac:dyDescent="0.4">
      <c r="A62" s="11" t="s">
        <v>24</v>
      </c>
      <c r="B62" s="353" t="s">
        <v>63</v>
      </c>
      <c r="C62" s="353"/>
      <c r="D62" s="12" t="s">
        <v>37</v>
      </c>
      <c r="E62" s="233">
        <f>150*E57</f>
        <v>135</v>
      </c>
      <c r="F62" s="76" t="s">
        <v>71</v>
      </c>
      <c r="G62" s="77">
        <v>35</v>
      </c>
      <c r="H62" s="234"/>
      <c r="J62" s="428" t="s">
        <v>443</v>
      </c>
      <c r="M62" s="246" t="s">
        <v>24</v>
      </c>
      <c r="N62" s="359" t="s">
        <v>132</v>
      </c>
      <c r="O62" s="359"/>
      <c r="P62" s="106" t="s">
        <v>85</v>
      </c>
      <c r="Q62" s="106">
        <v>-2</v>
      </c>
      <c r="R62" s="76" t="s">
        <v>71</v>
      </c>
      <c r="S62" s="76"/>
      <c r="V62" s="422" t="s">
        <v>442</v>
      </c>
    </row>
    <row r="63" spans="1:22" ht="68" customHeight="1" thickBot="1" x14ac:dyDescent="0.4">
      <c r="A63" s="11" t="s">
        <v>25</v>
      </c>
      <c r="B63" s="359" t="s">
        <v>65</v>
      </c>
      <c r="C63" s="359"/>
      <c r="D63" s="12" t="s">
        <v>37</v>
      </c>
      <c r="E63" s="233">
        <f>100*E57</f>
        <v>90</v>
      </c>
      <c r="F63" s="76" t="s">
        <v>71</v>
      </c>
      <c r="G63" s="77">
        <v>45</v>
      </c>
      <c r="H63" s="234"/>
      <c r="J63" s="428" t="s">
        <v>443</v>
      </c>
      <c r="M63" s="246" t="s">
        <v>25</v>
      </c>
      <c r="N63" s="359" t="s">
        <v>133</v>
      </c>
      <c r="O63" s="359"/>
      <c r="P63" s="106" t="s">
        <v>85</v>
      </c>
      <c r="Q63" s="106">
        <v>5</v>
      </c>
      <c r="R63" s="114" t="s">
        <v>15</v>
      </c>
      <c r="S63" s="115">
        <v>10</v>
      </c>
      <c r="V63" s="8"/>
    </row>
    <row r="64" spans="1:22" ht="57" customHeight="1" thickBot="1" x14ac:dyDescent="0.4">
      <c r="A64" s="11" t="s">
        <v>26</v>
      </c>
      <c r="B64" s="353" t="s">
        <v>67</v>
      </c>
      <c r="C64" s="353"/>
      <c r="D64" s="12" t="s">
        <v>37</v>
      </c>
      <c r="E64" s="233">
        <f>120*E57</f>
        <v>108</v>
      </c>
      <c r="F64" s="76" t="s">
        <v>71</v>
      </c>
      <c r="G64" s="77">
        <v>20</v>
      </c>
      <c r="J64" s="428" t="s">
        <v>443</v>
      </c>
      <c r="M64" s="246" t="s">
        <v>26</v>
      </c>
      <c r="N64" s="359" t="s">
        <v>135</v>
      </c>
      <c r="O64" s="359"/>
      <c r="P64" s="106" t="s">
        <v>85</v>
      </c>
      <c r="Q64" s="106">
        <v>-2</v>
      </c>
      <c r="R64" s="76" t="s">
        <v>71</v>
      </c>
      <c r="S64" s="76"/>
      <c r="V64" s="422" t="s">
        <v>442</v>
      </c>
    </row>
    <row r="65" spans="1:22" ht="73" customHeight="1" thickBot="1" x14ac:dyDescent="0.4">
      <c r="A65" s="78" t="s">
        <v>27</v>
      </c>
      <c r="B65" s="353" t="s">
        <v>68</v>
      </c>
      <c r="C65" s="353"/>
      <c r="D65" s="12" t="s">
        <v>37</v>
      </c>
      <c r="E65" s="233">
        <f>120*E57</f>
        <v>108</v>
      </c>
      <c r="F65" s="76" t="s">
        <v>71</v>
      </c>
      <c r="G65" s="77">
        <v>70</v>
      </c>
      <c r="H65" s="97" t="s">
        <v>448</v>
      </c>
      <c r="I65" s="97"/>
      <c r="J65" s="428" t="s">
        <v>443</v>
      </c>
      <c r="M65" s="246" t="s">
        <v>27</v>
      </c>
      <c r="N65" s="359" t="s">
        <v>136</v>
      </c>
      <c r="O65" s="359"/>
      <c r="P65" s="106" t="s">
        <v>85</v>
      </c>
      <c r="Q65" s="106">
        <v>5</v>
      </c>
      <c r="R65" s="107" t="s">
        <v>5</v>
      </c>
      <c r="S65" s="107">
        <v>150</v>
      </c>
      <c r="T65" s="108" t="s">
        <v>95</v>
      </c>
      <c r="U65" s="109">
        <v>150</v>
      </c>
      <c r="V65" s="8"/>
    </row>
    <row r="66" spans="1:22" ht="88" customHeight="1" thickBot="1" x14ac:dyDescent="0.4">
      <c r="A66" s="11" t="s">
        <v>28</v>
      </c>
      <c r="B66" s="359" t="s">
        <v>450</v>
      </c>
      <c r="C66" s="359"/>
      <c r="D66" s="12" t="s">
        <v>37</v>
      </c>
      <c r="E66" s="12">
        <f>90*E57</f>
        <v>81</v>
      </c>
      <c r="F66" s="76" t="s">
        <v>71</v>
      </c>
      <c r="G66" s="77"/>
      <c r="H66" s="150" t="s">
        <v>451</v>
      </c>
      <c r="I66" t="s">
        <v>351</v>
      </c>
      <c r="J66" s="428" t="s">
        <v>443</v>
      </c>
      <c r="M66" s="246" t="s">
        <v>28</v>
      </c>
      <c r="N66" s="353" t="s">
        <v>138</v>
      </c>
      <c r="O66" s="353"/>
      <c r="P66" s="106" t="s">
        <v>85</v>
      </c>
      <c r="Q66" s="106">
        <v>-2</v>
      </c>
      <c r="R66" s="76" t="s">
        <v>71</v>
      </c>
      <c r="S66" s="76"/>
      <c r="T66" s="114" t="s">
        <v>15</v>
      </c>
      <c r="U66" s="115"/>
      <c r="V66" s="422" t="s">
        <v>442</v>
      </c>
    </row>
    <row r="67" spans="1:22" ht="88" customHeight="1" thickBot="1" x14ac:dyDescent="0.4">
      <c r="A67" s="11" t="s">
        <v>29</v>
      </c>
      <c r="B67" s="353" t="s">
        <v>70</v>
      </c>
      <c r="C67" s="353"/>
      <c r="D67" s="12" t="s">
        <v>37</v>
      </c>
      <c r="E67" s="12"/>
      <c r="F67" s="76" t="s">
        <v>71</v>
      </c>
      <c r="G67" s="77">
        <v>150</v>
      </c>
      <c r="H67" s="97" t="s">
        <v>452</v>
      </c>
      <c r="I67" s="97"/>
      <c r="J67" s="428" t="s">
        <v>443</v>
      </c>
      <c r="M67" s="246" t="s">
        <v>29</v>
      </c>
      <c r="N67" s="359" t="s">
        <v>139</v>
      </c>
      <c r="O67" s="359"/>
      <c r="P67" s="113" t="s">
        <v>140</v>
      </c>
      <c r="Q67" s="113">
        <v>0.75</v>
      </c>
      <c r="R67" s="76" t="s">
        <v>71</v>
      </c>
      <c r="S67" s="76"/>
      <c r="T67" s="116" t="s">
        <v>141</v>
      </c>
      <c r="U67" s="116"/>
      <c r="V67" s="422" t="s">
        <v>442</v>
      </c>
    </row>
    <row r="68" spans="1:22" ht="97" customHeight="1" thickBot="1" x14ac:dyDescent="0.4">
      <c r="A68" s="68" t="s">
        <v>73</v>
      </c>
      <c r="B68" s="69"/>
      <c r="C68" s="72" t="s">
        <v>72</v>
      </c>
      <c r="D68" s="71"/>
      <c r="E68" s="73" t="s">
        <v>74</v>
      </c>
      <c r="G68" s="16" t="s">
        <v>56</v>
      </c>
      <c r="H68" s="16"/>
      <c r="M68" s="247"/>
      <c r="N68" s="34"/>
      <c r="O68" s="103"/>
      <c r="P68" s="34"/>
      <c r="Q68" s="104"/>
      <c r="R68" s="34"/>
      <c r="V68" s="8"/>
    </row>
    <row r="69" spans="1:22" ht="58.5" thickBot="1" x14ac:dyDescent="0.4">
      <c r="A69" s="68" t="s">
        <v>322</v>
      </c>
      <c r="B69" s="69"/>
      <c r="C69" s="72" t="s">
        <v>72</v>
      </c>
      <c r="D69" s="71"/>
      <c r="E69" s="73" t="s">
        <v>74</v>
      </c>
      <c r="G69" s="16" t="s">
        <v>56</v>
      </c>
      <c r="H69" s="16"/>
      <c r="V69" s="8"/>
    </row>
    <row r="70" spans="1:22" ht="15" thickBot="1" x14ac:dyDescent="0.4">
      <c r="M70" s="248" t="s">
        <v>0</v>
      </c>
      <c r="N70" s="44" t="s">
        <v>186</v>
      </c>
      <c r="P70" s="120"/>
      <c r="Q70" s="121"/>
      <c r="R70" s="122"/>
      <c r="S70" s="312" t="s">
        <v>0</v>
      </c>
      <c r="T70" s="44" t="s">
        <v>186</v>
      </c>
      <c r="U70" s="301" t="s">
        <v>341</v>
      </c>
      <c r="V70" s="422" t="s">
        <v>430</v>
      </c>
    </row>
    <row r="71" spans="1:22" ht="15" thickBot="1" x14ac:dyDescent="0.4">
      <c r="A71" s="41" t="s">
        <v>0</v>
      </c>
      <c r="B71" s="42" t="s">
        <v>79</v>
      </c>
      <c r="G71" s="316" t="s">
        <v>0</v>
      </c>
      <c r="H71" s="317" t="s">
        <v>79</v>
      </c>
      <c r="I71" s="301" t="s">
        <v>431</v>
      </c>
      <c r="M71" s="249" t="s">
        <v>1</v>
      </c>
      <c r="N71" s="351">
        <f>IF(J20="ours",E2*1.1,E2)</f>
        <v>600</v>
      </c>
      <c r="P71" s="120"/>
      <c r="Q71" s="122"/>
      <c r="R71" s="120"/>
      <c r="S71" s="313" t="s">
        <v>1</v>
      </c>
      <c r="T71" s="46">
        <f>N71</f>
        <v>600</v>
      </c>
      <c r="U71" s="302">
        <f>IF(J20="ours",T71/(E2*1.1), T71/E2)</f>
        <v>1</v>
      </c>
      <c r="V71" s="423">
        <f>IF(J20="ours",IF(Q41=1,(T71+T40+H72)/((H2*1.15+E2+B2)*1.1),(T71+T40+H72)/((H2+E2+B2)*1.1)),IF(Q41=1,(T71+T40+H40)/(H2*1.15+E2+B2),(T71+T40+H40)/(H2+E2+B2)))</f>
        <v>1</v>
      </c>
    </row>
    <row r="72" spans="1:22" x14ac:dyDescent="0.35">
      <c r="A72" s="36" t="s">
        <v>1</v>
      </c>
      <c r="B72" s="191">
        <f>B2+B2*C72</f>
        <v>665.5</v>
      </c>
      <c r="C72" s="162">
        <v>0.1</v>
      </c>
      <c r="G72" s="36" t="s">
        <v>1</v>
      </c>
      <c r="H72" s="318">
        <f>B72</f>
        <v>665.5</v>
      </c>
      <c r="I72" s="302">
        <f>H72/(B2*1.1)</f>
        <v>1</v>
      </c>
      <c r="M72" s="249" t="s">
        <v>2</v>
      </c>
      <c r="N72" s="351">
        <f t="shared" ref="N72:N85" si="14">E3</f>
        <v>141</v>
      </c>
      <c r="P72" s="120"/>
      <c r="Q72" s="123"/>
      <c r="R72" s="120"/>
      <c r="S72" s="313" t="s">
        <v>2</v>
      </c>
      <c r="T72" s="46">
        <f>IF(Q74=3,N72+Q91, IF(Q74=5, N72+Q93,IF(Q74=9, N72+S97,IF(Q74=11,N72+Q99,N72))))</f>
        <v>141</v>
      </c>
      <c r="V72" s="8"/>
    </row>
    <row r="73" spans="1:22" x14ac:dyDescent="0.35">
      <c r="A73" s="36" t="s">
        <v>2</v>
      </c>
      <c r="B73" s="37">
        <f t="shared" ref="B73:B86" si="15">B3</f>
        <v>369</v>
      </c>
      <c r="G73" s="36" t="s">
        <v>2</v>
      </c>
      <c r="H73" s="333">
        <f>B73</f>
        <v>369</v>
      </c>
      <c r="M73" s="249" t="s">
        <v>3</v>
      </c>
      <c r="N73" s="351">
        <f t="shared" si="14"/>
        <v>445</v>
      </c>
      <c r="P73" s="120"/>
      <c r="Q73" s="120"/>
      <c r="R73" s="120"/>
      <c r="S73" s="313" t="s">
        <v>3</v>
      </c>
      <c r="T73" s="46">
        <f>IF(Q74=1,N73+Q89, IF(Q74=2, N73+Q90,IF(Q74=4, N73+Q92,IF(Q74=6, N73+Q94,IF(Q74=7, N73+Q95,IF(Q74=8, N73+Q96,IF(Q74=10, N73+Q98,IF(Q74=12, N73+Q100,0))))))))</f>
        <v>385</v>
      </c>
      <c r="V73" s="8"/>
    </row>
    <row r="74" spans="1:22" x14ac:dyDescent="0.35">
      <c r="A74" s="36" t="s">
        <v>3</v>
      </c>
      <c r="B74" s="37">
        <f t="shared" si="15"/>
        <v>126</v>
      </c>
      <c r="G74" s="36" t="s">
        <v>3</v>
      </c>
      <c r="H74" s="333">
        <f>B74</f>
        <v>126</v>
      </c>
      <c r="M74" s="249" t="s">
        <v>4</v>
      </c>
      <c r="N74" s="351">
        <f t="shared" si="14"/>
        <v>0</v>
      </c>
      <c r="P74" t="s">
        <v>76</v>
      </c>
      <c r="Q74" s="25">
        <v>2</v>
      </c>
      <c r="S74" s="313" t="s">
        <v>4</v>
      </c>
      <c r="T74" s="46"/>
      <c r="V74" s="8"/>
    </row>
    <row r="75" spans="1:22" x14ac:dyDescent="0.35">
      <c r="A75" s="36" t="s">
        <v>4</v>
      </c>
      <c r="B75" s="37">
        <f t="shared" si="15"/>
        <v>0</v>
      </c>
      <c r="D75" t="s">
        <v>76</v>
      </c>
      <c r="E75">
        <v>10</v>
      </c>
      <c r="G75" s="36" t="s">
        <v>4</v>
      </c>
      <c r="H75" s="333">
        <f>IF(E75=1, B75+E90,IF(E75=2, B75+E91, IF(E75=3, B75+E92, IF(E75=4, B75+E93, IF(E75=6,B75+E95, IF(E75=7, B75+E96,0))))))</f>
        <v>0</v>
      </c>
      <c r="M75" s="249" t="s">
        <v>6</v>
      </c>
      <c r="N75" s="351">
        <f t="shared" si="14"/>
        <v>60</v>
      </c>
      <c r="P75" t="s">
        <v>432</v>
      </c>
      <c r="Q75" s="25">
        <f>IF(J20="requin",IF(Q74=1,(T77+S89)*1.04,IF(Q74=3,(T78+S91)*1.04,IF(Q74=4,(T77+S92)*1.04,IF(Q74=5,(T78+S93)*1.04,IF(Q74=6,(T77+S94)*1.04,IF(Q74=7,(T77+S95)*1.04,IF(Q74=8,(T77+S96)*1.04,IF(Q74=10,(T77+S98)*1.04,IF(Q74=11,(T78+S99)*1.04,IF(Q74=12,(T77+S100)*1.04,0)))))))))),IF(Q74=1,T77+S89,IF(Q74=3,T78+S91,IF(Q74=4,T77+S92,IF(Q74=5,T78+S93,IF(Q74=6,T77+S94,IF(Q74=7,T77+S95,IF(Q74=8,T77+S96,IF(Q74=10,T77+S98,IF(Q74=11,T78+S99,IF(Q74=12,T77+S100,0)))))))))))</f>
        <v>0</v>
      </c>
      <c r="S75" s="313" t="s">
        <v>6</v>
      </c>
      <c r="T75" s="46">
        <f>N75</f>
        <v>60</v>
      </c>
      <c r="V75" s="8"/>
    </row>
    <row r="76" spans="1:22" ht="14.5" customHeight="1" thickBot="1" x14ac:dyDescent="0.4">
      <c r="A76" s="36" t="s">
        <v>6</v>
      </c>
      <c r="B76" s="37">
        <f>B6+B6*C76</f>
        <v>160</v>
      </c>
      <c r="C76" s="162">
        <v>1</v>
      </c>
      <c r="D76" t="s">
        <v>75</v>
      </c>
      <c r="E76">
        <f>IF(E75=1,H78+G90,IF(E75=4,H78+G93,IF(E75=6,H78+G95,IF(E75=7,H78+G96,IF(E75=10,H78+G99,0)))))</f>
        <v>175</v>
      </c>
      <c r="G76" s="36" t="s">
        <v>6</v>
      </c>
      <c r="H76" s="333">
        <f>IF(E75=5,B76,IF(E75=8,B76*0.5,0))+B76</f>
        <v>160</v>
      </c>
      <c r="I76" s="431" t="str">
        <f>IF(E75=5,"Bonus armure",IF(E75=8,"Bonus armure",""))</f>
        <v/>
      </c>
      <c r="M76" s="249" t="s">
        <v>7</v>
      </c>
      <c r="N76" s="351">
        <f t="shared" si="14"/>
        <v>47</v>
      </c>
      <c r="P76" s="322" t="s">
        <v>433</v>
      </c>
      <c r="Q76" s="331">
        <f>IF(V4&gt;0,IF(U71&lt;0.5,Q75*1.5+V4, Q75+V4),IF(U71&lt;0.5,Q75*1.5, Q75))</f>
        <v>0</v>
      </c>
      <c r="S76" s="313" t="s">
        <v>7</v>
      </c>
      <c r="T76" s="46">
        <f>N76</f>
        <v>47</v>
      </c>
      <c r="V76" s="8"/>
    </row>
    <row r="77" spans="1:22" ht="14.5" customHeight="1" thickBot="1" x14ac:dyDescent="0.4">
      <c r="A77" s="36" t="s">
        <v>7</v>
      </c>
      <c r="B77" s="37">
        <f t="shared" si="15"/>
        <v>35</v>
      </c>
      <c r="C77" s="153"/>
      <c r="D77" t="s">
        <v>77</v>
      </c>
      <c r="E77">
        <f ca="1">RANDBETWEEN(1,100)</f>
        <v>42</v>
      </c>
      <c r="G77" s="36" t="s">
        <v>7</v>
      </c>
      <c r="H77" s="333">
        <f>IF(E75=8,B77,0)+B77</f>
        <v>35</v>
      </c>
      <c r="I77" s="431" t="str">
        <f>IF(E75=8,"Bonus armure","")</f>
        <v/>
      </c>
      <c r="M77" s="249" t="s">
        <v>10</v>
      </c>
      <c r="N77" s="258">
        <f>IF(J20="cerf",E8*1.05,E8)</f>
        <v>115</v>
      </c>
      <c r="P77" t="s">
        <v>77</v>
      </c>
      <c r="Q77">
        <f ca="1">RANDBETWEEN(1,100)</f>
        <v>41</v>
      </c>
      <c r="S77" s="313" t="s">
        <v>10</v>
      </c>
      <c r="T77" s="46">
        <f>IF(Q74=2,N77*1.3,N77)</f>
        <v>149.5</v>
      </c>
      <c r="U77" s="112" t="s">
        <v>464</v>
      </c>
      <c r="V77" s="112">
        <f>IF(Q74=2, T77*1.3,T77)</f>
        <v>194.35</v>
      </c>
    </row>
    <row r="78" spans="1:22" x14ac:dyDescent="0.35">
      <c r="A78" s="36" t="s">
        <v>10</v>
      </c>
      <c r="B78" s="37">
        <f>B8+C78</f>
        <v>25</v>
      </c>
      <c r="C78" s="8">
        <v>15</v>
      </c>
      <c r="D78" t="s">
        <v>78</v>
      </c>
      <c r="E78">
        <f ca="1">RANDBETWEEN(1,100)</f>
        <v>10</v>
      </c>
      <c r="G78" s="36" t="s">
        <v>10</v>
      </c>
      <c r="H78" s="333">
        <f>IF(E75=9,B78+E98,B78)</f>
        <v>25</v>
      </c>
      <c r="M78" s="249" t="s">
        <v>11</v>
      </c>
      <c r="N78" s="351">
        <f t="shared" si="14"/>
        <v>15</v>
      </c>
      <c r="P78" t="s">
        <v>78</v>
      </c>
      <c r="Q78">
        <f ca="1">RANDBETWEEN(1,100)</f>
        <v>53</v>
      </c>
      <c r="S78" s="313" t="s">
        <v>11</v>
      </c>
      <c r="T78" s="46">
        <v>35</v>
      </c>
      <c r="V78" s="8"/>
    </row>
    <row r="79" spans="1:22" x14ac:dyDescent="0.35">
      <c r="A79" s="36" t="s">
        <v>11</v>
      </c>
      <c r="B79" s="37">
        <f t="shared" si="15"/>
        <v>137.5</v>
      </c>
      <c r="G79" s="36" t="s">
        <v>11</v>
      </c>
      <c r="H79" s="333">
        <f t="shared" ref="H79:H80" si="16">IF(E76=9,B79+E99,B79)</f>
        <v>137.5</v>
      </c>
      <c r="M79" s="249" t="s">
        <v>15</v>
      </c>
      <c r="N79" s="351">
        <f t="shared" si="14"/>
        <v>0</v>
      </c>
      <c r="P79" s="25" t="s">
        <v>355</v>
      </c>
      <c r="Q79" s="243">
        <f>Q75/100</f>
        <v>0</v>
      </c>
      <c r="S79" s="313" t="s">
        <v>15</v>
      </c>
      <c r="T79" s="46"/>
      <c r="V79" s="8"/>
    </row>
    <row r="80" spans="1:22" ht="15.5" x14ac:dyDescent="0.35">
      <c r="A80" s="36" t="s">
        <v>15</v>
      </c>
      <c r="B80" s="37">
        <f t="shared" si="15"/>
        <v>0</v>
      </c>
      <c r="G80" s="36" t="s">
        <v>15</v>
      </c>
      <c r="H80" s="333">
        <f t="shared" ca="1" si="16"/>
        <v>0</v>
      </c>
      <c r="M80" s="249" t="s">
        <v>14</v>
      </c>
      <c r="N80" s="351">
        <f t="shared" si="14"/>
        <v>20</v>
      </c>
      <c r="P80" s="132" t="s">
        <v>169</v>
      </c>
      <c r="Q80" s="132">
        <f>Q75+N101</f>
        <v>0</v>
      </c>
      <c r="S80" s="313" t="s">
        <v>14</v>
      </c>
      <c r="T80" s="46">
        <f t="shared" ref="T80:T85" si="17">N80</f>
        <v>20</v>
      </c>
      <c r="V80" s="8"/>
    </row>
    <row r="81" spans="1:22" x14ac:dyDescent="0.35">
      <c r="A81" s="36" t="s">
        <v>14</v>
      </c>
      <c r="B81" s="37">
        <f t="shared" si="15"/>
        <v>25</v>
      </c>
      <c r="G81" s="36" t="s">
        <v>14</v>
      </c>
      <c r="H81" s="333">
        <f>IF(E75=2,B81+G91,0)+B81</f>
        <v>25</v>
      </c>
      <c r="I81" t="str">
        <f>IF(E75=2,"Bonus vitesse","")</f>
        <v/>
      </c>
      <c r="M81" s="249" t="s">
        <v>8</v>
      </c>
      <c r="N81" s="351">
        <f>IF(J20="aigle",E12+5,E12)</f>
        <v>20</v>
      </c>
      <c r="S81" s="313" t="s">
        <v>8</v>
      </c>
      <c r="T81" s="46">
        <f t="shared" si="17"/>
        <v>20</v>
      </c>
      <c r="U81" s="323" t="s">
        <v>435</v>
      </c>
      <c r="V81" s="424">
        <f>IF(AND(U71&lt;0.75, U71&gt;0.5), T81+5, IF(U71&gt;0.75, T81+10,T81))</f>
        <v>30</v>
      </c>
    </row>
    <row r="82" spans="1:22" ht="15.5" x14ac:dyDescent="0.35">
      <c r="A82" s="36" t="s">
        <v>8</v>
      </c>
      <c r="B82" s="37">
        <f t="shared" si="15"/>
        <v>20</v>
      </c>
      <c r="D82" t="str">
        <f>IF(E75=9,"Bonus puissance physique 2T suivants","")</f>
        <v/>
      </c>
      <c r="G82" s="36" t="s">
        <v>8</v>
      </c>
      <c r="H82" s="333">
        <f>IF(E75=9,B82+20,B82)</f>
        <v>20</v>
      </c>
      <c r="I82" t="str">
        <f>IF(E75=9,"Bonus coup critique","")</f>
        <v/>
      </c>
      <c r="M82" s="249" t="s">
        <v>9</v>
      </c>
      <c r="N82" s="351">
        <f>IF(J20="aigle",E13+5,E13)</f>
        <v>9.5</v>
      </c>
      <c r="P82" s="430" t="str">
        <f>IF(Q74=2, "puissance", IF(Q74=9,"heal &amp; mana",""))</f>
        <v>puissance</v>
      </c>
      <c r="S82" s="313" t="s">
        <v>9</v>
      </c>
      <c r="T82" s="46">
        <f t="shared" si="17"/>
        <v>9.5</v>
      </c>
      <c r="U82" s="128" t="s">
        <v>436</v>
      </c>
      <c r="V82" s="450">
        <f>IF(AND(U71&lt;0.5, U71&gt;0.25), T82+5, IF(U71&lt;0.25, T82+10,T82))</f>
        <v>9.5</v>
      </c>
    </row>
    <row r="83" spans="1:22" x14ac:dyDescent="0.35">
      <c r="A83" s="36" t="s">
        <v>9</v>
      </c>
      <c r="B83" s="37">
        <f t="shared" si="15"/>
        <v>10</v>
      </c>
      <c r="G83" s="36" t="s">
        <v>9</v>
      </c>
      <c r="H83" s="333">
        <f>B83</f>
        <v>10</v>
      </c>
      <c r="M83" s="249" t="s">
        <v>12</v>
      </c>
      <c r="N83" s="351">
        <f t="shared" si="14"/>
        <v>10</v>
      </c>
      <c r="S83" s="313" t="s">
        <v>12</v>
      </c>
      <c r="T83" s="46">
        <f>IF($V$71&lt;0.5,N83+10,N83)</f>
        <v>10</v>
      </c>
      <c r="V83" s="8"/>
    </row>
    <row r="84" spans="1:22" ht="15" thickBot="1" x14ac:dyDescent="0.4">
      <c r="A84" s="36" t="s">
        <v>12</v>
      </c>
      <c r="B84" s="37">
        <f t="shared" si="15"/>
        <v>4</v>
      </c>
      <c r="G84" s="36" t="s">
        <v>12</v>
      </c>
      <c r="H84" s="333">
        <f>IF($V$71&lt;0.5,B84+10, B84)</f>
        <v>4</v>
      </c>
      <c r="M84" s="249" t="s">
        <v>13</v>
      </c>
      <c r="N84" s="351">
        <f t="shared" si="14"/>
        <v>12</v>
      </c>
      <c r="S84" s="314" t="s">
        <v>13</v>
      </c>
      <c r="T84" s="315">
        <f>IF(N3=9,N84+10,IF(S3=9,N84+10, IF(X3=9,N84+10,N84)))</f>
        <v>12</v>
      </c>
      <c r="V84" s="8"/>
    </row>
    <row r="85" spans="1:22" ht="15" thickBot="1" x14ac:dyDescent="0.4">
      <c r="A85" s="36" t="s">
        <v>13</v>
      </c>
      <c r="B85" s="37">
        <f t="shared" si="15"/>
        <v>25.2</v>
      </c>
      <c r="G85" s="36" t="s">
        <v>13</v>
      </c>
      <c r="H85" s="333">
        <f t="shared" ref="H85:H86" si="18">B85</f>
        <v>25.2</v>
      </c>
      <c r="M85" s="250" t="s">
        <v>16</v>
      </c>
      <c r="N85" s="351">
        <f t="shared" si="14"/>
        <v>10</v>
      </c>
      <c r="S85" s="46" t="s">
        <v>16</v>
      </c>
      <c r="T85" s="46">
        <f t="shared" si="17"/>
        <v>10</v>
      </c>
      <c r="V85" s="8"/>
    </row>
    <row r="86" spans="1:22" ht="16" thickBot="1" x14ac:dyDescent="0.4">
      <c r="A86" s="39" t="s">
        <v>16</v>
      </c>
      <c r="B86" s="37">
        <f t="shared" si="15"/>
        <v>5</v>
      </c>
      <c r="G86" s="39" t="s">
        <v>16</v>
      </c>
      <c r="H86" s="336">
        <f t="shared" si="18"/>
        <v>5</v>
      </c>
      <c r="M86" s="25" t="s">
        <v>17</v>
      </c>
      <c r="N86" s="154" t="s">
        <v>229</v>
      </c>
      <c r="O86" s="164">
        <v>5</v>
      </c>
      <c r="P86" s="326" t="s">
        <v>230</v>
      </c>
      <c r="Q86" s="326" t="s">
        <v>231</v>
      </c>
      <c r="R86" s="324" t="s">
        <v>232</v>
      </c>
      <c r="S86" s="325" t="s">
        <v>233</v>
      </c>
      <c r="T86" s="324"/>
      <c r="V86" s="8"/>
    </row>
    <row r="87" spans="1:22" x14ac:dyDescent="0.35">
      <c r="A87" t="s">
        <v>17</v>
      </c>
      <c r="B87" s="75" t="s">
        <v>80</v>
      </c>
      <c r="C87" s="74" t="s">
        <v>81</v>
      </c>
      <c r="M87" s="25" t="s">
        <v>18</v>
      </c>
      <c r="N87" s="227" t="s">
        <v>315</v>
      </c>
      <c r="O87" s="34"/>
      <c r="V87" s="8"/>
    </row>
    <row r="88" spans="1:22" ht="15" thickBot="1" x14ac:dyDescent="0.4">
      <c r="A88" t="s">
        <v>18</v>
      </c>
      <c r="B88" s="141" t="s">
        <v>227</v>
      </c>
      <c r="C88" s="141">
        <v>15</v>
      </c>
      <c r="D88" s="82" t="s">
        <v>228</v>
      </c>
      <c r="E88" s="83">
        <v>1</v>
      </c>
      <c r="M88" s="25" t="s">
        <v>19</v>
      </c>
      <c r="N88" s="151" t="s">
        <v>434</v>
      </c>
      <c r="O88" s="151"/>
      <c r="P88" s="235" t="s">
        <v>340</v>
      </c>
      <c r="Q88" s="235"/>
      <c r="R88" s="235"/>
      <c r="S88" s="235"/>
      <c r="V88" s="8"/>
    </row>
    <row r="89" spans="1:22" ht="106.5" customHeight="1" thickBot="1" x14ac:dyDescent="0.4">
      <c r="A89" t="s">
        <v>19</v>
      </c>
      <c r="M89" s="245" t="s">
        <v>20</v>
      </c>
      <c r="N89" s="354" t="s">
        <v>151</v>
      </c>
      <c r="O89" s="354"/>
      <c r="P89" s="124" t="s">
        <v>3</v>
      </c>
      <c r="Q89" s="124">
        <v>-30</v>
      </c>
      <c r="R89" s="76" t="s">
        <v>71</v>
      </c>
      <c r="S89" s="76">
        <v>35</v>
      </c>
      <c r="V89" s="422" t="s">
        <v>442</v>
      </c>
    </row>
    <row r="90" spans="1:22" ht="73.5" customHeight="1" thickBot="1" x14ac:dyDescent="0.4">
      <c r="A90" s="347" t="s">
        <v>20</v>
      </c>
      <c r="B90" s="357" t="s">
        <v>82</v>
      </c>
      <c r="C90" s="357"/>
      <c r="D90" s="105" t="s">
        <v>85</v>
      </c>
      <c r="E90" s="105">
        <v>10</v>
      </c>
      <c r="F90" s="76" t="s">
        <v>71</v>
      </c>
      <c r="G90" s="259">
        <v>20</v>
      </c>
      <c r="H90" s="7" t="s">
        <v>15</v>
      </c>
      <c r="J90" s="422" t="s">
        <v>442</v>
      </c>
      <c r="M90" s="246" t="s">
        <v>21</v>
      </c>
      <c r="N90" s="353" t="s">
        <v>152</v>
      </c>
      <c r="O90" s="353"/>
      <c r="P90" s="124" t="s">
        <v>3</v>
      </c>
      <c r="Q90" s="124">
        <v>-60</v>
      </c>
      <c r="R90" s="112" t="s">
        <v>96</v>
      </c>
      <c r="S90" s="125">
        <v>0.3</v>
      </c>
      <c r="T90" s="102"/>
      <c r="V90" s="422" t="s">
        <v>442</v>
      </c>
    </row>
    <row r="91" spans="1:22" ht="77" customHeight="1" thickBot="1" x14ac:dyDescent="0.4">
      <c r="A91" s="11" t="s">
        <v>21</v>
      </c>
      <c r="B91" s="359" t="s">
        <v>470</v>
      </c>
      <c r="C91" s="359"/>
      <c r="D91" s="106" t="s">
        <v>85</v>
      </c>
      <c r="E91" s="106">
        <v>15</v>
      </c>
      <c r="F91" s="86" t="s">
        <v>86</v>
      </c>
      <c r="G91" s="87">
        <v>20</v>
      </c>
      <c r="H91" s="7" t="s">
        <v>15</v>
      </c>
      <c r="M91" s="246" t="s">
        <v>22</v>
      </c>
      <c r="N91" s="353" t="s">
        <v>162</v>
      </c>
      <c r="O91" s="353"/>
      <c r="P91" s="12" t="s">
        <v>2</v>
      </c>
      <c r="Q91" s="12">
        <v>-60</v>
      </c>
      <c r="R91" s="76" t="s">
        <v>71</v>
      </c>
      <c r="S91" s="76">
        <v>20</v>
      </c>
      <c r="T91" s="126" t="s">
        <v>168</v>
      </c>
      <c r="U91" s="127">
        <v>-0.2</v>
      </c>
      <c r="V91" s="428" t="s">
        <v>443</v>
      </c>
    </row>
    <row r="92" spans="1:22" ht="91.5" customHeight="1" thickBot="1" x14ac:dyDescent="0.4">
      <c r="A92" s="11" t="s">
        <v>22</v>
      </c>
      <c r="B92" s="359" t="s">
        <v>88</v>
      </c>
      <c r="C92" s="359"/>
      <c r="D92" s="106" t="s">
        <v>85</v>
      </c>
      <c r="E92" s="106">
        <v>5</v>
      </c>
      <c r="F92" s="76" t="s">
        <v>71</v>
      </c>
      <c r="G92" s="259">
        <v>30</v>
      </c>
      <c r="H92" s="7" t="s">
        <v>15</v>
      </c>
      <c r="J92" s="422" t="s">
        <v>442</v>
      </c>
      <c r="M92" s="246" t="s">
        <v>23</v>
      </c>
      <c r="N92" s="353" t="s">
        <v>153</v>
      </c>
      <c r="O92" s="353"/>
      <c r="P92" s="124" t="s">
        <v>3</v>
      </c>
      <c r="Q92" s="124">
        <v>-15</v>
      </c>
      <c r="R92" s="76" t="s">
        <v>71</v>
      </c>
      <c r="S92" s="76">
        <v>30</v>
      </c>
      <c r="T92" s="126" t="s">
        <v>163</v>
      </c>
      <c r="U92" s="127">
        <v>-0.25</v>
      </c>
      <c r="V92" s="422" t="s">
        <v>442</v>
      </c>
    </row>
    <row r="93" spans="1:22" ht="68.5" customHeight="1" thickBot="1" x14ac:dyDescent="0.4">
      <c r="A93" s="11" t="s">
        <v>23</v>
      </c>
      <c r="B93" s="359" t="s">
        <v>84</v>
      </c>
      <c r="C93" s="359"/>
      <c r="D93" s="106" t="s">
        <v>85</v>
      </c>
      <c r="E93" s="106">
        <v>-10</v>
      </c>
      <c r="F93" s="76" t="s">
        <v>71</v>
      </c>
      <c r="G93" s="259">
        <v>15</v>
      </c>
      <c r="H93" s="101" t="s">
        <v>313</v>
      </c>
      <c r="I93" t="s">
        <v>314</v>
      </c>
      <c r="J93" s="422" t="s">
        <v>442</v>
      </c>
      <c r="M93" s="246" t="s">
        <v>24</v>
      </c>
      <c r="N93" s="353" t="s">
        <v>154</v>
      </c>
      <c r="O93" s="353"/>
      <c r="P93" s="12" t="s">
        <v>2</v>
      </c>
      <c r="Q93" s="12">
        <v>-60</v>
      </c>
      <c r="R93" s="76" t="s">
        <v>71</v>
      </c>
      <c r="S93" s="76">
        <v>50</v>
      </c>
      <c r="V93" s="428" t="s">
        <v>443</v>
      </c>
    </row>
    <row r="94" spans="1:22" ht="75.5" customHeight="1" thickBot="1" x14ac:dyDescent="0.4">
      <c r="A94" s="11" t="s">
        <v>24</v>
      </c>
      <c r="B94" s="359" t="s">
        <v>89</v>
      </c>
      <c r="C94" s="359"/>
      <c r="D94" s="107" t="s">
        <v>5</v>
      </c>
      <c r="E94" s="260">
        <v>1</v>
      </c>
      <c r="F94" s="79"/>
      <c r="G94" s="80"/>
      <c r="M94" s="246" t="s">
        <v>25</v>
      </c>
      <c r="N94" s="353" t="s">
        <v>155</v>
      </c>
      <c r="O94" s="353"/>
      <c r="P94" s="124" t="s">
        <v>3</v>
      </c>
      <c r="Q94" s="124">
        <v>-60</v>
      </c>
      <c r="R94" s="76" t="s">
        <v>71</v>
      </c>
      <c r="S94" s="76">
        <v>40</v>
      </c>
      <c r="V94" s="422" t="s">
        <v>442</v>
      </c>
    </row>
    <row r="95" spans="1:22" ht="62" customHeight="1" thickBot="1" x14ac:dyDescent="0.4">
      <c r="A95" s="11" t="s">
        <v>25</v>
      </c>
      <c r="B95" s="359" t="s">
        <v>90</v>
      </c>
      <c r="C95" s="359"/>
      <c r="D95" s="106" t="s">
        <v>85</v>
      </c>
      <c r="E95" s="106">
        <v>-15</v>
      </c>
      <c r="F95" s="76" t="s">
        <v>71</v>
      </c>
      <c r="G95" s="259">
        <v>30</v>
      </c>
      <c r="J95" s="422" t="s">
        <v>442</v>
      </c>
      <c r="M95" s="246" t="s">
        <v>26</v>
      </c>
      <c r="N95" s="353" t="s">
        <v>157</v>
      </c>
      <c r="O95" s="353"/>
      <c r="P95" s="124" t="s">
        <v>3</v>
      </c>
      <c r="Q95" s="124">
        <v>-5</v>
      </c>
      <c r="R95" s="76" t="s">
        <v>71</v>
      </c>
      <c r="S95" s="76">
        <v>70</v>
      </c>
      <c r="T95" s="128" t="s">
        <v>164</v>
      </c>
      <c r="U95" s="128"/>
      <c r="V95" s="422" t="s">
        <v>442</v>
      </c>
    </row>
    <row r="96" spans="1:22" ht="77" customHeight="1" thickBot="1" x14ac:dyDescent="0.4">
      <c r="A96" s="11" t="s">
        <v>26</v>
      </c>
      <c r="B96" s="359" t="s">
        <v>91</v>
      </c>
      <c r="C96" s="359"/>
      <c r="D96" s="106" t="s">
        <v>85</v>
      </c>
      <c r="E96" s="106">
        <v>-30</v>
      </c>
      <c r="F96" s="76" t="s">
        <v>71</v>
      </c>
      <c r="G96" s="259">
        <v>50</v>
      </c>
      <c r="J96" s="422" t="s">
        <v>442</v>
      </c>
      <c r="M96" s="246" t="s">
        <v>27</v>
      </c>
      <c r="N96" s="353" t="s">
        <v>156</v>
      </c>
      <c r="O96" s="353"/>
      <c r="P96" s="124" t="s">
        <v>3</v>
      </c>
      <c r="Q96" s="124">
        <v>-5</v>
      </c>
      <c r="R96" s="76" t="s">
        <v>71</v>
      </c>
      <c r="S96" s="76">
        <v>80</v>
      </c>
      <c r="T96" s="129"/>
      <c r="V96" s="422" t="s">
        <v>442</v>
      </c>
    </row>
    <row r="97" spans="1:36" ht="86.5" customHeight="1" thickBot="1" x14ac:dyDescent="0.4">
      <c r="A97" s="11" t="s">
        <v>27</v>
      </c>
      <c r="B97" s="359" t="s">
        <v>92</v>
      </c>
      <c r="C97" s="359"/>
      <c r="D97" s="107" t="s">
        <v>5</v>
      </c>
      <c r="E97" s="260">
        <v>0.5</v>
      </c>
      <c r="F97" s="108" t="s">
        <v>95</v>
      </c>
      <c r="G97" s="261">
        <v>1</v>
      </c>
      <c r="M97" s="246" t="s">
        <v>28</v>
      </c>
      <c r="N97" s="353" t="s">
        <v>158</v>
      </c>
      <c r="O97" s="353"/>
      <c r="P97" s="13" t="s">
        <v>167</v>
      </c>
      <c r="Q97" s="13">
        <v>10</v>
      </c>
      <c r="R97" s="12" t="s">
        <v>2</v>
      </c>
      <c r="S97" s="12">
        <v>20</v>
      </c>
      <c r="T97" s="102"/>
      <c r="V97" s="8"/>
    </row>
    <row r="98" spans="1:36" ht="80.5" customHeight="1" thickBot="1" x14ac:dyDescent="0.4">
      <c r="A98" s="11" t="s">
        <v>28</v>
      </c>
      <c r="B98" s="359" t="s">
        <v>93</v>
      </c>
      <c r="C98" s="359"/>
      <c r="D98" s="112" t="s">
        <v>96</v>
      </c>
      <c r="E98" s="112">
        <v>60</v>
      </c>
      <c r="F98" s="110" t="s">
        <v>97</v>
      </c>
      <c r="G98" s="135">
        <v>0.25</v>
      </c>
      <c r="M98" s="246" t="s">
        <v>29</v>
      </c>
      <c r="N98" s="353" t="s">
        <v>159</v>
      </c>
      <c r="O98" s="353"/>
      <c r="P98" s="124" t="s">
        <v>3</v>
      </c>
      <c r="Q98" s="124">
        <v>-5</v>
      </c>
      <c r="R98" s="76" t="s">
        <v>71</v>
      </c>
      <c r="S98" s="76">
        <f>IF(U71&gt;0.75, 30, IF(U71&gt;0.5, 60,  IF(U71&gt;0.25, 90,  IF(U71&lt;0.25, 120, 30))))</f>
        <v>30</v>
      </c>
      <c r="T98" s="116" t="s">
        <v>141</v>
      </c>
      <c r="V98" s="422" t="s">
        <v>442</v>
      </c>
    </row>
    <row r="99" spans="1:36" ht="99" customHeight="1" thickBot="1" x14ac:dyDescent="0.4">
      <c r="A99" s="11" t="s">
        <v>29</v>
      </c>
      <c r="B99" s="359" t="s">
        <v>94</v>
      </c>
      <c r="C99" s="359"/>
      <c r="D99" s="79" t="s">
        <v>444</v>
      </c>
      <c r="E99" s="81">
        <v>-0.25</v>
      </c>
      <c r="F99" s="76" t="s">
        <v>71</v>
      </c>
      <c r="G99" s="259">
        <v>150</v>
      </c>
      <c r="H99" s="7"/>
      <c r="J99" s="422" t="s">
        <v>442</v>
      </c>
      <c r="M99" s="246" t="s">
        <v>149</v>
      </c>
      <c r="N99" s="357" t="s">
        <v>161</v>
      </c>
      <c r="O99" s="357"/>
      <c r="P99" s="12" t="s">
        <v>2</v>
      </c>
      <c r="Q99" s="12">
        <v>-20</v>
      </c>
      <c r="R99" s="76" t="s">
        <v>71</v>
      </c>
      <c r="S99" s="76">
        <v>45</v>
      </c>
      <c r="T99" s="126" t="s">
        <v>168</v>
      </c>
      <c r="U99" s="127">
        <v>-0.1</v>
      </c>
      <c r="V99" s="428" t="s">
        <v>443</v>
      </c>
    </row>
    <row r="100" spans="1:36" ht="43" customHeight="1" thickBot="1" x14ac:dyDescent="0.4">
      <c r="A100" s="68" t="s">
        <v>73</v>
      </c>
      <c r="B100" s="69"/>
      <c r="C100" s="72" t="s">
        <v>72</v>
      </c>
      <c r="D100" s="71"/>
      <c r="E100" s="73" t="s">
        <v>74</v>
      </c>
      <c r="M100" s="246" t="s">
        <v>150</v>
      </c>
      <c r="N100" s="373" t="s">
        <v>160</v>
      </c>
      <c r="O100" s="373"/>
      <c r="P100" s="124" t="s">
        <v>3</v>
      </c>
      <c r="Q100" s="124">
        <v>-5</v>
      </c>
      <c r="R100" s="76" t="s">
        <v>71</v>
      </c>
      <c r="S100" s="76">
        <v>150</v>
      </c>
      <c r="V100" s="422" t="s">
        <v>442</v>
      </c>
    </row>
    <row r="101" spans="1:36" ht="29" x14ac:dyDescent="0.35">
      <c r="M101" s="251" t="s">
        <v>165</v>
      </c>
      <c r="N101" s="97"/>
      <c r="O101" s="131" t="s">
        <v>166</v>
      </c>
      <c r="P101" s="131"/>
      <c r="V101" s="8"/>
    </row>
    <row r="102" spans="1:36" x14ac:dyDescent="0.35">
      <c r="V102" s="8"/>
    </row>
    <row r="103" spans="1:36" x14ac:dyDescent="0.35">
      <c r="P103" s="120"/>
      <c r="Q103" s="120"/>
      <c r="R103" s="120"/>
      <c r="V103" s="8"/>
    </row>
    <row r="104" spans="1:36" ht="15" thickBot="1" x14ac:dyDescent="0.4">
      <c r="P104" s="120"/>
      <c r="R104" s="120"/>
      <c r="V104" s="8"/>
    </row>
    <row r="105" spans="1:36" ht="15" thickBot="1" x14ac:dyDescent="0.4">
      <c r="A105" s="41" t="s">
        <v>0</v>
      </c>
      <c r="B105" s="42" t="s">
        <v>170</v>
      </c>
      <c r="C105" s="166" t="s">
        <v>247</v>
      </c>
      <c r="G105" s="316" t="s">
        <v>0</v>
      </c>
      <c r="H105" s="317" t="s">
        <v>170</v>
      </c>
      <c r="I105" s="301" t="s">
        <v>431</v>
      </c>
      <c r="M105" s="320" t="s">
        <v>0</v>
      </c>
      <c r="N105" s="317" t="s">
        <v>370</v>
      </c>
      <c r="O105" s="166" t="s">
        <v>247</v>
      </c>
      <c r="S105" s="316" t="s">
        <v>0</v>
      </c>
      <c r="T105" s="42" t="s">
        <v>370</v>
      </c>
      <c r="U105" s="301" t="s">
        <v>431</v>
      </c>
      <c r="V105" s="8"/>
      <c r="AA105" s="41" t="s">
        <v>0</v>
      </c>
      <c r="AB105" s="42" t="s">
        <v>394</v>
      </c>
      <c r="AC105" s="166" t="s">
        <v>247</v>
      </c>
      <c r="AD105" s="166"/>
      <c r="AH105" s="316" t="s">
        <v>0</v>
      </c>
      <c r="AI105" s="317" t="s">
        <v>394</v>
      </c>
      <c r="AJ105" s="301" t="s">
        <v>431</v>
      </c>
    </row>
    <row r="106" spans="1:36" x14ac:dyDescent="0.35">
      <c r="A106" s="36" t="s">
        <v>1</v>
      </c>
      <c r="B106" s="37">
        <f>B2</f>
        <v>605</v>
      </c>
      <c r="C106" s="166"/>
      <c r="G106" s="36" t="s">
        <v>1</v>
      </c>
      <c r="H106" s="333">
        <f>B106</f>
        <v>605</v>
      </c>
      <c r="I106" s="302">
        <f>H106/B2</f>
        <v>1</v>
      </c>
      <c r="M106" s="36" t="s">
        <v>1</v>
      </c>
      <c r="N106" s="37">
        <f>B2</f>
        <v>605</v>
      </c>
      <c r="O106" s="166"/>
      <c r="S106" s="36" t="s">
        <v>1</v>
      </c>
      <c r="T106" s="333">
        <f>N106</f>
        <v>605</v>
      </c>
      <c r="U106" s="302">
        <f>T106/B2</f>
        <v>1</v>
      </c>
      <c r="V106" s="8"/>
      <c r="AA106" s="36" t="s">
        <v>1</v>
      </c>
      <c r="AB106" s="37">
        <f t="shared" ref="AB106:AB111" si="19">B2</f>
        <v>605</v>
      </c>
      <c r="AC106" s="166"/>
      <c r="AD106" s="166"/>
      <c r="AH106" s="36" t="s">
        <v>1</v>
      </c>
      <c r="AI106" s="333">
        <f>AB106</f>
        <v>605</v>
      </c>
      <c r="AJ106" s="302">
        <f>AI106/B2</f>
        <v>1</v>
      </c>
    </row>
    <row r="107" spans="1:36" x14ac:dyDescent="0.35">
      <c r="A107" s="36" t="s">
        <v>2</v>
      </c>
      <c r="B107" s="37">
        <f t="shared" ref="B107:B120" si="20">B3</f>
        <v>369</v>
      </c>
      <c r="C107" s="166"/>
      <c r="G107" s="36" t="s">
        <v>2</v>
      </c>
      <c r="H107" s="333">
        <f>B107</f>
        <v>369</v>
      </c>
      <c r="M107" s="36" t="s">
        <v>2</v>
      </c>
      <c r="N107" s="191">
        <f t="shared" ref="N107:N120" si="21">B3</f>
        <v>369</v>
      </c>
      <c r="O107" s="166"/>
      <c r="S107" s="36" t="s">
        <v>2</v>
      </c>
      <c r="T107" s="318">
        <f>IF(Q109=4,N107-Q127,IF(Q109=6,N107-Q129,IF(Q109=10,N107-Q133,N107)))</f>
        <v>369</v>
      </c>
      <c r="V107" s="8"/>
      <c r="AA107" s="36" t="s">
        <v>2</v>
      </c>
      <c r="AB107" s="37">
        <f t="shared" si="19"/>
        <v>369</v>
      </c>
      <c r="AC107" s="166"/>
      <c r="AD107" s="166"/>
      <c r="AH107" s="36" t="s">
        <v>2</v>
      </c>
      <c r="AI107" s="333">
        <f>IF(AF109=2,AB107-AF125,IF(AF109=4,AB107-AF127,IF(AF109=6,AB107-AF129,AB107)))</f>
        <v>369</v>
      </c>
    </row>
    <row r="108" spans="1:36" x14ac:dyDescent="0.35">
      <c r="A108" s="36" t="s">
        <v>3</v>
      </c>
      <c r="B108" s="37">
        <f t="shared" si="20"/>
        <v>126</v>
      </c>
      <c r="C108" s="166"/>
      <c r="G108" s="36" t="s">
        <v>3</v>
      </c>
      <c r="H108" s="333">
        <f>IF(E109=1,B108+E124,IF(E109=2,B108+E125,IF(E109=3,B108+E126,IF(E109=4,B108+E127,IF(E109=5,B108+E128,IF(E109=6,B108+E129,IF(E109=7,B108+E130,IF(E109=8,B108+E131,IF(E109=9,B108+E132,IF(E109=10,B108+E133,0))))))))))</f>
        <v>0</v>
      </c>
      <c r="M108" s="36" t="s">
        <v>3</v>
      </c>
      <c r="N108" s="191">
        <f t="shared" si="21"/>
        <v>126</v>
      </c>
      <c r="O108" s="166"/>
      <c r="S108" s="36" t="s">
        <v>3</v>
      </c>
      <c r="T108" s="318">
        <f>IF(Q109=1,N108+Q124,IF(Q109=2,N108+Q125,IF(Q109=3,N108+Q126,IF(Q109=5,N108+Q128,IF(Q109=7,N108+Q130,IF(Q109=8,N108+Q131,IF(Q109=9,N108+Q132,N108)))))))</f>
        <v>126</v>
      </c>
      <c r="V108" s="8"/>
      <c r="AA108" s="36" t="s">
        <v>3</v>
      </c>
      <c r="AB108" s="37">
        <f t="shared" si="19"/>
        <v>126</v>
      </c>
      <c r="AC108" s="166"/>
      <c r="AD108" s="166"/>
      <c r="AH108" s="36" t="s">
        <v>3</v>
      </c>
      <c r="AI108" s="333">
        <f>IF(AF109=1,AB108+AF124,IF(AF109=3,AB108+AF126,IF(AF109=5,AB108+AF128,IF(AF109=7,AB108+AF130,IF(AF109=8,AB108+AF131,IF(AF109=9,0,IF(AF109=10,AB108+AF133,AB108)))))))</f>
        <v>111</v>
      </c>
    </row>
    <row r="109" spans="1:36" x14ac:dyDescent="0.35">
      <c r="A109" s="36" t="s">
        <v>4</v>
      </c>
      <c r="B109" s="37">
        <f t="shared" si="20"/>
        <v>0</v>
      </c>
      <c r="C109" s="166"/>
      <c r="D109" t="s">
        <v>76</v>
      </c>
      <c r="G109" s="36" t="s">
        <v>4</v>
      </c>
      <c r="H109" s="333">
        <f>B109</f>
        <v>0</v>
      </c>
      <c r="M109" s="36" t="s">
        <v>4</v>
      </c>
      <c r="N109" s="191">
        <f t="shared" si="21"/>
        <v>0</v>
      </c>
      <c r="O109" s="166"/>
      <c r="P109" t="s">
        <v>76</v>
      </c>
      <c r="S109" s="36" t="s">
        <v>4</v>
      </c>
      <c r="T109" s="318">
        <f>N109</f>
        <v>0</v>
      </c>
      <c r="V109" s="8"/>
      <c r="AA109" s="36" t="s">
        <v>4</v>
      </c>
      <c r="AB109" s="37">
        <f t="shared" si="19"/>
        <v>0</v>
      </c>
      <c r="AC109" s="166"/>
      <c r="AD109" s="166"/>
      <c r="AE109" t="s">
        <v>76</v>
      </c>
      <c r="AF109">
        <v>5</v>
      </c>
      <c r="AH109" s="36" t="s">
        <v>4</v>
      </c>
      <c r="AI109" s="333">
        <f>AB109</f>
        <v>0</v>
      </c>
    </row>
    <row r="110" spans="1:36" x14ac:dyDescent="0.35">
      <c r="A110" s="36" t="s">
        <v>6</v>
      </c>
      <c r="B110" s="37">
        <f t="shared" si="20"/>
        <v>80</v>
      </c>
      <c r="C110" s="166"/>
      <c r="D110" t="s">
        <v>75</v>
      </c>
      <c r="E110">
        <f>IF(E109=1,H112+G124,IF(E109=4,H112+G127,IF(E109=6,H112+G129,IF(E109=7,H112+G130,IF(E109=10,H112+G133,0)))))</f>
        <v>0</v>
      </c>
      <c r="G110" s="36" t="s">
        <v>6</v>
      </c>
      <c r="H110" s="333">
        <f>IF(E109=5,B110*1.4,B110)</f>
        <v>80</v>
      </c>
      <c r="I110" t="str">
        <f>IF(E109=5,"Bonus armure 2 tours","")</f>
        <v/>
      </c>
      <c r="M110" s="36" t="s">
        <v>6</v>
      </c>
      <c r="N110" s="191">
        <f t="shared" si="21"/>
        <v>80</v>
      </c>
      <c r="O110" s="166"/>
      <c r="P110" t="s">
        <v>75</v>
      </c>
      <c r="Q110" s="25">
        <f>IF(Q109=1,T112+S124,IF(Q109=2,T112+S125,IF(Q109=4,T113+S127,IF(Q109=5,T112+S128,IF(Q109=6,T113+S129,IF(Q109=7,T112+S130,IF(Q109=8,T112+S131,IF(Q109=9,T112+S132,IF(Q109=10,T113+S133,0)))))))))</f>
        <v>0</v>
      </c>
      <c r="S110" s="36" t="s">
        <v>6</v>
      </c>
      <c r="T110" s="318">
        <f>N110</f>
        <v>80</v>
      </c>
      <c r="V110" s="8" t="str">
        <f>IF(Q109=7,"Vigueur Azrak:","")</f>
        <v/>
      </c>
      <c r="W110" s="328" t="str">
        <f>IF(Q109=7, N73*0.2,"")</f>
        <v/>
      </c>
      <c r="AA110" s="36" t="s">
        <v>6</v>
      </c>
      <c r="AB110" s="37">
        <f t="shared" si="19"/>
        <v>80</v>
      </c>
      <c r="AC110" s="166"/>
      <c r="AD110" s="166"/>
      <c r="AE110" t="s">
        <v>75</v>
      </c>
      <c r="AF110" s="25">
        <f>IF(AF109=1,(AI112+AH124),IF(AF109=2,AI113+AH125+B3/100,IF(AF109=3,AI112+AH126+AB110/10,IF(AF109=4,AI113+AH127+B3/100,IF(AF109=7,AI112+AH130,IF(AF109=8,AI112+AH131,IF(AF109=9,AI112+AH132,IF(AF109=10,AI112+AH133,0))))))))</f>
        <v>0</v>
      </c>
      <c r="AH110" s="36" t="s">
        <v>6</v>
      </c>
      <c r="AI110" s="333">
        <f>IF(AF109=5,AB110*1.2,AB110)</f>
        <v>96</v>
      </c>
      <c r="AJ110" s="429" t="str">
        <f>IF(AF109=5,"Bonus armure 2 T ", "")</f>
        <v xml:space="preserve">Bonus armure 2 T </v>
      </c>
    </row>
    <row r="111" spans="1:36" x14ac:dyDescent="0.35">
      <c r="A111" s="36" t="s">
        <v>7</v>
      </c>
      <c r="B111" s="37">
        <f t="shared" si="20"/>
        <v>35</v>
      </c>
      <c r="C111" s="167"/>
      <c r="D111" t="s">
        <v>77</v>
      </c>
      <c r="E111">
        <f ca="1">RANDBETWEEN(1,100)</f>
        <v>44</v>
      </c>
      <c r="G111" s="36" t="s">
        <v>7</v>
      </c>
      <c r="H111" s="333">
        <f>IF(E110=8,B111+G131,0)+B111+B111*C111</f>
        <v>35</v>
      </c>
      <c r="M111" s="36" t="s">
        <v>7</v>
      </c>
      <c r="N111" s="191">
        <f t="shared" si="21"/>
        <v>35</v>
      </c>
      <c r="O111" s="167"/>
      <c r="P111" t="s">
        <v>77</v>
      </c>
      <c r="Q111">
        <f ca="1">RANDBETWEEN(1,100)</f>
        <v>55</v>
      </c>
      <c r="S111" s="36" t="s">
        <v>7</v>
      </c>
      <c r="T111" s="318">
        <f>N111</f>
        <v>35</v>
      </c>
      <c r="V111" s="8" t="str">
        <f>IF(Q109=7,"Vigeur Thalia","")</f>
        <v/>
      </c>
      <c r="W111" s="328" t="str">
        <f>IF(Q109=7, N108*0.2,"")</f>
        <v/>
      </c>
      <c r="AA111" s="36" t="s">
        <v>7</v>
      </c>
      <c r="AB111" s="37">
        <f t="shared" si="19"/>
        <v>35</v>
      </c>
      <c r="AC111" s="167"/>
      <c r="AD111" s="167"/>
      <c r="AE111" t="s">
        <v>77</v>
      </c>
      <c r="AF111">
        <f ca="1">RANDBETWEEN(1,100)</f>
        <v>46</v>
      </c>
      <c r="AH111" s="36" t="s">
        <v>7</v>
      </c>
      <c r="AI111" s="333">
        <f>AB111</f>
        <v>35</v>
      </c>
    </row>
    <row r="112" spans="1:36" x14ac:dyDescent="0.35">
      <c r="A112" s="36" t="s">
        <v>10</v>
      </c>
      <c r="B112" s="191">
        <f>(B8+C112)*1.05</f>
        <v>31.5</v>
      </c>
      <c r="C112" s="168">
        <v>20</v>
      </c>
      <c r="D112" t="s">
        <v>78</v>
      </c>
      <c r="E112">
        <f ca="1">RANDBETWEEN(1,100)</f>
        <v>56</v>
      </c>
      <c r="G112" s="36" t="s">
        <v>10</v>
      </c>
      <c r="H112" s="318">
        <f>B112</f>
        <v>31.5</v>
      </c>
      <c r="M112" s="36" t="s">
        <v>10</v>
      </c>
      <c r="N112" s="191">
        <f>B8+O112</f>
        <v>30</v>
      </c>
      <c r="O112" s="168">
        <v>20</v>
      </c>
      <c r="P112" t="s">
        <v>78</v>
      </c>
      <c r="Q112">
        <f ca="1">RANDBETWEEN(1,100)</f>
        <v>15</v>
      </c>
      <c r="S112" s="36" t="s">
        <v>10</v>
      </c>
      <c r="T112" s="318">
        <f>N112</f>
        <v>30</v>
      </c>
      <c r="V112" s="8"/>
      <c r="AA112" s="36" t="s">
        <v>10</v>
      </c>
      <c r="AB112" s="37">
        <f>B8+AC112</f>
        <v>30</v>
      </c>
      <c r="AC112" s="168">
        <v>20</v>
      </c>
      <c r="AD112" s="168"/>
      <c r="AE112" t="s">
        <v>78</v>
      </c>
      <c r="AF112">
        <f ca="1">RANDBETWEEN(1,100)</f>
        <v>17</v>
      </c>
      <c r="AH112" s="36" t="s">
        <v>10</v>
      </c>
      <c r="AI112" s="318">
        <f>IF(AF109=6, AB112*1.3,AB112)</f>
        <v>30</v>
      </c>
      <c r="AJ112" s="429" t="str">
        <f>IF(AF109=6,"Puissance physique 2 T","")</f>
        <v/>
      </c>
    </row>
    <row r="113" spans="1:38" x14ac:dyDescent="0.35">
      <c r="A113" s="36" t="s">
        <v>11</v>
      </c>
      <c r="B113" s="37">
        <f t="shared" si="20"/>
        <v>137.5</v>
      </c>
      <c r="C113" s="166"/>
      <c r="D113" s="235" t="s">
        <v>468</v>
      </c>
      <c r="G113" s="36" t="s">
        <v>11</v>
      </c>
      <c r="H113" s="333">
        <f>B113</f>
        <v>137.5</v>
      </c>
      <c r="M113" s="36" t="s">
        <v>11</v>
      </c>
      <c r="N113" s="191">
        <f t="shared" si="21"/>
        <v>137.5</v>
      </c>
      <c r="O113" s="166"/>
      <c r="P113" t="s">
        <v>423</v>
      </c>
      <c r="Q113">
        <f ca="1">RANDBETWEEN(1,100)</f>
        <v>69</v>
      </c>
      <c r="S113" s="36" t="s">
        <v>11</v>
      </c>
      <c r="T113" s="318">
        <f>N113</f>
        <v>137.5</v>
      </c>
      <c r="V113" s="8"/>
      <c r="AA113" s="36" t="s">
        <v>11</v>
      </c>
      <c r="AB113" s="191">
        <f t="shared" ref="AB113:AB120" si="22">B9</f>
        <v>137.5</v>
      </c>
      <c r="AC113" s="166"/>
      <c r="AD113" s="166"/>
      <c r="AH113" s="36" t="s">
        <v>11</v>
      </c>
      <c r="AI113" s="318">
        <f>IF(AF109=6, AB113*1.3,AB113)</f>
        <v>137.5</v>
      </c>
      <c r="AJ113" t="str">
        <f>IF(AF109=6,"Puissance des sorts 2 T","")</f>
        <v/>
      </c>
    </row>
    <row r="114" spans="1:38" x14ac:dyDescent="0.35">
      <c r="A114" s="36" t="s">
        <v>15</v>
      </c>
      <c r="B114" s="37">
        <f t="shared" si="20"/>
        <v>0</v>
      </c>
      <c r="C114" s="166"/>
      <c r="D114" t="str">
        <f>IF(E109=4,"50% chance ignorer l'armure","")</f>
        <v/>
      </c>
      <c r="E114" t="str">
        <f ca="1">IF(E109=4,RANDBETWEEN(1,100),"")</f>
        <v/>
      </c>
      <c r="G114" s="36" t="s">
        <v>15</v>
      </c>
      <c r="H114" s="333">
        <f>B114</f>
        <v>0</v>
      </c>
      <c r="M114" s="36" t="s">
        <v>15</v>
      </c>
      <c r="N114" s="191">
        <f t="shared" si="21"/>
        <v>0</v>
      </c>
      <c r="O114" s="166"/>
      <c r="S114" s="36" t="s">
        <v>15</v>
      </c>
      <c r="T114" s="318">
        <f>N114</f>
        <v>0</v>
      </c>
      <c r="V114" s="8"/>
      <c r="AA114" s="36" t="s">
        <v>15</v>
      </c>
      <c r="AB114" s="37">
        <f t="shared" si="22"/>
        <v>0</v>
      </c>
      <c r="AC114" s="166"/>
      <c r="AD114" s="166"/>
      <c r="AH114" s="36" t="s">
        <v>15</v>
      </c>
      <c r="AI114" s="333">
        <f>AB114</f>
        <v>0</v>
      </c>
    </row>
    <row r="115" spans="1:38" x14ac:dyDescent="0.35">
      <c r="A115" s="36" t="s">
        <v>14</v>
      </c>
      <c r="B115" s="37">
        <f>B11+C115</f>
        <v>45</v>
      </c>
      <c r="C115" s="169">
        <v>20</v>
      </c>
      <c r="D115" t="str">
        <f>IF(E109=9,"chance d'étourdir","")</f>
        <v/>
      </c>
      <c r="E115" t="str">
        <f ca="1">IF(E109=9,RANDBETWEEN(1,100),"")</f>
        <v/>
      </c>
      <c r="G115" s="36" t="s">
        <v>14</v>
      </c>
      <c r="H115" s="333">
        <f>B115+IF(E109=3,15,IF(E109=8,20,0))</f>
        <v>45</v>
      </c>
      <c r="I115" t="str">
        <f>IF(E109=3,"Bonus vitesse",IF(E109=8,"Bonus vitesse",""))</f>
        <v/>
      </c>
      <c r="M115" s="36" t="s">
        <v>14</v>
      </c>
      <c r="N115" s="191">
        <f>B11+O115</f>
        <v>35</v>
      </c>
      <c r="O115" s="169">
        <v>10</v>
      </c>
      <c r="P115" s="429" t="str">
        <f>IF(Q109=1,"Bonus puissance physique tour suivant","")</f>
        <v/>
      </c>
      <c r="S115" s="36" t="s">
        <v>14</v>
      </c>
      <c r="T115" s="318">
        <f>N115</f>
        <v>35</v>
      </c>
      <c r="V115" s="8"/>
      <c r="AA115" s="36" t="s">
        <v>14</v>
      </c>
      <c r="AB115" s="37">
        <f t="shared" si="22"/>
        <v>25</v>
      </c>
      <c r="AC115" s="169"/>
      <c r="AD115" s="169"/>
      <c r="AE115" t="s">
        <v>428</v>
      </c>
      <c r="AH115" s="36" t="s">
        <v>14</v>
      </c>
      <c r="AI115" s="333">
        <f>AB115</f>
        <v>25</v>
      </c>
    </row>
    <row r="116" spans="1:38" x14ac:dyDescent="0.35">
      <c r="A116" s="36" t="s">
        <v>8</v>
      </c>
      <c r="B116" s="37">
        <f t="shared" si="20"/>
        <v>20</v>
      </c>
      <c r="C116" s="166"/>
      <c r="G116" s="36" t="s">
        <v>8</v>
      </c>
      <c r="H116" s="333">
        <f>IF(E109=6,B116+30,B116)</f>
        <v>20</v>
      </c>
      <c r="M116" s="36" t="s">
        <v>8</v>
      </c>
      <c r="N116" s="191">
        <f>B12+O116</f>
        <v>25</v>
      </c>
      <c r="O116" s="169">
        <v>5</v>
      </c>
      <c r="P116" s="431" t="str">
        <f>IF(Q109=10,"Bonus dégats groupe","")</f>
        <v/>
      </c>
      <c r="S116" s="36" t="s">
        <v>8</v>
      </c>
      <c r="T116" s="318">
        <f>IF(Q109=2,N116+30, IF(Q109=3,N116+50,IF(Q109=9,N116+35,IF(Q109=10,N116+30, N116))))</f>
        <v>25</v>
      </c>
      <c r="U116" t="str">
        <f>IF(Q109=2,"Bonus coup critique",IF(Q109=3,"Bonus coup critique",IF(Q109=9,"Bonus coup critique",IF(Q109=10,"Bonus coup critique",""))))</f>
        <v/>
      </c>
      <c r="V116" s="8"/>
      <c r="AA116" s="36" t="s">
        <v>8</v>
      </c>
      <c r="AB116" s="37">
        <f t="shared" si="22"/>
        <v>20</v>
      </c>
      <c r="AC116" s="169"/>
      <c r="AD116" s="169"/>
      <c r="AH116" s="36" t="s">
        <v>8</v>
      </c>
      <c r="AI116" s="333">
        <f>AB116</f>
        <v>20</v>
      </c>
    </row>
    <row r="117" spans="1:38" x14ac:dyDescent="0.35">
      <c r="A117" s="36" t="s">
        <v>9</v>
      </c>
      <c r="B117" s="191">
        <f>B13+C117</f>
        <v>15</v>
      </c>
      <c r="C117" s="192">
        <v>5</v>
      </c>
      <c r="G117" s="36" t="s">
        <v>9</v>
      </c>
      <c r="H117" s="318">
        <f>B117+C117+ IF(E109=3,10,IF(E109=7,30,0))</f>
        <v>20</v>
      </c>
      <c r="I117" t="str">
        <f>IF(E109=3,"Bonus esquive",IF(E109=7,"Bonus esquive",""))</f>
        <v/>
      </c>
      <c r="M117" s="36" t="s">
        <v>9</v>
      </c>
      <c r="N117" s="191">
        <f>B13+O117</f>
        <v>15</v>
      </c>
      <c r="O117" s="192">
        <v>5</v>
      </c>
      <c r="S117" s="36" t="s">
        <v>9</v>
      </c>
      <c r="T117" s="318">
        <f>N117+IF(Q109=3,5,0) + IF(Q109=5,30,0) + IF(Q109=7,20,0)</f>
        <v>15</v>
      </c>
      <c r="V117" s="8"/>
      <c r="AA117" s="36" t="s">
        <v>9</v>
      </c>
      <c r="AB117" s="37">
        <f t="shared" si="22"/>
        <v>10</v>
      </c>
      <c r="AC117" s="192"/>
      <c r="AD117" s="192"/>
      <c r="AE117" s="431" t="str">
        <f>IF(AF109=1,IF(O140&gt;0.8, "Bonus dégats x2",""),"")</f>
        <v/>
      </c>
      <c r="AH117" s="36" t="s">
        <v>9</v>
      </c>
      <c r="AI117" s="333">
        <f>AB117+IF(AF109=10,100,0)</f>
        <v>10</v>
      </c>
      <c r="AJ117" t="str">
        <f>IF(AF109=10, "Bonus esquive","")</f>
        <v/>
      </c>
    </row>
    <row r="118" spans="1:38" x14ac:dyDescent="0.35">
      <c r="A118" s="36" t="s">
        <v>12</v>
      </c>
      <c r="B118" s="37">
        <f t="shared" si="20"/>
        <v>4</v>
      </c>
      <c r="C118" s="166"/>
      <c r="D118" s="431" t="str">
        <f>IF(E109=3,"Bonus vitesse groupe","")</f>
        <v/>
      </c>
      <c r="E118" s="431" t="str">
        <f>IF(E109=3,"Bonus esquive groupe","")</f>
        <v/>
      </c>
      <c r="G118" s="36" t="s">
        <v>12</v>
      </c>
      <c r="H118" s="333">
        <f>IF($V$71&lt;0.5,B118+10, B118)</f>
        <v>4</v>
      </c>
      <c r="M118" s="36" t="s">
        <v>12</v>
      </c>
      <c r="N118" s="191">
        <f t="shared" si="21"/>
        <v>4</v>
      </c>
      <c r="O118" s="166"/>
      <c r="S118" s="36" t="s">
        <v>12</v>
      </c>
      <c r="T118" s="318">
        <f>IF($V$71&lt;0.5,N118+10, N118)</f>
        <v>4</v>
      </c>
      <c r="V118" s="8"/>
      <c r="AA118" s="36" t="s">
        <v>12</v>
      </c>
      <c r="AB118" s="37">
        <f t="shared" si="22"/>
        <v>4</v>
      </c>
      <c r="AC118" s="166"/>
      <c r="AD118" s="166"/>
      <c r="AE118" s="453" t="str">
        <f>IF(AF109=10,"Bonus dégats +30%","")</f>
        <v/>
      </c>
      <c r="AH118" s="36" t="s">
        <v>12</v>
      </c>
      <c r="AI118" s="333">
        <f>IF($V$71&lt;0.5,AB118+10, AB118)</f>
        <v>4</v>
      </c>
    </row>
    <row r="119" spans="1:38" ht="15" thickBot="1" x14ac:dyDescent="0.4">
      <c r="A119" s="36" t="s">
        <v>13</v>
      </c>
      <c r="B119" s="37">
        <f t="shared" si="20"/>
        <v>25.2</v>
      </c>
      <c r="C119" s="166"/>
      <c r="G119" s="36" t="s">
        <v>13</v>
      </c>
      <c r="H119" s="333">
        <f t="shared" ref="H119:H120" si="23">B119</f>
        <v>25.2</v>
      </c>
      <c r="M119" s="39" t="s">
        <v>13</v>
      </c>
      <c r="N119" s="454">
        <f t="shared" si="21"/>
        <v>25.2</v>
      </c>
      <c r="O119" s="166"/>
      <c r="S119" s="36" t="s">
        <v>13</v>
      </c>
      <c r="T119" s="318">
        <f t="shared" ref="T119:T120" si="24">N119</f>
        <v>25.2</v>
      </c>
      <c r="V119" s="8"/>
      <c r="AA119" s="36" t="s">
        <v>13</v>
      </c>
      <c r="AB119" s="37">
        <f t="shared" si="22"/>
        <v>25.2</v>
      </c>
      <c r="AC119" s="166"/>
      <c r="AD119" s="166"/>
      <c r="AH119" s="39" t="s">
        <v>13</v>
      </c>
      <c r="AI119" s="336">
        <f t="shared" ref="AI119:AI120" si="25">AB119</f>
        <v>25.2</v>
      </c>
    </row>
    <row r="120" spans="1:38" ht="15" thickBot="1" x14ac:dyDescent="0.4">
      <c r="A120" s="39" t="s">
        <v>16</v>
      </c>
      <c r="B120" s="37">
        <f t="shared" si="20"/>
        <v>5</v>
      </c>
      <c r="C120" s="166"/>
      <c r="G120" s="39" t="s">
        <v>16</v>
      </c>
      <c r="H120" s="336">
        <f t="shared" si="23"/>
        <v>5</v>
      </c>
      <c r="M120" s="39" t="s">
        <v>16</v>
      </c>
      <c r="N120" s="37">
        <f t="shared" si="21"/>
        <v>5</v>
      </c>
      <c r="O120" s="166"/>
      <c r="S120" s="39" t="s">
        <v>16</v>
      </c>
      <c r="T120" s="219">
        <f t="shared" si="24"/>
        <v>5</v>
      </c>
      <c r="V120" s="8"/>
      <c r="AA120" s="39" t="s">
        <v>16</v>
      </c>
      <c r="AB120" s="37">
        <f t="shared" si="22"/>
        <v>5</v>
      </c>
      <c r="AC120" s="166"/>
      <c r="AD120" s="166"/>
      <c r="AH120" s="32" t="s">
        <v>16</v>
      </c>
      <c r="AI120" s="57">
        <f t="shared" si="25"/>
        <v>5</v>
      </c>
    </row>
    <row r="121" spans="1:38" ht="15" thickBot="1" x14ac:dyDescent="0.4">
      <c r="A121" t="s">
        <v>17</v>
      </c>
      <c r="B121" s="112" t="s">
        <v>10</v>
      </c>
      <c r="C121" s="112">
        <v>20</v>
      </c>
      <c r="D121" s="86" t="s">
        <v>86</v>
      </c>
      <c r="E121" s="86">
        <v>20</v>
      </c>
      <c r="F121" s="133" t="s">
        <v>43</v>
      </c>
      <c r="G121" s="321">
        <v>5</v>
      </c>
      <c r="H121" s="69" t="s">
        <v>350</v>
      </c>
      <c r="I121" s="69"/>
      <c r="J121" s="69"/>
      <c r="K121" s="69"/>
      <c r="L121" s="69"/>
      <c r="M121" t="s">
        <v>17</v>
      </c>
      <c r="N121" s="112" t="s">
        <v>10</v>
      </c>
      <c r="O121" s="112">
        <v>20</v>
      </c>
      <c r="P121" s="86" t="s">
        <v>373</v>
      </c>
      <c r="U121" s="34"/>
      <c r="V121" s="156"/>
      <c r="W121" s="34"/>
      <c r="AA121" t="s">
        <v>17</v>
      </c>
      <c r="AB121" s="279" t="s">
        <v>395</v>
      </c>
      <c r="AC121" s="279"/>
      <c r="AD121" s="279"/>
      <c r="AE121" s="112" t="s">
        <v>10</v>
      </c>
      <c r="AF121" s="112">
        <v>20</v>
      </c>
      <c r="AJ121" s="34"/>
    </row>
    <row r="122" spans="1:38" ht="15" thickBot="1" x14ac:dyDescent="0.4">
      <c r="A122" t="s">
        <v>18</v>
      </c>
      <c r="B122" s="75" t="s">
        <v>367</v>
      </c>
      <c r="C122" s="75"/>
      <c r="M122" t="s">
        <v>18</v>
      </c>
      <c r="N122" s="269" t="s">
        <v>372</v>
      </c>
      <c r="O122" s="133" t="s">
        <v>43</v>
      </c>
      <c r="P122" s="133">
        <v>5</v>
      </c>
      <c r="Q122" s="267" t="s">
        <v>371</v>
      </c>
      <c r="R122" s="268">
        <v>5</v>
      </c>
      <c r="U122" s="34"/>
      <c r="V122" s="156"/>
      <c r="W122" s="34"/>
      <c r="AA122" t="s">
        <v>18</v>
      </c>
      <c r="AB122" s="269" t="s">
        <v>396</v>
      </c>
      <c r="AC122" s="269"/>
      <c r="AD122" s="280">
        <v>0.04</v>
      </c>
      <c r="AE122" s="290" t="s">
        <v>400</v>
      </c>
      <c r="AF122" s="86" t="s">
        <v>401</v>
      </c>
      <c r="AG122" s="288">
        <v>1</v>
      </c>
      <c r="AH122" s="110" t="s">
        <v>97</v>
      </c>
      <c r="AI122" s="289">
        <v>25</v>
      </c>
      <c r="AJ122" s="34"/>
    </row>
    <row r="123" spans="1:38" ht="15" thickBot="1" x14ac:dyDescent="0.4">
      <c r="A123" t="s">
        <v>19</v>
      </c>
      <c r="B123" t="s">
        <v>34</v>
      </c>
      <c r="M123" t="s">
        <v>19</v>
      </c>
      <c r="N123" t="s">
        <v>34</v>
      </c>
      <c r="V123" s="8"/>
      <c r="AA123" t="s">
        <v>19</v>
      </c>
      <c r="AB123" t="s">
        <v>34</v>
      </c>
    </row>
    <row r="124" spans="1:38" ht="89" customHeight="1" thickBot="1" x14ac:dyDescent="0.4">
      <c r="A124" s="347" t="s">
        <v>20</v>
      </c>
      <c r="B124" s="354" t="s">
        <v>402</v>
      </c>
      <c r="C124" s="354"/>
      <c r="D124" s="124" t="s">
        <v>3</v>
      </c>
      <c r="E124" s="124">
        <v>-15</v>
      </c>
      <c r="F124" s="76" t="s">
        <v>71</v>
      </c>
      <c r="G124" s="76">
        <v>30</v>
      </c>
      <c r="J124" s="422" t="s">
        <v>442</v>
      </c>
      <c r="M124" s="347" t="s">
        <v>20</v>
      </c>
      <c r="N124" s="354" t="s">
        <v>409</v>
      </c>
      <c r="O124" s="354"/>
      <c r="P124" s="124" t="s">
        <v>3</v>
      </c>
      <c r="Q124" s="124">
        <v>-15</v>
      </c>
      <c r="R124" s="76" t="s">
        <v>71</v>
      </c>
      <c r="S124" s="76">
        <v>35</v>
      </c>
      <c r="T124" s="112" t="s">
        <v>10</v>
      </c>
      <c r="U124" s="112">
        <v>25</v>
      </c>
      <c r="V124" s="425" t="s">
        <v>442</v>
      </c>
      <c r="AA124" s="347" t="s">
        <v>20</v>
      </c>
      <c r="AB124" s="353" t="s">
        <v>414</v>
      </c>
      <c r="AC124" s="353"/>
      <c r="AD124" s="353"/>
      <c r="AE124" s="124" t="s">
        <v>3</v>
      </c>
      <c r="AF124" s="124">
        <v>-15</v>
      </c>
      <c r="AG124" s="76" t="s">
        <v>71</v>
      </c>
      <c r="AH124" s="76">
        <v>35</v>
      </c>
      <c r="AI124" s="283" t="s">
        <v>415</v>
      </c>
      <c r="AJ124" s="129"/>
      <c r="AL124" s="422" t="s">
        <v>442</v>
      </c>
    </row>
    <row r="125" spans="1:38" ht="103" customHeight="1" thickBot="1" x14ac:dyDescent="0.4">
      <c r="A125" s="11" t="s">
        <v>21</v>
      </c>
      <c r="B125" s="353" t="s">
        <v>172</v>
      </c>
      <c r="C125" s="353"/>
      <c r="D125" s="124" t="s">
        <v>3</v>
      </c>
      <c r="E125" s="124">
        <v>-15</v>
      </c>
      <c r="F125" s="76" t="s">
        <v>71</v>
      </c>
      <c r="G125" s="76">
        <v>30</v>
      </c>
      <c r="H125" s="297" t="s">
        <v>447</v>
      </c>
      <c r="I125" s="298"/>
      <c r="J125" s="422" t="s">
        <v>442</v>
      </c>
      <c r="M125" s="11" t="s">
        <v>21</v>
      </c>
      <c r="N125" s="353" t="s">
        <v>374</v>
      </c>
      <c r="O125" s="353"/>
      <c r="P125" s="124" t="s">
        <v>3</v>
      </c>
      <c r="Q125" s="124">
        <v>-15</v>
      </c>
      <c r="R125" s="76" t="s">
        <v>71</v>
      </c>
      <c r="S125" s="76">
        <v>25</v>
      </c>
      <c r="T125" s="110" t="s">
        <v>375</v>
      </c>
      <c r="U125" s="135" t="s">
        <v>376</v>
      </c>
      <c r="V125" s="425" t="s">
        <v>442</v>
      </c>
      <c r="AA125" s="11" t="s">
        <v>21</v>
      </c>
      <c r="AB125" s="353" t="s">
        <v>413</v>
      </c>
      <c r="AC125" s="353"/>
      <c r="AD125" s="353"/>
      <c r="AE125" s="12" t="s">
        <v>37</v>
      </c>
      <c r="AF125" s="12">
        <f>40*E19</f>
        <v>36</v>
      </c>
      <c r="AG125" s="76" t="s">
        <v>71</v>
      </c>
      <c r="AH125" s="76">
        <v>10</v>
      </c>
      <c r="AI125" s="283" t="s">
        <v>399</v>
      </c>
      <c r="AJ125" s="293"/>
      <c r="AL125" s="428" t="s">
        <v>443</v>
      </c>
    </row>
    <row r="126" spans="1:38" ht="103" customHeight="1" thickBot="1" x14ac:dyDescent="0.4">
      <c r="A126" s="11" t="s">
        <v>22</v>
      </c>
      <c r="B126" s="353" t="s">
        <v>403</v>
      </c>
      <c r="C126" s="353"/>
      <c r="D126" s="124" t="s">
        <v>3</v>
      </c>
      <c r="E126" s="124">
        <v>-15</v>
      </c>
      <c r="F126" s="133" t="s">
        <v>182</v>
      </c>
      <c r="G126" s="134">
        <v>0.1</v>
      </c>
      <c r="H126" s="86" t="s">
        <v>183</v>
      </c>
      <c r="I126" s="87">
        <v>15</v>
      </c>
      <c r="J126" s="7" t="s">
        <v>354</v>
      </c>
      <c r="M126" s="11" t="s">
        <v>22</v>
      </c>
      <c r="N126" s="353" t="s">
        <v>466</v>
      </c>
      <c r="O126" s="353"/>
      <c r="P126" s="124" t="s">
        <v>3</v>
      </c>
      <c r="Q126" s="124">
        <v>-15</v>
      </c>
      <c r="R126" s="133" t="s">
        <v>380</v>
      </c>
      <c r="S126" s="134">
        <v>0.6</v>
      </c>
      <c r="T126" s="110" t="s">
        <v>467</v>
      </c>
      <c r="U126" s="135">
        <v>0.5</v>
      </c>
      <c r="V126" s="426"/>
      <c r="AA126" s="11" t="s">
        <v>22</v>
      </c>
      <c r="AB126" s="353" t="s">
        <v>416</v>
      </c>
      <c r="AC126" s="353"/>
      <c r="AD126" s="353"/>
      <c r="AE126" s="124" t="s">
        <v>3</v>
      </c>
      <c r="AF126" s="124">
        <v>-15</v>
      </c>
      <c r="AG126" s="76" t="s">
        <v>71</v>
      </c>
      <c r="AH126" s="76">
        <v>30</v>
      </c>
      <c r="AI126" s="283" t="s">
        <v>417</v>
      </c>
      <c r="AJ126" s="294"/>
      <c r="AL126" s="422" t="s">
        <v>442</v>
      </c>
    </row>
    <row r="127" spans="1:38" ht="105.5" customHeight="1" thickBot="1" x14ac:dyDescent="0.4">
      <c r="A127" s="11" t="s">
        <v>23</v>
      </c>
      <c r="B127" s="353" t="s">
        <v>404</v>
      </c>
      <c r="C127" s="353"/>
      <c r="D127" s="124" t="s">
        <v>3</v>
      </c>
      <c r="E127" s="124">
        <v>-30</v>
      </c>
      <c r="F127" s="76" t="s">
        <v>71</v>
      </c>
      <c r="G127" s="76">
        <v>40</v>
      </c>
      <c r="H127" s="262" t="s">
        <v>352</v>
      </c>
      <c r="I127" s="231"/>
      <c r="J127" s="422" t="s">
        <v>442</v>
      </c>
      <c r="M127" s="11" t="s">
        <v>23</v>
      </c>
      <c r="N127" s="353" t="s">
        <v>391</v>
      </c>
      <c r="O127" s="353"/>
      <c r="P127" s="12" t="s">
        <v>37</v>
      </c>
      <c r="Q127" s="12">
        <f>70*E19</f>
        <v>63</v>
      </c>
      <c r="R127" s="76" t="s">
        <v>71</v>
      </c>
      <c r="S127" s="76">
        <v>40</v>
      </c>
      <c r="T127" s="262" t="s">
        <v>389</v>
      </c>
      <c r="U127" s="231"/>
      <c r="V127" s="428" t="s">
        <v>443</v>
      </c>
      <c r="AA127" s="11" t="s">
        <v>23</v>
      </c>
      <c r="AB127" s="353" t="s">
        <v>398</v>
      </c>
      <c r="AC127" s="353"/>
      <c r="AD127" s="353"/>
      <c r="AE127" s="12" t="s">
        <v>37</v>
      </c>
      <c r="AF127" s="12">
        <f>120*E19</f>
        <v>108</v>
      </c>
      <c r="AG127" s="76" t="s">
        <v>71</v>
      </c>
      <c r="AH127" s="76">
        <v>20</v>
      </c>
      <c r="AI127" s="283" t="s">
        <v>399</v>
      </c>
      <c r="AJ127" s="293"/>
      <c r="AL127" s="428" t="s">
        <v>443</v>
      </c>
    </row>
    <row r="128" spans="1:38" ht="109" customHeight="1" thickBot="1" x14ac:dyDescent="0.4">
      <c r="A128" s="11" t="s">
        <v>24</v>
      </c>
      <c r="B128" s="353" t="s">
        <v>445</v>
      </c>
      <c r="C128" s="353"/>
      <c r="D128" s="124" t="s">
        <v>3</v>
      </c>
      <c r="E128" s="124">
        <v>-15</v>
      </c>
      <c r="F128" s="107" t="s">
        <v>446</v>
      </c>
      <c r="G128" s="427">
        <v>0.4</v>
      </c>
      <c r="H128" s="7" t="s">
        <v>353</v>
      </c>
      <c r="M128" s="11" t="s">
        <v>24</v>
      </c>
      <c r="N128" s="353" t="s">
        <v>441</v>
      </c>
      <c r="O128" s="353"/>
      <c r="P128" s="124" t="s">
        <v>3</v>
      </c>
      <c r="Q128" s="124">
        <v>-15</v>
      </c>
      <c r="R128" s="76" t="s">
        <v>71</v>
      </c>
      <c r="S128" s="76">
        <v>35</v>
      </c>
      <c r="T128" s="262" t="s">
        <v>390</v>
      </c>
      <c r="U128" s="262"/>
      <c r="V128" s="425" t="s">
        <v>442</v>
      </c>
      <c r="AA128" s="347" t="s">
        <v>24</v>
      </c>
      <c r="AB128" s="354" t="s">
        <v>418</v>
      </c>
      <c r="AC128" s="354"/>
      <c r="AD128" s="354"/>
      <c r="AE128" s="282" t="s">
        <v>3</v>
      </c>
      <c r="AF128" s="282">
        <v>-15</v>
      </c>
      <c r="AG128" s="300" t="s">
        <v>427</v>
      </c>
      <c r="AH128" s="295">
        <v>0.2</v>
      </c>
      <c r="AI128" s="297" t="s">
        <v>426</v>
      </c>
      <c r="AL128" s="422" t="s">
        <v>442</v>
      </c>
    </row>
    <row r="129" spans="1:38" ht="99.5" customHeight="1" thickBot="1" x14ac:dyDescent="0.4">
      <c r="A129" s="11" t="s">
        <v>25</v>
      </c>
      <c r="B129" s="353" t="s">
        <v>405</v>
      </c>
      <c r="C129" s="353"/>
      <c r="D129" s="124" t="s">
        <v>3</v>
      </c>
      <c r="E129" s="124">
        <v>-20</v>
      </c>
      <c r="F129" s="76" t="s">
        <v>71</v>
      </c>
      <c r="G129" s="76">
        <v>35</v>
      </c>
      <c r="H129" s="110" t="s">
        <v>97</v>
      </c>
      <c r="I129" s="135" t="s">
        <v>339</v>
      </c>
      <c r="J129" s="422" t="s">
        <v>442</v>
      </c>
      <c r="M129" s="11" t="s">
        <v>25</v>
      </c>
      <c r="N129" s="374" t="s">
        <v>392</v>
      </c>
      <c r="O129" s="353"/>
      <c r="P129" s="12" t="s">
        <v>37</v>
      </c>
      <c r="Q129" s="12">
        <f>90*E19</f>
        <v>81</v>
      </c>
      <c r="R129" s="76" t="s">
        <v>71</v>
      </c>
      <c r="S129" s="76">
        <v>35</v>
      </c>
      <c r="T129" s="273" t="s">
        <v>381</v>
      </c>
      <c r="U129" s="274"/>
      <c r="V129" s="428" t="s">
        <v>443</v>
      </c>
      <c r="AA129" s="11" t="s">
        <v>25</v>
      </c>
      <c r="AB129" s="353" t="s">
        <v>425</v>
      </c>
      <c r="AC129" s="353"/>
      <c r="AD129" s="353"/>
      <c r="AE129" s="12" t="s">
        <v>37</v>
      </c>
      <c r="AF129" s="12">
        <f>65*E19</f>
        <v>58.5</v>
      </c>
      <c r="AG129" s="283" t="s">
        <v>397</v>
      </c>
      <c r="AH129" s="284">
        <v>0.3</v>
      </c>
      <c r="AI129" s="285" t="s">
        <v>353</v>
      </c>
      <c r="AJ129" s="286"/>
      <c r="AL129" s="428" t="s">
        <v>443</v>
      </c>
    </row>
    <row r="130" spans="1:38" ht="107.5" customHeight="1" thickBot="1" x14ac:dyDescent="0.4">
      <c r="A130" s="11" t="s">
        <v>26</v>
      </c>
      <c r="B130" s="353" t="s">
        <v>442</v>
      </c>
      <c r="C130" s="353"/>
      <c r="D130" s="124" t="s">
        <v>3</v>
      </c>
      <c r="E130" s="124">
        <v>-25</v>
      </c>
      <c r="F130" s="76" t="s">
        <v>71</v>
      </c>
      <c r="G130" s="76">
        <v>40</v>
      </c>
      <c r="H130" s="133" t="s">
        <v>43</v>
      </c>
      <c r="I130" s="134" t="s">
        <v>339</v>
      </c>
      <c r="J130" s="422" t="s">
        <v>442</v>
      </c>
      <c r="M130" s="11" t="s">
        <v>26</v>
      </c>
      <c r="N130" s="374" t="s">
        <v>383</v>
      </c>
      <c r="O130" s="353"/>
      <c r="P130" s="124" t="s">
        <v>3</v>
      </c>
      <c r="Q130" s="124">
        <v>-5</v>
      </c>
      <c r="R130" s="76" t="s">
        <v>71</v>
      </c>
      <c r="S130" s="76">
        <v>20</v>
      </c>
      <c r="T130" s="124" t="s">
        <v>384</v>
      </c>
      <c r="U130" s="275">
        <v>0.2</v>
      </c>
      <c r="V130" s="425" t="s">
        <v>442</v>
      </c>
      <c r="AA130" s="11" t="s">
        <v>26</v>
      </c>
      <c r="AB130" s="353" t="s">
        <v>419</v>
      </c>
      <c r="AC130" s="353"/>
      <c r="AD130" s="353"/>
      <c r="AE130" s="124" t="s">
        <v>3</v>
      </c>
      <c r="AF130" s="124">
        <v>-5</v>
      </c>
      <c r="AG130" s="76" t="s">
        <v>71</v>
      </c>
      <c r="AH130" s="76">
        <v>40</v>
      </c>
      <c r="AI130" s="129"/>
      <c r="AJ130" s="287"/>
      <c r="AL130" s="422" t="s">
        <v>442</v>
      </c>
    </row>
    <row r="131" spans="1:38" ht="107" customHeight="1" thickBot="1" x14ac:dyDescent="0.4">
      <c r="A131" s="11" t="s">
        <v>27</v>
      </c>
      <c r="B131" s="353" t="s">
        <v>406</v>
      </c>
      <c r="C131" s="353"/>
      <c r="D131" s="124" t="s">
        <v>3</v>
      </c>
      <c r="E131" s="124">
        <v>-25</v>
      </c>
      <c r="F131" s="76" t="s">
        <v>71</v>
      </c>
      <c r="G131" s="76">
        <v>40</v>
      </c>
      <c r="H131" s="86" t="s">
        <v>183</v>
      </c>
      <c r="I131" s="87">
        <v>20</v>
      </c>
      <c r="J131" s="422" t="s">
        <v>442</v>
      </c>
      <c r="M131" s="11" t="s">
        <v>27</v>
      </c>
      <c r="N131" s="353" t="s">
        <v>385</v>
      </c>
      <c r="O131" s="353"/>
      <c r="P131" s="124" t="s">
        <v>3</v>
      </c>
      <c r="Q131" s="124">
        <v>-25</v>
      </c>
      <c r="R131" s="76" t="s">
        <v>71</v>
      </c>
      <c r="S131" s="76">
        <v>30</v>
      </c>
      <c r="T131" s="276" t="s">
        <v>387</v>
      </c>
      <c r="U131" s="270" t="s">
        <v>386</v>
      </c>
      <c r="V131" s="425" t="s">
        <v>442</v>
      </c>
      <c r="AA131" s="11" t="s">
        <v>27</v>
      </c>
      <c r="AB131" s="353" t="s">
        <v>420</v>
      </c>
      <c r="AC131" s="353"/>
      <c r="AD131" s="353"/>
      <c r="AE131" s="124" t="s">
        <v>3</v>
      </c>
      <c r="AF131" s="124">
        <v>-25</v>
      </c>
      <c r="AG131" s="76" t="s">
        <v>71</v>
      </c>
      <c r="AH131" s="76">
        <v>20</v>
      </c>
      <c r="AI131" s="296"/>
      <c r="AJ131" s="281"/>
      <c r="AL131" s="422" t="s">
        <v>442</v>
      </c>
    </row>
    <row r="132" spans="1:38" ht="129" customHeight="1" thickBot="1" x14ac:dyDescent="0.4">
      <c r="A132" s="11" t="s">
        <v>28</v>
      </c>
      <c r="B132" s="353" t="s">
        <v>407</v>
      </c>
      <c r="C132" s="353"/>
      <c r="D132" s="124" t="s">
        <v>3</v>
      </c>
      <c r="E132" s="124">
        <v>-30</v>
      </c>
      <c r="F132" s="76" t="s">
        <v>71</v>
      </c>
      <c r="G132" s="76">
        <v>65</v>
      </c>
      <c r="H132" s="271" t="s">
        <v>184</v>
      </c>
      <c r="I132" s="272"/>
      <c r="J132" s="422" t="s">
        <v>442</v>
      </c>
      <c r="M132" s="11" t="s">
        <v>28</v>
      </c>
      <c r="N132" s="353" t="s">
        <v>393</v>
      </c>
      <c r="O132" s="353"/>
      <c r="P132" s="124" t="s">
        <v>3</v>
      </c>
      <c r="Q132" s="124">
        <v>-30</v>
      </c>
      <c r="R132" s="76" t="s">
        <v>71</v>
      </c>
      <c r="S132" s="76">
        <v>80</v>
      </c>
      <c r="T132" s="110" t="s">
        <v>388</v>
      </c>
      <c r="U132" s="110"/>
      <c r="V132" s="425" t="s">
        <v>442</v>
      </c>
      <c r="AA132" s="11" t="s">
        <v>28</v>
      </c>
      <c r="AB132" s="353" t="s">
        <v>421</v>
      </c>
      <c r="AC132" s="353"/>
      <c r="AD132" s="353"/>
      <c r="AE132" s="124" t="s">
        <v>3</v>
      </c>
      <c r="AF132" s="124">
        <v>-30</v>
      </c>
      <c r="AG132" s="76" t="s">
        <v>71</v>
      </c>
      <c r="AH132" s="76">
        <v>80</v>
      </c>
      <c r="AI132" s="124" t="s">
        <v>422</v>
      </c>
      <c r="AJ132" s="124"/>
      <c r="AL132" s="422" t="s">
        <v>442</v>
      </c>
    </row>
    <row r="133" spans="1:38" ht="97.5" customHeight="1" thickBot="1" x14ac:dyDescent="0.4">
      <c r="A133" s="11" t="s">
        <v>29</v>
      </c>
      <c r="B133" s="353" t="s">
        <v>408</v>
      </c>
      <c r="C133" s="353"/>
      <c r="D133" s="124" t="s">
        <v>3</v>
      </c>
      <c r="E133" s="124">
        <v>-5</v>
      </c>
      <c r="F133" s="76" t="s">
        <v>71</v>
      </c>
      <c r="G133" s="76">
        <v>150</v>
      </c>
      <c r="H133" s="271" t="s">
        <v>185</v>
      </c>
      <c r="I133" s="271"/>
      <c r="J133" s="422" t="s">
        <v>442</v>
      </c>
      <c r="M133" s="11" t="s">
        <v>29</v>
      </c>
      <c r="N133" s="353" t="s">
        <v>382</v>
      </c>
      <c r="O133" s="353"/>
      <c r="P133" s="12" t="s">
        <v>37</v>
      </c>
      <c r="Q133" s="299">
        <f>135*E19</f>
        <v>121.5</v>
      </c>
      <c r="R133" s="76" t="s">
        <v>71</v>
      </c>
      <c r="S133" s="76">
        <v>150</v>
      </c>
      <c r="T133" s="110" t="s">
        <v>377</v>
      </c>
      <c r="U133" s="135" t="s">
        <v>378</v>
      </c>
      <c r="V133" s="428" t="s">
        <v>443</v>
      </c>
      <c r="W133" s="270" t="s">
        <v>379</v>
      </c>
      <c r="X133" s="270" t="s">
        <v>378</v>
      </c>
      <c r="Y133" s="297" t="s">
        <v>424</v>
      </c>
      <c r="Z133" s="298"/>
      <c r="AA133" s="11" t="s">
        <v>29</v>
      </c>
      <c r="AB133" s="353" t="s">
        <v>410</v>
      </c>
      <c r="AC133" s="353"/>
      <c r="AD133" s="353"/>
      <c r="AE133" s="124" t="s">
        <v>3</v>
      </c>
      <c r="AF133" s="124">
        <v>-50</v>
      </c>
      <c r="AG133" s="76" t="s">
        <v>71</v>
      </c>
      <c r="AH133" s="76">
        <v>100</v>
      </c>
      <c r="AI133" s="291" t="s">
        <v>411</v>
      </c>
      <c r="AJ133" s="276" t="s">
        <v>412</v>
      </c>
      <c r="AK133" s="292">
        <v>0.3</v>
      </c>
      <c r="AL133" s="422" t="s">
        <v>442</v>
      </c>
    </row>
    <row r="134" spans="1:38" ht="118" customHeight="1" x14ac:dyDescent="0.35">
      <c r="A134" s="68" t="s">
        <v>73</v>
      </c>
      <c r="B134" s="69"/>
      <c r="C134" s="72" t="s">
        <v>72</v>
      </c>
      <c r="D134" s="71"/>
      <c r="E134" s="73" t="s">
        <v>74</v>
      </c>
    </row>
    <row r="135" spans="1:38" ht="105.5" customHeight="1" x14ac:dyDescent="0.35">
      <c r="A135" s="342" t="s">
        <v>356</v>
      </c>
      <c r="B135" s="128" t="s">
        <v>368</v>
      </c>
      <c r="C135" s="128"/>
      <c r="D135" s="264" t="s">
        <v>357</v>
      </c>
      <c r="E135" s="264" t="s">
        <v>369</v>
      </c>
      <c r="F135" s="264"/>
      <c r="G135" s="102"/>
      <c r="H135" s="102"/>
      <c r="I135" s="102"/>
      <c r="J135" s="102"/>
      <c r="K135" s="102"/>
      <c r="L135" s="102"/>
    </row>
    <row r="136" spans="1:38" ht="79" customHeight="1" thickBot="1" x14ac:dyDescent="0.4">
      <c r="A136" s="372" t="s">
        <v>304</v>
      </c>
      <c r="B136" s="372"/>
      <c r="C136" s="372"/>
      <c r="D136" s="372"/>
      <c r="E136" s="372"/>
      <c r="F136" s="372"/>
      <c r="G136" s="372"/>
      <c r="H136" s="372"/>
      <c r="I136" s="372"/>
      <c r="J136" s="372"/>
      <c r="K136" s="372"/>
      <c r="L136" s="372"/>
      <c r="M136" s="372"/>
      <c r="N136" s="372"/>
      <c r="O136" s="372"/>
      <c r="P136" s="372"/>
      <c r="Q136" s="372"/>
      <c r="R136" s="372"/>
      <c r="S136" s="372"/>
    </row>
    <row r="137" spans="1:38" ht="40.5" customHeight="1" thickBot="1" x14ac:dyDescent="0.4">
      <c r="A137" s="379" t="s">
        <v>305</v>
      </c>
      <c r="B137" s="380"/>
      <c r="C137" s="381" t="s">
        <v>306</v>
      </c>
      <c r="D137" s="382"/>
      <c r="E137" s="383" t="s">
        <v>307</v>
      </c>
      <c r="F137" s="384"/>
      <c r="G137" s="383" t="s">
        <v>308</v>
      </c>
      <c r="H137" s="385"/>
      <c r="I137" s="386"/>
      <c r="J137" s="370" t="s">
        <v>309</v>
      </c>
      <c r="K137" s="371"/>
      <c r="L137" s="370" t="s">
        <v>310</v>
      </c>
      <c r="M137" s="371"/>
    </row>
    <row r="138" spans="1:38" x14ac:dyDescent="0.35">
      <c r="A138" s="345" t="s">
        <v>0</v>
      </c>
      <c r="B138" s="345" t="s">
        <v>186</v>
      </c>
      <c r="C138" s="345" t="s">
        <v>0</v>
      </c>
      <c r="D138" s="345" t="s">
        <v>186</v>
      </c>
      <c r="E138" s="345" t="s">
        <v>0</v>
      </c>
      <c r="F138" s="345" t="s">
        <v>186</v>
      </c>
      <c r="G138" s="345" t="s">
        <v>0</v>
      </c>
      <c r="H138" s="377" t="s">
        <v>186</v>
      </c>
      <c r="I138" s="378"/>
      <c r="J138" s="345" t="s">
        <v>0</v>
      </c>
      <c r="K138" s="196" t="s">
        <v>186</v>
      </c>
      <c r="L138" s="345" t="s">
        <v>0</v>
      </c>
      <c r="M138" s="252" t="s">
        <v>186</v>
      </c>
    </row>
    <row r="139" spans="1:38" ht="21.5" thickBot="1" x14ac:dyDescent="0.4">
      <c r="A139" s="344" t="s">
        <v>1</v>
      </c>
      <c r="B139" s="344">
        <f t="shared" ref="B139:B153" si="26">N71</f>
        <v>600</v>
      </c>
      <c r="C139" s="344" t="s">
        <v>1</v>
      </c>
      <c r="D139" s="344">
        <f t="shared" ref="D139:D153" si="27">T71</f>
        <v>600</v>
      </c>
      <c r="E139" s="344" t="s">
        <v>1</v>
      </c>
      <c r="F139" s="344">
        <f t="shared" ref="F139:F153" si="28">AI2</f>
        <v>267</v>
      </c>
      <c r="G139" s="344" t="s">
        <v>1</v>
      </c>
      <c r="H139" s="375">
        <f>IF(AI2+S6&gt;E2, E2, AI2+S6)</f>
        <v>267</v>
      </c>
      <c r="I139" s="376"/>
      <c r="J139" s="344" t="s">
        <v>1</v>
      </c>
      <c r="K139" s="344">
        <v>267</v>
      </c>
      <c r="L139" s="344" t="s">
        <v>1</v>
      </c>
      <c r="M139" s="253">
        <f>IF(K139+K151&gt;E2,E2, K139+K151)</f>
        <v>277</v>
      </c>
      <c r="O139" s="235" t="s">
        <v>465</v>
      </c>
      <c r="P139" s="421" t="s">
        <v>439</v>
      </c>
      <c r="Q139" s="421"/>
      <c r="R139" s="370" t="s">
        <v>440</v>
      </c>
      <c r="S139" s="371"/>
    </row>
    <row r="140" spans="1:38" ht="15" thickBot="1" x14ac:dyDescent="0.4">
      <c r="A140" s="344" t="s">
        <v>2</v>
      </c>
      <c r="B140" s="344">
        <f t="shared" si="26"/>
        <v>141</v>
      </c>
      <c r="C140" s="344" t="s">
        <v>2</v>
      </c>
      <c r="D140" s="344">
        <f t="shared" si="27"/>
        <v>141</v>
      </c>
      <c r="E140" s="344" t="s">
        <v>2</v>
      </c>
      <c r="F140" s="344">
        <f t="shared" si="28"/>
        <v>141</v>
      </c>
      <c r="G140" s="344" t="s">
        <v>2</v>
      </c>
      <c r="H140" s="375">
        <f t="shared" ref="H140:H153" si="29">N72</f>
        <v>141</v>
      </c>
      <c r="I140" s="376"/>
      <c r="J140" s="344" t="s">
        <v>2</v>
      </c>
      <c r="K140" s="344">
        <v>141</v>
      </c>
      <c r="L140" s="344" t="s">
        <v>2</v>
      </c>
      <c r="M140" s="253">
        <f t="shared" ref="M140:M141" si="30">IF(K140+K152&gt;E3,E3, K140+K152)</f>
        <v>141</v>
      </c>
      <c r="O140" s="451">
        <f ca="1">S141/Q141</f>
        <v>0.92102015631427392</v>
      </c>
      <c r="P140" s="417" t="s">
        <v>0</v>
      </c>
      <c r="Q140" s="418" t="s">
        <v>274</v>
      </c>
      <c r="R140" s="417" t="s">
        <v>0</v>
      </c>
      <c r="S140" s="418" t="s">
        <v>274</v>
      </c>
      <c r="T140" s="439" t="s">
        <v>453</v>
      </c>
      <c r="U140" s="440" t="str">
        <f>IF(Q74=1,"Physique",IF(Q74=4,"Physique",IF(Q74=6,"Physique",IF(Q74=7,"Physique",IF(Q74=8,"Physique",IF(Q74=10,"Physique",IF(Q74=2,"Magique",IF(Q74=3,"Physique",IF(Q74=5,"Magique",IF(Q74=11,"Magique",""))))))))))</f>
        <v>Magique</v>
      </c>
      <c r="V140" s="446">
        <f>Q76</f>
        <v>0</v>
      </c>
      <c r="W140" s="59" t="s">
        <v>0</v>
      </c>
      <c r="X140" s="60" t="s">
        <v>274</v>
      </c>
    </row>
    <row r="141" spans="1:38" ht="15" thickBot="1" x14ac:dyDescent="0.4">
      <c r="A141" s="344" t="s">
        <v>3</v>
      </c>
      <c r="B141" s="344">
        <f t="shared" si="26"/>
        <v>445</v>
      </c>
      <c r="C141" s="344" t="s">
        <v>3</v>
      </c>
      <c r="D141" s="344">
        <f t="shared" si="27"/>
        <v>385</v>
      </c>
      <c r="E141" s="344" t="s">
        <v>3</v>
      </c>
      <c r="F141" s="344">
        <f t="shared" si="28"/>
        <v>385</v>
      </c>
      <c r="G141" s="344" t="s">
        <v>3</v>
      </c>
      <c r="H141" s="375">
        <f t="shared" si="29"/>
        <v>445</v>
      </c>
      <c r="I141" s="376"/>
      <c r="J141" s="344" t="s">
        <v>3</v>
      </c>
      <c r="K141" s="344">
        <v>430</v>
      </c>
      <c r="L141" s="344" t="s">
        <v>3</v>
      </c>
      <c r="M141" s="253">
        <f t="shared" si="30"/>
        <v>440</v>
      </c>
      <c r="P141" s="419" t="s">
        <v>1</v>
      </c>
      <c r="Q141" s="158">
        <f>2750</f>
        <v>2750</v>
      </c>
      <c r="R141" s="419" t="s">
        <v>1</v>
      </c>
      <c r="S141" s="448">
        <f ca="1">Q141-U146</f>
        <v>2532.8054298642533</v>
      </c>
      <c r="T141" s="441" t="s">
        <v>454</v>
      </c>
      <c r="U141" s="442" t="str">
        <f>IF(Q44&gt;0,"Physique","")</f>
        <v>Physique</v>
      </c>
      <c r="V141" s="447">
        <f>Q44</f>
        <v>65</v>
      </c>
      <c r="W141" s="61" t="s">
        <v>1</v>
      </c>
      <c r="X141" s="158">
        <f>500-336</f>
        <v>164</v>
      </c>
      <c r="AA141" s="59" t="s">
        <v>0</v>
      </c>
      <c r="AB141" s="60" t="s">
        <v>274</v>
      </c>
      <c r="AF141" s="59" t="s">
        <v>0</v>
      </c>
      <c r="AG141" s="60" t="s">
        <v>274</v>
      </c>
      <c r="AJ141" s="59" t="s">
        <v>0</v>
      </c>
      <c r="AK141" s="60" t="s">
        <v>293</v>
      </c>
    </row>
    <row r="142" spans="1:38" ht="15" thickBot="1" x14ac:dyDescent="0.4">
      <c r="A142" s="344" t="s">
        <v>4</v>
      </c>
      <c r="B142" s="344">
        <f t="shared" si="26"/>
        <v>0</v>
      </c>
      <c r="C142" s="344" t="s">
        <v>4</v>
      </c>
      <c r="D142" s="344">
        <f t="shared" si="27"/>
        <v>0</v>
      </c>
      <c r="E142" s="344" t="s">
        <v>4</v>
      </c>
      <c r="F142" s="344">
        <f t="shared" si="28"/>
        <v>0</v>
      </c>
      <c r="G142" s="344" t="s">
        <v>4</v>
      </c>
      <c r="H142" s="375">
        <f t="shared" si="29"/>
        <v>0</v>
      </c>
      <c r="I142" s="376"/>
      <c r="J142" s="344" t="s">
        <v>4</v>
      </c>
      <c r="K142" s="344">
        <v>0</v>
      </c>
      <c r="L142" s="344" t="s">
        <v>4</v>
      </c>
      <c r="M142" s="253">
        <v>0</v>
      </c>
      <c r="P142" s="419" t="s">
        <v>2</v>
      </c>
      <c r="Q142" s="158"/>
      <c r="R142" s="419" t="s">
        <v>2</v>
      </c>
      <c r="S142" s="158"/>
      <c r="T142" s="443" t="s">
        <v>455</v>
      </c>
      <c r="U142" s="444" t="str">
        <f>IF(N3=8,"Magique",IF(E44=1,"Magique",IF(E44=2,"Magique",IF(E44=3,"Magique",IF(E44=4,"Magique",IF(E44=5,"Magique",IF(E44=6,"Magique",IF(E44=7,"Magique",IF(E44=8,"Magique",IF(E44=9,"Magique",IF(E44=10,"Magique",IF(Q109=4,"Magique",IF(Q109=6,"Magique",IF(Q109=10,"Magique",IF(AF109=2,"Magique",IF(AF109=4,"Magique",IF(AF109=6,"Magique",IF(Q43=1,"Physique",IF(Q43=3,"Physique",IF(Q43=5,"Physique",IF(Q43=7,"Physique",IF(Q43=9,"Physique",IF(Q43=10,"Physique",IF(E109=1,"Physique",IF(E109=2,"Physique",IF(E109=4,"Physique",IF(E109=6,"Physique",IF(E109=7,"Physique",IF(E109=8,"Physique",IF(E109=9,"Physique",IF(E109=10,"Physique",IF(Q109=1,"Physique",IF(Q109=2,"Physique",IF(Q109=5,"Physique",IF(Q109=7,"Physique",IF(Q109=8,"Physique",IF(Q109=9,"Physique",IF(AF103=1,"Physique",IF(AF103=3,"Physique",IF(AF103=7,"Physique",IF(AF103=8,"Physique",IF(AF103=9,"Physique",IF(AF103=10,"Physique","")))))))))))))))))))))))))))))))))))))))))))</f>
        <v>Physique</v>
      </c>
      <c r="V142" s="445">
        <f>E45+E76+Q110+E110+AF110+IF(J20="Ent",IF(N3=8,0.5*E35+0.5+E36+0.5*E34,0))</f>
        <v>175</v>
      </c>
      <c r="W142" s="61" t="s">
        <v>2</v>
      </c>
      <c r="X142" s="158"/>
      <c r="Z142" s="71"/>
      <c r="AA142" s="61" t="s">
        <v>1</v>
      </c>
      <c r="AB142" s="158">
        <f>500-336</f>
        <v>164</v>
      </c>
      <c r="AC142" s="71"/>
      <c r="AD142" s="71"/>
      <c r="AF142" s="61" t="s">
        <v>1</v>
      </c>
      <c r="AG142" s="158">
        <f>500-336</f>
        <v>164</v>
      </c>
      <c r="AJ142" s="61" t="s">
        <v>1</v>
      </c>
      <c r="AK142" s="62">
        <v>60</v>
      </c>
    </row>
    <row r="143" spans="1:38" x14ac:dyDescent="0.35">
      <c r="A143" s="344" t="s">
        <v>6</v>
      </c>
      <c r="B143" s="344">
        <f t="shared" si="26"/>
        <v>60</v>
      </c>
      <c r="C143" s="344" t="s">
        <v>6</v>
      </c>
      <c r="D143" s="344">
        <f t="shared" si="27"/>
        <v>60</v>
      </c>
      <c r="E143" s="344" t="s">
        <v>6</v>
      </c>
      <c r="F143" s="344">
        <f t="shared" si="28"/>
        <v>60</v>
      </c>
      <c r="G143" s="344" t="s">
        <v>6</v>
      </c>
      <c r="H143" s="375">
        <f t="shared" si="29"/>
        <v>60</v>
      </c>
      <c r="I143" s="376"/>
      <c r="J143" s="344" t="s">
        <v>6</v>
      </c>
      <c r="K143" s="344">
        <v>60</v>
      </c>
      <c r="L143" s="344" t="s">
        <v>6</v>
      </c>
      <c r="M143" s="253">
        <v>60</v>
      </c>
      <c r="P143" s="419" t="s">
        <v>3</v>
      </c>
      <c r="Q143" s="158"/>
      <c r="R143" s="419" t="s">
        <v>3</v>
      </c>
      <c r="S143" s="158"/>
      <c r="W143" s="61" t="s">
        <v>3</v>
      </c>
      <c r="X143" s="158"/>
      <c r="Z143" s="96"/>
      <c r="AA143" s="61" t="s">
        <v>2</v>
      </c>
      <c r="AB143" s="158"/>
      <c r="AC143" s="96"/>
      <c r="AD143" s="96"/>
      <c r="AF143" s="61" t="s">
        <v>2</v>
      </c>
      <c r="AG143" s="158"/>
      <c r="AJ143" s="61" t="s">
        <v>2</v>
      </c>
      <c r="AK143" s="62"/>
    </row>
    <row r="144" spans="1:38" x14ac:dyDescent="0.35">
      <c r="A144" s="344" t="s">
        <v>7</v>
      </c>
      <c r="B144" s="344">
        <f t="shared" si="26"/>
        <v>47</v>
      </c>
      <c r="C144" s="344" t="s">
        <v>7</v>
      </c>
      <c r="D144" s="344">
        <f t="shared" si="27"/>
        <v>47</v>
      </c>
      <c r="E144" s="344" t="s">
        <v>7</v>
      </c>
      <c r="F144" s="344">
        <f t="shared" si="28"/>
        <v>47</v>
      </c>
      <c r="G144" s="344" t="s">
        <v>7</v>
      </c>
      <c r="H144" s="375">
        <f t="shared" si="29"/>
        <v>47</v>
      </c>
      <c r="I144" s="376"/>
      <c r="J144" s="344" t="s">
        <v>7</v>
      </c>
      <c r="K144" s="344">
        <v>47</v>
      </c>
      <c r="L144" s="344" t="s">
        <v>7</v>
      </c>
      <c r="M144" s="253">
        <v>47</v>
      </c>
      <c r="P144" s="419" t="s">
        <v>4</v>
      </c>
      <c r="Q144" s="158"/>
      <c r="R144" s="419" t="s">
        <v>4</v>
      </c>
      <c r="S144" s="158"/>
      <c r="T144" s="100" t="s">
        <v>461</v>
      </c>
      <c r="U144" s="437">
        <f ca="1">SUMIF(U140:V142,"Physique",V140:V142)</f>
        <v>240</v>
      </c>
      <c r="W144" s="61" t="s">
        <v>4</v>
      </c>
      <c r="X144" s="158"/>
      <c r="Z144" s="101">
        <f ca="1">U144*(1-(X145/(1000+X145))) + U145*(1-(X146/(1000+X146)))</f>
        <v>230.76923076923077</v>
      </c>
      <c r="AA144" s="61" t="s">
        <v>3</v>
      </c>
      <c r="AB144" s="158"/>
      <c r="AC144" s="101">
        <f ca="1">U144*(1-(AB146/(1000+AB146))) + U145*(1-(AB147/(1000+AB147)))</f>
        <v>230.76923076923077</v>
      </c>
      <c r="AD144" s="101"/>
      <c r="AF144" s="61" t="s">
        <v>3</v>
      </c>
      <c r="AG144" s="158"/>
      <c r="AJ144" s="61" t="s">
        <v>3</v>
      </c>
      <c r="AK144" s="62"/>
    </row>
    <row r="145" spans="1:62" x14ac:dyDescent="0.35">
      <c r="A145" s="344" t="s">
        <v>10</v>
      </c>
      <c r="B145" s="344">
        <f t="shared" si="26"/>
        <v>115</v>
      </c>
      <c r="C145" s="344" t="s">
        <v>10</v>
      </c>
      <c r="D145" s="344">
        <f t="shared" si="27"/>
        <v>149.5</v>
      </c>
      <c r="E145" s="344" t="s">
        <v>10</v>
      </c>
      <c r="F145" s="344">
        <f t="shared" si="28"/>
        <v>149.5</v>
      </c>
      <c r="G145" s="344" t="s">
        <v>10</v>
      </c>
      <c r="H145" s="375">
        <f t="shared" si="29"/>
        <v>115</v>
      </c>
      <c r="I145" s="376"/>
      <c r="J145" s="344" t="s">
        <v>10</v>
      </c>
      <c r="K145" s="344">
        <v>115</v>
      </c>
      <c r="L145" s="344" t="s">
        <v>10</v>
      </c>
      <c r="M145" s="253">
        <v>115</v>
      </c>
      <c r="P145" s="419" t="s">
        <v>6</v>
      </c>
      <c r="Q145" s="158">
        <f>140*0.75</f>
        <v>105</v>
      </c>
      <c r="R145" s="419" t="s">
        <v>6</v>
      </c>
      <c r="S145" s="158">
        <f>140*0.75</f>
        <v>105</v>
      </c>
      <c r="T145" s="99" t="s">
        <v>462</v>
      </c>
      <c r="U145" s="437">
        <f ca="1">SUMIF(U140:VU142,"Magique",V140:V142)</f>
        <v>0</v>
      </c>
      <c r="W145" s="61" t="s">
        <v>6</v>
      </c>
      <c r="X145" s="158">
        <v>40</v>
      </c>
      <c r="AA145" s="61" t="s">
        <v>4</v>
      </c>
      <c r="AB145" s="158"/>
      <c r="AF145" s="61" t="s">
        <v>4</v>
      </c>
      <c r="AG145" s="158"/>
      <c r="AJ145" s="61" t="s">
        <v>4</v>
      </c>
      <c r="AK145" s="62"/>
    </row>
    <row r="146" spans="1:62" x14ac:dyDescent="0.35">
      <c r="A146" s="344" t="s">
        <v>11</v>
      </c>
      <c r="B146" s="344">
        <f t="shared" si="26"/>
        <v>15</v>
      </c>
      <c r="C146" s="344" t="s">
        <v>11</v>
      </c>
      <c r="D146" s="344">
        <f t="shared" si="27"/>
        <v>35</v>
      </c>
      <c r="E146" s="344" t="s">
        <v>11</v>
      </c>
      <c r="F146" s="344">
        <f t="shared" si="28"/>
        <v>35</v>
      </c>
      <c r="G146" s="344" t="s">
        <v>11</v>
      </c>
      <c r="H146" s="375">
        <f t="shared" si="29"/>
        <v>15</v>
      </c>
      <c r="I146" s="376"/>
      <c r="J146" s="344" t="s">
        <v>11</v>
      </c>
      <c r="K146" s="344">
        <v>35</v>
      </c>
      <c r="L146" s="344" t="s">
        <v>11</v>
      </c>
      <c r="M146" s="253">
        <v>35</v>
      </c>
      <c r="P146" s="419" t="s">
        <v>7</v>
      </c>
      <c r="Q146" s="158">
        <v>120</v>
      </c>
      <c r="R146" s="419" t="s">
        <v>7</v>
      </c>
      <c r="S146" s="158">
        <v>120</v>
      </c>
      <c r="T146" s="101" t="s">
        <v>121</v>
      </c>
      <c r="U146" s="438">
        <f ca="1">U144*(1-(Q145/(1000+Q145))) + U145*(1-(Q146/(1000+Q146)))</f>
        <v>217.1945701357466</v>
      </c>
      <c r="W146" s="61" t="s">
        <v>7</v>
      </c>
      <c r="X146" s="158">
        <v>25</v>
      </c>
      <c r="AA146" s="61" t="s">
        <v>6</v>
      </c>
      <c r="AB146" s="158">
        <v>40</v>
      </c>
      <c r="AF146" s="61" t="s">
        <v>6</v>
      </c>
      <c r="AG146" s="158">
        <v>40</v>
      </c>
      <c r="AJ146" s="61" t="s">
        <v>6</v>
      </c>
      <c r="AK146" s="62">
        <v>18</v>
      </c>
    </row>
    <row r="147" spans="1:62" x14ac:dyDescent="0.35">
      <c r="A147" s="344" t="s">
        <v>15</v>
      </c>
      <c r="B147" s="344">
        <f t="shared" si="26"/>
        <v>0</v>
      </c>
      <c r="C147" s="344" t="s">
        <v>15</v>
      </c>
      <c r="D147" s="344">
        <f t="shared" si="27"/>
        <v>0</v>
      </c>
      <c r="E147" s="344" t="s">
        <v>15</v>
      </c>
      <c r="F147" s="344">
        <f t="shared" si="28"/>
        <v>0</v>
      </c>
      <c r="G147" s="344" t="s">
        <v>15</v>
      </c>
      <c r="H147" s="375">
        <f t="shared" si="29"/>
        <v>0</v>
      </c>
      <c r="I147" s="376"/>
      <c r="J147" s="344" t="s">
        <v>15</v>
      </c>
      <c r="K147" s="344">
        <v>0</v>
      </c>
      <c r="L147" s="344" t="s">
        <v>15</v>
      </c>
      <c r="M147" s="253">
        <v>0</v>
      </c>
      <c r="P147" s="419" t="s">
        <v>10</v>
      </c>
      <c r="Q147" s="158">
        <v>30</v>
      </c>
      <c r="R147" s="419" t="s">
        <v>10</v>
      </c>
      <c r="S147" s="158">
        <v>30</v>
      </c>
      <c r="W147" s="61" t="s">
        <v>10</v>
      </c>
      <c r="X147" s="158">
        <v>90</v>
      </c>
      <c r="AA147" s="61" t="s">
        <v>7</v>
      </c>
      <c r="AB147" s="158">
        <v>25</v>
      </c>
      <c r="AF147" s="61" t="s">
        <v>7</v>
      </c>
      <c r="AG147" s="158">
        <v>25</v>
      </c>
      <c r="AJ147" s="61" t="s">
        <v>7</v>
      </c>
      <c r="AK147" s="62">
        <v>8</v>
      </c>
    </row>
    <row r="148" spans="1:62" x14ac:dyDescent="0.35">
      <c r="A148" s="344" t="s">
        <v>14</v>
      </c>
      <c r="B148" s="344">
        <f t="shared" si="26"/>
        <v>20</v>
      </c>
      <c r="C148" s="344" t="s">
        <v>14</v>
      </c>
      <c r="D148" s="344">
        <f t="shared" si="27"/>
        <v>20</v>
      </c>
      <c r="E148" s="344" t="s">
        <v>14</v>
      </c>
      <c r="F148" s="344">
        <f t="shared" si="28"/>
        <v>20</v>
      </c>
      <c r="G148" s="344" t="s">
        <v>14</v>
      </c>
      <c r="H148" s="375">
        <f t="shared" si="29"/>
        <v>20</v>
      </c>
      <c r="I148" s="376"/>
      <c r="J148" s="344" t="s">
        <v>14</v>
      </c>
      <c r="K148" s="344">
        <v>20</v>
      </c>
      <c r="L148" s="344" t="s">
        <v>14</v>
      </c>
      <c r="M148" s="253">
        <v>20</v>
      </c>
      <c r="P148" s="419" t="s">
        <v>11</v>
      </c>
      <c r="Q148" s="158">
        <v>80</v>
      </c>
      <c r="R148" s="419" t="s">
        <v>11</v>
      </c>
      <c r="S148" s="158">
        <v>80</v>
      </c>
      <c r="T148" s="455" t="s">
        <v>469</v>
      </c>
      <c r="U148" s="456" t="str">
        <f>IF(E109=2,"10% pendant 3T","")</f>
        <v/>
      </c>
      <c r="V148" s="456" t="str">
        <f>IF(E109=10,"40% pendant 2T","")</f>
        <v/>
      </c>
      <c r="W148" s="61" t="s">
        <v>11</v>
      </c>
      <c r="X148" s="158">
        <v>25</v>
      </c>
      <c r="AA148" s="61" t="s">
        <v>10</v>
      </c>
      <c r="AB148" s="158">
        <v>90</v>
      </c>
      <c r="AF148" s="61" t="s">
        <v>10</v>
      </c>
      <c r="AG148" s="158">
        <v>90</v>
      </c>
      <c r="AJ148" s="61" t="s">
        <v>10</v>
      </c>
      <c r="AK148" s="62">
        <v>20</v>
      </c>
    </row>
    <row r="149" spans="1:62" x14ac:dyDescent="0.35">
      <c r="A149" s="344" t="s">
        <v>8</v>
      </c>
      <c r="B149" s="344">
        <f t="shared" si="26"/>
        <v>20</v>
      </c>
      <c r="C149" s="344" t="s">
        <v>8</v>
      </c>
      <c r="D149" s="344">
        <f t="shared" si="27"/>
        <v>20</v>
      </c>
      <c r="E149" s="344" t="s">
        <v>8</v>
      </c>
      <c r="F149" s="344">
        <f t="shared" si="28"/>
        <v>20</v>
      </c>
      <c r="G149" s="344" t="s">
        <v>8</v>
      </c>
      <c r="H149" s="375">
        <f t="shared" si="29"/>
        <v>20</v>
      </c>
      <c r="I149" s="376"/>
      <c r="J149" s="344" t="s">
        <v>8</v>
      </c>
      <c r="K149" s="344">
        <v>20</v>
      </c>
      <c r="L149" s="344" t="s">
        <v>8</v>
      </c>
      <c r="M149" s="253">
        <v>20</v>
      </c>
      <c r="P149" s="419" t="s">
        <v>15</v>
      </c>
      <c r="Q149" s="158"/>
      <c r="R149" s="419" t="s">
        <v>15</v>
      </c>
      <c r="S149" s="158"/>
      <c r="T149" s="455"/>
      <c r="U149" s="456" t="str">
        <f>IF(E75=10,"Armure -25% pendant 5 tours","")</f>
        <v>Armure -25% pendant 5 tours</v>
      </c>
      <c r="V149" s="456"/>
      <c r="W149" s="61" t="s">
        <v>15</v>
      </c>
      <c r="X149" s="158"/>
      <c r="AA149" s="61" t="s">
        <v>11</v>
      </c>
      <c r="AB149" s="158">
        <v>25</v>
      </c>
      <c r="AF149" s="61" t="s">
        <v>11</v>
      </c>
      <c r="AG149" s="158">
        <v>25</v>
      </c>
      <c r="AJ149" s="61" t="s">
        <v>11</v>
      </c>
      <c r="AK149" s="62"/>
    </row>
    <row r="150" spans="1:62" x14ac:dyDescent="0.35">
      <c r="A150" s="344" t="s">
        <v>9</v>
      </c>
      <c r="B150" s="344">
        <f t="shared" si="26"/>
        <v>9.5</v>
      </c>
      <c r="C150" s="344" t="s">
        <v>9</v>
      </c>
      <c r="D150" s="344">
        <f t="shared" si="27"/>
        <v>9.5</v>
      </c>
      <c r="E150" s="344" t="s">
        <v>9</v>
      </c>
      <c r="F150" s="344">
        <f t="shared" si="28"/>
        <v>9.5</v>
      </c>
      <c r="G150" s="344" t="s">
        <v>9</v>
      </c>
      <c r="H150" s="375">
        <f t="shared" si="29"/>
        <v>9.5</v>
      </c>
      <c r="I150" s="376"/>
      <c r="J150" s="344" t="s">
        <v>9</v>
      </c>
      <c r="K150" s="344">
        <v>9.5</v>
      </c>
      <c r="L150" s="344" t="s">
        <v>9</v>
      </c>
      <c r="M150" s="253">
        <v>9.5</v>
      </c>
      <c r="P150" s="419" t="s">
        <v>14</v>
      </c>
      <c r="Q150" s="158"/>
      <c r="R150" s="419" t="s">
        <v>14</v>
      </c>
      <c r="S150" s="158"/>
      <c r="T150" s="455" t="s">
        <v>469</v>
      </c>
      <c r="U150" s="456"/>
      <c r="V150" s="456"/>
      <c r="W150" s="61" t="s">
        <v>14</v>
      </c>
      <c r="X150" s="158"/>
      <c r="AA150" s="61" t="s">
        <v>15</v>
      </c>
      <c r="AB150" s="158"/>
      <c r="AF150" s="61" t="s">
        <v>15</v>
      </c>
      <c r="AG150" s="158"/>
      <c r="AJ150" s="61" t="s">
        <v>15</v>
      </c>
      <c r="AK150" s="62"/>
    </row>
    <row r="151" spans="1:62" x14ac:dyDescent="0.35">
      <c r="A151" s="344" t="s">
        <v>12</v>
      </c>
      <c r="B151" s="344">
        <f t="shared" si="26"/>
        <v>10</v>
      </c>
      <c r="C151" s="344" t="s">
        <v>12</v>
      </c>
      <c r="D151" s="344">
        <f t="shared" si="27"/>
        <v>10</v>
      </c>
      <c r="E151" s="344" t="s">
        <v>12</v>
      </c>
      <c r="F151" s="344">
        <f t="shared" si="28"/>
        <v>10</v>
      </c>
      <c r="G151" s="344" t="s">
        <v>12</v>
      </c>
      <c r="H151" s="375">
        <f t="shared" si="29"/>
        <v>10</v>
      </c>
      <c r="I151" s="376"/>
      <c r="J151" s="344" t="s">
        <v>12</v>
      </c>
      <c r="K151" s="344">
        <v>10</v>
      </c>
      <c r="L151" s="344" t="s">
        <v>12</v>
      </c>
      <c r="M151" s="253">
        <v>10</v>
      </c>
      <c r="P151" s="419" t="s">
        <v>8</v>
      </c>
      <c r="Q151" s="159">
        <v>0.15</v>
      </c>
      <c r="R151" s="419" t="s">
        <v>8</v>
      </c>
      <c r="S151" s="159">
        <v>0.15</v>
      </c>
      <c r="T151" t="s">
        <v>100</v>
      </c>
      <c r="U151">
        <f ca="1">RANDBETWEEN(1,100)</f>
        <v>29</v>
      </c>
      <c r="W151" s="61" t="s">
        <v>8</v>
      </c>
      <c r="X151" s="159">
        <v>0.1</v>
      </c>
      <c r="AA151" s="61" t="s">
        <v>14</v>
      </c>
      <c r="AB151" s="158"/>
      <c r="AF151" s="61" t="s">
        <v>14</v>
      </c>
      <c r="AG151" s="158"/>
      <c r="AJ151" s="61" t="s">
        <v>14</v>
      </c>
      <c r="AK151" s="63"/>
    </row>
    <row r="152" spans="1:62" x14ac:dyDescent="0.35">
      <c r="A152" s="344" t="s">
        <v>13</v>
      </c>
      <c r="B152" s="344">
        <f t="shared" si="26"/>
        <v>12</v>
      </c>
      <c r="C152" s="344" t="s">
        <v>13</v>
      </c>
      <c r="D152" s="344">
        <f t="shared" si="27"/>
        <v>12</v>
      </c>
      <c r="E152" s="344" t="s">
        <v>13</v>
      </c>
      <c r="F152" s="344">
        <f t="shared" si="28"/>
        <v>12</v>
      </c>
      <c r="G152" s="344" t="s">
        <v>13</v>
      </c>
      <c r="H152" s="375">
        <f t="shared" si="29"/>
        <v>12</v>
      </c>
      <c r="I152" s="376"/>
      <c r="J152" s="344" t="s">
        <v>13</v>
      </c>
      <c r="K152" s="344">
        <v>12</v>
      </c>
      <c r="L152" s="344" t="s">
        <v>13</v>
      </c>
      <c r="M152" s="253">
        <v>12</v>
      </c>
      <c r="P152" s="419" t="s">
        <v>9</v>
      </c>
      <c r="Q152" s="159">
        <v>0.1</v>
      </c>
      <c r="R152" s="419" t="s">
        <v>9</v>
      </c>
      <c r="S152" s="159">
        <v>0.1</v>
      </c>
      <c r="T152" t="s">
        <v>43</v>
      </c>
      <c r="U152">
        <f ca="1">RANDBETWEEN(1,100)</f>
        <v>70</v>
      </c>
      <c r="W152" s="61" t="s">
        <v>9</v>
      </c>
      <c r="X152" s="159">
        <v>0.15</v>
      </c>
      <c r="AA152" s="61" t="s">
        <v>8</v>
      </c>
      <c r="AB152" s="159">
        <v>0.1</v>
      </c>
      <c r="AF152" s="61" t="s">
        <v>8</v>
      </c>
      <c r="AG152" s="159">
        <v>0.1</v>
      </c>
      <c r="AJ152" s="61" t="s">
        <v>8</v>
      </c>
      <c r="AK152" s="63"/>
    </row>
    <row r="153" spans="1:62" ht="15" thickBot="1" x14ac:dyDescent="0.4">
      <c r="A153" s="352" t="s">
        <v>16</v>
      </c>
      <c r="B153" s="352">
        <f t="shared" si="26"/>
        <v>10</v>
      </c>
      <c r="C153" s="352" t="s">
        <v>16</v>
      </c>
      <c r="D153" s="352">
        <f t="shared" si="27"/>
        <v>10</v>
      </c>
      <c r="E153" s="352" t="s">
        <v>16</v>
      </c>
      <c r="F153" s="344">
        <f t="shared" si="28"/>
        <v>10</v>
      </c>
      <c r="G153" s="352" t="s">
        <v>16</v>
      </c>
      <c r="H153" s="375">
        <f t="shared" si="29"/>
        <v>10</v>
      </c>
      <c r="I153" s="376"/>
      <c r="J153" s="352" t="s">
        <v>16</v>
      </c>
      <c r="K153" s="352">
        <v>10</v>
      </c>
      <c r="L153" s="352" t="s">
        <v>16</v>
      </c>
      <c r="M153" s="253">
        <v>10</v>
      </c>
      <c r="P153" s="419" t="s">
        <v>12</v>
      </c>
      <c r="Q153" s="158"/>
      <c r="R153" s="419" t="s">
        <v>12</v>
      </c>
      <c r="S153" s="158"/>
      <c r="T153" s="34"/>
      <c r="U153" s="452"/>
      <c r="W153" s="61" t="s">
        <v>12</v>
      </c>
      <c r="X153" s="158"/>
      <c r="AA153" s="61" t="s">
        <v>9</v>
      </c>
      <c r="AB153" s="159">
        <v>0.15</v>
      </c>
      <c r="AF153" s="61" t="s">
        <v>9</v>
      </c>
      <c r="AG153" s="159">
        <v>0.15</v>
      </c>
      <c r="AJ153" s="61" t="s">
        <v>9</v>
      </c>
      <c r="AK153" s="63"/>
    </row>
    <row r="154" spans="1:62" ht="48.5" customHeight="1" thickBot="1" x14ac:dyDescent="0.4">
      <c r="A154" s="379" t="s">
        <v>305</v>
      </c>
      <c r="B154" s="380"/>
      <c r="C154" s="381" t="s">
        <v>306</v>
      </c>
      <c r="D154" s="382"/>
      <c r="E154" s="383" t="s">
        <v>307</v>
      </c>
      <c r="F154" s="384"/>
      <c r="G154" s="383" t="s">
        <v>308</v>
      </c>
      <c r="H154" s="385"/>
      <c r="I154" s="386"/>
      <c r="J154" s="370" t="s">
        <v>309</v>
      </c>
      <c r="K154" s="371"/>
      <c r="L154" s="370" t="s">
        <v>310</v>
      </c>
      <c r="M154" s="371"/>
      <c r="P154" s="419" t="s">
        <v>13</v>
      </c>
      <c r="Q154" s="158"/>
      <c r="R154" s="419" t="s">
        <v>13</v>
      </c>
      <c r="S154" s="158"/>
      <c r="W154" s="61" t="s">
        <v>13</v>
      </c>
      <c r="X154" s="158"/>
      <c r="AA154" s="61" t="s">
        <v>12</v>
      </c>
      <c r="AB154" s="158"/>
      <c r="AF154" s="61" t="s">
        <v>12</v>
      </c>
      <c r="AG154" s="158"/>
      <c r="AJ154" s="61" t="s">
        <v>12</v>
      </c>
      <c r="AK154" s="63"/>
    </row>
    <row r="155" spans="1:62" ht="15" thickBot="1" x14ac:dyDescent="0.4">
      <c r="A155" s="202" t="s">
        <v>0</v>
      </c>
      <c r="B155" s="341" t="s">
        <v>55</v>
      </c>
      <c r="C155" s="202" t="s">
        <v>0</v>
      </c>
      <c r="D155" s="341" t="s">
        <v>55</v>
      </c>
      <c r="E155" s="202" t="s">
        <v>0</v>
      </c>
      <c r="F155" s="341" t="s">
        <v>55</v>
      </c>
      <c r="G155" s="340" t="s">
        <v>0</v>
      </c>
      <c r="H155" s="389" t="s">
        <v>55</v>
      </c>
      <c r="I155" s="390"/>
      <c r="J155" s="211" t="s">
        <v>0</v>
      </c>
      <c r="K155" s="340" t="s">
        <v>55</v>
      </c>
      <c r="L155" s="341" t="s">
        <v>0</v>
      </c>
      <c r="M155" s="254" t="s">
        <v>55</v>
      </c>
      <c r="P155" s="420" t="s">
        <v>16</v>
      </c>
      <c r="Q155" s="160"/>
      <c r="R155" s="420" t="s">
        <v>16</v>
      </c>
      <c r="S155" s="160"/>
      <c r="W155" s="64" t="s">
        <v>16</v>
      </c>
      <c r="X155" s="160"/>
      <c r="AA155" s="61" t="s">
        <v>13</v>
      </c>
      <c r="AB155" s="158"/>
      <c r="AF155" s="61" t="s">
        <v>13</v>
      </c>
      <c r="AG155" s="158"/>
      <c r="AJ155" s="61" t="s">
        <v>13</v>
      </c>
      <c r="AK155" s="63"/>
    </row>
    <row r="156" spans="1:62" ht="15" thickBot="1" x14ac:dyDescent="0.4">
      <c r="A156" s="204" t="s">
        <v>1</v>
      </c>
      <c r="B156" s="339">
        <f t="shared" ref="B156:B170" si="31">N40</f>
        <v>827.99999999999989</v>
      </c>
      <c r="C156" s="204" t="s">
        <v>1</v>
      </c>
      <c r="D156" s="339">
        <f t="shared" ref="D156:D170" si="32">T40</f>
        <v>827.99999999999989</v>
      </c>
      <c r="E156" s="204" t="s">
        <v>1</v>
      </c>
      <c r="F156" s="339">
        <f t="shared" ref="F156:F170" si="33">AL2</f>
        <v>406.99999999999989</v>
      </c>
      <c r="G156" s="342" t="s">
        <v>1</v>
      </c>
      <c r="H156" s="391">
        <f>IF(Q41=1,IF(AL2+X6&gt;H2*1.15,H2*1.15,AL2+X6),IF(AL2+X6&gt;H2,H2,AL2+X6))</f>
        <v>406.99999999999989</v>
      </c>
      <c r="I156" s="392"/>
      <c r="J156" s="210" t="s">
        <v>1</v>
      </c>
      <c r="K156" s="342">
        <v>406.99999999999989</v>
      </c>
      <c r="L156" s="343" t="s">
        <v>1</v>
      </c>
      <c r="M156" s="339">
        <f>IF(K156+K168&gt;M40,M40, K156+K168)</f>
        <v>406.99999999999989</v>
      </c>
      <c r="AA156" s="64" t="s">
        <v>16</v>
      </c>
      <c r="AB156" s="160"/>
      <c r="AF156" s="64" t="s">
        <v>16</v>
      </c>
      <c r="AG156" s="160"/>
      <c r="AJ156" s="64" t="s">
        <v>16</v>
      </c>
      <c r="AK156" s="65"/>
    </row>
    <row r="157" spans="1:62" x14ac:dyDescent="0.35">
      <c r="A157" s="204" t="s">
        <v>2</v>
      </c>
      <c r="B157" s="339">
        <f t="shared" si="31"/>
        <v>0</v>
      </c>
      <c r="C157" s="204" t="s">
        <v>2</v>
      </c>
      <c r="D157" s="339">
        <f t="shared" si="32"/>
        <v>0</v>
      </c>
      <c r="E157" s="204" t="s">
        <v>2</v>
      </c>
      <c r="F157" s="339">
        <f t="shared" si="33"/>
        <v>0</v>
      </c>
      <c r="G157" s="342" t="s">
        <v>2</v>
      </c>
      <c r="H157" s="387">
        <f t="shared" ref="H157:H170" si="34">N41</f>
        <v>0</v>
      </c>
      <c r="I157" s="388"/>
      <c r="J157" s="210" t="s">
        <v>2</v>
      </c>
      <c r="K157" s="342">
        <v>0</v>
      </c>
      <c r="L157" s="343" t="s">
        <v>2</v>
      </c>
      <c r="M157" s="339">
        <f>IF(K157+K169&gt;M41,M41, K157+K169)</f>
        <v>0</v>
      </c>
    </row>
    <row r="158" spans="1:62" x14ac:dyDescent="0.35">
      <c r="A158" s="204" t="s">
        <v>3</v>
      </c>
      <c r="B158" s="339">
        <f t="shared" si="31"/>
        <v>0</v>
      </c>
      <c r="C158" s="204" t="s">
        <v>3</v>
      </c>
      <c r="D158" s="339">
        <f t="shared" si="32"/>
        <v>0</v>
      </c>
      <c r="E158" s="204" t="s">
        <v>3</v>
      </c>
      <c r="F158" s="339">
        <f t="shared" si="33"/>
        <v>0</v>
      </c>
      <c r="G158" s="342" t="s">
        <v>3</v>
      </c>
      <c r="H158" s="387">
        <f t="shared" si="34"/>
        <v>0</v>
      </c>
      <c r="I158" s="388"/>
      <c r="J158" s="210" t="s">
        <v>3</v>
      </c>
      <c r="K158" s="342">
        <v>0</v>
      </c>
      <c r="L158" s="343" t="s">
        <v>3</v>
      </c>
      <c r="M158" s="339">
        <f>IF(K158+K170&gt;M42,M42, K158+K170)</f>
        <v>0</v>
      </c>
    </row>
    <row r="159" spans="1:62" x14ac:dyDescent="0.35">
      <c r="A159" s="204" t="s">
        <v>4</v>
      </c>
      <c r="B159" s="339">
        <f t="shared" si="31"/>
        <v>20</v>
      </c>
      <c r="C159" s="204" t="s">
        <v>4</v>
      </c>
      <c r="D159" s="339">
        <f t="shared" si="32"/>
        <v>25</v>
      </c>
      <c r="E159" s="204" t="s">
        <v>4</v>
      </c>
      <c r="F159" s="339">
        <f t="shared" si="33"/>
        <v>20</v>
      </c>
      <c r="G159" s="342" t="s">
        <v>4</v>
      </c>
      <c r="H159" s="387">
        <f t="shared" si="34"/>
        <v>20</v>
      </c>
      <c r="I159" s="388"/>
      <c r="J159" s="210" t="s">
        <v>4</v>
      </c>
      <c r="K159" s="342">
        <v>20</v>
      </c>
      <c r="L159" s="343" t="s">
        <v>4</v>
      </c>
      <c r="M159" s="339">
        <f>K159+S173</f>
        <v>25</v>
      </c>
    </row>
    <row r="160" spans="1:62" x14ac:dyDescent="0.35">
      <c r="A160" s="204" t="s">
        <v>6</v>
      </c>
      <c r="B160" s="339">
        <f t="shared" si="31"/>
        <v>85</v>
      </c>
      <c r="C160" s="204" t="s">
        <v>6</v>
      </c>
      <c r="D160" s="339">
        <f t="shared" si="32"/>
        <v>97.749999999999986</v>
      </c>
      <c r="E160" s="204" t="s">
        <v>6</v>
      </c>
      <c r="F160" s="339">
        <f t="shared" si="33"/>
        <v>85</v>
      </c>
      <c r="G160" s="342" t="s">
        <v>6</v>
      </c>
      <c r="H160" s="387">
        <f t="shared" si="34"/>
        <v>85</v>
      </c>
      <c r="I160" s="388"/>
      <c r="J160" s="210" t="s">
        <v>6</v>
      </c>
      <c r="K160" s="342">
        <v>85</v>
      </c>
      <c r="L160" s="343" t="s">
        <v>6</v>
      </c>
      <c r="M160" s="339">
        <f t="shared" ref="M160:M170" si="35">K160</f>
        <v>85</v>
      </c>
      <c r="O160" s="412" t="s">
        <v>116</v>
      </c>
      <c r="P160" s="413" t="s">
        <v>126</v>
      </c>
      <c r="Q160" s="413"/>
      <c r="R160" s="414" t="s">
        <v>127</v>
      </c>
      <c r="S160" s="414">
        <v>50</v>
      </c>
      <c r="T160" s="415" t="s">
        <v>124</v>
      </c>
      <c r="U160" s="415">
        <f>Q160+$Q$147</f>
        <v>30</v>
      </c>
      <c r="V160" s="416" t="s">
        <v>125</v>
      </c>
      <c r="W160" s="416">
        <f>$Q$148+S160</f>
        <v>130</v>
      </c>
      <c r="X160" s="6"/>
      <c r="Y160" s="6"/>
      <c r="Z160" s="6"/>
      <c r="AA160" s="6"/>
      <c r="AB160" s="6"/>
      <c r="AC160" s="412" t="s">
        <v>116</v>
      </c>
      <c r="AD160" s="412"/>
      <c r="AE160" s="413" t="s">
        <v>126</v>
      </c>
      <c r="AF160" s="413">
        <v>12</v>
      </c>
      <c r="AG160" s="414" t="s">
        <v>127</v>
      </c>
      <c r="AH160" s="414">
        <v>18</v>
      </c>
      <c r="AI160" s="415" t="s">
        <v>124</v>
      </c>
      <c r="AJ160" s="415">
        <f>AF160+$X$147</f>
        <v>102</v>
      </c>
      <c r="AK160" s="416" t="s">
        <v>125</v>
      </c>
      <c r="AL160" s="416">
        <f>$X$148+AH160</f>
        <v>43</v>
      </c>
      <c r="AM160" s="6"/>
      <c r="AN160" s="6"/>
      <c r="AO160" s="412" t="s">
        <v>116</v>
      </c>
      <c r="AP160" s="413" t="s">
        <v>126</v>
      </c>
      <c r="AQ160" s="413">
        <v>12</v>
      </c>
      <c r="AR160" s="414" t="s">
        <v>127</v>
      </c>
      <c r="AS160" s="414">
        <v>18</v>
      </c>
      <c r="AT160" s="415" t="s">
        <v>124</v>
      </c>
      <c r="AU160" s="415">
        <f>AQ160+$AB$148</f>
        <v>102</v>
      </c>
      <c r="AV160" s="416" t="s">
        <v>125</v>
      </c>
      <c r="AW160" s="416">
        <f>$AB$149+AS160</f>
        <v>43</v>
      </c>
      <c r="AX160" s="6"/>
      <c r="AY160" s="6"/>
      <c r="AZ160" s="412" t="s">
        <v>116</v>
      </c>
      <c r="BA160" s="413" t="s">
        <v>126</v>
      </c>
      <c r="BB160" s="413">
        <v>12</v>
      </c>
      <c r="BC160" s="414" t="s">
        <v>127</v>
      </c>
      <c r="BD160" s="414">
        <v>18</v>
      </c>
      <c r="BE160" s="415" t="s">
        <v>124</v>
      </c>
      <c r="BF160" s="415">
        <f>BB160+$AG$148</f>
        <v>102</v>
      </c>
      <c r="BG160" s="416" t="s">
        <v>125</v>
      </c>
      <c r="BH160" s="416">
        <f>$AG$149+BD160</f>
        <v>43</v>
      </c>
      <c r="BI160" s="6"/>
      <c r="BJ160" s="6"/>
    </row>
    <row r="161" spans="1:62" x14ac:dyDescent="0.35">
      <c r="A161" s="204" t="s">
        <v>7</v>
      </c>
      <c r="B161" s="339">
        <f t="shared" si="31"/>
        <v>45</v>
      </c>
      <c r="C161" s="204" t="s">
        <v>7</v>
      </c>
      <c r="D161" s="339">
        <f t="shared" si="32"/>
        <v>54.337499999999991</v>
      </c>
      <c r="E161" s="204" t="s">
        <v>7</v>
      </c>
      <c r="F161" s="339">
        <f t="shared" si="33"/>
        <v>45</v>
      </c>
      <c r="G161" s="342" t="s">
        <v>7</v>
      </c>
      <c r="H161" s="387">
        <f t="shared" si="34"/>
        <v>45</v>
      </c>
      <c r="I161" s="388"/>
      <c r="J161" s="210" t="s">
        <v>7</v>
      </c>
      <c r="K161" s="342">
        <v>45</v>
      </c>
      <c r="L161" s="343" t="s">
        <v>7</v>
      </c>
      <c r="M161" s="339">
        <f t="shared" si="35"/>
        <v>45</v>
      </c>
      <c r="O161" s="412" t="s">
        <v>115</v>
      </c>
      <c r="P161" s="413" t="s">
        <v>126</v>
      </c>
      <c r="Q161" s="413"/>
      <c r="R161" s="414"/>
      <c r="S161" s="414"/>
      <c r="T161" s="415" t="s">
        <v>124</v>
      </c>
      <c r="U161" s="415">
        <f>Q161+$Q$147</f>
        <v>30</v>
      </c>
      <c r="V161" s="416" t="s">
        <v>125</v>
      </c>
      <c r="W161" s="416">
        <f>$Q$148+S161</f>
        <v>80</v>
      </c>
      <c r="X161" s="6"/>
      <c r="Y161" s="6"/>
      <c r="Z161" s="6"/>
      <c r="AA161" s="6"/>
      <c r="AB161" s="6"/>
      <c r="AC161" s="412" t="s">
        <v>115</v>
      </c>
      <c r="AD161" s="412"/>
      <c r="AE161" s="413" t="s">
        <v>126</v>
      </c>
      <c r="AF161" s="413">
        <v>15</v>
      </c>
      <c r="AG161" s="414"/>
      <c r="AH161" s="414"/>
      <c r="AI161" s="415" t="s">
        <v>124</v>
      </c>
      <c r="AJ161" s="415">
        <f>AF161+$X$147</f>
        <v>105</v>
      </c>
      <c r="AK161" s="416" t="s">
        <v>125</v>
      </c>
      <c r="AL161" s="416">
        <f>$X$148+AH161</f>
        <v>25</v>
      </c>
      <c r="AM161" s="6"/>
      <c r="AN161" s="6"/>
      <c r="AO161" s="412" t="s">
        <v>115</v>
      </c>
      <c r="AP161" s="413" t="s">
        <v>126</v>
      </c>
      <c r="AQ161" s="413">
        <v>15</v>
      </c>
      <c r="AR161" s="414"/>
      <c r="AS161" s="414">
        <v>50</v>
      </c>
      <c r="AT161" s="415" t="s">
        <v>124</v>
      </c>
      <c r="AU161" s="415">
        <f>AQ161+$AB$148</f>
        <v>105</v>
      </c>
      <c r="AV161" s="416" t="s">
        <v>125</v>
      </c>
      <c r="AW161" s="416">
        <f>$AB$149+AS161</f>
        <v>75</v>
      </c>
      <c r="AX161" s="6"/>
      <c r="AY161" s="6"/>
      <c r="AZ161" s="412" t="s">
        <v>115</v>
      </c>
      <c r="BA161" s="413" t="s">
        <v>126</v>
      </c>
      <c r="BB161" s="413">
        <v>15</v>
      </c>
      <c r="BC161" s="414"/>
      <c r="BD161" s="414">
        <v>50</v>
      </c>
      <c r="BE161" s="415" t="s">
        <v>124</v>
      </c>
      <c r="BF161" s="415">
        <v>58</v>
      </c>
      <c r="BG161" s="416" t="s">
        <v>125</v>
      </c>
      <c r="BH161" s="416">
        <f>$AG$149+BD161</f>
        <v>75</v>
      </c>
      <c r="BI161" s="6"/>
      <c r="BJ161" s="6"/>
    </row>
    <row r="162" spans="1:62" ht="31" x14ac:dyDescent="0.35">
      <c r="A162" s="204" t="s">
        <v>10</v>
      </c>
      <c r="B162" s="339">
        <f t="shared" si="31"/>
        <v>30</v>
      </c>
      <c r="C162" s="204" t="s">
        <v>10</v>
      </c>
      <c r="D162" s="339">
        <f t="shared" si="32"/>
        <v>30</v>
      </c>
      <c r="E162" s="204" t="s">
        <v>10</v>
      </c>
      <c r="F162" s="339">
        <f t="shared" si="33"/>
        <v>30</v>
      </c>
      <c r="G162" s="342" t="s">
        <v>10</v>
      </c>
      <c r="H162" s="387">
        <f t="shared" si="34"/>
        <v>30</v>
      </c>
      <c r="I162" s="388"/>
      <c r="J162" s="210" t="s">
        <v>10</v>
      </c>
      <c r="K162" s="342">
        <v>30</v>
      </c>
      <c r="L162" s="343" t="s">
        <v>10</v>
      </c>
      <c r="M162" s="339">
        <f t="shared" si="35"/>
        <v>30</v>
      </c>
      <c r="O162" s="412" t="s">
        <v>117</v>
      </c>
      <c r="P162" s="413" t="s">
        <v>126</v>
      </c>
      <c r="Q162" s="413"/>
      <c r="R162" s="414"/>
      <c r="S162" s="414"/>
      <c r="T162" s="415" t="s">
        <v>124</v>
      </c>
      <c r="U162" s="415">
        <f>Q162+$Q$147</f>
        <v>30</v>
      </c>
      <c r="V162" s="416" t="s">
        <v>125</v>
      </c>
      <c r="W162" s="416">
        <f>$Q$148+S162</f>
        <v>80</v>
      </c>
      <c r="X162" s="6"/>
      <c r="Y162" s="174" t="s">
        <v>234</v>
      </c>
      <c r="Z162" s="174">
        <v>2</v>
      </c>
      <c r="AA162" s="6"/>
      <c r="AB162" s="6"/>
      <c r="AC162" s="412" t="s">
        <v>117</v>
      </c>
      <c r="AD162" s="412"/>
      <c r="AE162" s="413" t="s">
        <v>126</v>
      </c>
      <c r="AF162" s="413">
        <v>10</v>
      </c>
      <c r="AG162" s="414"/>
      <c r="AH162" s="414"/>
      <c r="AI162" s="415" t="s">
        <v>124</v>
      </c>
      <c r="AJ162" s="415">
        <f>AF162+$X$147</f>
        <v>100</v>
      </c>
      <c r="AK162" s="416" t="s">
        <v>125</v>
      </c>
      <c r="AL162" s="416">
        <f>$X$148+AH162</f>
        <v>25</v>
      </c>
      <c r="AM162" s="174" t="s">
        <v>234</v>
      </c>
      <c r="AN162" s="174">
        <v>3</v>
      </c>
      <c r="AO162" s="412" t="s">
        <v>117</v>
      </c>
      <c r="AP162" s="413" t="s">
        <v>126</v>
      </c>
      <c r="AQ162" s="413">
        <v>10</v>
      </c>
      <c r="AR162" s="414"/>
      <c r="AS162" s="414"/>
      <c r="AT162" s="415" t="s">
        <v>124</v>
      </c>
      <c r="AU162" s="415">
        <f>AQ162+$AB$148</f>
        <v>100</v>
      </c>
      <c r="AV162" s="416" t="s">
        <v>125</v>
      </c>
      <c r="AW162" s="416">
        <f>$AB$149+AS162</f>
        <v>25</v>
      </c>
      <c r="AX162" s="174" t="s">
        <v>234</v>
      </c>
      <c r="AY162" s="174">
        <v>1</v>
      </c>
      <c r="AZ162" s="412" t="s">
        <v>117</v>
      </c>
      <c r="BA162" s="413" t="s">
        <v>126</v>
      </c>
      <c r="BB162" s="413">
        <v>10</v>
      </c>
      <c r="BC162" s="414"/>
      <c r="BD162" s="414"/>
      <c r="BE162" s="415" t="s">
        <v>124</v>
      </c>
      <c r="BF162" s="415">
        <f>BB162+$AG$148</f>
        <v>100</v>
      </c>
      <c r="BG162" s="416" t="s">
        <v>125</v>
      </c>
      <c r="BH162" s="416">
        <f>$AG$149+BD162</f>
        <v>25</v>
      </c>
      <c r="BI162" s="174" t="s">
        <v>234</v>
      </c>
      <c r="BJ162" s="174">
        <v>3</v>
      </c>
    </row>
    <row r="163" spans="1:62" x14ac:dyDescent="0.35">
      <c r="A163" s="204" t="s">
        <v>11</v>
      </c>
      <c r="B163" s="339">
        <f t="shared" si="31"/>
        <v>0</v>
      </c>
      <c r="C163" s="204" t="s">
        <v>11</v>
      </c>
      <c r="D163" s="339">
        <f t="shared" si="32"/>
        <v>0</v>
      </c>
      <c r="E163" s="204" t="s">
        <v>11</v>
      </c>
      <c r="F163" s="339">
        <f t="shared" si="33"/>
        <v>0</v>
      </c>
      <c r="G163" s="342" t="s">
        <v>11</v>
      </c>
      <c r="H163" s="387">
        <f t="shared" si="34"/>
        <v>0</v>
      </c>
      <c r="I163" s="388"/>
      <c r="J163" s="210" t="s">
        <v>11</v>
      </c>
      <c r="K163" s="342">
        <v>0</v>
      </c>
      <c r="L163" s="343" t="s">
        <v>11</v>
      </c>
      <c r="M163" s="339">
        <f t="shared" si="35"/>
        <v>0</v>
      </c>
      <c r="O163" s="412" t="s">
        <v>118</v>
      </c>
      <c r="P163" s="413" t="s">
        <v>126</v>
      </c>
      <c r="Q163" s="413"/>
      <c r="R163" s="414"/>
      <c r="S163" s="414"/>
      <c r="T163" s="415" t="s">
        <v>124</v>
      </c>
      <c r="U163" s="415">
        <f>Q163+$Q$147</f>
        <v>30</v>
      </c>
      <c r="V163" s="416" t="s">
        <v>125</v>
      </c>
      <c r="W163" s="416">
        <f>$Q$148+S163</f>
        <v>80</v>
      </c>
      <c r="X163" s="6"/>
      <c r="Y163" s="6"/>
      <c r="Z163" s="6"/>
      <c r="AA163" s="6"/>
      <c r="AB163" s="6"/>
      <c r="AC163" s="412" t="s">
        <v>118</v>
      </c>
      <c r="AD163" s="412"/>
      <c r="AE163" s="413" t="s">
        <v>126</v>
      </c>
      <c r="AF163" s="413">
        <v>20</v>
      </c>
      <c r="AG163" s="414"/>
      <c r="AH163" s="414">
        <v>20</v>
      </c>
      <c r="AI163" s="415" t="s">
        <v>124</v>
      </c>
      <c r="AJ163" s="415">
        <f>AF163+$X$147</f>
        <v>110</v>
      </c>
      <c r="AK163" s="416" t="s">
        <v>125</v>
      </c>
      <c r="AL163" s="416">
        <f>$X$148+AH163</f>
        <v>45</v>
      </c>
      <c r="AM163" s="6"/>
      <c r="AN163" s="6"/>
      <c r="AO163" s="412" t="s">
        <v>118</v>
      </c>
      <c r="AP163" s="413" t="s">
        <v>126</v>
      </c>
      <c r="AQ163" s="413">
        <v>20</v>
      </c>
      <c r="AR163" s="414"/>
      <c r="AS163" s="414">
        <v>20</v>
      </c>
      <c r="AT163" s="415" t="s">
        <v>124</v>
      </c>
      <c r="AU163" s="415">
        <f>AQ163+$AB$148</f>
        <v>110</v>
      </c>
      <c r="AV163" s="416" t="s">
        <v>125</v>
      </c>
      <c r="AW163" s="416">
        <f>$AB$149+AS163</f>
        <v>45</v>
      </c>
      <c r="AX163" s="6"/>
      <c r="AY163" s="6"/>
      <c r="AZ163" s="412" t="s">
        <v>118</v>
      </c>
      <c r="BA163" s="413" t="s">
        <v>126</v>
      </c>
      <c r="BB163" s="413">
        <v>20</v>
      </c>
      <c r="BC163" s="414"/>
      <c r="BD163" s="414">
        <v>20</v>
      </c>
      <c r="BE163" s="415" t="s">
        <v>124</v>
      </c>
      <c r="BF163" s="415">
        <f>BB163+$AG$148</f>
        <v>110</v>
      </c>
      <c r="BG163" s="416" t="s">
        <v>125</v>
      </c>
      <c r="BH163" s="416">
        <f>$AG$149+BD163</f>
        <v>45</v>
      </c>
      <c r="BI163" s="6"/>
      <c r="BJ163" s="6"/>
    </row>
    <row r="164" spans="1:62" x14ac:dyDescent="0.35">
      <c r="A164" s="204" t="s">
        <v>15</v>
      </c>
      <c r="B164" s="339">
        <f t="shared" si="31"/>
        <v>0</v>
      </c>
      <c r="C164" s="204" t="s">
        <v>15</v>
      </c>
      <c r="D164" s="339">
        <f t="shared" si="32"/>
        <v>0</v>
      </c>
      <c r="E164" s="204" t="s">
        <v>15</v>
      </c>
      <c r="F164" s="339">
        <f t="shared" si="33"/>
        <v>0</v>
      </c>
      <c r="G164" s="342" t="s">
        <v>15</v>
      </c>
      <c r="H164" s="387">
        <f t="shared" si="34"/>
        <v>0</v>
      </c>
      <c r="I164" s="388"/>
      <c r="J164" s="210" t="s">
        <v>15</v>
      </c>
      <c r="K164" s="342">
        <v>0</v>
      </c>
      <c r="L164" s="343" t="s">
        <v>15</v>
      </c>
      <c r="M164" s="339">
        <f t="shared" si="35"/>
        <v>0</v>
      </c>
      <c r="O164" s="412" t="s">
        <v>119</v>
      </c>
      <c r="P164" s="413" t="s">
        <v>126</v>
      </c>
      <c r="Q164" s="413"/>
      <c r="R164" s="414"/>
      <c r="S164" s="414"/>
      <c r="T164" s="415" t="s">
        <v>124</v>
      </c>
      <c r="U164" s="415">
        <f>Q164+$Q$147</f>
        <v>30</v>
      </c>
      <c r="V164" s="416" t="s">
        <v>125</v>
      </c>
      <c r="W164" s="416">
        <f>$Q$148+S164</f>
        <v>80</v>
      </c>
      <c r="X164" s="6"/>
      <c r="Y164" s="6"/>
      <c r="Z164" s="6"/>
      <c r="AA164" s="6"/>
      <c r="AB164" s="6"/>
      <c r="AC164" s="412" t="s">
        <v>119</v>
      </c>
      <c r="AD164" s="412"/>
      <c r="AE164" s="413" t="s">
        <v>126</v>
      </c>
      <c r="AF164" s="413"/>
      <c r="AG164" s="414"/>
      <c r="AH164" s="414">
        <v>80</v>
      </c>
      <c r="AI164" s="415" t="s">
        <v>124</v>
      </c>
      <c r="AJ164" s="415">
        <f>AF164+$X$147</f>
        <v>90</v>
      </c>
      <c r="AK164" s="416" t="s">
        <v>125</v>
      </c>
      <c r="AL164" s="416">
        <f>$X$148+AH164</f>
        <v>105</v>
      </c>
      <c r="AM164" s="6"/>
      <c r="AN164" s="6"/>
      <c r="AO164" s="412" t="s">
        <v>119</v>
      </c>
      <c r="AP164" s="413" t="s">
        <v>126</v>
      </c>
      <c r="AQ164" s="413"/>
      <c r="AR164" s="414"/>
      <c r="AS164" s="414">
        <v>80</v>
      </c>
      <c r="AT164" s="415" t="s">
        <v>124</v>
      </c>
      <c r="AU164" s="415">
        <f>AQ164+$AB$148</f>
        <v>90</v>
      </c>
      <c r="AV164" s="416" t="s">
        <v>125</v>
      </c>
      <c r="AW164" s="416">
        <f>$AB$149+AS164</f>
        <v>105</v>
      </c>
      <c r="AX164" s="6"/>
      <c r="AY164" s="6"/>
      <c r="AZ164" s="412" t="s">
        <v>119</v>
      </c>
      <c r="BA164" s="413" t="s">
        <v>126</v>
      </c>
      <c r="BB164" s="413"/>
      <c r="BC164" s="414"/>
      <c r="BD164" s="414">
        <v>80</v>
      </c>
      <c r="BE164" s="415" t="s">
        <v>124</v>
      </c>
      <c r="BF164" s="415">
        <f>BB164+$AG$148</f>
        <v>90</v>
      </c>
      <c r="BG164" s="416" t="s">
        <v>125</v>
      </c>
      <c r="BH164" s="416">
        <f>$AG$149+BD164</f>
        <v>105</v>
      </c>
      <c r="BI164" s="6"/>
      <c r="BJ164" s="6"/>
    </row>
    <row r="165" spans="1:62" x14ac:dyDescent="0.35">
      <c r="A165" s="204" t="s">
        <v>14</v>
      </c>
      <c r="B165" s="339">
        <f t="shared" si="31"/>
        <v>14.4</v>
      </c>
      <c r="C165" s="204" t="s">
        <v>14</v>
      </c>
      <c r="D165" s="339">
        <f t="shared" si="32"/>
        <v>14.4</v>
      </c>
      <c r="E165" s="204" t="s">
        <v>14</v>
      </c>
      <c r="F165" s="339">
        <f t="shared" si="33"/>
        <v>14.4</v>
      </c>
      <c r="G165" s="342" t="s">
        <v>14</v>
      </c>
      <c r="H165" s="387">
        <f t="shared" si="34"/>
        <v>14.4</v>
      </c>
      <c r="I165" s="388"/>
      <c r="J165" s="210" t="s">
        <v>14</v>
      </c>
      <c r="K165" s="342">
        <v>14.4</v>
      </c>
      <c r="L165" s="343" t="s">
        <v>14</v>
      </c>
      <c r="M165" s="339">
        <f t="shared" si="35"/>
        <v>14.4</v>
      </c>
      <c r="O165" s="412" t="s">
        <v>120</v>
      </c>
      <c r="P165" s="413" t="s">
        <v>126</v>
      </c>
      <c r="Q165" s="413"/>
      <c r="R165" s="414"/>
      <c r="S165" s="414"/>
      <c r="T165" s="415" t="s">
        <v>124</v>
      </c>
      <c r="U165" s="415">
        <f>Q165+$Q$147</f>
        <v>30</v>
      </c>
      <c r="V165" s="416" t="s">
        <v>125</v>
      </c>
      <c r="W165" s="416">
        <f>$Q$148+S165</f>
        <v>80</v>
      </c>
      <c r="X165" s="6"/>
      <c r="Y165" s="6"/>
      <c r="Z165" s="6"/>
      <c r="AA165" s="6"/>
      <c r="AB165" s="6"/>
      <c r="AC165" s="412" t="s">
        <v>120</v>
      </c>
      <c r="AD165" s="412"/>
      <c r="AE165" s="413" t="s">
        <v>126</v>
      </c>
      <c r="AF165" s="413"/>
      <c r="AG165" s="414"/>
      <c r="AH165" s="414"/>
      <c r="AI165" s="415" t="s">
        <v>124</v>
      </c>
      <c r="AJ165" s="415">
        <f>AF165+$X$147</f>
        <v>90</v>
      </c>
      <c r="AK165" s="416" t="s">
        <v>125</v>
      </c>
      <c r="AL165" s="416">
        <f>$X$148+AH165</f>
        <v>25</v>
      </c>
      <c r="AM165" s="6"/>
      <c r="AN165" s="6"/>
      <c r="AO165" s="412" t="s">
        <v>120</v>
      </c>
      <c r="AP165" s="413" t="s">
        <v>126</v>
      </c>
      <c r="AQ165" s="413"/>
      <c r="AR165" s="414"/>
      <c r="AS165" s="414"/>
      <c r="AT165" s="415" t="s">
        <v>124</v>
      </c>
      <c r="AU165" s="415">
        <f>AQ165+$AB$148</f>
        <v>90</v>
      </c>
      <c r="AV165" s="416" t="s">
        <v>125</v>
      </c>
      <c r="AW165" s="416">
        <f>$AB$149+AS165</f>
        <v>25</v>
      </c>
      <c r="AX165" s="6"/>
      <c r="AY165" s="6"/>
      <c r="AZ165" s="412" t="s">
        <v>120</v>
      </c>
      <c r="BA165" s="413" t="s">
        <v>126</v>
      </c>
      <c r="BB165" s="413"/>
      <c r="BC165" s="414"/>
      <c r="BD165" s="414"/>
      <c r="BE165" s="415" t="s">
        <v>124</v>
      </c>
      <c r="BF165" s="415">
        <f>BB165+$AG$148</f>
        <v>90</v>
      </c>
      <c r="BG165" s="416" t="s">
        <v>125</v>
      </c>
      <c r="BH165" s="416">
        <f>$AG$149+BD165</f>
        <v>25</v>
      </c>
      <c r="BI165" s="6"/>
      <c r="BJ165" s="6"/>
    </row>
    <row r="166" spans="1:62" x14ac:dyDescent="0.35">
      <c r="A166" s="204" t="s">
        <v>8</v>
      </c>
      <c r="B166" s="339">
        <f t="shared" si="31"/>
        <v>15</v>
      </c>
      <c r="C166" s="204" t="s">
        <v>8</v>
      </c>
      <c r="D166" s="339">
        <f t="shared" si="32"/>
        <v>15</v>
      </c>
      <c r="E166" s="204" t="s">
        <v>8</v>
      </c>
      <c r="F166" s="339">
        <f t="shared" si="33"/>
        <v>15</v>
      </c>
      <c r="G166" s="342" t="s">
        <v>8</v>
      </c>
      <c r="H166" s="387">
        <f t="shared" si="34"/>
        <v>15</v>
      </c>
      <c r="I166" s="388"/>
      <c r="J166" s="210" t="s">
        <v>8</v>
      </c>
      <c r="K166" s="342">
        <v>15</v>
      </c>
      <c r="L166" s="343" t="s">
        <v>8</v>
      </c>
      <c r="M166" s="339">
        <f t="shared" si="35"/>
        <v>15</v>
      </c>
    </row>
    <row r="167" spans="1:62" ht="29" x14ac:dyDescent="0.35">
      <c r="A167" s="204" t="s">
        <v>9</v>
      </c>
      <c r="B167" s="339">
        <f t="shared" si="31"/>
        <v>5</v>
      </c>
      <c r="C167" s="204" t="s">
        <v>9</v>
      </c>
      <c r="D167" s="339">
        <f t="shared" si="32"/>
        <v>5</v>
      </c>
      <c r="E167" s="204" t="s">
        <v>9</v>
      </c>
      <c r="F167" s="339">
        <f t="shared" si="33"/>
        <v>5</v>
      </c>
      <c r="G167" s="342" t="s">
        <v>9</v>
      </c>
      <c r="H167" s="387">
        <f t="shared" si="34"/>
        <v>5</v>
      </c>
      <c r="I167" s="388"/>
      <c r="J167" s="210" t="s">
        <v>9</v>
      </c>
      <c r="K167" s="342">
        <v>5</v>
      </c>
      <c r="L167" s="343" t="s">
        <v>9</v>
      </c>
      <c r="M167" s="339">
        <f t="shared" si="35"/>
        <v>5</v>
      </c>
      <c r="T167" s="118" t="s">
        <v>142</v>
      </c>
      <c r="U167" s="70">
        <f>SUM(U160:U165)</f>
        <v>180</v>
      </c>
      <c r="V167" s="119" t="s">
        <v>143</v>
      </c>
      <c r="W167" s="98">
        <f>SUM(W160:W165)</f>
        <v>530</v>
      </c>
    </row>
    <row r="168" spans="1:62" x14ac:dyDescent="0.35">
      <c r="A168" s="204" t="s">
        <v>12</v>
      </c>
      <c r="B168" s="339">
        <f t="shared" si="31"/>
        <v>0</v>
      </c>
      <c r="C168" s="204" t="s">
        <v>12</v>
      </c>
      <c r="D168" s="339">
        <f t="shared" si="32"/>
        <v>0</v>
      </c>
      <c r="E168" s="204" t="s">
        <v>12</v>
      </c>
      <c r="F168" s="339">
        <f t="shared" si="33"/>
        <v>0</v>
      </c>
      <c r="G168" s="342" t="s">
        <v>12</v>
      </c>
      <c r="H168" s="387">
        <f t="shared" si="34"/>
        <v>0</v>
      </c>
      <c r="I168" s="388"/>
      <c r="J168" s="210" t="s">
        <v>12</v>
      </c>
      <c r="K168" s="342">
        <v>0</v>
      </c>
      <c r="L168" s="343" t="s">
        <v>12</v>
      </c>
      <c r="M168" s="339">
        <f t="shared" si="35"/>
        <v>0</v>
      </c>
    </row>
    <row r="169" spans="1:62" ht="29" x14ac:dyDescent="0.35">
      <c r="A169" s="204" t="s">
        <v>13</v>
      </c>
      <c r="B169" s="339">
        <f t="shared" si="31"/>
        <v>0</v>
      </c>
      <c r="C169" s="204" t="s">
        <v>13</v>
      </c>
      <c r="D169" s="339">
        <f t="shared" si="32"/>
        <v>0</v>
      </c>
      <c r="E169" s="204" t="s">
        <v>13</v>
      </c>
      <c r="F169" s="339">
        <f t="shared" si="33"/>
        <v>0</v>
      </c>
      <c r="G169" s="342" t="s">
        <v>13</v>
      </c>
      <c r="H169" s="387">
        <f t="shared" si="34"/>
        <v>0</v>
      </c>
      <c r="I169" s="388"/>
      <c r="J169" s="210" t="s">
        <v>13</v>
      </c>
      <c r="K169" s="342">
        <v>0</v>
      </c>
      <c r="L169" s="343" t="s">
        <v>13</v>
      </c>
      <c r="M169" s="339">
        <f t="shared" si="35"/>
        <v>0</v>
      </c>
      <c r="T169" s="171" t="s">
        <v>144</v>
      </c>
      <c r="U169">
        <f>IF($Z$162=1,$U$160*(1-(P6/(1000+P6))),IF($Z$162=2,$W$160*(1-(P7/(1000+P7))),IF($Z$162=3,$U$161*(1-(P6/(1000+P6))),IF($Z$162=4,$W$161*(1-(P7/(1000+P7))),IF($Z$162=5,$U$162*(1-(P6/(1000+P6))),IF($Z$162=6,$W$162*(1-(P7/(1000+P7))),IF($Z$162=7,$U$163*(1-(P6/(1000+P6))),IF($Z$162=8,$W$163*(1-(P7/(1000+P7))),IF($Z$162=9,$U$164*(1-(P6/(1000+P6))),IF($Z$162=10,$W$164*(1-(P7/(1000+P7))),IF($Z$162=11,$U$165*(1-(P6/(1000+P6))),IF($Z$162=12,$W$165*(1-(P7/(1000+P7))),0))))))))))))</f>
        <v>125.60386473429951</v>
      </c>
      <c r="AK169" s="171" t="s">
        <v>144</v>
      </c>
      <c r="AL169">
        <f>IF($AN$162=1,$AJ$160*(1-(P6/(1000+P6))),IF($AN$162=2,$AL$160*(1-(P7/(1000+P7))),IF($AN$162=3,$AJ$161*(1-(P6/(1000+P6))),IF($AN$162=4,$AL$161*(1-(P7/(1000+P7))),IF($AN$162=5,$AJ$162*(1-(P6/(1000+P6))),IF($AN$162=6,$AL$162*(1-(P7/(1000+P7))),IF($AN$162=7,$AJ$163*(1-(P6/(1000+P6))),IF($AN$162=8,$AL$163*(1-(P7/(1000+P7))),IF($AN$162=9,$AJ$164*(1-(P6/(1000+P6))),IF($AN$162=10,$AL$164*(1-(P7/(1000+P7))),IF($AN$162=11,$AJ$165*(1-(P6/(1000+P6))),IF($AN$162=12,$AL$165*(1-(P7/(1000+P7))),0))))))))))))</f>
        <v>94.765342960288805</v>
      </c>
      <c r="AV169" s="171" t="s">
        <v>144</v>
      </c>
      <c r="AW169" s="5">
        <f>IF($AY$162=1,$AU$160*(1-(P6/(1000+P6))),IF($AY$162=2,$AW$160*(1-(P7/(1000+P7))),IF($AY$162=3,$AU$161*(1-(P6/(1000+P6))),IF($AY$162=4,$AW$161*(1-(P7/(1000+P7))),IF($AY$162=5,$AU$162*(1-(P6/(1000+P6))),IF($AY$162=6,$AW$162*(1-(P7/(1000+P7))),IF($AY$162=7,$AU$163*(1-(P6/(1000+P6))),IF($AY$162=8,$AW$163*(1-(P7/(1000+P7))),IF($AY$162=9,$AU$164*(1-(P6/(1000+P6))),IF($AY$162=10,$AW$164*(1-(P7/(1000+P7))),IF($AY$162=11,$AU$165*(1-(P6/(1000+P6))),IF($AY$162=12,$AW$165*(1-(P7/(1000+P7))),0))))))))))))</f>
        <v>92.057761732851986</v>
      </c>
      <c r="BG169" s="171" t="s">
        <v>144</v>
      </c>
      <c r="BH169">
        <f>IF($BJ$162=1,$BF$160*(1-(P6/(1000+P6))),IF($BJ$162=2,$BH$160*(1-(P7/(1000+P7))),IF($BJ$162=3,$BF$161*(1-(P6/(1000+P6))),IF($BJ$162=4,$BH$161*(1-(P7/(1000+P7))),IF($BJ$162=5,$BF$162*(1-(P6/(1000+P6))),IF($BJ$162=6,$BH$162*(1-(P7/(1000+P7))),IF($BJ$162=7,$BH$163*(1-(P6/(1000+P6))),IF($BJ$162=8,$BF$163*(1-(P7/(1000+P7))),IF($BJ$162=9,$BH$164*(1-(P6/(1000+P6))),IF($BJ$162=10,$BF$164*(1-(P7/(1000+P7))),IF($BJ$162=11,$BH$165*(1-(P6/(1000+P6))),IF($BJ$162=12,$BF$165*(1-(P7/(1000+P7))),0))))))))))))</f>
        <v>52.346570397111911</v>
      </c>
    </row>
    <row r="170" spans="1:62" ht="29.5" thickBot="1" x14ac:dyDescent="0.4">
      <c r="A170" s="205" t="s">
        <v>16</v>
      </c>
      <c r="B170" s="337">
        <f t="shared" si="31"/>
        <v>0</v>
      </c>
      <c r="C170" s="205" t="s">
        <v>16</v>
      </c>
      <c r="D170" s="337">
        <f t="shared" si="32"/>
        <v>0</v>
      </c>
      <c r="E170" s="205" t="s">
        <v>16</v>
      </c>
      <c r="F170" s="339">
        <f t="shared" si="33"/>
        <v>0</v>
      </c>
      <c r="G170" s="349" t="s">
        <v>16</v>
      </c>
      <c r="H170" s="398">
        <f t="shared" si="34"/>
        <v>0</v>
      </c>
      <c r="I170" s="399"/>
      <c r="J170" s="212" t="s">
        <v>16</v>
      </c>
      <c r="K170" s="349">
        <v>0</v>
      </c>
      <c r="L170" s="350" t="s">
        <v>16</v>
      </c>
      <c r="M170" s="339">
        <f t="shared" si="35"/>
        <v>0</v>
      </c>
      <c r="T170" s="171" t="s">
        <v>145</v>
      </c>
      <c r="U170">
        <f>IF($Z$162=1,$U$160*(1-(H44/(1000+H44))),IF($Z$162=2,$W$160*(1-(H45/(1000+H45))),IF($Z$162=3,$U$161*(1-(H44/(1000+H44))),IF($Z$162=4,$W$161*(1-(H45/(1000+H45))),IF($Z$162=5,$U$162*(1-(H44/(1000+H44))),IF($Z$162=6,$W$162*(1-(H45/(1000+H45))),IF($Z$162=7,$U$163*(1-(H44/(1000+H44))),IF($Z$162=8,$W$163*(1-(H45/(1000+H45))),IF($Z$162=9,$U$164*(1-(H44/(1000+H44))),IF($Z$162=10,$W$164*(1-(H45/(1000+H45))),IF($Z$162=11,$U$165*(1-(H44/(1000+H44))),IF($Z$162=12,$W$165*(1-(H45/(1000+H45))),0))))))))))))</f>
        <v>125.60386473429951</v>
      </c>
      <c r="AK170" s="171" t="s">
        <v>145</v>
      </c>
      <c r="AL170">
        <f>IF($AN$162=1,$AJ$160*(1-(H44/(1000+H44))),IF($AN$162=2,$AL$160*(1-(H45/(1000+H45))),IF($AN$162=3,$AJ$161*(1-(H44/(1000+H44))),IF($AN$162=4,$AL$161*(1-(H45/(1000+H45))),IF($AN$162=5,$AJ$162*(1-(H44/(1000+H44))),IF($AN$162=6,$AL$162*(1-(H45/(1000+H45))),IF($AN$162=7,$AJ$163*(1-(H44/(1000+H44))),IF($AN$162=8,$AL$163*(1-(H45/(1000+H45))),IF($AN$162=9,$AJ$164*(1-(H44/(1000+H44))),IF($AN$162=10,$AL$164*(1-(H45/(1000+H45))),IF($AN$162=11,$AJ$165*(1-(H44/(1000+H44))),IF($AN$162=12,$AL$165*(1-(H45/(1000+H45))),0))))))))))))</f>
        <v>97.222222222222229</v>
      </c>
      <c r="AV170" s="171" t="s">
        <v>145</v>
      </c>
      <c r="AW170" s="5">
        <f>IF($AY$162=1,$AU$160*(1-(H44/(1000+H44))),IF($AY$162=2,$AW$160*(1-(H45/(1000+H45))),IF($AY$162=3,$AU$161*(1-(H44/(1000+H44))),IF($AY$162=4,$AW$161*(1-(H45/(1000+H45))),IF($AY$162=5,$AU$162*(1-(H44/(1000+H44))),IF($AY$162=6,$AW$162*(1-(H45/(1000+H45))),IF($AY$162=7,$AU$163*(1-(H44/(1000+H44))),IF($AY$162=8,$AW$163*(1-(H45/(1000+H45))),IF($AY$162=9,$AU$164*(1-(H44/(1000+H44))),IF($AY$162=10,$AW$164*(1-(H45/(1000+H45))),IF($AY$162=11,$AU$165*(1-(H44/(1000+H44))),IF($AY$162=12,$AW$165*(1-(H45/(1000+H45))),0))))))))))))</f>
        <v>94.444444444444443</v>
      </c>
      <c r="BG170" s="171" t="s">
        <v>145</v>
      </c>
      <c r="BH170" s="5">
        <f>IF($BJ$162=1,$BF$160*(1-(H44/(1000+H44))),IF($BJ$162=2,$BH$160*(1-(H45/(1000+H45))),IF($BJ$162=3,$BF$161*(1-(H44/(1000+H44))),IF($BJ$162=4,$BH$161*(1-(H45/(1000+H45))),IF($BJ$162=5,$BF$162*(1-(H44/(1000+H44))),IF($BJ$162=6,$BH$162*(1-(H45/(1000+H45))),IF($BJ$162=7,$BH$163*(1-(H44/(1000+H44))),IF($BJ$162=8,$BF$163*(1-(H45/(1000+H45))),IF($BJ$162=9,$BH$164*(1-(H44/(1000+H44))),IF($BJ$162=10,$BF$164*(1-(H45/(1000+H45))),IF($BJ$162=11,$BH$165*(1-(H44/(1000+H44))),IF($BJ$162=12,$BF$165*(1-(H45/(1000+H45))),0))))))))))))</f>
        <v>53.703703703703702</v>
      </c>
    </row>
    <row r="171" spans="1:62" ht="47.5" customHeight="1" thickBot="1" x14ac:dyDescent="0.4">
      <c r="A171" s="379" t="s">
        <v>305</v>
      </c>
      <c r="B171" s="380"/>
      <c r="C171" s="381" t="s">
        <v>306</v>
      </c>
      <c r="D171" s="382"/>
      <c r="E171" s="383" t="s">
        <v>307</v>
      </c>
      <c r="F171" s="384"/>
      <c r="G171" s="383" t="s">
        <v>308</v>
      </c>
      <c r="H171" s="385"/>
      <c r="I171" s="386"/>
      <c r="J171" s="370" t="s">
        <v>309</v>
      </c>
      <c r="K171" s="371"/>
      <c r="L171" s="370" t="s">
        <v>310</v>
      </c>
      <c r="M171" s="371"/>
      <c r="R171" t="s">
        <v>349</v>
      </c>
      <c r="S171">
        <f>5*S172</f>
        <v>0</v>
      </c>
      <c r="T171" s="171" t="s">
        <v>146</v>
      </c>
      <c r="U171">
        <f>IF($Z$162=1,$U$160*(1-(H76/(1000+H76))),IF($Z$162=2,$W$160*(1-(H77/(1000+H77))),IF($Z$162=3,$U$161*(1-(H76/(1000+H76))),IF($Z$162=4,$W$161*(1-(H77/(1000+H77))),IF($Z$162=5,$U$162*(1-(H76/(1000+H76))),IF($Z$162=6,$W$162*(1-(H77/(1000+H77))),IF($Z$162=7,$U$163*(1-(H76/(1000+H76))),IF($Z$162=8,$W$163*(1-(H77/(1000+H77))),IF($Z$162=9,$U$164*(1-(H76/(1000+H76))),IF($Z$162=10,$W$164*(1-(H77/(1000+H77))),IF($Z$162=11,$U$165*(1-(H76/(1000+H76))),IF($Z$162=12,$W$165*(1-(H77/(1000+H77))),0))))))))))))</f>
        <v>125.60386473429951</v>
      </c>
      <c r="W171">
        <f>COUNTIF(V171,"&gt;0")</f>
        <v>0</v>
      </c>
      <c r="AK171" s="171" t="s">
        <v>146</v>
      </c>
      <c r="AL171">
        <f>IF($Z$162=1,$AJ$160*(1-(H76/(1000+H76))),IF($Z$162=2,$AL$160*(1-(H77/(1000+H77))),IF($Z$162=3,$AJ$161*(1-(H76/(1000+H76))),IF($Z$162=4,$AL$161*(1-(H77/(1000+H77))),IF($Z$162=5,$AJ$162*(1-(H76/(1000+H76))),IF($Z$162=6,$AL$162*(1-(H77/(1000+H77))),IF($Z$162=7,$AJ$163*(1-(H76/(1000+H76))),IF($Z$162=8,$AL$163*(1-(H77/(1000+H77))),IF($Z$162=9,$AJ$164*(1-(H76/(1000+H76))),IF($Z$162=10,$AL$164*(1-(H77/(1000+H77))),IF($Z$162=11,$AJ$165*(1-(H76/(1000+H76))),IF($Z$162=12,$AL$165*(1-(H77/(1000+H77))),0))))))))))))</f>
        <v>41.545893719806763</v>
      </c>
      <c r="AN171">
        <f>COUNTIF(AM171,"&gt;0")</f>
        <v>0</v>
      </c>
      <c r="AV171" s="171" t="s">
        <v>146</v>
      </c>
      <c r="AW171">
        <f>IF($BJ$162=1,$AU$160*(1-(H76/(1000+H76))),IF($BJ$162=2,$AW$160*(1-(H77/(1000+H77))),IF($BJ$162=3,$AU$161*(1-(H76/(1000+H76))),IF($BJ$162=4,$AW$161*(1-(H77/(1000+H77))),IF($BJ$162=5,$AU$162*(1-(H76/(1000+H76))),IF($BJ$162=6,$AW$162*(1-(H77/(1000+H77))),IF($BJ$162=7,$AU$163*(1-(H76/(1000+H76))),IF($BJ$162=8,$AW$163*(1-(H77/(1000+H77))),IF($BJ$162=9,$AU$164*(1-(H76/(1000+H76))),IF($BJ$162=10,$AW$164*(1-(H77/(1000+H77))),IF($BJ$162=11,$AU$165*(1-(H76/(1000+H76))),IF($BJ$162=12,$AW$165*(1-(H77/(1000+H77))),0))))))))))))</f>
        <v>90.517241379310335</v>
      </c>
      <c r="AY171">
        <f>COUNTIF(AX171,"&gt;0")</f>
        <v>0</v>
      </c>
      <c r="BG171" s="171" t="s">
        <v>146</v>
      </c>
      <c r="BH171">
        <f>IF($BJ$162=1,$BF$160*(1-(H76/(1000+H76))),IF($BJ$162=2,$BH$160*(1-(H77/(1000+H77))),IF($BJ$162=3,$BF$161*(1-(H76/(1000+H76))),IF($BJ$162=4,$BH$161*(1-(H77/(1000+H77))),IF($BJ$162=5,$BF$162*(1-(H76/(1000+H76))),IF($BJ$162=6,$BH$162*(1-(H77/(1000+H77))),IF($BJ$162=7,$BH$163*(1-(H76/(1000+H76))),IF($BJ$162=8,$BF$163*(1-(H77/(1000+H77))),IF($BJ$162=9,$BH$164*(1-(H76/(1000+H76))),IF($BJ$162=10,$BF$164*(1-(H77/(1000+H77))),IF($BJ$162=11,$BH$165*(1-(H76/(1000+H76))),IF($BJ$162=12,$BF$165*(1-(H77/(1000+H77))),0))))))))))))</f>
        <v>50</v>
      </c>
      <c r="BJ171">
        <f>COUNTIF(BI171,"&gt;0")</f>
        <v>0</v>
      </c>
    </row>
    <row r="172" spans="1:62" ht="29" x14ac:dyDescent="0.35">
      <c r="A172" s="223" t="s">
        <v>0</v>
      </c>
      <c r="B172" s="334" t="s">
        <v>30</v>
      </c>
      <c r="C172" s="213" t="s">
        <v>0</v>
      </c>
      <c r="D172" s="334" t="s">
        <v>30</v>
      </c>
      <c r="E172" s="213" t="s">
        <v>0</v>
      </c>
      <c r="F172" s="334" t="s">
        <v>30</v>
      </c>
      <c r="G172" s="334" t="s">
        <v>0</v>
      </c>
      <c r="H172" s="395" t="s">
        <v>30</v>
      </c>
      <c r="I172" s="396"/>
      <c r="J172" s="215" t="s">
        <v>0</v>
      </c>
      <c r="K172" s="334" t="s">
        <v>30</v>
      </c>
      <c r="L172" s="215" t="s">
        <v>0</v>
      </c>
      <c r="M172" s="255" t="s">
        <v>30</v>
      </c>
      <c r="S172">
        <f>W171+BJ171+AN171+AY171</f>
        <v>0</v>
      </c>
      <c r="T172" s="172" t="s">
        <v>147</v>
      </c>
      <c r="U172">
        <f>IF($Z$162=1,$U$160*(1-(N75/(1000+N75))),IF($Z$162=2,$W$160*(1-(N76/(1000+N76))),IF($Z$162=3,$U$161*(1-(N75/(1000+N75))),IF($Z$162=4,$W$161*(1-(N76/(1000+N76))),IF($Z$162=5,$U$162*(1-(N75/(1000+N75))),IF($Z$162=6,$W$162*(1-(N76/(1000+N76))),IF($Z$162=7,$U$163*(1-(N75/(1000+N75))),IF($Z$162=8,$W$163*(1-(N76/(1000+N76))),IF($Z$162=9,$U$164*(1-(N75/(1000+N75))),IF($Z$162=10,$W$164*(1-(N76/(1000+N76))),IF($Z$162=11,$U$165*(1-(N75/(1000+N75))),IF($Z$162=12,$W$165*(1-(N76/(1000+N76))),0))))))))))))</f>
        <v>124.16427889207259</v>
      </c>
      <c r="V172">
        <v>333</v>
      </c>
      <c r="AK172" s="172" t="s">
        <v>147</v>
      </c>
      <c r="AL172">
        <f>IF($AN$162=1,$AJ$160*(1-(H76/(1000+H76))),IF($AN$162=2,$AL$160*(1-(H77/(1000+H77))),IF($AN$162=3,$AJ$161*(1-(H76/(1000+H76))),IF($AN$162=4,$AL$161*(1-(H77/(1000+H77))),IF($AN$162=5,$AJ$162*(1-(H76/(1000+H76))),IF($AN$162=6,$AL$162*(1-(H77/(1000+H77))),IF($AN$162=7,$AJ$163*(1-(H76/(1000+H76))),IF($AN$162=8,$AL$163*(1-(H77/(1000+H77))),IF($AN$162=9,$AJ$164*(1-(H76/(1000+H76))),IF($AN$162=10,$AL$164*(1-(H77/(1000+H77))),IF($AN$162=11,$AJ$165*(1-(H76/(1000+H76))),IF($AN$162=12,$AL$165*(1-(H77/(1000+H77))),0))))))))))))</f>
        <v>90.517241379310335</v>
      </c>
      <c r="AV172" s="172" t="s">
        <v>147</v>
      </c>
      <c r="AW172">
        <f>IF($AY$162=1,$AU$160*(1-(H76/(1000+H76))),IF($AY$162=2,$AW$160*(1-(H77/(1000+H77))),IF($AY$162=3,$AU$161*(1-(H76/(1000+H76))),IF($AY$162=4,$AW$161*(1-(H77/(1000+H77))),IF($AY$162=5,$AU$162*(1-(H76/(1000+H76))),IF($AY$162=6,$AW$162*(1-(H77/(1000+H77))),IF($AY$162=7,$AU$163*(1-(H76/(1000+H76))),IF($AY$162=8,$AW$163*(1-(H77/(1000+H77))),IF($AY$162=9,$AU$164*(1-(H76/(1000+H76))),IF($AY$162=10,$AW$164*(1-(H77/(1000+H77))),IF($AY$162=11,$AU$165*(1-(H76/(1000+H76))),IF($AY$162=12,$AW$165*(1-(H77/(1000+H77))),0))))))))))))</f>
        <v>87.931034482758619</v>
      </c>
      <c r="BG172" s="172" t="s">
        <v>147</v>
      </c>
      <c r="BH172">
        <f>IF($BJ$162=1,$BF$160*(1-(N75/(1000+N75))),IF($BJ$162=2,$BH$160*(1-(N76/(1000+N76))),IF($BJ$162=3,$BF$161*(1-(N75/(1000+N75))),IF($BJ$162=4,$BH$161*(1-(N76/(1000+N76))),IF($BJ$162=5,$BF$162*(1-(N75/(1000+N75))),IF($BJ$162=6,$BH$162*(1-(N76/(1000+N76))),IF($BJ$162=7,$BH$163*(1-(N75/(1000+N75))),IF($BJ$162=8,$BF$163*(1-(N76/(1000+N76))),IF($BJ$162=9,$BH$164*(1-(N75/(1000+N75))),IF($BJ$162=10,$BF$164*(1-(N76/(1000+N76))),IF($BJ$162=11,$BH$165*(1-(N75/(1000+N75))),IF($BJ$162=12,$BF$165*(1-(N76/(1000+N76))),0))))))))))))</f>
        <v>54.716981132075475</v>
      </c>
    </row>
    <row r="173" spans="1:62" ht="29" x14ac:dyDescent="0.35">
      <c r="A173" s="224" t="s">
        <v>1</v>
      </c>
      <c r="B173" s="335">
        <f t="shared" ref="B173:B187" si="36">K2</f>
        <v>605</v>
      </c>
      <c r="C173" s="216" t="s">
        <v>1</v>
      </c>
      <c r="D173" s="335">
        <f t="shared" ref="D173:D187" si="37">P2</f>
        <v>605</v>
      </c>
      <c r="E173" s="216" t="s">
        <v>1</v>
      </c>
      <c r="F173" s="335">
        <f t="shared" ref="F173:F187" si="38">AF2</f>
        <v>605</v>
      </c>
      <c r="G173" s="335" t="s">
        <v>1</v>
      </c>
      <c r="H173" s="397">
        <f>IF(N6+AF2&gt;K2, K2, N6+AF2)</f>
        <v>605</v>
      </c>
      <c r="I173" s="394"/>
      <c r="J173" s="218" t="s">
        <v>1</v>
      </c>
      <c r="K173" s="335">
        <v>605</v>
      </c>
      <c r="L173" s="218" t="s">
        <v>1</v>
      </c>
      <c r="M173" s="256">
        <f>IF(K173+K185&gt;K2,K2,K173+K185)</f>
        <v>605</v>
      </c>
      <c r="R173" t="s">
        <v>348</v>
      </c>
      <c r="S173">
        <f>5*S174</f>
        <v>5</v>
      </c>
      <c r="T173" s="173" t="s">
        <v>148</v>
      </c>
      <c r="U173">
        <f>IF($Z$162=1,$U$160*(1-(W44/(1000+W44))),IF($Z$162=2,$W$160*(1-(W45/(1000+W45))),IF($Z$162=3,$U$161*(1-(W44/(1000+W44))),IF($Z$162=4,$W$161*(1-(W45/(1000+W45))), IF($Z$162=5,$U$162*(1-(W44/(1000+W44))),IF($Z$162=6,$W$162*(1-(W45/(1000+W45))),IF($Z$162=7,$U$163*(1-(W44/(1000+W44))),IF($Z$162=8,$W$163*(1-(W45/(1000+W45))),IF($Z$162=9,$U$164*(1-(W44/(1000+W44))),IF($Z$162=10,$W$164*(1-(W45/(1000+W45))),IF($Z$162=11,$U$165*(1-(W44/(1000+W44))),IF($Z$162=12,$W$165*(1-(W45/(1000+W45))),0))))))))))))</f>
        <v>123.30017665121463</v>
      </c>
      <c r="V173">
        <v>421</v>
      </c>
      <c r="W173">
        <f>COUNTIF(V173,"&gt;0")</f>
        <v>1</v>
      </c>
      <c r="AK173" s="173" t="s">
        <v>148</v>
      </c>
      <c r="AL173">
        <f>IF($AN$162=1,$AJ$160*(1-(W44/(1000+W44))),IF($AN$162=2,$AL$160*(1-(W45/(1000+W45))),IF($AN$162=3,$AJ$161*(1-(W44/(1000+W44))),IF($AN$162=4,$AL$161*(1-(W45/(1000+W45))),IF($AN$162=5,$AJ$162*(1-(W44/(1000+W44))),IF($AN$162=6,$AL$162*(1-(W45/(1000+W45))),IF($AN$162=7,$AJ$163*(1-(W44/(1000+W44))),IF($AN$162=8,$AL$163*(1-(W45/(1000+W45))),IF($AN$162=9,$AJ$164*(1-(W44/(1000+W44))),IF($AN$162=10,$AL$164*(1-(W45/(1000+W45))),IF($AN$162=11,$AJ$165*(1-(W44/(1000+W44))),IF($AN$162=12,$AL$165*(1-(W45/(1000+W45))),0))))))))))))</f>
        <v>95.650193577772711</v>
      </c>
      <c r="AN173">
        <f>COUNTIF(AM173,"&gt;0")</f>
        <v>0</v>
      </c>
      <c r="AV173" s="173" t="s">
        <v>148</v>
      </c>
      <c r="AW173" s="5">
        <f>IF($AY$162=1,$AU$160*(1-(N75/(1000+N75))),IF($AY$162=2,$AW$160*(1-(N76/(1000+N76))),IF($AY$162=3,$AU$161*(1-(N75/(1000+N75))),IF($AY$162=4,$AW$161*(1-(N76/(1000+N76))),IF($AY$162=5,$AU$162*(1-(N75/(1000+N75))),IF($AY$162=6,$AW$162*(1-(N76/(1000+N76))),IF($AY$162=7,$AU$163*(1-(N75/(1000+N75))),IF($AY$162=8,$AW$163*(1-(N76/(1000+N76))),IF($AY$162=9,$AU$164*(1-(N75/(1000+N75))),IF($AY$162=10,$AW$164*(1-(N76/(1000+N76))),IF($AY$162=11,$AU$165*(1-(N75/(1000+N75))),IF($AY$162=12,$AW$165*(1-(N76/(1000+N76))),0))))))))))))</f>
        <v>96.226415094339629</v>
      </c>
      <c r="AY173">
        <f>COUNTIF(AX173,"&gt;0")</f>
        <v>0</v>
      </c>
      <c r="BG173" s="173" t="s">
        <v>148</v>
      </c>
      <c r="BH173" s="5">
        <f>IF($BJ$162=1,$BF$160*(1-(W44/(1000+W44))),IF($BJ$162=2,$BH$160*(1-(N76/(1000+N76))),IF($BJ$162=3,$BF$161*(1-(W44/(1000+W44))),IF($BJ$162=4,$BH$161*(1-(N76/(1000+N76))),IF($BJ$162=5,$BF$162*(1-(W44/(1000+W44))),IF($BJ$162=6,$BH$162*(1-(N76/(1000+N76))),IF($BJ$162=7,$BH$163*(1-(W44/(1000+W44))),IF($BJ$162=8,$BF$163*(1-(N76/(1000+N76))),IF($BJ$162=9,$BH$164*(1-(W44/(1000+W44))),IF($BJ$162=10,$BF$164*(1-(N76/(1000+N76))),IF($BJ$162=11,$BH$165*(1-(W44/(1000+W44))),IF($BJ$162=12,$BF$165*(1-(N76/(1000+N76))),0))))))))))))</f>
        <v>52.835345023912545</v>
      </c>
      <c r="BJ173">
        <f>COUNTIF(BI173,"&gt;0")</f>
        <v>0</v>
      </c>
    </row>
    <row r="174" spans="1:62" ht="29" x14ac:dyDescent="0.35">
      <c r="A174" s="224" t="s">
        <v>2</v>
      </c>
      <c r="B174" s="335">
        <f t="shared" si="36"/>
        <v>369</v>
      </c>
      <c r="C174" s="216" t="s">
        <v>2</v>
      </c>
      <c r="D174" s="335">
        <f t="shared" si="37"/>
        <v>369</v>
      </c>
      <c r="E174" s="216" t="s">
        <v>2</v>
      </c>
      <c r="F174" s="335">
        <f t="shared" si="38"/>
        <v>369</v>
      </c>
      <c r="G174" s="335" t="s">
        <v>2</v>
      </c>
      <c r="H174" s="393">
        <f t="shared" ref="H174:H187" si="39">K3</f>
        <v>369</v>
      </c>
      <c r="I174" s="394"/>
      <c r="J174" s="218" t="s">
        <v>2</v>
      </c>
      <c r="K174" s="335">
        <v>279</v>
      </c>
      <c r="L174" s="218" t="s">
        <v>2</v>
      </c>
      <c r="M174" s="256">
        <f>IF(K174+K186&gt;K3,K3,K174+K186)</f>
        <v>319.2</v>
      </c>
      <c r="S174">
        <f>W173+BJ173+AN173+AY173</f>
        <v>1</v>
      </c>
      <c r="T174" s="171" t="s">
        <v>283</v>
      </c>
      <c r="U174">
        <f>IF($Z$162=1,$U$160*(1-(H110/(1000+H110))),IF($Z$162=2,$W$160*(1-(H111/(1000+H111))),IF($Z$162=3,$U$161*(1-(H110/(1000+H110))),IF($Z$162=4,$W$161*(1-(H111/(1000+H111))), IF($Z$162=5,$U$162*(1-(H110/(1000+H110))),IF($Z$162=6,$W$162*(1-(H111/(1000+H111))),IF($Z$162=7,$U$163*(1-(H110/(1000+H110))),IF($Z$162=8,$W$163*(1-(H111/(1000+H111))),IF($Z$162=9,$U$164*(1-(H110/(1000+H110))),IF($Z$162=10,$W$164*(1-(H111/(1000+H111))),IF($Z$162=11,$U$165*(1-(H110/(1000+H110))),IF($Z$162=12,$W$165*(1-(H111/(1000+H111))),0))))))))))))</f>
        <v>125.60386473429951</v>
      </c>
      <c r="AK174" s="171" t="s">
        <v>283</v>
      </c>
      <c r="AL174" s="5">
        <f>IF($AN$162=1,$AJ$160*(1-(H110/(1000+H110))),IF($AN$162=2,$AL$160*(1-(H111/(1000+H111))),IF($AN$162=3,$AJ$161*(1-(H110/(1000+H110))),IF($AN$162=4,$AL$161*(1-(H111/(1000+H111))),IF($AN$162=5,$AJ$162*(1-(H110/(1000+H110))),IF($AN$162=6,$AL$162*(1-(H111/(1000+H111))),IF($AN$162=7,$AJ$163*(1-(H110/(1000+H110))),IF($AN$162=8,$AL$163*(1-(H111/(1000+H111))),IF($AN$162=9,$AJ$164*(1-(H110/(1000+H110))),IF($AN$162=10,$AL$164*(1-(H111/(1000+H111))),IF($AN$162=11,$AJ$165*(1-(H110/(1000+H110))),IF($AN$162=12,$AL$165*(1-(H111/(1000+H111))),0))))))))))))</f>
        <v>97.222222222222229</v>
      </c>
      <c r="AV174" s="171" t="s">
        <v>283</v>
      </c>
      <c r="AW174" s="5">
        <f>IF($AY$162=1,AU160*(1-(H110/(1000+H110))),IF($AY$162=2,AW160*(1-(H111/(1000+H111))),IF($AY$162=3,AU161*(1-(H110/(1000+H110))),IF($AY$162=4,AW161*(1-(H111/(1000+H111))),IF($AY$162=5,AU162*(1-(H110/(1000+H110))),IF($AY$162=6,AW162*(1-(H111/(1000+H111))),IF($AY$162=7,AU163*(1-(H110/(1000+H110))),IF($AY$162=8,AW163*(1-(H111/(1000+H111))),IF($AY$162=9,AU164*(1-(H110/(1000+H110))),IF($AY$162=10,AW164*(1-(H111/(1000+H111))),IF($AY$162=11,AU165*(1-(H110/(1000+H110))),IF($AY$162=12,AW165*(1-(H111/(1000+H111))),0))))))))))))</f>
        <v>94.444444444444443</v>
      </c>
      <c r="BG174" s="171" t="s">
        <v>283</v>
      </c>
      <c r="BH174" s="5">
        <f>IF($BJ$162=1,$BF$160*(1-(W44/(1000+W44))),IF($BJ$162=2,$BH$160*(1-(W45/(1000+W45))),IF($BJ$162=3,$BF$161*(1-(W44/(1000+W44))),IF($BJ$162=4,$BH$161*(1-(W45/(1000+W45))),IF($BJ$162=5,$BF$162*(1-(W44/(1000+W44))),IF($BJ$162=6,$BH$162*(1-(W45/(1000+W45))),IF($BJ$162=7,$BH$163*(1-(W44/(1000+W44))),IF($BJ$162=8,$BF$163*(1-(W45/(1000+W45))),IF($BJ$162=9,$BH$164*(1-(W44/(1000+W44))),IF($BJ$162=10,$BF$164*(1-(W45/(1000+W45))),IF($BJ$162=11,$BH$165*(1-(W44/(1000+W44))),IF($BJ$162=12,$BF$165*(1-(W45/(1000+W45))),0))))))))))))</f>
        <v>52.835345023912545</v>
      </c>
    </row>
    <row r="175" spans="1:62" x14ac:dyDescent="0.35">
      <c r="A175" s="224" t="s">
        <v>3</v>
      </c>
      <c r="B175" s="335">
        <f t="shared" si="36"/>
        <v>126</v>
      </c>
      <c r="C175" s="216" t="s">
        <v>3</v>
      </c>
      <c r="D175" s="335">
        <f t="shared" si="37"/>
        <v>21</v>
      </c>
      <c r="E175" s="216" t="s">
        <v>3</v>
      </c>
      <c r="F175" s="335">
        <f t="shared" si="38"/>
        <v>126</v>
      </c>
      <c r="G175" s="335" t="s">
        <v>3</v>
      </c>
      <c r="H175" s="393">
        <f t="shared" si="39"/>
        <v>126</v>
      </c>
      <c r="I175" s="394"/>
      <c r="J175" s="218" t="s">
        <v>3</v>
      </c>
      <c r="K175" s="335">
        <v>21</v>
      </c>
      <c r="L175" s="218" t="s">
        <v>3</v>
      </c>
      <c r="M175" s="256">
        <f t="shared" ref="M175:M176" si="40">IF(K175+K187&gt;K4,K4,K175+K187)</f>
        <v>26</v>
      </c>
    </row>
    <row r="176" spans="1:62" ht="18.5" customHeight="1" x14ac:dyDescent="0.35">
      <c r="A176" s="224" t="s">
        <v>4</v>
      </c>
      <c r="B176" s="335">
        <f t="shared" si="36"/>
        <v>0</v>
      </c>
      <c r="C176" s="216" t="s">
        <v>4</v>
      </c>
      <c r="D176" s="335">
        <f t="shared" si="37"/>
        <v>0</v>
      </c>
      <c r="E176" s="216" t="s">
        <v>4</v>
      </c>
      <c r="F176" s="335">
        <f t="shared" si="38"/>
        <v>0</v>
      </c>
      <c r="G176" s="335" t="s">
        <v>4</v>
      </c>
      <c r="H176" s="393">
        <f t="shared" si="39"/>
        <v>0</v>
      </c>
      <c r="I176" s="394"/>
      <c r="J176" s="218" t="s">
        <v>4</v>
      </c>
      <c r="K176" s="335">
        <v>0</v>
      </c>
      <c r="L176" s="218" t="s">
        <v>4</v>
      </c>
      <c r="M176" s="256">
        <f>K176</f>
        <v>0</v>
      </c>
    </row>
    <row r="177" spans="1:13" x14ac:dyDescent="0.35">
      <c r="A177" s="224" t="s">
        <v>6</v>
      </c>
      <c r="B177" s="335">
        <f t="shared" si="36"/>
        <v>108</v>
      </c>
      <c r="C177" s="216" t="s">
        <v>6</v>
      </c>
      <c r="D177" s="335">
        <f t="shared" si="37"/>
        <v>108</v>
      </c>
      <c r="E177" s="216" t="s">
        <v>6</v>
      </c>
      <c r="F177" s="335">
        <f t="shared" si="38"/>
        <v>108</v>
      </c>
      <c r="G177" s="335" t="s">
        <v>6</v>
      </c>
      <c r="H177" s="393">
        <f t="shared" si="39"/>
        <v>108</v>
      </c>
      <c r="I177" s="394"/>
      <c r="J177" s="218" t="s">
        <v>6</v>
      </c>
      <c r="K177" s="335">
        <v>108</v>
      </c>
      <c r="L177" s="218" t="s">
        <v>6</v>
      </c>
      <c r="M177" s="256">
        <f t="shared" ref="M177:M187" si="41">K177</f>
        <v>108</v>
      </c>
    </row>
    <row r="178" spans="1:13" ht="22.5" customHeight="1" x14ac:dyDescent="0.35">
      <c r="A178" s="224" t="s">
        <v>7</v>
      </c>
      <c r="B178" s="335">
        <f t="shared" si="36"/>
        <v>35</v>
      </c>
      <c r="C178" s="216" t="s">
        <v>7</v>
      </c>
      <c r="D178" s="335">
        <f t="shared" si="37"/>
        <v>35</v>
      </c>
      <c r="E178" s="216" t="s">
        <v>7</v>
      </c>
      <c r="F178" s="335">
        <f t="shared" si="38"/>
        <v>35</v>
      </c>
      <c r="G178" s="335" t="s">
        <v>7</v>
      </c>
      <c r="H178" s="393">
        <f t="shared" si="39"/>
        <v>35</v>
      </c>
      <c r="I178" s="394"/>
      <c r="J178" s="218" t="s">
        <v>7</v>
      </c>
      <c r="K178" s="335">
        <v>35</v>
      </c>
      <c r="L178" s="218" t="s">
        <v>7</v>
      </c>
      <c r="M178" s="256">
        <f t="shared" si="41"/>
        <v>35</v>
      </c>
    </row>
    <row r="179" spans="1:13" ht="21.5" customHeight="1" x14ac:dyDescent="0.35">
      <c r="A179" s="224" t="s">
        <v>10</v>
      </c>
      <c r="B179" s="335">
        <f t="shared" si="36"/>
        <v>10</v>
      </c>
      <c r="C179" s="216" t="s">
        <v>10</v>
      </c>
      <c r="D179" s="335">
        <f t="shared" si="37"/>
        <v>10</v>
      </c>
      <c r="E179" s="216" t="s">
        <v>10</v>
      </c>
      <c r="F179" s="335">
        <f t="shared" si="38"/>
        <v>10</v>
      </c>
      <c r="G179" s="335" t="s">
        <v>10</v>
      </c>
      <c r="H179" s="393">
        <f t="shared" si="39"/>
        <v>10</v>
      </c>
      <c r="I179" s="394"/>
      <c r="J179" s="218" t="s">
        <v>10</v>
      </c>
      <c r="K179" s="335">
        <v>10</v>
      </c>
      <c r="L179" s="218" t="s">
        <v>10</v>
      </c>
      <c r="M179" s="256">
        <f t="shared" si="41"/>
        <v>10</v>
      </c>
    </row>
    <row r="180" spans="1:13" ht="21.5" customHeight="1" x14ac:dyDescent="0.35">
      <c r="A180" s="224" t="s">
        <v>11</v>
      </c>
      <c r="B180" s="335">
        <f t="shared" si="36"/>
        <v>137.5</v>
      </c>
      <c r="C180" s="216" t="s">
        <v>11</v>
      </c>
      <c r="D180" s="335">
        <f t="shared" si="37"/>
        <v>137.5</v>
      </c>
      <c r="E180" s="216" t="s">
        <v>11</v>
      </c>
      <c r="F180" s="335">
        <f t="shared" si="38"/>
        <v>137.5</v>
      </c>
      <c r="G180" s="335" t="s">
        <v>11</v>
      </c>
      <c r="H180" s="393">
        <f t="shared" si="39"/>
        <v>137.5</v>
      </c>
      <c r="I180" s="394"/>
      <c r="J180" s="218" t="s">
        <v>11</v>
      </c>
      <c r="K180" s="335">
        <v>137.5</v>
      </c>
      <c r="L180" s="218" t="s">
        <v>11</v>
      </c>
      <c r="M180" s="256">
        <f t="shared" si="41"/>
        <v>137.5</v>
      </c>
    </row>
    <row r="181" spans="1:13" ht="20" customHeight="1" x14ac:dyDescent="0.35">
      <c r="A181" s="224" t="s">
        <v>15</v>
      </c>
      <c r="B181" s="335">
        <f t="shared" si="36"/>
        <v>0</v>
      </c>
      <c r="C181" s="216" t="s">
        <v>15</v>
      </c>
      <c r="D181" s="335">
        <f t="shared" si="37"/>
        <v>0</v>
      </c>
      <c r="E181" s="216" t="s">
        <v>15</v>
      </c>
      <c r="F181" s="335">
        <f t="shared" si="38"/>
        <v>0</v>
      </c>
      <c r="G181" s="335" t="s">
        <v>15</v>
      </c>
      <c r="H181" s="393">
        <f t="shared" si="39"/>
        <v>0</v>
      </c>
      <c r="I181" s="394"/>
      <c r="J181" s="218" t="s">
        <v>15</v>
      </c>
      <c r="K181" s="335">
        <v>0</v>
      </c>
      <c r="L181" s="218" t="s">
        <v>15</v>
      </c>
      <c r="M181" s="256">
        <f t="shared" si="41"/>
        <v>0</v>
      </c>
    </row>
    <row r="182" spans="1:13" ht="19" customHeight="1" x14ac:dyDescent="0.35">
      <c r="A182" s="224" t="s">
        <v>14</v>
      </c>
      <c r="B182" s="335">
        <f t="shared" si="36"/>
        <v>25</v>
      </c>
      <c r="C182" s="216" t="s">
        <v>14</v>
      </c>
      <c r="D182" s="335">
        <f t="shared" si="37"/>
        <v>25</v>
      </c>
      <c r="E182" s="216" t="s">
        <v>14</v>
      </c>
      <c r="F182" s="335">
        <f t="shared" si="38"/>
        <v>25</v>
      </c>
      <c r="G182" s="335" t="s">
        <v>14</v>
      </c>
      <c r="H182" s="393">
        <f t="shared" si="39"/>
        <v>25</v>
      </c>
      <c r="I182" s="394"/>
      <c r="J182" s="218" t="s">
        <v>14</v>
      </c>
      <c r="K182" s="335">
        <v>25</v>
      </c>
      <c r="L182" s="218" t="s">
        <v>14</v>
      </c>
      <c r="M182" s="256">
        <f t="shared" si="41"/>
        <v>25</v>
      </c>
    </row>
    <row r="183" spans="1:13" ht="22.5" customHeight="1" x14ac:dyDescent="0.35">
      <c r="A183" s="224" t="s">
        <v>8</v>
      </c>
      <c r="B183" s="335">
        <f t="shared" si="36"/>
        <v>20</v>
      </c>
      <c r="C183" s="216" t="s">
        <v>8</v>
      </c>
      <c r="D183" s="335">
        <f t="shared" si="37"/>
        <v>20</v>
      </c>
      <c r="E183" s="216" t="s">
        <v>8</v>
      </c>
      <c r="F183" s="335">
        <f t="shared" si="38"/>
        <v>20</v>
      </c>
      <c r="G183" s="335" t="s">
        <v>8</v>
      </c>
      <c r="H183" s="393">
        <f t="shared" si="39"/>
        <v>20</v>
      </c>
      <c r="I183" s="394"/>
      <c r="J183" s="218" t="s">
        <v>8</v>
      </c>
      <c r="K183" s="335">
        <v>20</v>
      </c>
      <c r="L183" s="218" t="s">
        <v>8</v>
      </c>
      <c r="M183" s="256">
        <f t="shared" si="41"/>
        <v>20</v>
      </c>
    </row>
    <row r="184" spans="1:13" x14ac:dyDescent="0.35">
      <c r="A184" s="224" t="s">
        <v>9</v>
      </c>
      <c r="B184" s="335">
        <f t="shared" si="36"/>
        <v>10</v>
      </c>
      <c r="C184" s="216" t="s">
        <v>9</v>
      </c>
      <c r="D184" s="335">
        <f t="shared" si="37"/>
        <v>10</v>
      </c>
      <c r="E184" s="216" t="s">
        <v>9</v>
      </c>
      <c r="F184" s="335">
        <f t="shared" si="38"/>
        <v>10</v>
      </c>
      <c r="G184" s="335" t="s">
        <v>9</v>
      </c>
      <c r="H184" s="393">
        <f t="shared" si="39"/>
        <v>10</v>
      </c>
      <c r="I184" s="394"/>
      <c r="J184" s="218" t="s">
        <v>9</v>
      </c>
      <c r="K184" s="335">
        <v>10</v>
      </c>
      <c r="L184" s="218" t="s">
        <v>9</v>
      </c>
      <c r="M184" s="256">
        <f t="shared" si="41"/>
        <v>10</v>
      </c>
    </row>
    <row r="185" spans="1:13" x14ac:dyDescent="0.35">
      <c r="A185" s="224" t="s">
        <v>12</v>
      </c>
      <c r="B185" s="335">
        <f t="shared" si="36"/>
        <v>14</v>
      </c>
      <c r="C185" s="216" t="s">
        <v>12</v>
      </c>
      <c r="D185" s="335">
        <f t="shared" si="37"/>
        <v>14</v>
      </c>
      <c r="E185" s="216" t="s">
        <v>12</v>
      </c>
      <c r="F185" s="335">
        <f t="shared" si="38"/>
        <v>14</v>
      </c>
      <c r="G185" s="335" t="s">
        <v>12</v>
      </c>
      <c r="H185" s="393">
        <f t="shared" si="39"/>
        <v>14</v>
      </c>
      <c r="I185" s="394"/>
      <c r="J185" s="218" t="s">
        <v>12</v>
      </c>
      <c r="K185" s="335">
        <v>14</v>
      </c>
      <c r="L185" s="218" t="s">
        <v>12</v>
      </c>
      <c r="M185" s="256">
        <f t="shared" si="41"/>
        <v>14</v>
      </c>
    </row>
    <row r="186" spans="1:13" x14ac:dyDescent="0.35">
      <c r="A186" s="224" t="s">
        <v>13</v>
      </c>
      <c r="B186" s="335">
        <f t="shared" si="36"/>
        <v>30.2</v>
      </c>
      <c r="C186" s="216" t="s">
        <v>13</v>
      </c>
      <c r="D186" s="335">
        <f t="shared" si="37"/>
        <v>30.2</v>
      </c>
      <c r="E186" s="216" t="s">
        <v>13</v>
      </c>
      <c r="F186" s="335">
        <f t="shared" si="38"/>
        <v>30.2</v>
      </c>
      <c r="G186" s="335" t="s">
        <v>13</v>
      </c>
      <c r="H186" s="393">
        <f t="shared" si="39"/>
        <v>30.2</v>
      </c>
      <c r="I186" s="394"/>
      <c r="J186" s="218" t="s">
        <v>13</v>
      </c>
      <c r="K186" s="335">
        <v>40.200000000000003</v>
      </c>
      <c r="L186" s="218" t="s">
        <v>13</v>
      </c>
      <c r="M186" s="256">
        <f t="shared" si="41"/>
        <v>40.200000000000003</v>
      </c>
    </row>
    <row r="187" spans="1:13" ht="15" thickBot="1" x14ac:dyDescent="0.4">
      <c r="A187" s="225" t="s">
        <v>16</v>
      </c>
      <c r="B187" s="219">
        <f t="shared" si="36"/>
        <v>5</v>
      </c>
      <c r="C187" s="220" t="s">
        <v>16</v>
      </c>
      <c r="D187" s="335">
        <f t="shared" si="37"/>
        <v>5</v>
      </c>
      <c r="E187" s="220" t="s">
        <v>16</v>
      </c>
      <c r="F187" s="348">
        <f t="shared" si="38"/>
        <v>5</v>
      </c>
      <c r="G187" s="348" t="s">
        <v>16</v>
      </c>
      <c r="H187" s="400">
        <f t="shared" si="39"/>
        <v>5</v>
      </c>
      <c r="I187" s="401"/>
      <c r="J187" s="222" t="s">
        <v>16</v>
      </c>
      <c r="K187" s="348">
        <v>5</v>
      </c>
      <c r="L187" s="222" t="s">
        <v>16</v>
      </c>
      <c r="M187" s="256">
        <f t="shared" si="41"/>
        <v>5</v>
      </c>
    </row>
    <row r="188" spans="1:13" ht="51.5" customHeight="1" thickBot="1" x14ac:dyDescent="0.4">
      <c r="A188" s="379" t="s">
        <v>305</v>
      </c>
      <c r="B188" s="380"/>
      <c r="C188" s="381" t="s">
        <v>306</v>
      </c>
      <c r="D188" s="382"/>
      <c r="E188" s="383" t="s">
        <v>307</v>
      </c>
      <c r="F188" s="384"/>
      <c r="G188" s="383" t="s">
        <v>308</v>
      </c>
      <c r="H188" s="385"/>
      <c r="I188" s="386"/>
      <c r="J188" s="370" t="s">
        <v>309</v>
      </c>
      <c r="K188" s="371"/>
      <c r="L188" s="370" t="s">
        <v>310</v>
      </c>
      <c r="M188" s="371"/>
    </row>
    <row r="189" spans="1:13" x14ac:dyDescent="0.35">
      <c r="A189" s="223" t="s">
        <v>0</v>
      </c>
      <c r="B189" s="334" t="s">
        <v>311</v>
      </c>
      <c r="C189" s="213" t="s">
        <v>0</v>
      </c>
      <c r="D189" s="334" t="s">
        <v>311</v>
      </c>
      <c r="E189" s="213" t="s">
        <v>0</v>
      </c>
      <c r="F189" s="334" t="s">
        <v>311</v>
      </c>
      <c r="G189" s="334" t="s">
        <v>0</v>
      </c>
      <c r="H189" s="395" t="s">
        <v>311</v>
      </c>
      <c r="I189" s="396"/>
      <c r="J189" s="215" t="s">
        <v>0</v>
      </c>
      <c r="K189" s="334" t="s">
        <v>311</v>
      </c>
      <c r="L189" s="215" t="s">
        <v>0</v>
      </c>
      <c r="M189" s="255" t="s">
        <v>311</v>
      </c>
    </row>
    <row r="190" spans="1:13" x14ac:dyDescent="0.35">
      <c r="A190" s="224" t="s">
        <v>1</v>
      </c>
      <c r="B190" s="335">
        <f t="shared" ref="B190:B204" si="42">B40</f>
        <v>605</v>
      </c>
      <c r="C190" s="216" t="s">
        <v>1</v>
      </c>
      <c r="D190" s="335">
        <f t="shared" ref="D190:D204" si="43">H40</f>
        <v>605</v>
      </c>
      <c r="E190" s="216" t="s">
        <v>1</v>
      </c>
      <c r="F190" s="335">
        <f t="shared" ref="F190:F204" si="44">AO2</f>
        <v>605</v>
      </c>
      <c r="G190" s="335" t="s">
        <v>1</v>
      </c>
      <c r="H190" s="397">
        <f>IF(E35+AO2&gt;H40, H40, E35+AO2)</f>
        <v>605</v>
      </c>
      <c r="I190" s="394"/>
      <c r="J190" s="218" t="s">
        <v>1</v>
      </c>
      <c r="K190" s="335">
        <v>399</v>
      </c>
      <c r="L190" s="218" t="s">
        <v>1</v>
      </c>
      <c r="M190" s="256">
        <f>IF(K190+K202&gt;B2,B2,K190+K202)</f>
        <v>403</v>
      </c>
    </row>
    <row r="191" spans="1:13" x14ac:dyDescent="0.35">
      <c r="A191" s="224" t="s">
        <v>2</v>
      </c>
      <c r="B191" s="335">
        <f t="shared" si="42"/>
        <v>369</v>
      </c>
      <c r="C191" s="216" t="s">
        <v>2</v>
      </c>
      <c r="D191" s="335">
        <f t="shared" si="43"/>
        <v>369</v>
      </c>
      <c r="E191" s="216" t="s">
        <v>2</v>
      </c>
      <c r="F191" s="335">
        <f t="shared" si="44"/>
        <v>369</v>
      </c>
      <c r="G191" s="335" t="s">
        <v>2</v>
      </c>
      <c r="H191" s="393">
        <f t="shared" ref="H191:H204" si="45">H41</f>
        <v>369</v>
      </c>
      <c r="I191" s="394"/>
      <c r="J191" s="218" t="s">
        <v>2</v>
      </c>
      <c r="K191" s="335">
        <v>253.5</v>
      </c>
      <c r="L191" s="218" t="s">
        <v>2</v>
      </c>
      <c r="M191" s="256">
        <f t="shared" ref="M191:M192" si="46">IF(K191+K203&gt;B41,B41,K191+K203)</f>
        <v>278.7</v>
      </c>
    </row>
    <row r="192" spans="1:13" x14ac:dyDescent="0.35">
      <c r="A192" s="224" t="s">
        <v>3</v>
      </c>
      <c r="B192" s="335">
        <f t="shared" si="42"/>
        <v>126</v>
      </c>
      <c r="C192" s="216" t="s">
        <v>3</v>
      </c>
      <c r="D192" s="335">
        <f t="shared" si="43"/>
        <v>126</v>
      </c>
      <c r="E192" s="216" t="s">
        <v>3</v>
      </c>
      <c r="F192" s="335">
        <f t="shared" si="44"/>
        <v>126</v>
      </c>
      <c r="G192" s="335" t="s">
        <v>3</v>
      </c>
      <c r="H192" s="393">
        <f t="shared" si="45"/>
        <v>126</v>
      </c>
      <c r="I192" s="394"/>
      <c r="J192" s="218" t="s">
        <v>3</v>
      </c>
      <c r="K192" s="335">
        <v>117</v>
      </c>
      <c r="L192" s="218" t="s">
        <v>3</v>
      </c>
      <c r="M192" s="256">
        <f t="shared" si="46"/>
        <v>122</v>
      </c>
    </row>
    <row r="193" spans="1:13" x14ac:dyDescent="0.35">
      <c r="A193" s="224" t="s">
        <v>4</v>
      </c>
      <c r="B193" s="335">
        <f t="shared" si="42"/>
        <v>0</v>
      </c>
      <c r="C193" s="216" t="s">
        <v>4</v>
      </c>
      <c r="D193" s="335">
        <f t="shared" si="43"/>
        <v>0</v>
      </c>
      <c r="E193" s="216" t="s">
        <v>4</v>
      </c>
      <c r="F193" s="335">
        <f t="shared" si="44"/>
        <v>0</v>
      </c>
      <c r="G193" s="335" t="s">
        <v>4</v>
      </c>
      <c r="H193" s="393">
        <f t="shared" si="45"/>
        <v>0</v>
      </c>
      <c r="I193" s="394"/>
      <c r="J193" s="218" t="s">
        <v>4</v>
      </c>
      <c r="K193" s="335">
        <v>0</v>
      </c>
      <c r="L193" s="218" t="s">
        <v>4</v>
      </c>
      <c r="M193" s="256">
        <f>K193</f>
        <v>0</v>
      </c>
    </row>
    <row r="194" spans="1:13" x14ac:dyDescent="0.35">
      <c r="A194" s="224" t="s">
        <v>6</v>
      </c>
      <c r="B194" s="335">
        <f t="shared" si="42"/>
        <v>80</v>
      </c>
      <c r="C194" s="216" t="s">
        <v>6</v>
      </c>
      <c r="D194" s="335">
        <f t="shared" si="43"/>
        <v>80</v>
      </c>
      <c r="E194" s="216" t="s">
        <v>6</v>
      </c>
      <c r="F194" s="335">
        <f t="shared" si="44"/>
        <v>80</v>
      </c>
      <c r="G194" s="335" t="s">
        <v>6</v>
      </c>
      <c r="H194" s="393">
        <f t="shared" si="45"/>
        <v>80</v>
      </c>
      <c r="I194" s="394"/>
      <c r="J194" s="218" t="s">
        <v>6</v>
      </c>
      <c r="K194" s="335">
        <v>80</v>
      </c>
      <c r="L194" s="218" t="s">
        <v>6</v>
      </c>
      <c r="M194" s="256">
        <f t="shared" ref="M194:M204" si="47">K194</f>
        <v>80</v>
      </c>
    </row>
    <row r="195" spans="1:13" x14ac:dyDescent="0.35">
      <c r="A195" s="224" t="s">
        <v>7</v>
      </c>
      <c r="B195" s="335">
        <f t="shared" si="42"/>
        <v>35</v>
      </c>
      <c r="C195" s="216" t="s">
        <v>7</v>
      </c>
      <c r="D195" s="335">
        <f t="shared" si="43"/>
        <v>35</v>
      </c>
      <c r="E195" s="216" t="s">
        <v>7</v>
      </c>
      <c r="F195" s="335">
        <f t="shared" si="44"/>
        <v>35</v>
      </c>
      <c r="G195" s="335" t="s">
        <v>7</v>
      </c>
      <c r="H195" s="393">
        <f t="shared" si="45"/>
        <v>35</v>
      </c>
      <c r="I195" s="394"/>
      <c r="J195" s="218" t="s">
        <v>7</v>
      </c>
      <c r="K195" s="335">
        <v>35</v>
      </c>
      <c r="L195" s="218" t="s">
        <v>7</v>
      </c>
      <c r="M195" s="256">
        <f t="shared" si="47"/>
        <v>35</v>
      </c>
    </row>
    <row r="196" spans="1:13" x14ac:dyDescent="0.35">
      <c r="A196" s="224" t="s">
        <v>10</v>
      </c>
      <c r="B196" s="335">
        <f t="shared" si="42"/>
        <v>10</v>
      </c>
      <c r="C196" s="216" t="s">
        <v>10</v>
      </c>
      <c r="D196" s="335">
        <f t="shared" si="43"/>
        <v>10</v>
      </c>
      <c r="E196" s="216" t="s">
        <v>10</v>
      </c>
      <c r="F196" s="335">
        <f t="shared" si="44"/>
        <v>10</v>
      </c>
      <c r="G196" s="335" t="s">
        <v>10</v>
      </c>
      <c r="H196" s="393">
        <f t="shared" si="45"/>
        <v>10</v>
      </c>
      <c r="I196" s="394"/>
      <c r="J196" s="218" t="s">
        <v>10</v>
      </c>
      <c r="K196" s="335">
        <v>10</v>
      </c>
      <c r="L196" s="218" t="s">
        <v>10</v>
      </c>
      <c r="M196" s="256">
        <f t="shared" si="47"/>
        <v>10</v>
      </c>
    </row>
    <row r="197" spans="1:13" x14ac:dyDescent="0.35">
      <c r="A197" s="224" t="s">
        <v>11</v>
      </c>
      <c r="B197" s="335">
        <f t="shared" si="42"/>
        <v>147.5</v>
      </c>
      <c r="C197" s="216" t="s">
        <v>11</v>
      </c>
      <c r="D197" s="335">
        <f t="shared" si="43"/>
        <v>147.5</v>
      </c>
      <c r="E197" s="216" t="s">
        <v>11</v>
      </c>
      <c r="F197" s="335">
        <f t="shared" si="44"/>
        <v>147.5</v>
      </c>
      <c r="G197" s="335" t="s">
        <v>11</v>
      </c>
      <c r="H197" s="393">
        <f t="shared" si="45"/>
        <v>147.5</v>
      </c>
      <c r="I197" s="394"/>
      <c r="J197" s="218" t="s">
        <v>11</v>
      </c>
      <c r="K197" s="335">
        <v>142</v>
      </c>
      <c r="L197" s="218" t="s">
        <v>11</v>
      </c>
      <c r="M197" s="256">
        <f t="shared" si="47"/>
        <v>142</v>
      </c>
    </row>
    <row r="198" spans="1:13" x14ac:dyDescent="0.35">
      <c r="A198" s="224" t="s">
        <v>15</v>
      </c>
      <c r="B198" s="335">
        <f t="shared" si="42"/>
        <v>0</v>
      </c>
      <c r="C198" s="216" t="s">
        <v>15</v>
      </c>
      <c r="D198" s="335">
        <f t="shared" si="43"/>
        <v>0</v>
      </c>
      <c r="E198" s="216" t="s">
        <v>15</v>
      </c>
      <c r="F198" s="335">
        <f t="shared" si="44"/>
        <v>0</v>
      </c>
      <c r="G198" s="335" t="s">
        <v>15</v>
      </c>
      <c r="H198" s="393">
        <f t="shared" si="45"/>
        <v>0</v>
      </c>
      <c r="I198" s="394"/>
      <c r="J198" s="218" t="s">
        <v>15</v>
      </c>
      <c r="K198" s="335">
        <v>0</v>
      </c>
      <c r="L198" s="218" t="s">
        <v>15</v>
      </c>
      <c r="M198" s="256">
        <f t="shared" si="47"/>
        <v>0</v>
      </c>
    </row>
    <row r="199" spans="1:13" x14ac:dyDescent="0.35">
      <c r="A199" s="224" t="s">
        <v>14</v>
      </c>
      <c r="B199" s="335">
        <f t="shared" si="42"/>
        <v>25</v>
      </c>
      <c r="C199" s="216" t="s">
        <v>14</v>
      </c>
      <c r="D199" s="335">
        <f t="shared" si="43"/>
        <v>25</v>
      </c>
      <c r="E199" s="216" t="s">
        <v>14</v>
      </c>
      <c r="F199" s="335">
        <f t="shared" si="44"/>
        <v>25</v>
      </c>
      <c r="G199" s="335" t="s">
        <v>14</v>
      </c>
      <c r="H199" s="393">
        <f t="shared" si="45"/>
        <v>25</v>
      </c>
      <c r="I199" s="394"/>
      <c r="J199" s="218" t="s">
        <v>14</v>
      </c>
      <c r="K199" s="335">
        <v>25</v>
      </c>
      <c r="L199" s="218" t="s">
        <v>14</v>
      </c>
      <c r="M199" s="256">
        <f t="shared" si="47"/>
        <v>25</v>
      </c>
    </row>
    <row r="200" spans="1:13" x14ac:dyDescent="0.35">
      <c r="A200" s="224" t="s">
        <v>8</v>
      </c>
      <c r="B200" s="335">
        <f t="shared" si="42"/>
        <v>20</v>
      </c>
      <c r="C200" s="216" t="s">
        <v>8</v>
      </c>
      <c r="D200" s="335">
        <f t="shared" si="43"/>
        <v>20</v>
      </c>
      <c r="E200" s="216" t="s">
        <v>8</v>
      </c>
      <c r="F200" s="335">
        <f t="shared" si="44"/>
        <v>20</v>
      </c>
      <c r="G200" s="335" t="s">
        <v>8</v>
      </c>
      <c r="H200" s="393">
        <f t="shared" si="45"/>
        <v>20</v>
      </c>
      <c r="I200" s="394"/>
      <c r="J200" s="218" t="s">
        <v>8</v>
      </c>
      <c r="K200" s="335">
        <v>20</v>
      </c>
      <c r="L200" s="218" t="s">
        <v>8</v>
      </c>
      <c r="M200" s="256">
        <f t="shared" si="47"/>
        <v>20</v>
      </c>
    </row>
    <row r="201" spans="1:13" x14ac:dyDescent="0.35">
      <c r="A201" s="224" t="s">
        <v>9</v>
      </c>
      <c r="B201" s="335">
        <f t="shared" si="42"/>
        <v>10</v>
      </c>
      <c r="C201" s="216" t="s">
        <v>9</v>
      </c>
      <c r="D201" s="335">
        <f t="shared" si="43"/>
        <v>10</v>
      </c>
      <c r="E201" s="216" t="s">
        <v>9</v>
      </c>
      <c r="F201" s="335">
        <f t="shared" si="44"/>
        <v>10</v>
      </c>
      <c r="G201" s="335" t="s">
        <v>9</v>
      </c>
      <c r="H201" s="393">
        <f t="shared" si="45"/>
        <v>10</v>
      </c>
      <c r="I201" s="394"/>
      <c r="J201" s="218" t="s">
        <v>9</v>
      </c>
      <c r="K201" s="335">
        <v>10</v>
      </c>
      <c r="L201" s="218" t="s">
        <v>9</v>
      </c>
      <c r="M201" s="256">
        <f t="shared" si="47"/>
        <v>10</v>
      </c>
    </row>
    <row r="202" spans="1:13" x14ac:dyDescent="0.35">
      <c r="A202" s="224" t="s">
        <v>12</v>
      </c>
      <c r="B202" s="335">
        <f t="shared" si="42"/>
        <v>4</v>
      </c>
      <c r="C202" s="216" t="s">
        <v>12</v>
      </c>
      <c r="D202" s="335">
        <f t="shared" si="43"/>
        <v>4</v>
      </c>
      <c r="E202" s="216" t="s">
        <v>12</v>
      </c>
      <c r="F202" s="335">
        <f t="shared" si="44"/>
        <v>4</v>
      </c>
      <c r="G202" s="335" t="s">
        <v>12</v>
      </c>
      <c r="H202" s="393">
        <f t="shared" si="45"/>
        <v>4</v>
      </c>
      <c r="I202" s="394"/>
      <c r="J202" s="218" t="s">
        <v>12</v>
      </c>
      <c r="K202" s="335">
        <v>4</v>
      </c>
      <c r="L202" s="218" t="s">
        <v>12</v>
      </c>
      <c r="M202" s="256">
        <f t="shared" si="47"/>
        <v>4</v>
      </c>
    </row>
    <row r="203" spans="1:13" x14ac:dyDescent="0.35">
      <c r="A203" s="224" t="s">
        <v>13</v>
      </c>
      <c r="B203" s="335">
        <f t="shared" si="42"/>
        <v>25.2</v>
      </c>
      <c r="C203" s="216" t="s">
        <v>13</v>
      </c>
      <c r="D203" s="335">
        <f t="shared" si="43"/>
        <v>25.2</v>
      </c>
      <c r="E203" s="216" t="s">
        <v>13</v>
      </c>
      <c r="F203" s="335">
        <f t="shared" si="44"/>
        <v>25.2</v>
      </c>
      <c r="G203" s="335" t="s">
        <v>13</v>
      </c>
      <c r="H203" s="393">
        <f t="shared" si="45"/>
        <v>25.2</v>
      </c>
      <c r="I203" s="394"/>
      <c r="J203" s="218" t="s">
        <v>13</v>
      </c>
      <c r="K203" s="335">
        <v>25.2</v>
      </c>
      <c r="L203" s="218" t="s">
        <v>13</v>
      </c>
      <c r="M203" s="256">
        <f t="shared" si="47"/>
        <v>25.2</v>
      </c>
    </row>
    <row r="204" spans="1:13" ht="15" thickBot="1" x14ac:dyDescent="0.4">
      <c r="A204" s="225" t="s">
        <v>16</v>
      </c>
      <c r="B204" s="348">
        <f t="shared" si="42"/>
        <v>5</v>
      </c>
      <c r="C204" s="220" t="s">
        <v>16</v>
      </c>
      <c r="D204" s="348">
        <f t="shared" si="43"/>
        <v>5</v>
      </c>
      <c r="E204" s="220" t="s">
        <v>16</v>
      </c>
      <c r="F204" s="348">
        <f t="shared" si="44"/>
        <v>5</v>
      </c>
      <c r="G204" s="348" t="s">
        <v>16</v>
      </c>
      <c r="H204" s="400">
        <f t="shared" si="45"/>
        <v>5</v>
      </c>
      <c r="I204" s="401"/>
      <c r="J204" s="222" t="s">
        <v>16</v>
      </c>
      <c r="K204" s="348">
        <v>5</v>
      </c>
      <c r="L204" s="222" t="s">
        <v>16</v>
      </c>
      <c r="M204" s="256">
        <f t="shared" si="47"/>
        <v>5</v>
      </c>
    </row>
    <row r="205" spans="1:13" ht="41.5" customHeight="1" thickBot="1" x14ac:dyDescent="0.4">
      <c r="A205" s="379" t="s">
        <v>305</v>
      </c>
      <c r="B205" s="380"/>
      <c r="C205" s="381" t="s">
        <v>306</v>
      </c>
      <c r="D205" s="382"/>
      <c r="E205" s="383" t="s">
        <v>307</v>
      </c>
      <c r="F205" s="384"/>
      <c r="G205" s="383" t="s">
        <v>308</v>
      </c>
      <c r="H205" s="385"/>
      <c r="I205" s="386"/>
      <c r="J205" s="370" t="s">
        <v>309</v>
      </c>
      <c r="K205" s="371"/>
      <c r="L205" s="370" t="s">
        <v>310</v>
      </c>
      <c r="M205" s="371"/>
    </row>
    <row r="206" spans="1:13" x14ac:dyDescent="0.35">
      <c r="A206" s="223" t="s">
        <v>0</v>
      </c>
      <c r="B206" s="334" t="s">
        <v>79</v>
      </c>
      <c r="C206" s="213" t="s">
        <v>0</v>
      </c>
      <c r="D206" s="334" t="s">
        <v>79</v>
      </c>
      <c r="E206" s="213" t="s">
        <v>0</v>
      </c>
      <c r="F206" s="334" t="s">
        <v>79</v>
      </c>
      <c r="G206" s="334" t="s">
        <v>0</v>
      </c>
      <c r="H206" s="395" t="s">
        <v>79</v>
      </c>
      <c r="I206" s="396"/>
      <c r="J206" s="215" t="s">
        <v>0</v>
      </c>
      <c r="K206" s="334" t="s">
        <v>79</v>
      </c>
      <c r="L206" s="215" t="s">
        <v>0</v>
      </c>
      <c r="M206" s="255" t="s">
        <v>79</v>
      </c>
    </row>
    <row r="207" spans="1:13" x14ac:dyDescent="0.35">
      <c r="A207" s="224" t="s">
        <v>1</v>
      </c>
      <c r="B207" s="335">
        <f t="shared" ref="B207:B221" si="48">B72</f>
        <v>665.5</v>
      </c>
      <c r="C207" s="216" t="s">
        <v>1</v>
      </c>
      <c r="D207" s="335">
        <f t="shared" ref="D207:D221" si="49">H72</f>
        <v>665.5</v>
      </c>
      <c r="E207" s="216" t="s">
        <v>1</v>
      </c>
      <c r="F207" s="335">
        <f t="shared" ref="F207:F221" si="50">AR2</f>
        <v>665.5</v>
      </c>
      <c r="G207" s="335" t="s">
        <v>1</v>
      </c>
      <c r="H207" s="397">
        <f>IF($E$34+AR2&gt;H72, H72, $E$34+AR2)</f>
        <v>665.5</v>
      </c>
      <c r="I207" s="394"/>
      <c r="J207" s="218" t="s">
        <v>1</v>
      </c>
      <c r="K207" s="335"/>
      <c r="L207" s="218" t="s">
        <v>1</v>
      </c>
      <c r="M207" s="332">
        <f>Save2!X208</f>
        <v>0</v>
      </c>
    </row>
    <row r="208" spans="1:13" x14ac:dyDescent="0.35">
      <c r="A208" s="224" t="s">
        <v>2</v>
      </c>
      <c r="B208" s="335">
        <f t="shared" si="48"/>
        <v>369</v>
      </c>
      <c r="C208" s="216" t="s">
        <v>2</v>
      </c>
      <c r="D208" s="335">
        <f t="shared" si="49"/>
        <v>369</v>
      </c>
      <c r="E208" s="216" t="s">
        <v>2</v>
      </c>
      <c r="F208" s="335">
        <f t="shared" si="50"/>
        <v>369</v>
      </c>
      <c r="G208" s="335" t="s">
        <v>2</v>
      </c>
      <c r="H208" s="393">
        <f t="shared" ref="H208:H221" si="51">H73</f>
        <v>369</v>
      </c>
      <c r="I208" s="394"/>
      <c r="J208" s="218" t="s">
        <v>2</v>
      </c>
      <c r="K208" s="335"/>
      <c r="L208" s="218" t="s">
        <v>2</v>
      </c>
      <c r="M208" s="256">
        <f t="shared" ref="M208:M209" si="52">IF(K208+K220&gt;B73,B73,K208+K220)</f>
        <v>0</v>
      </c>
    </row>
    <row r="209" spans="1:13" x14ac:dyDescent="0.35">
      <c r="A209" s="224" t="s">
        <v>3</v>
      </c>
      <c r="B209" s="335">
        <f t="shared" si="48"/>
        <v>126</v>
      </c>
      <c r="C209" s="216" t="s">
        <v>3</v>
      </c>
      <c r="D209" s="335">
        <f t="shared" si="49"/>
        <v>126</v>
      </c>
      <c r="E209" s="216" t="s">
        <v>3</v>
      </c>
      <c r="F209" s="335">
        <f t="shared" si="50"/>
        <v>126</v>
      </c>
      <c r="G209" s="335" t="s">
        <v>3</v>
      </c>
      <c r="H209" s="393">
        <f t="shared" si="51"/>
        <v>126</v>
      </c>
      <c r="I209" s="394"/>
      <c r="J209" s="218" t="s">
        <v>3</v>
      </c>
      <c r="K209" s="335"/>
      <c r="L209" s="218" t="s">
        <v>3</v>
      </c>
      <c r="M209" s="256">
        <f t="shared" si="52"/>
        <v>0</v>
      </c>
    </row>
    <row r="210" spans="1:13" x14ac:dyDescent="0.35">
      <c r="A210" s="224" t="s">
        <v>4</v>
      </c>
      <c r="B210" s="335">
        <f t="shared" si="48"/>
        <v>0</v>
      </c>
      <c r="C210" s="216" t="s">
        <v>4</v>
      </c>
      <c r="D210" s="335">
        <f t="shared" si="49"/>
        <v>0</v>
      </c>
      <c r="E210" s="216" t="s">
        <v>4</v>
      </c>
      <c r="F210" s="335">
        <f t="shared" si="50"/>
        <v>0</v>
      </c>
      <c r="G210" s="335" t="s">
        <v>4</v>
      </c>
      <c r="H210" s="393">
        <f t="shared" si="51"/>
        <v>0</v>
      </c>
      <c r="I210" s="394"/>
      <c r="J210" s="218" t="s">
        <v>4</v>
      </c>
      <c r="K210" s="335"/>
      <c r="L210" s="218" t="s">
        <v>4</v>
      </c>
      <c r="M210" s="256">
        <f>K210+S171</f>
        <v>0</v>
      </c>
    </row>
    <row r="211" spans="1:13" x14ac:dyDescent="0.35">
      <c r="A211" s="224" t="s">
        <v>6</v>
      </c>
      <c r="B211" s="335">
        <f t="shared" si="48"/>
        <v>160</v>
      </c>
      <c r="C211" s="216" t="s">
        <v>6</v>
      </c>
      <c r="D211" s="335">
        <f t="shared" si="49"/>
        <v>160</v>
      </c>
      <c r="E211" s="216" t="s">
        <v>6</v>
      </c>
      <c r="F211" s="335">
        <f t="shared" si="50"/>
        <v>160</v>
      </c>
      <c r="G211" s="335" t="s">
        <v>6</v>
      </c>
      <c r="H211" s="393">
        <f t="shared" si="51"/>
        <v>160</v>
      </c>
      <c r="I211" s="394"/>
      <c r="J211" s="218" t="s">
        <v>6</v>
      </c>
      <c r="K211" s="335"/>
      <c r="L211" s="218" t="s">
        <v>6</v>
      </c>
      <c r="M211" s="256">
        <f t="shared" ref="M211:M221" si="53">K211</f>
        <v>0</v>
      </c>
    </row>
    <row r="212" spans="1:13" x14ac:dyDescent="0.35">
      <c r="A212" s="224" t="s">
        <v>7</v>
      </c>
      <c r="B212" s="335">
        <f t="shared" si="48"/>
        <v>35</v>
      </c>
      <c r="C212" s="216" t="s">
        <v>7</v>
      </c>
      <c r="D212" s="335">
        <f t="shared" si="49"/>
        <v>35</v>
      </c>
      <c r="E212" s="216" t="s">
        <v>7</v>
      </c>
      <c r="F212" s="335">
        <f t="shared" si="50"/>
        <v>35</v>
      </c>
      <c r="G212" s="335" t="s">
        <v>7</v>
      </c>
      <c r="H212" s="393">
        <f t="shared" si="51"/>
        <v>35</v>
      </c>
      <c r="I212" s="394"/>
      <c r="J212" s="218" t="s">
        <v>7</v>
      </c>
      <c r="K212" s="335"/>
      <c r="L212" s="218" t="s">
        <v>7</v>
      </c>
      <c r="M212" s="256">
        <f t="shared" si="53"/>
        <v>0</v>
      </c>
    </row>
    <row r="213" spans="1:13" x14ac:dyDescent="0.35">
      <c r="A213" s="224" t="s">
        <v>10</v>
      </c>
      <c r="B213" s="335">
        <f t="shared" si="48"/>
        <v>25</v>
      </c>
      <c r="C213" s="216" t="s">
        <v>10</v>
      </c>
      <c r="D213" s="335">
        <f t="shared" si="49"/>
        <v>25</v>
      </c>
      <c r="E213" s="216" t="s">
        <v>10</v>
      </c>
      <c r="F213" s="335">
        <f t="shared" si="50"/>
        <v>25</v>
      </c>
      <c r="G213" s="335" t="s">
        <v>10</v>
      </c>
      <c r="H213" s="393">
        <f t="shared" si="51"/>
        <v>25</v>
      </c>
      <c r="I213" s="394"/>
      <c r="J213" s="218" t="s">
        <v>10</v>
      </c>
      <c r="K213" s="335"/>
      <c r="L213" s="218" t="s">
        <v>10</v>
      </c>
      <c r="M213" s="256">
        <f t="shared" si="53"/>
        <v>0</v>
      </c>
    </row>
    <row r="214" spans="1:13" x14ac:dyDescent="0.35">
      <c r="A214" s="224" t="s">
        <v>11</v>
      </c>
      <c r="B214" s="335">
        <f t="shared" si="48"/>
        <v>137.5</v>
      </c>
      <c r="C214" s="216" t="s">
        <v>11</v>
      </c>
      <c r="D214" s="335">
        <f t="shared" si="49"/>
        <v>137.5</v>
      </c>
      <c r="E214" s="216" t="s">
        <v>11</v>
      </c>
      <c r="F214" s="335">
        <f t="shared" si="50"/>
        <v>137.5</v>
      </c>
      <c r="G214" s="335" t="s">
        <v>11</v>
      </c>
      <c r="H214" s="393">
        <f t="shared" si="51"/>
        <v>137.5</v>
      </c>
      <c r="I214" s="394"/>
      <c r="J214" s="218" t="s">
        <v>11</v>
      </c>
      <c r="K214" s="335"/>
      <c r="L214" s="218" t="s">
        <v>11</v>
      </c>
      <c r="M214" s="256">
        <f t="shared" si="53"/>
        <v>0</v>
      </c>
    </row>
    <row r="215" spans="1:13" x14ac:dyDescent="0.35">
      <c r="A215" s="224" t="s">
        <v>15</v>
      </c>
      <c r="B215" s="335">
        <f t="shared" si="48"/>
        <v>0</v>
      </c>
      <c r="C215" s="216" t="s">
        <v>15</v>
      </c>
      <c r="D215" s="335">
        <f t="shared" ca="1" si="49"/>
        <v>0</v>
      </c>
      <c r="E215" s="216" t="s">
        <v>15</v>
      </c>
      <c r="F215" s="335">
        <f t="shared" si="50"/>
        <v>0</v>
      </c>
      <c r="G215" s="335" t="s">
        <v>15</v>
      </c>
      <c r="H215" s="393">
        <f t="shared" ca="1" si="51"/>
        <v>0</v>
      </c>
      <c r="I215" s="394"/>
      <c r="J215" s="218" t="s">
        <v>15</v>
      </c>
      <c r="K215" s="335"/>
      <c r="L215" s="218" t="s">
        <v>15</v>
      </c>
      <c r="M215" s="256">
        <f t="shared" si="53"/>
        <v>0</v>
      </c>
    </row>
    <row r="216" spans="1:13" x14ac:dyDescent="0.35">
      <c r="A216" s="224" t="s">
        <v>14</v>
      </c>
      <c r="B216" s="335">
        <f t="shared" si="48"/>
        <v>25</v>
      </c>
      <c r="C216" s="216" t="s">
        <v>14</v>
      </c>
      <c r="D216" s="335">
        <f t="shared" si="49"/>
        <v>25</v>
      </c>
      <c r="E216" s="216" t="s">
        <v>14</v>
      </c>
      <c r="F216" s="335">
        <f t="shared" si="50"/>
        <v>25</v>
      </c>
      <c r="G216" s="335" t="s">
        <v>14</v>
      </c>
      <c r="H216" s="393">
        <f t="shared" si="51"/>
        <v>25</v>
      </c>
      <c r="I216" s="394"/>
      <c r="J216" s="218" t="s">
        <v>14</v>
      </c>
      <c r="K216" s="335"/>
      <c r="L216" s="218" t="s">
        <v>14</v>
      </c>
      <c r="M216" s="256">
        <f t="shared" si="53"/>
        <v>0</v>
      </c>
    </row>
    <row r="217" spans="1:13" x14ac:dyDescent="0.35">
      <c r="A217" s="224" t="s">
        <v>8</v>
      </c>
      <c r="B217" s="335">
        <f t="shared" si="48"/>
        <v>20</v>
      </c>
      <c r="C217" s="216" t="s">
        <v>8</v>
      </c>
      <c r="D217" s="335">
        <f t="shared" si="49"/>
        <v>20</v>
      </c>
      <c r="E217" s="216" t="s">
        <v>8</v>
      </c>
      <c r="F217" s="335">
        <f t="shared" si="50"/>
        <v>20</v>
      </c>
      <c r="G217" s="335" t="s">
        <v>8</v>
      </c>
      <c r="H217" s="393">
        <f t="shared" si="51"/>
        <v>20</v>
      </c>
      <c r="I217" s="394"/>
      <c r="J217" s="218" t="s">
        <v>8</v>
      </c>
      <c r="K217" s="335"/>
      <c r="L217" s="218" t="s">
        <v>8</v>
      </c>
      <c r="M217" s="256">
        <f t="shared" si="53"/>
        <v>0</v>
      </c>
    </row>
    <row r="218" spans="1:13" x14ac:dyDescent="0.35">
      <c r="A218" s="224" t="s">
        <v>9</v>
      </c>
      <c r="B218" s="335">
        <f t="shared" si="48"/>
        <v>10</v>
      </c>
      <c r="C218" s="216" t="s">
        <v>9</v>
      </c>
      <c r="D218" s="335">
        <f t="shared" si="49"/>
        <v>10</v>
      </c>
      <c r="E218" s="216" t="s">
        <v>9</v>
      </c>
      <c r="F218" s="335">
        <f t="shared" si="50"/>
        <v>10</v>
      </c>
      <c r="G218" s="335" t="s">
        <v>9</v>
      </c>
      <c r="H218" s="393">
        <f t="shared" si="51"/>
        <v>10</v>
      </c>
      <c r="I218" s="394"/>
      <c r="J218" s="218" t="s">
        <v>9</v>
      </c>
      <c r="K218" s="335"/>
      <c r="L218" s="218" t="s">
        <v>9</v>
      </c>
      <c r="M218" s="256">
        <f t="shared" si="53"/>
        <v>0</v>
      </c>
    </row>
    <row r="219" spans="1:13" x14ac:dyDescent="0.35">
      <c r="A219" s="224" t="s">
        <v>12</v>
      </c>
      <c r="B219" s="335">
        <f t="shared" si="48"/>
        <v>4</v>
      </c>
      <c r="C219" s="216" t="s">
        <v>12</v>
      </c>
      <c r="D219" s="335">
        <f t="shared" si="49"/>
        <v>4</v>
      </c>
      <c r="E219" s="216" t="s">
        <v>12</v>
      </c>
      <c r="F219" s="335">
        <f t="shared" si="50"/>
        <v>4</v>
      </c>
      <c r="G219" s="335" t="s">
        <v>12</v>
      </c>
      <c r="H219" s="393">
        <f t="shared" si="51"/>
        <v>4</v>
      </c>
      <c r="I219" s="394"/>
      <c r="J219" s="218" t="s">
        <v>12</v>
      </c>
      <c r="K219" s="335"/>
      <c r="L219" s="218" t="s">
        <v>12</v>
      </c>
      <c r="M219" s="256">
        <f t="shared" si="53"/>
        <v>0</v>
      </c>
    </row>
    <row r="220" spans="1:13" x14ac:dyDescent="0.35">
      <c r="A220" s="224" t="s">
        <v>13</v>
      </c>
      <c r="B220" s="335">
        <f t="shared" si="48"/>
        <v>25.2</v>
      </c>
      <c r="C220" s="216" t="s">
        <v>13</v>
      </c>
      <c r="D220" s="335">
        <f t="shared" si="49"/>
        <v>25.2</v>
      </c>
      <c r="E220" s="216" t="s">
        <v>13</v>
      </c>
      <c r="F220" s="335">
        <f t="shared" si="50"/>
        <v>25.2</v>
      </c>
      <c r="G220" s="335" t="s">
        <v>13</v>
      </c>
      <c r="H220" s="393">
        <f t="shared" si="51"/>
        <v>25.2</v>
      </c>
      <c r="I220" s="394"/>
      <c r="J220" s="218" t="s">
        <v>13</v>
      </c>
      <c r="K220" s="335"/>
      <c r="L220" s="218" t="s">
        <v>13</v>
      </c>
      <c r="M220" s="256">
        <f t="shared" si="53"/>
        <v>0</v>
      </c>
    </row>
    <row r="221" spans="1:13" ht="15" thickBot="1" x14ac:dyDescent="0.4">
      <c r="A221" s="225" t="s">
        <v>16</v>
      </c>
      <c r="B221" s="348">
        <f t="shared" si="48"/>
        <v>5</v>
      </c>
      <c r="C221" s="220" t="s">
        <v>16</v>
      </c>
      <c r="D221" s="348">
        <f t="shared" si="49"/>
        <v>5</v>
      </c>
      <c r="E221" s="220" t="s">
        <v>16</v>
      </c>
      <c r="F221" s="348">
        <f t="shared" si="50"/>
        <v>5</v>
      </c>
      <c r="G221" s="348" t="s">
        <v>16</v>
      </c>
      <c r="H221" s="400">
        <f t="shared" si="51"/>
        <v>5</v>
      </c>
      <c r="I221" s="401"/>
      <c r="J221" s="222" t="s">
        <v>16</v>
      </c>
      <c r="K221" s="348"/>
      <c r="L221" s="222" t="s">
        <v>16</v>
      </c>
      <c r="M221" s="256">
        <f t="shared" si="53"/>
        <v>0</v>
      </c>
    </row>
    <row r="222" spans="1:13" ht="41.5" customHeight="1" thickBot="1" x14ac:dyDescent="0.4">
      <c r="A222" s="379" t="s">
        <v>305</v>
      </c>
      <c r="B222" s="380"/>
      <c r="C222" s="381" t="s">
        <v>306</v>
      </c>
      <c r="D222" s="382"/>
      <c r="E222" s="383" t="s">
        <v>307</v>
      </c>
      <c r="F222" s="384"/>
      <c r="G222" s="383" t="s">
        <v>308</v>
      </c>
      <c r="H222" s="385"/>
      <c r="I222" s="386"/>
      <c r="J222" s="370" t="s">
        <v>309</v>
      </c>
      <c r="K222" s="371"/>
      <c r="L222" s="370" t="s">
        <v>310</v>
      </c>
      <c r="M222" s="371"/>
    </row>
    <row r="223" spans="1:13" x14ac:dyDescent="0.35">
      <c r="A223" s="223" t="s">
        <v>0</v>
      </c>
      <c r="B223" s="334" t="s">
        <v>170</v>
      </c>
      <c r="C223" s="213" t="s">
        <v>0</v>
      </c>
      <c r="D223" s="334" t="s">
        <v>170</v>
      </c>
      <c r="E223" s="213" t="s">
        <v>0</v>
      </c>
      <c r="F223" s="334" t="s">
        <v>170</v>
      </c>
      <c r="G223" s="334" t="s">
        <v>0</v>
      </c>
      <c r="H223" s="395" t="s">
        <v>170</v>
      </c>
      <c r="I223" s="396"/>
      <c r="J223" s="215" t="s">
        <v>0</v>
      </c>
      <c r="K223" s="334" t="s">
        <v>170</v>
      </c>
      <c r="L223" s="215" t="s">
        <v>0</v>
      </c>
      <c r="M223" s="257" t="s">
        <v>170</v>
      </c>
    </row>
    <row r="224" spans="1:13" x14ac:dyDescent="0.35">
      <c r="A224" s="224" t="s">
        <v>1</v>
      </c>
      <c r="B224" s="335">
        <f t="shared" ref="B224:B238" si="54">B106</f>
        <v>605</v>
      </c>
      <c r="C224" s="216" t="s">
        <v>1</v>
      </c>
      <c r="D224" s="335">
        <f t="shared" ref="D224:D238" si="55">H106</f>
        <v>605</v>
      </c>
      <c r="E224" s="216" t="s">
        <v>1</v>
      </c>
      <c r="F224" s="335">
        <f t="shared" ref="F224:F238" si="56">AU2</f>
        <v>605</v>
      </c>
      <c r="G224" s="335" t="s">
        <v>1</v>
      </c>
      <c r="H224" s="397">
        <f>IF($E$34+AU2&gt;H106, H106, $E$34+AU2)</f>
        <v>605</v>
      </c>
      <c r="I224" s="394"/>
      <c r="J224" s="218" t="s">
        <v>1</v>
      </c>
      <c r="K224" s="335"/>
      <c r="L224" s="218" t="s">
        <v>1</v>
      </c>
      <c r="M224" s="256">
        <f>IF(K224+K236&gt;B106,B106,K224+K236)</f>
        <v>0</v>
      </c>
    </row>
    <row r="225" spans="1:13" x14ac:dyDescent="0.35">
      <c r="A225" s="224" t="s">
        <v>2</v>
      </c>
      <c r="B225" s="335">
        <f t="shared" si="54"/>
        <v>369</v>
      </c>
      <c r="C225" s="216" t="s">
        <v>2</v>
      </c>
      <c r="D225" s="335">
        <f t="shared" si="55"/>
        <v>369</v>
      </c>
      <c r="E225" s="216" t="s">
        <v>2</v>
      </c>
      <c r="F225" s="335">
        <f t="shared" si="56"/>
        <v>369</v>
      </c>
      <c r="G225" s="335" t="s">
        <v>2</v>
      </c>
      <c r="H225" s="393">
        <f t="shared" ref="H225:H238" si="57">H107</f>
        <v>369</v>
      </c>
      <c r="I225" s="394"/>
      <c r="J225" s="218" t="s">
        <v>2</v>
      </c>
      <c r="K225" s="335"/>
      <c r="L225" s="218" t="s">
        <v>2</v>
      </c>
      <c r="M225" s="256">
        <f t="shared" ref="M225:M226" si="58">IF(K225+K237&gt;B107,B107,K225+K237)</f>
        <v>0</v>
      </c>
    </row>
    <row r="226" spans="1:13" x14ac:dyDescent="0.35">
      <c r="A226" s="224" t="s">
        <v>3</v>
      </c>
      <c r="B226" s="335">
        <f t="shared" si="54"/>
        <v>126</v>
      </c>
      <c r="C226" s="216" t="s">
        <v>3</v>
      </c>
      <c r="D226" s="335">
        <f t="shared" si="55"/>
        <v>0</v>
      </c>
      <c r="E226" s="216" t="s">
        <v>3</v>
      </c>
      <c r="F226" s="335">
        <f t="shared" si="56"/>
        <v>126</v>
      </c>
      <c r="G226" s="335" t="s">
        <v>3</v>
      </c>
      <c r="H226" s="393">
        <f t="shared" si="57"/>
        <v>0</v>
      </c>
      <c r="I226" s="394"/>
      <c r="J226" s="218" t="s">
        <v>3</v>
      </c>
      <c r="K226" s="335"/>
      <c r="L226" s="218" t="s">
        <v>3</v>
      </c>
      <c r="M226" s="256">
        <f t="shared" si="58"/>
        <v>0</v>
      </c>
    </row>
    <row r="227" spans="1:13" x14ac:dyDescent="0.35">
      <c r="A227" s="224" t="s">
        <v>4</v>
      </c>
      <c r="B227" s="335">
        <f t="shared" si="54"/>
        <v>0</v>
      </c>
      <c r="C227" s="216" t="s">
        <v>4</v>
      </c>
      <c r="D227" s="335">
        <f t="shared" si="55"/>
        <v>0</v>
      </c>
      <c r="E227" s="216" t="s">
        <v>4</v>
      </c>
      <c r="F227" s="335">
        <f t="shared" si="56"/>
        <v>0</v>
      </c>
      <c r="G227" s="335" t="s">
        <v>4</v>
      </c>
      <c r="H227" s="393">
        <f t="shared" si="57"/>
        <v>0</v>
      </c>
      <c r="I227" s="394"/>
      <c r="J227" s="218" t="s">
        <v>4</v>
      </c>
      <c r="K227" s="335"/>
      <c r="L227" s="218" t="s">
        <v>4</v>
      </c>
      <c r="M227" s="256">
        <f>K227</f>
        <v>0</v>
      </c>
    </row>
    <row r="228" spans="1:13" x14ac:dyDescent="0.35">
      <c r="A228" s="224" t="s">
        <v>6</v>
      </c>
      <c r="B228" s="335">
        <f t="shared" si="54"/>
        <v>80</v>
      </c>
      <c r="C228" s="216" t="s">
        <v>6</v>
      </c>
      <c r="D228" s="335">
        <f t="shared" si="55"/>
        <v>80</v>
      </c>
      <c r="E228" s="216" t="s">
        <v>6</v>
      </c>
      <c r="F228" s="335">
        <f t="shared" si="56"/>
        <v>80</v>
      </c>
      <c r="G228" s="335" t="s">
        <v>6</v>
      </c>
      <c r="H228" s="393">
        <f t="shared" si="57"/>
        <v>80</v>
      </c>
      <c r="I228" s="394"/>
      <c r="J228" s="218" t="s">
        <v>6</v>
      </c>
      <c r="K228" s="335"/>
      <c r="L228" s="218" t="s">
        <v>6</v>
      </c>
      <c r="M228" s="256">
        <f t="shared" ref="M228:M238" si="59">K228</f>
        <v>0</v>
      </c>
    </row>
    <row r="229" spans="1:13" x14ac:dyDescent="0.35">
      <c r="A229" s="224" t="s">
        <v>7</v>
      </c>
      <c r="B229" s="335">
        <f t="shared" si="54"/>
        <v>35</v>
      </c>
      <c r="C229" s="216" t="s">
        <v>7</v>
      </c>
      <c r="D229" s="335">
        <f t="shared" si="55"/>
        <v>35</v>
      </c>
      <c r="E229" s="216" t="s">
        <v>7</v>
      </c>
      <c r="F229" s="335">
        <f t="shared" si="56"/>
        <v>35</v>
      </c>
      <c r="G229" s="335" t="s">
        <v>7</v>
      </c>
      <c r="H229" s="393">
        <f t="shared" si="57"/>
        <v>35</v>
      </c>
      <c r="I229" s="394"/>
      <c r="J229" s="218" t="s">
        <v>7</v>
      </c>
      <c r="K229" s="335"/>
      <c r="L229" s="218" t="s">
        <v>7</v>
      </c>
      <c r="M229" s="256">
        <f t="shared" si="59"/>
        <v>0</v>
      </c>
    </row>
    <row r="230" spans="1:13" x14ac:dyDescent="0.35">
      <c r="A230" s="224" t="s">
        <v>10</v>
      </c>
      <c r="B230" s="335">
        <f t="shared" si="54"/>
        <v>31.5</v>
      </c>
      <c r="C230" s="216" t="s">
        <v>10</v>
      </c>
      <c r="D230" s="335">
        <f t="shared" si="55"/>
        <v>31.5</v>
      </c>
      <c r="E230" s="216" t="s">
        <v>10</v>
      </c>
      <c r="F230" s="335">
        <f t="shared" si="56"/>
        <v>31.5</v>
      </c>
      <c r="G230" s="335" t="s">
        <v>10</v>
      </c>
      <c r="H230" s="393">
        <f t="shared" si="57"/>
        <v>31.5</v>
      </c>
      <c r="I230" s="394"/>
      <c r="J230" s="218" t="s">
        <v>10</v>
      </c>
      <c r="K230" s="335"/>
      <c r="L230" s="218" t="s">
        <v>10</v>
      </c>
      <c r="M230" s="256">
        <f t="shared" si="59"/>
        <v>0</v>
      </c>
    </row>
    <row r="231" spans="1:13" x14ac:dyDescent="0.35">
      <c r="A231" s="224" t="s">
        <v>11</v>
      </c>
      <c r="B231" s="335">
        <f t="shared" si="54"/>
        <v>137.5</v>
      </c>
      <c r="C231" s="216" t="s">
        <v>11</v>
      </c>
      <c r="D231" s="335">
        <f t="shared" si="55"/>
        <v>137.5</v>
      </c>
      <c r="E231" s="216" t="s">
        <v>11</v>
      </c>
      <c r="F231" s="335">
        <f t="shared" si="56"/>
        <v>137.5</v>
      </c>
      <c r="G231" s="335" t="s">
        <v>11</v>
      </c>
      <c r="H231" s="393">
        <f t="shared" si="57"/>
        <v>137.5</v>
      </c>
      <c r="I231" s="394"/>
      <c r="J231" s="218" t="s">
        <v>11</v>
      </c>
      <c r="K231" s="335"/>
      <c r="L231" s="218" t="s">
        <v>11</v>
      </c>
      <c r="M231" s="256">
        <f t="shared" si="59"/>
        <v>0</v>
      </c>
    </row>
    <row r="232" spans="1:13" x14ac:dyDescent="0.35">
      <c r="A232" s="224" t="s">
        <v>15</v>
      </c>
      <c r="B232" s="335">
        <f t="shared" si="54"/>
        <v>0</v>
      </c>
      <c r="C232" s="216" t="s">
        <v>15</v>
      </c>
      <c r="D232" s="335">
        <f t="shared" si="55"/>
        <v>0</v>
      </c>
      <c r="E232" s="216" t="s">
        <v>15</v>
      </c>
      <c r="F232" s="335">
        <f t="shared" si="56"/>
        <v>0</v>
      </c>
      <c r="G232" s="335" t="s">
        <v>15</v>
      </c>
      <c r="H232" s="393">
        <f t="shared" si="57"/>
        <v>0</v>
      </c>
      <c r="I232" s="394"/>
      <c r="J232" s="218" t="s">
        <v>15</v>
      </c>
      <c r="K232" s="335"/>
      <c r="L232" s="218" t="s">
        <v>15</v>
      </c>
      <c r="M232" s="256">
        <f t="shared" si="59"/>
        <v>0</v>
      </c>
    </row>
    <row r="233" spans="1:13" x14ac:dyDescent="0.35">
      <c r="A233" s="224" t="s">
        <v>14</v>
      </c>
      <c r="B233" s="335">
        <f t="shared" si="54"/>
        <v>45</v>
      </c>
      <c r="C233" s="216" t="s">
        <v>14</v>
      </c>
      <c r="D233" s="335">
        <f t="shared" si="55"/>
        <v>45</v>
      </c>
      <c r="E233" s="216" t="s">
        <v>14</v>
      </c>
      <c r="F233" s="335">
        <f t="shared" si="56"/>
        <v>45</v>
      </c>
      <c r="G233" s="335" t="s">
        <v>14</v>
      </c>
      <c r="H233" s="393">
        <f t="shared" si="57"/>
        <v>45</v>
      </c>
      <c r="I233" s="394"/>
      <c r="J233" s="218" t="s">
        <v>14</v>
      </c>
      <c r="K233" s="335"/>
      <c r="L233" s="218" t="s">
        <v>14</v>
      </c>
      <c r="M233" s="256">
        <f t="shared" si="59"/>
        <v>0</v>
      </c>
    </row>
    <row r="234" spans="1:13" x14ac:dyDescent="0.35">
      <c r="A234" s="224" t="s">
        <v>8</v>
      </c>
      <c r="B234" s="335">
        <f t="shared" si="54"/>
        <v>20</v>
      </c>
      <c r="C234" s="216" t="s">
        <v>8</v>
      </c>
      <c r="D234" s="335">
        <f t="shared" si="55"/>
        <v>20</v>
      </c>
      <c r="E234" s="216" t="s">
        <v>8</v>
      </c>
      <c r="F234" s="335">
        <f t="shared" si="56"/>
        <v>20</v>
      </c>
      <c r="G234" s="335" t="s">
        <v>8</v>
      </c>
      <c r="H234" s="393">
        <f t="shared" si="57"/>
        <v>20</v>
      </c>
      <c r="I234" s="394"/>
      <c r="J234" s="218" t="s">
        <v>8</v>
      </c>
      <c r="K234" s="335"/>
      <c r="L234" s="218" t="s">
        <v>8</v>
      </c>
      <c r="M234" s="256">
        <f t="shared" si="59"/>
        <v>0</v>
      </c>
    </row>
    <row r="235" spans="1:13" x14ac:dyDescent="0.35">
      <c r="A235" s="224" t="s">
        <v>9</v>
      </c>
      <c r="B235" s="335">
        <f t="shared" si="54"/>
        <v>15</v>
      </c>
      <c r="C235" s="216" t="s">
        <v>9</v>
      </c>
      <c r="D235" s="335">
        <f t="shared" si="55"/>
        <v>20</v>
      </c>
      <c r="E235" s="216" t="s">
        <v>9</v>
      </c>
      <c r="F235" s="335">
        <f t="shared" si="56"/>
        <v>15</v>
      </c>
      <c r="G235" s="335" t="s">
        <v>9</v>
      </c>
      <c r="H235" s="393">
        <f t="shared" si="57"/>
        <v>20</v>
      </c>
      <c r="I235" s="394"/>
      <c r="J235" s="218" t="s">
        <v>9</v>
      </c>
      <c r="K235" s="335"/>
      <c r="L235" s="218" t="s">
        <v>9</v>
      </c>
      <c r="M235" s="256">
        <f t="shared" si="59"/>
        <v>0</v>
      </c>
    </row>
    <row r="236" spans="1:13" x14ac:dyDescent="0.35">
      <c r="A236" s="224" t="s">
        <v>12</v>
      </c>
      <c r="B236" s="335">
        <f t="shared" si="54"/>
        <v>4</v>
      </c>
      <c r="C236" s="216" t="s">
        <v>12</v>
      </c>
      <c r="D236" s="335">
        <f t="shared" si="55"/>
        <v>4</v>
      </c>
      <c r="E236" s="216" t="s">
        <v>12</v>
      </c>
      <c r="F236" s="335">
        <f t="shared" si="56"/>
        <v>4</v>
      </c>
      <c r="G236" s="335" t="s">
        <v>12</v>
      </c>
      <c r="H236" s="393">
        <f t="shared" si="57"/>
        <v>4</v>
      </c>
      <c r="I236" s="394"/>
      <c r="J236" s="218" t="s">
        <v>12</v>
      </c>
      <c r="K236" s="335"/>
      <c r="L236" s="218" t="s">
        <v>12</v>
      </c>
      <c r="M236" s="256">
        <f t="shared" si="59"/>
        <v>0</v>
      </c>
    </row>
    <row r="237" spans="1:13" x14ac:dyDescent="0.35">
      <c r="A237" s="224" t="s">
        <v>13</v>
      </c>
      <c r="B237" s="335">
        <f t="shared" si="54"/>
        <v>25.2</v>
      </c>
      <c r="C237" s="216" t="s">
        <v>13</v>
      </c>
      <c r="D237" s="335">
        <f t="shared" si="55"/>
        <v>25.2</v>
      </c>
      <c r="E237" s="216" t="s">
        <v>13</v>
      </c>
      <c r="F237" s="335">
        <f t="shared" si="56"/>
        <v>25.2</v>
      </c>
      <c r="G237" s="335" t="s">
        <v>13</v>
      </c>
      <c r="H237" s="393">
        <f t="shared" si="57"/>
        <v>25.2</v>
      </c>
      <c r="I237" s="394"/>
      <c r="J237" s="218" t="s">
        <v>13</v>
      </c>
      <c r="K237" s="335"/>
      <c r="L237" s="218" t="s">
        <v>13</v>
      </c>
      <c r="M237" s="256">
        <f t="shared" si="59"/>
        <v>0</v>
      </c>
    </row>
    <row r="238" spans="1:13" ht="15" thickBot="1" x14ac:dyDescent="0.4">
      <c r="A238" s="225" t="s">
        <v>16</v>
      </c>
      <c r="B238" s="335">
        <f t="shared" si="54"/>
        <v>5</v>
      </c>
      <c r="C238" s="220" t="s">
        <v>16</v>
      </c>
      <c r="D238" s="335">
        <f t="shared" si="55"/>
        <v>5</v>
      </c>
      <c r="E238" s="220" t="s">
        <v>16</v>
      </c>
      <c r="F238" s="335">
        <f t="shared" si="56"/>
        <v>5</v>
      </c>
      <c r="G238" s="348" t="s">
        <v>16</v>
      </c>
      <c r="H238" s="393">
        <f t="shared" si="57"/>
        <v>5</v>
      </c>
      <c r="I238" s="394"/>
      <c r="J238" s="222" t="s">
        <v>16</v>
      </c>
      <c r="K238" s="348"/>
      <c r="L238" s="222" t="s">
        <v>16</v>
      </c>
      <c r="M238" s="256">
        <f t="shared" si="59"/>
        <v>0</v>
      </c>
    </row>
  </sheetData>
  <mergeCells count="230">
    <mergeCell ref="H235:I235"/>
    <mergeCell ref="H236:I236"/>
    <mergeCell ref="H237:I237"/>
    <mergeCell ref="H238:I238"/>
    <mergeCell ref="H229:I229"/>
    <mergeCell ref="H230:I230"/>
    <mergeCell ref="H231:I231"/>
    <mergeCell ref="H232:I232"/>
    <mergeCell ref="H233:I233"/>
    <mergeCell ref="H234:I234"/>
    <mergeCell ref="H223:I223"/>
    <mergeCell ref="H224:I224"/>
    <mergeCell ref="H225:I225"/>
    <mergeCell ref="H226:I226"/>
    <mergeCell ref="H227:I227"/>
    <mergeCell ref="H228:I228"/>
    <mergeCell ref="A222:B222"/>
    <mergeCell ref="C222:D222"/>
    <mergeCell ref="E222:F222"/>
    <mergeCell ref="G222:I222"/>
    <mergeCell ref="J222:K222"/>
    <mergeCell ref="L222:M222"/>
    <mergeCell ref="H216:I216"/>
    <mergeCell ref="H217:I217"/>
    <mergeCell ref="H218:I218"/>
    <mergeCell ref="H219:I219"/>
    <mergeCell ref="H220:I220"/>
    <mergeCell ref="H221:I221"/>
    <mergeCell ref="H210:I210"/>
    <mergeCell ref="H211:I211"/>
    <mergeCell ref="H212:I212"/>
    <mergeCell ref="H213:I213"/>
    <mergeCell ref="H214:I214"/>
    <mergeCell ref="H215:I215"/>
    <mergeCell ref="J205:K205"/>
    <mergeCell ref="L205:M205"/>
    <mergeCell ref="H206:I206"/>
    <mergeCell ref="H207:I207"/>
    <mergeCell ref="H208:I208"/>
    <mergeCell ref="H209:I209"/>
    <mergeCell ref="H201:I201"/>
    <mergeCell ref="H202:I202"/>
    <mergeCell ref="H203:I203"/>
    <mergeCell ref="H204:I204"/>
    <mergeCell ref="A205:B205"/>
    <mergeCell ref="C205:D205"/>
    <mergeCell ref="E205:F205"/>
    <mergeCell ref="G205:I205"/>
    <mergeCell ref="H195:I195"/>
    <mergeCell ref="H196:I196"/>
    <mergeCell ref="H197:I197"/>
    <mergeCell ref="H198:I198"/>
    <mergeCell ref="H199:I199"/>
    <mergeCell ref="H200:I200"/>
    <mergeCell ref="H189:I189"/>
    <mergeCell ref="H190:I190"/>
    <mergeCell ref="H191:I191"/>
    <mergeCell ref="H192:I192"/>
    <mergeCell ref="H193:I193"/>
    <mergeCell ref="H194:I194"/>
    <mergeCell ref="A188:B188"/>
    <mergeCell ref="C188:D188"/>
    <mergeCell ref="E188:F188"/>
    <mergeCell ref="G188:I188"/>
    <mergeCell ref="J188:K188"/>
    <mergeCell ref="L188:M188"/>
    <mergeCell ref="H182:I182"/>
    <mergeCell ref="H183:I183"/>
    <mergeCell ref="H184:I184"/>
    <mergeCell ref="H185:I185"/>
    <mergeCell ref="H186:I186"/>
    <mergeCell ref="H187:I187"/>
    <mergeCell ref="H176:I176"/>
    <mergeCell ref="H177:I177"/>
    <mergeCell ref="H178:I178"/>
    <mergeCell ref="H179:I179"/>
    <mergeCell ref="H180:I180"/>
    <mergeCell ref="H181:I181"/>
    <mergeCell ref="J171:K171"/>
    <mergeCell ref="L171:M171"/>
    <mergeCell ref="H172:I172"/>
    <mergeCell ref="H173:I173"/>
    <mergeCell ref="H174:I174"/>
    <mergeCell ref="H175:I175"/>
    <mergeCell ref="H167:I167"/>
    <mergeCell ref="H168:I168"/>
    <mergeCell ref="H169:I169"/>
    <mergeCell ref="H170:I170"/>
    <mergeCell ref="A171:B171"/>
    <mergeCell ref="C171:D171"/>
    <mergeCell ref="E171:F171"/>
    <mergeCell ref="G171:I171"/>
    <mergeCell ref="H161:I161"/>
    <mergeCell ref="H162:I162"/>
    <mergeCell ref="H163:I163"/>
    <mergeCell ref="H164:I164"/>
    <mergeCell ref="H165:I165"/>
    <mergeCell ref="H166:I166"/>
    <mergeCell ref="H155:I155"/>
    <mergeCell ref="H156:I156"/>
    <mergeCell ref="H157:I157"/>
    <mergeCell ref="H158:I158"/>
    <mergeCell ref="H159:I159"/>
    <mergeCell ref="H160:I160"/>
    <mergeCell ref="A154:B154"/>
    <mergeCell ref="C154:D154"/>
    <mergeCell ref="E154:F154"/>
    <mergeCell ref="G154:I154"/>
    <mergeCell ref="J154:K154"/>
    <mergeCell ref="L154:M154"/>
    <mergeCell ref="H148:I148"/>
    <mergeCell ref="H149:I149"/>
    <mergeCell ref="H150:I150"/>
    <mergeCell ref="H151:I151"/>
    <mergeCell ref="H152:I152"/>
    <mergeCell ref="H153:I153"/>
    <mergeCell ref="H142:I142"/>
    <mergeCell ref="H143:I143"/>
    <mergeCell ref="H144:I144"/>
    <mergeCell ref="H145:I145"/>
    <mergeCell ref="H146:I146"/>
    <mergeCell ref="H147:I147"/>
    <mergeCell ref="H138:I138"/>
    <mergeCell ref="H139:I139"/>
    <mergeCell ref="P139:Q139"/>
    <mergeCell ref="R139:S139"/>
    <mergeCell ref="H140:I140"/>
    <mergeCell ref="H141:I141"/>
    <mergeCell ref="B133:C133"/>
    <mergeCell ref="N133:O133"/>
    <mergeCell ref="AB133:AD133"/>
    <mergeCell ref="A136:S136"/>
    <mergeCell ref="A137:B137"/>
    <mergeCell ref="C137:D137"/>
    <mergeCell ref="E137:F137"/>
    <mergeCell ref="G137:I137"/>
    <mergeCell ref="J137:K137"/>
    <mergeCell ref="L137:M137"/>
    <mergeCell ref="B131:C131"/>
    <mergeCell ref="N131:O131"/>
    <mergeCell ref="AB131:AD131"/>
    <mergeCell ref="B132:C132"/>
    <mergeCell ref="N132:O132"/>
    <mergeCell ref="AB132:AD132"/>
    <mergeCell ref="B129:C129"/>
    <mergeCell ref="N129:O129"/>
    <mergeCell ref="AB129:AD129"/>
    <mergeCell ref="B130:C130"/>
    <mergeCell ref="N130:O130"/>
    <mergeCell ref="AB130:AD130"/>
    <mergeCell ref="B127:C127"/>
    <mergeCell ref="N127:O127"/>
    <mergeCell ref="AB127:AD127"/>
    <mergeCell ref="B128:C128"/>
    <mergeCell ref="N128:O128"/>
    <mergeCell ref="AB128:AD128"/>
    <mergeCell ref="B125:C125"/>
    <mergeCell ref="N125:O125"/>
    <mergeCell ref="AB125:AD125"/>
    <mergeCell ref="B126:C126"/>
    <mergeCell ref="N126:O126"/>
    <mergeCell ref="AB126:AD126"/>
    <mergeCell ref="B99:C99"/>
    <mergeCell ref="N99:O99"/>
    <mergeCell ref="N100:O100"/>
    <mergeCell ref="B124:C124"/>
    <mergeCell ref="N124:O124"/>
    <mergeCell ref="AB124:AD124"/>
    <mergeCell ref="B96:C96"/>
    <mergeCell ref="N96:O96"/>
    <mergeCell ref="B97:C97"/>
    <mergeCell ref="N97:O97"/>
    <mergeCell ref="B98:C98"/>
    <mergeCell ref="N98:O98"/>
    <mergeCell ref="B93:C93"/>
    <mergeCell ref="N93:O93"/>
    <mergeCell ref="B94:C94"/>
    <mergeCell ref="N94:O94"/>
    <mergeCell ref="B95:C95"/>
    <mergeCell ref="N95:O95"/>
    <mergeCell ref="N89:O89"/>
    <mergeCell ref="B90:C90"/>
    <mergeCell ref="N90:O90"/>
    <mergeCell ref="B91:C91"/>
    <mergeCell ref="N91:O91"/>
    <mergeCell ref="B92:C92"/>
    <mergeCell ref="N92:O92"/>
    <mergeCell ref="B65:C65"/>
    <mergeCell ref="N65:O65"/>
    <mergeCell ref="B66:C66"/>
    <mergeCell ref="N66:O66"/>
    <mergeCell ref="B67:C67"/>
    <mergeCell ref="N67:O67"/>
    <mergeCell ref="B62:C62"/>
    <mergeCell ref="N62:O62"/>
    <mergeCell ref="B63:C63"/>
    <mergeCell ref="N63:O63"/>
    <mergeCell ref="B64:C64"/>
    <mergeCell ref="N64:O64"/>
    <mergeCell ref="B59:C59"/>
    <mergeCell ref="N59:O59"/>
    <mergeCell ref="B60:C60"/>
    <mergeCell ref="N60:O60"/>
    <mergeCell ref="B61:C61"/>
    <mergeCell ref="N61:O61"/>
    <mergeCell ref="U44:V44"/>
    <mergeCell ref="U45:V45"/>
    <mergeCell ref="U46:V46"/>
    <mergeCell ref="U49:V49"/>
    <mergeCell ref="B58:C58"/>
    <mergeCell ref="N58:O58"/>
    <mergeCell ref="A31:A32"/>
    <mergeCell ref="B31:C32"/>
    <mergeCell ref="B33:C33"/>
    <mergeCell ref="B34:C34"/>
    <mergeCell ref="B35:C35"/>
    <mergeCell ref="B36:C36"/>
    <mergeCell ref="H24:H25"/>
    <mergeCell ref="A26:A27"/>
    <mergeCell ref="B26:C27"/>
    <mergeCell ref="H26:H27"/>
    <mergeCell ref="B28:C28"/>
    <mergeCell ref="A29:A30"/>
    <mergeCell ref="B29:C30"/>
    <mergeCell ref="B20:C20"/>
    <mergeCell ref="B21:C21"/>
    <mergeCell ref="B22:C22"/>
    <mergeCell ref="B23:C23"/>
    <mergeCell ref="A24:A25"/>
    <mergeCell ref="B24:C25"/>
  </mergeCells>
  <conditionalFormatting sqref="U40">
    <cfRule type="cellIs" dxfId="183" priority="56" operator="between">
      <formula>0.751</formula>
      <formula>1</formula>
    </cfRule>
    <cfRule type="cellIs" dxfId="182" priority="57" operator="between">
      <formula>0.501</formula>
      <formula>0.75</formula>
    </cfRule>
    <cfRule type="cellIs" dxfId="181" priority="58" operator="between">
      <formula>0.251</formula>
      <formula>0.5</formula>
    </cfRule>
    <cfRule type="cellIs" dxfId="180" priority="59" operator="between">
      <formula>0</formula>
      <formula>0.25</formula>
    </cfRule>
  </conditionalFormatting>
  <conditionalFormatting sqref="U71:V71">
    <cfRule type="cellIs" dxfId="179" priority="52" operator="between">
      <formula>0.751</formula>
      <formula>1</formula>
    </cfRule>
    <cfRule type="cellIs" dxfId="178" priority="53" operator="between">
      <formula>0.501</formula>
      <formula>0.75</formula>
    </cfRule>
    <cfRule type="cellIs" dxfId="177" priority="54" operator="between">
      <formula>0.251</formula>
      <formula>0.5</formula>
    </cfRule>
    <cfRule type="cellIs" dxfId="176" priority="55" operator="between">
      <formula>0</formula>
      <formula>0.25</formula>
    </cfRule>
  </conditionalFormatting>
  <conditionalFormatting sqref="U106">
    <cfRule type="cellIs" dxfId="175" priority="48" operator="between">
      <formula>0.751</formula>
      <formula>1</formula>
    </cfRule>
    <cfRule type="cellIs" dxfId="174" priority="49" operator="between">
      <formula>0.501</formula>
      <formula>0.75</formula>
    </cfRule>
    <cfRule type="cellIs" dxfId="173" priority="50" operator="between">
      <formula>0.251</formula>
      <formula>0.5</formula>
    </cfRule>
    <cfRule type="cellIs" dxfId="172" priority="51" operator="between">
      <formula>0</formula>
      <formula>0.25</formula>
    </cfRule>
  </conditionalFormatting>
  <conditionalFormatting sqref="I106">
    <cfRule type="cellIs" dxfId="171" priority="44" operator="between">
      <formula>0.751</formula>
      <formula>1</formula>
    </cfRule>
    <cfRule type="cellIs" dxfId="170" priority="45" operator="between">
      <formula>0.501</formula>
      <formula>0.75</formula>
    </cfRule>
    <cfRule type="cellIs" dxfId="169" priority="46" operator="between">
      <formula>0.251</formula>
      <formula>0.5</formula>
    </cfRule>
    <cfRule type="cellIs" dxfId="168" priority="47" operator="between">
      <formula>0</formula>
      <formula>0.25</formula>
    </cfRule>
  </conditionalFormatting>
  <conditionalFormatting sqref="AJ106">
    <cfRule type="cellIs" dxfId="167" priority="40" operator="between">
      <formula>0.751</formula>
      <formula>1</formula>
    </cfRule>
    <cfRule type="cellIs" dxfId="166" priority="41" operator="between">
      <formula>0.501</formula>
      <formula>0.75</formula>
    </cfRule>
    <cfRule type="cellIs" dxfId="165" priority="42" operator="between">
      <formula>0.251</formula>
      <formula>0.5</formula>
    </cfRule>
    <cfRule type="cellIs" dxfId="164" priority="43" operator="between">
      <formula>0</formula>
      <formula>0.25</formula>
    </cfRule>
  </conditionalFormatting>
  <conditionalFormatting sqref="I72">
    <cfRule type="cellIs" dxfId="163" priority="36" operator="between">
      <formula>0.751</formula>
      <formula>1</formula>
    </cfRule>
    <cfRule type="cellIs" dxfId="162" priority="37" operator="between">
      <formula>0.501</formula>
      <formula>0.75</formula>
    </cfRule>
    <cfRule type="cellIs" dxfId="161" priority="38" operator="between">
      <formula>0.251</formula>
      <formula>0.5</formula>
    </cfRule>
    <cfRule type="cellIs" dxfId="160" priority="39" operator="between">
      <formula>0</formula>
      <formula>0.25</formula>
    </cfRule>
  </conditionalFormatting>
  <conditionalFormatting sqref="I40">
    <cfRule type="cellIs" dxfId="159" priority="32" operator="between">
      <formula>0.751</formula>
      <formula>1</formula>
    </cfRule>
    <cfRule type="cellIs" dxfId="158" priority="33" operator="between">
      <formula>0.501</formula>
      <formula>0.75</formula>
    </cfRule>
    <cfRule type="cellIs" dxfId="157" priority="34" operator="between">
      <formula>0.251</formula>
      <formula>0.5</formula>
    </cfRule>
    <cfRule type="cellIs" dxfId="156" priority="35" operator="between">
      <formula>0</formula>
      <formula>0.25</formula>
    </cfRule>
  </conditionalFormatting>
  <conditionalFormatting sqref="L2">
    <cfRule type="cellIs" dxfId="155" priority="28" operator="between">
      <formula>0.751</formula>
      <formula>1</formula>
    </cfRule>
    <cfRule type="cellIs" dxfId="154" priority="29" operator="between">
      <formula>0.501</formula>
      <formula>0.75</formula>
    </cfRule>
    <cfRule type="cellIs" dxfId="153" priority="30" operator="between">
      <formula>0.251</formula>
      <formula>0.5</formula>
    </cfRule>
    <cfRule type="cellIs" dxfId="152" priority="31" operator="between">
      <formula>0</formula>
      <formula>0.25</formula>
    </cfRule>
  </conditionalFormatting>
  <conditionalFormatting sqref="E49">
    <cfRule type="containsText" dxfId="151" priority="27" operator="containsText" text="HEAL">
      <formula>NOT(ISERROR(SEARCH("HEAL",E49)))</formula>
    </cfRule>
  </conditionalFormatting>
  <conditionalFormatting sqref="P82">
    <cfRule type="containsText" dxfId="150" priority="25" operator="containsText" text="heal &amp; mana">
      <formula>NOT(ISERROR(SEARCH("heal &amp; mana",P82)))</formula>
    </cfRule>
    <cfRule type="containsText" dxfId="149" priority="26" operator="containsText" text="puissance">
      <formula>NOT(ISERROR(SEARCH("puissance",P82)))</formula>
    </cfRule>
  </conditionalFormatting>
  <conditionalFormatting sqref="M9">
    <cfRule type="containsText" dxfId="148" priority="24" operator="containsText" text="Regen mana">
      <formula>NOT(ISERROR(SEARCH("Regen mana",M9)))</formula>
    </cfRule>
  </conditionalFormatting>
  <conditionalFormatting sqref="AE117">
    <cfRule type="containsText" dxfId="147" priority="23" operator="containsText" text="Bonus dégats x2">
      <formula>NOT(ISERROR(SEARCH("Bonus dégats x2",AE117)))</formula>
    </cfRule>
  </conditionalFormatting>
  <conditionalFormatting sqref="AJ110">
    <cfRule type="containsText" dxfId="146" priority="22" operator="containsText" text="Bonus armure 2 T ">
      <formula>NOT(ISERROR(SEARCH("Bonus armure 2 T ",AJ110)))</formula>
    </cfRule>
  </conditionalFormatting>
  <conditionalFormatting sqref="AJ112">
    <cfRule type="containsText" dxfId="145" priority="21" operator="containsText" text="Puissance physique 2 T">
      <formula>NOT(ISERROR(SEARCH("Puissance physique 2 T",AJ112)))</formula>
    </cfRule>
  </conditionalFormatting>
  <conditionalFormatting sqref="AJ113">
    <cfRule type="containsText" dxfId="144" priority="20" operator="containsText" text="Puissance des sorts 2 T">
      <formula>NOT(ISERROR(SEARCH("Puissance des sorts 2 T",AJ113)))</formula>
    </cfRule>
  </conditionalFormatting>
  <conditionalFormatting sqref="AJ117 I117 I115">
    <cfRule type="containsText" dxfId="143" priority="19" operator="containsText" text="Bonus esquive">
      <formula>NOT(ISERROR(SEARCH("Bonus esquive",I115)))</formula>
    </cfRule>
  </conditionalFormatting>
  <conditionalFormatting sqref="AE118">
    <cfRule type="containsText" dxfId="142" priority="18" operator="containsText" text="Bonus dégats +30%">
      <formula>NOT(ISERROR(SEARCH("Bonus dégats +30%",AE118)))</formula>
    </cfRule>
  </conditionalFormatting>
  <conditionalFormatting sqref="P115">
    <cfRule type="containsText" dxfId="141" priority="17" operator="containsText" text="Bonus puissance physique tour suivant">
      <formula>NOT(ISERROR(SEARCH("Bonus puissance physique tour suivant",P115)))</formula>
    </cfRule>
  </conditionalFormatting>
  <conditionalFormatting sqref="U116">
    <cfRule type="containsText" dxfId="140" priority="16" operator="containsText" text="Bonus coup critique">
      <formula>NOT(ISERROR(SEARCH("Bonus coup critique",U116)))</formula>
    </cfRule>
  </conditionalFormatting>
  <conditionalFormatting sqref="V111">
    <cfRule type="containsText" dxfId="139" priority="15" operator="containsText" text="Vigeur Thalia">
      <formula>NOT(ISERROR(SEARCH("Vigeur Thalia",V111)))</formula>
    </cfRule>
  </conditionalFormatting>
  <conditionalFormatting sqref="V110">
    <cfRule type="containsText" dxfId="138" priority="14" operator="containsText" text="Vigueur Azrak:">
      <formula>NOT(ISERROR(SEARCH("Vigueur Azrak:",V110)))</formula>
    </cfRule>
  </conditionalFormatting>
  <conditionalFormatting sqref="P116">
    <cfRule type="containsText" dxfId="137" priority="13" operator="containsText" text="Bonus dégats groupe">
      <formula>NOT(ISERROR(SEARCH("Bonus dégats groupe",P116)))</formula>
    </cfRule>
  </conditionalFormatting>
  <conditionalFormatting sqref="D118:E118">
    <cfRule type="containsText" dxfId="136" priority="12" operator="containsText" text="Bonus vitesse groupe">
      <formula>NOT(ISERROR(SEARCH("Bonus vitesse groupe",D118)))</formula>
    </cfRule>
  </conditionalFormatting>
  <conditionalFormatting sqref="E118">
    <cfRule type="containsText" dxfId="135" priority="11" operator="containsText" text="Bonus esquive groupe">
      <formula>NOT(ISERROR(SEARCH("Bonus esquive groupe",E118)))</formula>
    </cfRule>
  </conditionalFormatting>
  <conditionalFormatting sqref="I110">
    <cfRule type="containsText" dxfId="134" priority="10" operator="containsText" text="Bonus armure 2 tours">
      <formula>NOT(ISERROR(SEARCH("Bonus armure 2 tours",I110)))</formula>
    </cfRule>
  </conditionalFormatting>
  <conditionalFormatting sqref="I115">
    <cfRule type="containsText" dxfId="133" priority="9" operator="containsText" text="Bonus vitesse">
      <formula>NOT(ISERROR(SEARCH("Bonus vitesse",I115)))</formula>
    </cfRule>
  </conditionalFormatting>
  <conditionalFormatting sqref="I81">
    <cfRule type="containsText" dxfId="132" priority="6" operator="containsText" text="Bonus vitesse">
      <formula>NOT(ISERROR(SEARCH("Bonus vitesse",I81)))</formula>
    </cfRule>
    <cfRule type="containsText" dxfId="131" priority="8" operator="containsText" text="Bonus esquive">
      <formula>NOT(ISERROR(SEARCH("Bonus esquive",I81)))</formula>
    </cfRule>
  </conditionalFormatting>
  <conditionalFormatting sqref="I81">
    <cfRule type="containsText" dxfId="130" priority="7" operator="containsText" text="Bonus vitesse">
      <formula>NOT(ISERROR(SEARCH("Bonus vitesse",I81)))</formula>
    </cfRule>
  </conditionalFormatting>
  <conditionalFormatting sqref="D82">
    <cfRule type="containsText" dxfId="129" priority="5" operator="containsText" text="Bonus puissance physique 2T suivants">
      <formula>NOT(ISERROR(SEARCH("Bonus puissance physique 2T suivants",D82)))</formula>
    </cfRule>
  </conditionalFormatting>
  <conditionalFormatting sqref="I76:I77">
    <cfRule type="containsText" dxfId="128" priority="4" operator="containsText" text="Bonus armure 2 T ">
      <formula>NOT(ISERROR(SEARCH("Bonus armure 2 T ",I76)))</formula>
    </cfRule>
  </conditionalFormatting>
  <conditionalFormatting sqref="I76">
    <cfRule type="containsText" dxfId="127" priority="3" operator="containsText" text="Bonus armure">
      <formula>NOT(ISERROR(SEARCH("Bonus armure",I76)))</formula>
    </cfRule>
  </conditionalFormatting>
  <conditionalFormatting sqref="I77">
    <cfRule type="containsText" dxfId="126" priority="2" operator="containsText" text="Bonus armure">
      <formula>NOT(ISERROR(SEARCH("Bonus armure",I77)))</formula>
    </cfRule>
  </conditionalFormatting>
  <conditionalFormatting sqref="I82">
    <cfRule type="containsText" dxfId="125" priority="1" operator="containsText" text="Bonus coup critique">
      <formula>NOT(ISERROR(SEARCH("Bonus coup critique",I82)))</formula>
    </cfRule>
  </conditionalFormatting>
  <dataValidations count="1">
    <dataValidation type="list" allowBlank="1" showInputMessage="1" showErrorMessage="1" sqref="J20" xr:uid="{A0C9D2F7-0684-402A-AAFC-8F703028A0E2}">
      <formula1>$I$21:$I$26</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Tour 1</vt:lpstr>
      <vt:lpstr>gobelin</vt:lpstr>
      <vt:lpstr>gobelin2</vt:lpstr>
      <vt:lpstr>SAVE</vt:lpstr>
      <vt:lpstr>Save2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Guilhem Robert - EW</dc:creator>
  <cp:lastModifiedBy>Guilhem Robert - EW</cp:lastModifiedBy>
  <dcterms:created xsi:type="dcterms:W3CDTF">2015-06-05T18:19:34Z</dcterms:created>
  <dcterms:modified xsi:type="dcterms:W3CDTF">2024-01-12T16:01:14Z</dcterms:modified>
</cp:coreProperties>
</file>