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3"/>
    <sheet state="visible" name="All" sheetId="2" r:id="rId4"/>
    <sheet state="visible" name="2024" sheetId="3" r:id="rId5"/>
    <sheet state="visible" name="2023" sheetId="4" r:id="rId6"/>
    <sheet state="visible" name="2022" sheetId="5" r:id="rId7"/>
    <sheet state="visible" name="2021" sheetId="6" r:id="rId8"/>
    <sheet state="visible" name="2020" sheetId="7" r:id="rId9"/>
    <sheet state="visible" name="2019" sheetId="8" r:id="rId10"/>
    <sheet state="visible" name="2018" sheetId="9" r:id="rId11"/>
    <sheet state="visible" name="2017" sheetId="10" r:id="rId12"/>
    <sheet state="visible" name="2016" sheetId="11" r:id="rId13"/>
    <sheet state="visible" name="2015" sheetId="12" r:id="rId14"/>
    <sheet state="visible" name="2014" sheetId="13" r:id="rId15"/>
  </sheets>
  <definedNames/>
  <calcPr/>
</workbook>
</file>

<file path=xl/sharedStrings.xml><?xml version="1.0" encoding="utf-8"?>
<sst xmlns="http://schemas.openxmlformats.org/spreadsheetml/2006/main" count="3959" uniqueCount="1320">
  <si>
    <t>0day "In the Wild"</t>
  </si>
  <si>
    <t>Last updated: 2023-04-20</t>
  </si>
  <si>
    <t>This spreadsheet is used to track cases of zero-day exploits that were detected "in the wild". This means the 
vulnerability was detected in real attacks against users as a zero-day vulnerability (i.e. not known to the 
public or the vendor at the time of detection). This data is collected from a range of public sources. We include 
relevant links to third-party analysis and attribution, but we do this only for your information; their inclusion does 
not mean we endorse or validate the content there.</t>
  </si>
  <si>
    <t>An introduction to this spreadsheet is available on the Project Zero blog:</t>
  </si>
  <si>
    <t>https://googleprojectzero.blogspot.com/p/0day.html</t>
  </si>
  <si>
    <t>Some additional notes on how the data is processed:</t>
  </si>
  <si>
    <r>
      <rPr>
        <color rgb="FF000000"/>
      </rPr>
      <t xml:space="preserve"> </t>
    </r>
    <r>
      <rPr>
        <b/>
        <color rgb="FF000000"/>
      </rPr>
      <t>- Scope for inclusion:</t>
    </r>
    <r>
      <rPr>
        <color rgb="FF000000"/>
      </rPr>
      <t xml:space="preserve"> there are some 0day exploits (such as CVE-2017-12824) in areas that aren't active 
   research targets for Project Zero. Generally this list includes targets that Project Zero has previously 
   investigated (i.e. there are bug reports in our issue tracker) or will investigate in the near future.</t>
    </r>
  </si>
  <si>
    <r>
      <rPr>
        <color rgb="FF000000"/>
      </rPr>
      <t xml:space="preserve"> </t>
    </r>
    <r>
      <rPr>
        <b/>
        <color rgb="FF000000"/>
      </rPr>
      <t>- Security supported:</t>
    </r>
    <r>
      <rPr>
        <color rgb="FF000000"/>
      </rPr>
      <t xml:space="preserve"> this list does not include exploits for software that is explicitly EOL at the time of 
   discovery (such as the ExplodingCan exploit for IIS on Windows Server 2003, surfaced in 2017).</t>
    </r>
  </si>
  <si>
    <r>
      <rPr>
        <color rgb="FF000000"/>
      </rPr>
      <t xml:space="preserve"> </t>
    </r>
    <r>
      <rPr>
        <b/>
        <color rgb="FF000000"/>
      </rPr>
      <t>- Post-disclosure:</t>
    </r>
    <r>
      <rPr>
        <color rgb="FF000000"/>
      </rPr>
      <t xml:space="preserve"> this list does not include CVEs that were opportunistically exploited by attackers in the gap 
   between public disclosure (or "full disclosure") and a patch becoming available to users (such as 
   CVE-2015-0072, CVE-2018-8414 or CVE-2018-8440).</t>
    </r>
  </si>
  <si>
    <r>
      <rPr>
        <color rgb="FF000000"/>
      </rPr>
      <t xml:space="preserve"> </t>
    </r>
    <r>
      <rPr>
        <b/>
        <color rgb="FF000000"/>
      </rPr>
      <t>- Reasonable inference:</t>
    </r>
    <r>
      <rPr>
        <color rgb="FF000000"/>
      </rPr>
      <t xml:space="preserve"> this list includes exploits that were not discovered in an active breach, but were 
   leaked or discovered in a form that suggests with high confidence that they were probably used "in the wild" 
   at some point (e.g. Equation Group and Hacking Team leaks).</t>
    </r>
  </si>
  <si>
    <r>
      <rPr>
        <color rgb="FF000000"/>
      </rPr>
      <t xml:space="preserve"> </t>
    </r>
    <r>
      <rPr>
        <b/>
        <color rgb="FF000000"/>
      </rPr>
      <t>- Date resolution:</t>
    </r>
    <r>
      <rPr>
        <color rgb="FF000000"/>
      </rPr>
      <t xml:space="preserve"> we only set the date of discovery when the reporter specifies one. If a discovery is 
   indicated as being made in "late April" or "early March", we record that as if no date was provided.</t>
    </r>
  </si>
  <si>
    <r>
      <rPr>
        <b/>
        <color rgb="FF000000"/>
      </rPr>
      <t xml:space="preserve"> - Time range:</t>
    </r>
    <r>
      <rPr>
        <color rgb="FF000000"/>
      </rPr>
      <t xml:space="preserve"> data collection starts from the day we announced Project Zero -- July 15, 2014.</t>
    </r>
  </si>
  <si>
    <t>For additions, corrections, questions, or comments, please contact 0day-in-the-wild@google.com</t>
  </si>
  <si>
    <t>CVE</t>
  </si>
  <si>
    <t>Vendor</t>
  </si>
  <si>
    <t>Product</t>
  </si>
  <si>
    <t>Type</t>
  </si>
  <si>
    <t>Description</t>
  </si>
  <si>
    <t>Date Discovered</t>
  </si>
  <si>
    <t>Date Patched</t>
  </si>
  <si>
    <t>Advisory</t>
  </si>
  <si>
    <t>Analysis URL</t>
  </si>
  <si>
    <t>Root Cause Analysis</t>
  </si>
  <si>
    <t>Reported By</t>
  </si>
  <si>
    <t>CVE-2024-0519</t>
  </si>
  <si>
    <t>Google</t>
  </si>
  <si>
    <t>Chrome</t>
  </si>
  <si>
    <t>Memory Corruption</t>
  </si>
  <si>
    <t>Out-of-bounds memory access</t>
  </si>
  <si>
    <t>https://chromereleases.googleblog.com/2024/01/stable-channel-update-for-desktop_16.html</t>
  </si>
  <si>
    <t>???</t>
  </si>
  <si>
    <t>CVE-2024-23222</t>
  </si>
  <si>
    <t>Apple</t>
  </si>
  <si>
    <t>WebKit</t>
  </si>
  <si>
    <t>Type confusion</t>
  </si>
  <si>
    <t>https://support.apple.com/en-us/HT214059</t>
  </si>
  <si>
    <t>CVE-2023-21674</t>
  </si>
  <si>
    <t>Microsoft</t>
  </si>
  <si>
    <t>Windows</t>
  </si>
  <si>
    <t>ALPC elevation of privilege</t>
  </si>
  <si>
    <t>https://msrc.microsoft.com/update-guide/en-US/vulnerability/CVE-2023-21674</t>
  </si>
  <si>
    <t>Jan Vojtěšek, Milánek, and Przemek Gmerek with Avast</t>
  </si>
  <si>
    <t>CVE-2023-23529</t>
  </si>
  <si>
    <t>https://support.apple.com/en-us/HT213638</t>
  </si>
  <si>
    <t>CVE-2023-21823</t>
  </si>
  <si>
    <t>Windows Graphics Component RCE</t>
  </si>
  <si>
    <t>https://msrc.microsoft.com/update-guide/en-US/vulnerability/CVE-2023-21823</t>
  </si>
  <si>
    <t>Genwei Jiang &amp; Dhanesh Kizhakkinan of Mandiant</t>
  </si>
  <si>
    <t>CVE-2023-23376</t>
  </si>
  <si>
    <t>Common Log File System Driver EoP</t>
  </si>
  <si>
    <t>https://msrc.microsoft.com/update-guide/en-US/vulnerability/CVE-2023-23376</t>
  </si>
  <si>
    <t>Microsoft Threat Intelligence Center (MSTIC) &amp; Microsoft Security Response Center (MSRC)</t>
  </si>
  <si>
    <t>CVE-2023-20963</t>
  </si>
  <si>
    <t>Android</t>
  </si>
  <si>
    <t>Logic/Design Flaw</t>
  </si>
  <si>
    <t>Framework vulnerability in Parcels</t>
  </si>
  <si>
    <t>https://source.android.com/docs/security/bulletin/2023-03-01</t>
  </si>
  <si>
    <t>https://googleprojectzero.github.io/0days-in-the-wild//0day-RCAs/2023/CVE-2023-20963.html</t>
  </si>
  <si>
    <t>Sergey Toshin (@bagipro) from Oversecured Inc. (https://oversecured.com/)</t>
  </si>
  <si>
    <t>CVE-2023-23397</t>
  </si>
  <si>
    <t>Outlook</t>
  </si>
  <si>
    <t>Outlook Elevation of Privilege</t>
  </si>
  <si>
    <t>https://msrc.microsoft.com/update-guide/vulnerability/CVE-2023-23397</t>
  </si>
  <si>
    <t>CERT-UA, Microsoft Incident, Microsoft Threat Intelligence (MSTI)</t>
  </si>
  <si>
    <t>CVE-2023-21768</t>
  </si>
  <si>
    <t>AFD for WinSock Elevation of Privilege</t>
  </si>
  <si>
    <t>https://msrc.microsoft.com/update-guide/vulnerability/CVE-2023-21768</t>
  </si>
  <si>
    <t>https://securityintelligence.com/posts/patch-tuesday-exploit-wednesday-pwning-windows-ancillary-function-driver-winsock/</t>
  </si>
  <si>
    <t>CVE-2023-0266</t>
  </si>
  <si>
    <t>Race condition in the Linux kernel sound subsystem</t>
  </si>
  <si>
    <t>https://source.android.com/docs/security/bulletin/2023-05-01#2023-05-05-security-patch-level-vulnerability-details</t>
  </si>
  <si>
    <t>https://blog.google/threat-analysis-group/spyware-vendors-use-0-days-and-n-days-against-popular-platforms/</t>
  </si>
  <si>
    <t>Clement Lecigne of the Google Threat Analysis Group</t>
  </si>
  <si>
    <t>CVE-2023-26083</t>
  </si>
  <si>
    <t>ARM</t>
  </si>
  <si>
    <t>Information leak in Mali GPU</t>
  </si>
  <si>
    <t>https://developer.arm.com/Arm%20Security%20Center/Mali%20GPU%20Driver%20Vulnerabilities</t>
  </si>
  <si>
    <t>CVE-2023-28206</t>
  </si>
  <si>
    <t xml:space="preserve">Apple </t>
  </si>
  <si>
    <t>iOS</t>
  </si>
  <si>
    <t>Out-of-bounds write in IOSurfaceAccelerator</t>
  </si>
  <si>
    <t>https://support.apple.com/en-us/102795</t>
  </si>
  <si>
    <t>Clément Lecigne of Google's Threat Analysis Group and Donncha Ó Cearbhaill of Amnesty International’s Security Lab</t>
  </si>
  <si>
    <t>CVE-2023-28205</t>
  </si>
  <si>
    <t>Use-after-free in WebKit</t>
  </si>
  <si>
    <t>CVE-2023-28252</t>
  </si>
  <si>
    <t>Common Log File System Driver Elevation of Privilege</t>
  </si>
  <si>
    <t>https://msrc.microsoft.com/update-guide/vulnerability/CVE-2023-28252</t>
  </si>
  <si>
    <t>https://securelist.com/nokoyawa-ransomware-attacks-with-windows-zero-day/109483/</t>
  </si>
  <si>
    <t>https://googleprojectzero.github.io/0days-in-the-wild//0day-RCAs/2023/CVE-2023-28252.html</t>
  </si>
  <si>
    <t>Boris Larin (oct0xor), Genwei Jiang with Mandiant, Quan Jin with DBApp Security WeBin Lab</t>
  </si>
  <si>
    <t>CVE-2023-2033</t>
  </si>
  <si>
    <t>Type confusion in V8</t>
  </si>
  <si>
    <t>https://chromereleases.googleblog.com/2023/04/stable-channel-update-for-desktop_14.html</t>
  </si>
  <si>
    <t>CVE-2023-2136</t>
  </si>
  <si>
    <t>Integer overflow in Skia</t>
  </si>
  <si>
    <t>https://chromereleases.googleblog.com/2023/04/stable-channel-update-for-desktop_18.html</t>
  </si>
  <si>
    <t>CVE-2023-21492</t>
  </si>
  <si>
    <t>Samsung</t>
  </si>
  <si>
    <t>Kernel pointers exposure in log file</t>
  </si>
  <si>
    <t>https://security.samsungmobile.com/securityUpdate.smsb</t>
  </si>
  <si>
    <t>CVE-2023-28204</t>
  </si>
  <si>
    <t>Out-of-bounds read</t>
  </si>
  <si>
    <t>https://support.apple.com/en-us/HT213757</t>
  </si>
  <si>
    <t>CVE-2023-32373</t>
  </si>
  <si>
    <t>CVE-2023-29336</t>
  </si>
  <si>
    <t>Win32k Elevation of Privilege</t>
  </si>
  <si>
    <t>https://msrc.microsoft.com/update-guide/vulnerability/CVE-2023-29336</t>
  </si>
  <si>
    <t>Jan Vojtěšek, Milánek, and Luigino Camastra with Avast</t>
  </si>
  <si>
    <t>CVE-2023-32409</t>
  </si>
  <si>
    <t>WebContext sandbox escape</t>
  </si>
  <si>
    <t>CVE-2023-2868</t>
  </si>
  <si>
    <t>Barracuda</t>
  </si>
  <si>
    <t>Email Security Gateway</t>
  </si>
  <si>
    <t>Remote command injection due to incomplete input validation</t>
  </si>
  <si>
    <t>https://www.barracuda.com/company/legal/esg-vulnerability</t>
  </si>
  <si>
    <t>CVE-2023-3079</t>
  </si>
  <si>
    <t>https://chromereleases.googleblog.com/2023/06/stable-channel-update-for-desktop.html</t>
  </si>
  <si>
    <t>Clément Lecigne of Google's Threat Analysis Group</t>
  </si>
  <si>
    <t>CVE-2023-32434</t>
  </si>
  <si>
    <t>Integer overflow in the XNU kernel</t>
  </si>
  <si>
    <t>https://support.apple.com/en-us/HT213814</t>
  </si>
  <si>
    <t>https://securelist.com/operation-triangulation/109842/</t>
  </si>
  <si>
    <t>Georgy Kucherin (@kucher1n), Leonid Bezvershenko (@bzvr_), and Boris Larin (@oct0xor) of Kaspersky</t>
  </si>
  <si>
    <t>CVE-2023-32435</t>
  </si>
  <si>
    <t>Unspecified memory corruption affecting iOS 15.7.6</t>
  </si>
  <si>
    <t>https://support.apple.com/en-us/HT213811</t>
  </si>
  <si>
    <t>CVE-2023-32439</t>
  </si>
  <si>
    <t xml:space="preserve">Type confusion </t>
  </si>
  <si>
    <t>CVE-2023-37450</t>
  </si>
  <si>
    <t xml:space="preserve">Unspecified memory corruption </t>
  </si>
  <si>
    <t>https://support.apple.com/en-us/HT213823</t>
  </si>
  <si>
    <t>CVE-2023-32046</t>
  </si>
  <si>
    <t>MSHTML Platform Elevation of Privilege</t>
  </si>
  <si>
    <t>https://msrc.microsoft.com/update-guide/vulnerability/CVE-2023-32046</t>
  </si>
  <si>
    <t>Microsoft Threat Intelligence Center (MSTIC)</t>
  </si>
  <si>
    <t>CVE-2023-36874</t>
  </si>
  <si>
    <t>Windows Error Reporting Service Elevation of Privilege</t>
  </si>
  <si>
    <t>https://msrc.microsoft.com/update-guide/vulnerability/CVE-2023-36874</t>
  </si>
  <si>
    <t>Vlad Stolyarov and Maddie Stone of Google's Threat Analysis Group (TAG)</t>
  </si>
  <si>
    <t>CVE-2023-36884</t>
  </si>
  <si>
    <t>Office and Windows HTML Remote Code Execution</t>
  </si>
  <si>
    <t>https://msrc.microsoft.com/update-guide/vulnerability/CVE-2023-36884</t>
  </si>
  <si>
    <t>Vlad Stolyarov, Clement Lecigne and Bahare Sabouri of Google’s Threat Analysis Group (TAG), Paul Rascagneres &amp; Tom Lancaster with Volexity, Microsoft Office Product Group Security Team</t>
  </si>
  <si>
    <t>CVE-2023-37580</t>
  </si>
  <si>
    <t>Synacor</t>
  </si>
  <si>
    <t>Zimbra</t>
  </si>
  <si>
    <t>XSS</t>
  </si>
  <si>
    <t>Reflected XSS in /m/moveto</t>
  </si>
  <si>
    <t>https://wiki.zimbra.com/wiki/Zimbra_Releases/8.8.15/P41</t>
  </si>
  <si>
    <t>https://blog.google/threat-analysis-group/zimbra-0-day-used-to-target-international-government-organizations/</t>
  </si>
  <si>
    <t>CVE-2023-38606</t>
  </si>
  <si>
    <t>Unspecified kernel vulnerability against pre-iOS 15.7.1</t>
  </si>
  <si>
    <t>https://support.apple.com/en-us/HT213841</t>
  </si>
  <si>
    <t>Valentin Pashkov, Mikhail Vinogradov, Georgy Kucherin (@kucher1n), Leonid Bezvershenko (@bzvr_), and Boris Larin (@oct0xor) of Kaspersky</t>
  </si>
  <si>
    <t>CVE-2023-41990</t>
  </si>
  <si>
    <t>TrueType font remote code execution in iOS 15.7</t>
  </si>
  <si>
    <t>https://support.apple.com/en-us/HT213842</t>
  </si>
  <si>
    <t>Apple, Valentin Pashkov, Mikhail Vinogradov, Georgy Kucherin (@kucher1n), Leonid Bezvershenko (@bzvr_), and Boris Larin (@oct0xor) of Kaspersky</t>
  </si>
  <si>
    <t>CVE-2023-38831</t>
  </si>
  <si>
    <t>WinRAR</t>
  </si>
  <si>
    <t>Issue in the processing of the ZIP format</t>
  </si>
  <si>
    <t>https://www.win-rar.com/singlenewsview.html?&amp;L=0&amp;tx_ttnews%5Btt_news%5D=232&amp;cHash=c5bf79590657e32554c6683296a8e8aa</t>
  </si>
  <si>
    <t>https://www.group-ib.com/blog/cve-2023-38831-winrar-zero-day/</t>
  </si>
  <si>
    <t>https://googleprojectzero.github.io/0days-in-the-wild//0day-RCAs/2023/CVE-2023-38831.html</t>
  </si>
  <si>
    <t>Andrey Polovinkin of Group-IB Threat Intelligence</t>
  </si>
  <si>
    <t>CVE-2023-35674</t>
  </si>
  <si>
    <t>Ability to launch background activities due to logic error</t>
  </si>
  <si>
    <t>https://source.android.com/docs/security/bulletin/2023-09-01</t>
  </si>
  <si>
    <t>CVE-2023-4762</t>
  </si>
  <si>
    <t>https://chromereleases.googleblog.com/2023/09/stable-channel-update-for-desktop.html</t>
  </si>
  <si>
    <t>https://blog.google/threat-analysis-group/0-days-exploited-by-commercial-surveillance-vendor-in-egypt/</t>
  </si>
  <si>
    <t>CVE-2023-41064</t>
  </si>
  <si>
    <t>Buffer overflow in ImageIO</t>
  </si>
  <si>
    <t>https://support.apple.com/en-us/HT213905</t>
  </si>
  <si>
    <t>The Citizen Lab at The University of Toronto's Munk School</t>
  </si>
  <si>
    <t>CVE-2023-41061</t>
  </si>
  <si>
    <t>A validation issue in Wallet</t>
  </si>
  <si>
    <t>CVE-2023-4863</t>
  </si>
  <si>
    <t>Heap buffer overflow in WebP</t>
  </si>
  <si>
    <t>https://chromereleases.googleblog.com/2023/09/stable-channel-update-for-desktop_12.html</t>
  </si>
  <si>
    <t>https://blog.isosceles.com/the-webp-0day/</t>
  </si>
  <si>
    <t>Apple Security Engineering and Architecture (SEAR) and The Citizen Lab at The University of Torontoʼs Munk School</t>
  </si>
  <si>
    <t>CVE-2023-26369</t>
  </si>
  <si>
    <t>Adobe</t>
  </si>
  <si>
    <t>Reader</t>
  </si>
  <si>
    <t>Out-of-bounds write</t>
  </si>
  <si>
    <t>https://helpx.adobe.com/security/products/acrobat/apsb23-34.html</t>
  </si>
  <si>
    <t>https://blog.google/threat-analysis-group/active-north-korean-campaign-targeting-security-researchers/</t>
  </si>
  <si>
    <t>https://googleprojectzero.github.io/0days-in-the-wild//0day-RCAs/2023/CVE-2023-26369.html</t>
  </si>
  <si>
    <t>CVE-2023-36802</t>
  </si>
  <si>
    <t>Streaming service proxy elevation of privilege</t>
  </si>
  <si>
    <t>https://msrc.microsoft.com/update-guide/en-US/advisory/CVE-2023-36802</t>
  </si>
  <si>
    <t>https://securityintelligence.com/x-force/critically-close-to-zero-day-exploiting-microsoft-kernel-streaming-service/</t>
  </si>
  <si>
    <t>https://googleprojectzero.github.io/0days-in-the-wild//0day-RCAs/2023/CVE-2023-36802.html</t>
  </si>
  <si>
    <t>Quan Jin(@jq0904) &amp; ze0r with DBAPPSecurity WeBin Lab, Valentina Palmiotti with IBM X-Force, Microsoft Threat Intelligence, Microsoft Security Response Center</t>
  </si>
  <si>
    <t>CVE-2023-36761</t>
  </si>
  <si>
    <t>Word</t>
  </si>
  <si>
    <t>Information disclosure vulnerability</t>
  </si>
  <si>
    <t>https://msrc.microsoft.com/update-guide/en-US/advisory/CVE-2023-36761</t>
  </si>
  <si>
    <t>Microsoft Threat Intelligence</t>
  </si>
  <si>
    <t>CVE-2023-41992</t>
  </si>
  <si>
    <t>Vulnerability in the XNU Kernel</t>
  </si>
  <si>
    <t>https://support.apple.com/en-us/HT213926</t>
  </si>
  <si>
    <t>Bill Marczak of The Citizen Lab at The University of Toronto's Munk School and Maddie Stone of Google's Threat Analysis Group</t>
  </si>
  <si>
    <t>CVE-2023-41991</t>
  </si>
  <si>
    <t>Singature validation bypass</t>
  </si>
  <si>
    <t>CVE-2023-41993</t>
  </si>
  <si>
    <t>Unspecified memory corruption</t>
  </si>
  <si>
    <t>CVE-2023-5217</t>
  </si>
  <si>
    <t>Heap buffer overflow in vp8 encoding in libvpx</t>
  </si>
  <si>
    <t>https://chromereleases.googleblog.com/2023/09/stable-channel-update-for-desktop_27.html</t>
  </si>
  <si>
    <t>CVE-2023-4211</t>
  </si>
  <si>
    <t>Use-after-free in Mali GPU driver</t>
  </si>
  <si>
    <t>https://googleprojectzero.github.io/0days-in-the-wild//0day-RCAs/2023/CVE-2023-4211.html</t>
  </si>
  <si>
    <t>Maddie Stone of Google's Threat Analysis Group and Jann Horn of Google Project Zero</t>
  </si>
  <si>
    <t>CVE-2023-33106</t>
  </si>
  <si>
    <t>Qualcomm</t>
  </si>
  <si>
    <t>Vulnerability in Adreno GPU driver</t>
  </si>
  <si>
    <t>https://docs.qualcomm.com/product/publicresources/securitybulletin/october-2023-bulletin.html</t>
  </si>
  <si>
    <t>https://googleprojectzero.github.io/0days-in-the-wild//0day-RCAs/2023/CVE-2023-33106.html</t>
  </si>
  <si>
    <t>CVE-2023-33107</t>
  </si>
  <si>
    <t>https://googleprojectzero.github.io/0days-in-the-wild//0day-RCAs/2023/CVE-2023-33107.html</t>
  </si>
  <si>
    <t>Benoît Sevens of Google's Threat Analysis Group and Jann Horn of Google Project Zero</t>
  </si>
  <si>
    <t>CVE-2023-33063</t>
  </si>
  <si>
    <t>CVE-2023-42824</t>
  </si>
  <si>
    <t>Privilege escalation in Kernel</t>
  </si>
  <si>
    <t>https://support.apple.com/en-us/HT213961</t>
  </si>
  <si>
    <t>CVE-2023-22515</t>
  </si>
  <si>
    <t>Atlassian</t>
  </si>
  <si>
    <t>Confluence</t>
  </si>
  <si>
    <t>Broken access control vulnerability</t>
  </si>
  <si>
    <t>https://confluence.atlassian.com/security/cve-2023-22515-privilege-escalation-vulnerability-in-confluence-data-center-and-server-1295682276.html</t>
  </si>
  <si>
    <t>CVE-2023-36036</t>
  </si>
  <si>
    <t>Cloud Files Mini Filter Driver Elevation of Privilege</t>
  </si>
  <si>
    <t>https://msrc.microsoft.com/update-guide/en-US/advisory/CVE-2023-36036</t>
  </si>
  <si>
    <t>Microsoft Threat Intelligence Microsoft Security Response Center</t>
  </si>
  <si>
    <t>CVE-2023-36033</t>
  </si>
  <si>
    <t>DWM Core Library Elevation of Privilege</t>
  </si>
  <si>
    <t>https://msrc.microsoft.com/update-guide/en-US/advisory/CVE-2023-36033</t>
  </si>
  <si>
    <t>https://googleprojectzero.github.io/0days-in-the-wild//0day-RCAs/2023/CVE-2023-36033.html</t>
  </si>
  <si>
    <t>Quan Jin(@jq0904) with DBAPPSecurity WeBin Lab</t>
  </si>
  <si>
    <t>CVE-2023-6345</t>
  </si>
  <si>
    <t>Integer Overflow in Skia</t>
  </si>
  <si>
    <t>https://chromereleases.googleblog.com/2023/11/stable-channel-update-for-desktop_28.html</t>
  </si>
  <si>
    <t>Benoît Sevens and Clément Lecigne of Google's Threat Analysis Group</t>
  </si>
  <si>
    <t>CVE-2023-42916</t>
  </si>
  <si>
    <t>Info disclosure</t>
  </si>
  <si>
    <t>Out of bounds read</t>
  </si>
  <si>
    <t>https://support.apple.com/en-us/HT214031</t>
  </si>
  <si>
    <t>CVE-2023-42917</t>
  </si>
  <si>
    <t>CVE-2023-7024</t>
  </si>
  <si>
    <t>Heap overflow in WebRTC</t>
  </si>
  <si>
    <t>https://chromereleases.googleblog.com/2023/12/stable-channel-update-for-desktop_20.html</t>
  </si>
  <si>
    <t>Clément Lecigne and Vlad Stolyarov of Google's Threat Analysis Group</t>
  </si>
  <si>
    <t>-</t>
  </si>
  <si>
    <t>CVE-2022-22265</t>
  </si>
  <si>
    <t>Double free in NPU device driver</t>
  </si>
  <si>
    <t>https://googleprojectzero.github.io/0days-in-the-wild//0day-RCAs/2022/CVE-2022-22265.html</t>
  </si>
  <si>
    <t>Seong Jang of STEALIEN</t>
  </si>
  <si>
    <t>CVE-2022-21882</t>
  </si>
  <si>
    <t>https://msrc.microsoft.com/update-guide/vulnerability/CVE-2022-21882</t>
  </si>
  <si>
    <t>https://googleprojectzero.github.io/0days-in-the-wild//0day-RCAs/2022/CVE-2022-21882.html</t>
  </si>
  <si>
    <t>Big CJTeam of Tianfu Cup &amp; RyeLv (@b2ahex)</t>
  </si>
  <si>
    <t>CVE-2022-22587</t>
  </si>
  <si>
    <t>iOS/macOS</t>
  </si>
  <si>
    <t>Memory corruption in IOMobileFrameBuffer</t>
  </si>
  <si>
    <t>https://support.apple.com/en-us/HT213053</t>
  </si>
  <si>
    <t>Meysam Firouzi (@R00tkitSMM) of MBition - Mercedes-Benz Innovation Lab, Siddharth Aeri (@b1n4r1b01), &amp; an anonymous reporter</t>
  </si>
  <si>
    <t>CVE-2022-24682</t>
  </si>
  <si>
    <t>Zimbra Collaboration Suite</t>
  </si>
  <si>
    <t>XSS in calendar using /h/calendar</t>
  </si>
  <si>
    <t>https://wiki.zimbra.com/wiki/Zimbra_Releases/8.8.15/P30#Security_Hotfix_Alert</t>
  </si>
  <si>
    <t>https://www.volexity.com/blog/2022/02/03/operation-emailthief-active-exploitation-of-zero-day-xss-vulnerability-in-zimbra/</t>
  </si>
  <si>
    <t>Volexity</t>
  </si>
  <si>
    <t>CVE-2022-22620</t>
  </si>
  <si>
    <t>Unspecified use-after-free</t>
  </si>
  <si>
    <t>https://support.apple.com/en-us/HT213093</t>
  </si>
  <si>
    <t>https://googleprojectzero.blogspot.com/2022/06/an-autopsy-on-zombie-in-wild-0-day.html</t>
  </si>
  <si>
    <t>https://googleprojectzero.github.io/0days-in-the-wild//0day-RCAs/2022/CVE-2022-22620.html</t>
  </si>
  <si>
    <t>CVE-2022-0609</t>
  </si>
  <si>
    <t>Use-after-free in Animation</t>
  </si>
  <si>
    <t>https://chromereleases.googleblog.com/2022/02/stable-channel-update-for-desktop_14.html</t>
  </si>
  <si>
    <t>https://blog.google/threat-analysis-group/countering-threats-north-korea/</t>
  </si>
  <si>
    <t>Adam Weidemann and Clément Lecigne of Google's Threat Analysis Group</t>
  </si>
  <si>
    <t>CVE-2022-26485</t>
  </si>
  <si>
    <t>Mozilla</t>
  </si>
  <si>
    <t>Firefox</t>
  </si>
  <si>
    <t>Use-after-free inXSLT parameter processing</t>
  </si>
  <si>
    <t xml:space="preserve">??? </t>
  </si>
  <si>
    <t>https://www.mozilla.org/en-US/security/advisories/mfsa2022-09/</t>
  </si>
  <si>
    <t>Wang Gang, Liu Jialei, Du Sihang, Huang Yi &amp; Yang Kang of 360 ATA</t>
  </si>
  <si>
    <t>CVE-2022-26486</t>
  </si>
  <si>
    <t>Use-after-free in WebGPU IPC Framework</t>
  </si>
  <si>
    <t>CVE-2021-22600</t>
  </si>
  <si>
    <t>Double free in packet_set_ring</t>
  </si>
  <si>
    <t>https://source.android.com/security/bulletin/pixel/2022-03-01</t>
  </si>
  <si>
    <t>CVE-2021-39793</t>
  </si>
  <si>
    <t>Out-of-bounds write in mali_base_mem</t>
  </si>
  <si>
    <t>https://googleprojectzero.github.io/0days-in-the-wild//0day-RCAs/2021/CVE-2021-39793.html</t>
  </si>
  <si>
    <t>Note: Google Pixel assigned this bug CVE-2021-39793 and ARM assigned this vulnerability CVE-2022-22706</t>
  </si>
  <si>
    <t>CVE-2022-1040</t>
  </si>
  <si>
    <t>Sophos</t>
  </si>
  <si>
    <t>Firewall</t>
  </si>
  <si>
    <t>Authentication bypass allowing RCE</t>
  </si>
  <si>
    <r>
      <rPr>
        <color rgb="FF1155CC"/>
        <u/>
      </rPr>
      <t>https://www.sophos.com/en-us/security-advisories/sophos-sa-20220325-sfos-rce</t>
    </r>
    <r>
      <rPr/>
      <t xml:space="preserve"> </t>
    </r>
  </si>
  <si>
    <t>https://news.sophos.com/en-us/2022/06/15/sophos-uncovers-how-apt-groups-carried-out-highly-targeted-attack/</t>
  </si>
  <si>
    <t>CVE-2022-1096</t>
  </si>
  <si>
    <t>https://chromereleases.googleblog.com/2022/03/stable-channel-update-for-desktop_25.html</t>
  </si>
  <si>
    <t>https://googleprojectzero.github.io/0days-in-the-wild//0day-RCAs/2022/CVE-2022-1096.html</t>
  </si>
  <si>
    <t>CVE-2022-22674</t>
  </si>
  <si>
    <t>macOS</t>
  </si>
  <si>
    <t>Out-of-bounds read in Intel Graphics Driver</t>
  </si>
  <si>
    <t>https://support.apple.com/en-us/HT213220</t>
  </si>
  <si>
    <t>CVE-2022-22675</t>
  </si>
  <si>
    <t>Out-of-bounds write in AppleAVD</t>
  </si>
  <si>
    <t>https://googleprojectzero.github.io/0days-in-the-wild/0day-RCAs/2022/CVE-2022-22675.html</t>
  </si>
  <si>
    <t>CVE-2022-26871</t>
  </si>
  <si>
    <t>Trend Micro</t>
  </si>
  <si>
    <t>Apex Central</t>
  </si>
  <si>
    <t>Arbitrary file upload remote code execution</t>
  </si>
  <si>
    <t>https://success.trendmicro.com/dcx/s/solution/000290678?language=en_US</t>
  </si>
  <si>
    <t>Trend Micro Research</t>
  </si>
  <si>
    <t>CVE-2022-24521</t>
  </si>
  <si>
    <t>Windows Common Log File System Driver Elevation of Privilege</t>
  </si>
  <si>
    <t>https://msrc.microsoft.com/update-guide/vulnerability/CVE-2022-24521</t>
  </si>
  <si>
    <t>https://www.pixiepointsecurity.com/blog/nday-cve-2022-24521.html</t>
  </si>
  <si>
    <t>https://googleprojectzero.github.io/0days-in-the-wild//0day-RCAs/2022/CVE-2022-24521.html</t>
  </si>
  <si>
    <t>National Security Agency, Adam Podlosky and Amir Bazine of Crowdstrike</t>
  </si>
  <si>
    <t>CVE-2022-1364</t>
  </si>
  <si>
    <t>https://chromereleases.googleblog.com/2022/04/stable-channel-update-for-desktop_14.html</t>
  </si>
  <si>
    <t>https://googleprojectzero.github.io/0days-in-the-wild//0day-RCAs/2022/CVE-2022-1364.html</t>
  </si>
  <si>
    <t>CVE-2022-26925</t>
  </si>
  <si>
    <t>Windows LSA Spoofing Vulnerability</t>
  </si>
  <si>
    <t>https://msrc.microsoft.com/update-guide/vulnerability/CVE-2022-26925</t>
  </si>
  <si>
    <t>Raphael John with Bertelsmann Printing Group</t>
  </si>
  <si>
    <t>CVE-2022-30190</t>
  </si>
  <si>
    <t>Microsoft Windows Support Diagnostic Tool (MSDT) Remote Code Execution Vulnerability</t>
  </si>
  <si>
    <t>https://msrc.microsoft.com/update-guide/vulnerability/CVE-2022-30190</t>
  </si>
  <si>
    <t>https://doublepulsar.com/follina-a-microsoft-office-code-execution-vulnerability-1a47fce5629e</t>
  </si>
  <si>
    <t>crazyman with Shadow Chaser Group</t>
  </si>
  <si>
    <t>CVE-2022-26134</t>
  </si>
  <si>
    <t>Confluence Server &amp; Data Center</t>
  </si>
  <si>
    <t>Unauthenticated Remote Code Execution</t>
  </si>
  <si>
    <t>https://confluence.atlassian.com/doc/confluence-security-advisory-2022-06-02-1130377146.html</t>
  </si>
  <si>
    <t>https://www.volexity.com/blog/2022/06/02/zero-day-exploitation-of-atlassian-confluence/</t>
  </si>
  <si>
    <t>CVE-2022-2294</t>
  </si>
  <si>
    <t>Buffer overflow in WebRTC</t>
  </si>
  <si>
    <t>https://chromereleases.googleblog.com/2022/07/stable-channel-update-for-desktop.html</t>
  </si>
  <si>
    <t>https://googleprojectzero.github.io/0days-in-the-wild//0day-RCAs/2022/CVE-2022-2294.html</t>
  </si>
  <si>
    <t>Jan Vojtesek from the Avast Threat Intelligence team</t>
  </si>
  <si>
    <t>CVE-2022-22047</t>
  </si>
  <si>
    <t>CSRSS Elevation of Privilege</t>
  </si>
  <si>
    <t>https://msrc.microsoft.com/update-guide/vulnerability/CVE-2022-22047</t>
  </si>
  <si>
    <t>https://www.zerodayinitiative.com/blog/2023/1/23/activation-context-cache-poisoning-exploiting-csrss-for-privilege-escalation</t>
  </si>
  <si>
    <t>Microsoft Threat Intelligence Center (MSTIC) and Microsoft Security Response Center (MSRC)</t>
  </si>
  <si>
    <t>CVE-2022-2856</t>
  </si>
  <si>
    <t>Insufficient validation of untrusted input in Intents</t>
  </si>
  <si>
    <t>https://chromereleases.googleblog.com/2022/08/stable-channel-update-for-desktop_16.html</t>
  </si>
  <si>
    <t>Ashley Shen and Christian Resell of Google Threat Analysis Group</t>
  </si>
  <si>
    <t>CVE-2022-32894</t>
  </si>
  <si>
    <t>Kernel out-of-bounds write</t>
  </si>
  <si>
    <t>https://support.apple.com/en-us/HT213413</t>
  </si>
  <si>
    <t>CVE-2022-32893</t>
  </si>
  <si>
    <t>CVE-2022-3075</t>
  </si>
  <si>
    <t>Insufficient data validation in Mojo</t>
  </si>
  <si>
    <t>https://chromereleases.googleblog.com/2022/09/stable-channel-update-for-desktop.html</t>
  </si>
  <si>
    <t>CVE-2022-3236</t>
  </si>
  <si>
    <t>Code injection allowing RCE</t>
  </si>
  <si>
    <t>https://www.sophos.com/en-us/security-advisories/sophos-sa-20220923-sfos-rce</t>
  </si>
  <si>
    <t>https://news.sophos.com/en-us/2022/10/19/covert-channels/</t>
  </si>
  <si>
    <t>Sophos X-Ops</t>
  </si>
  <si>
    <t>CVE-2022-32917</t>
  </si>
  <si>
    <t>Unspecified kernel vulnerability</t>
  </si>
  <si>
    <t>https://support.apple.com/en-us/HT213445</t>
  </si>
  <si>
    <t>https://googleprojectzero.github.io/0days-in-the-wild//0day-RCAs/2022/CVE-2022-32917.html</t>
  </si>
  <si>
    <t>CVE-2022-41033</t>
  </si>
  <si>
    <t>COM+ event system service elevation of privilege</t>
  </si>
  <si>
    <t>https://msrc.microsoft.com/update-guide/vulnerability/CVE-2022-41033</t>
  </si>
  <si>
    <t>https://googleprojectzero.github.io/0days-in-the-wild//0day-RCAs/2022/CVE-2022-41033.html</t>
  </si>
  <si>
    <t>CVE-2022-42827</t>
  </si>
  <si>
    <t>Out-of-bounds write in the kernel</t>
  </si>
  <si>
    <t>https://support.apple.com/en-us/HT213489</t>
  </si>
  <si>
    <t>CVE-2022-3723</t>
  </si>
  <si>
    <t>https://chromereleases.googleblog.com/2022/10/stable-channel-update-for-desktop_27.html</t>
  </si>
  <si>
    <t>https://googleprojectzero.github.io/0days-in-the-wild//0day-RCAs/2022/CVE-2022-3723.html</t>
  </si>
  <si>
    <t>Jan Vojtěšek, Milánek, and Przemek Gmerek of Avast</t>
  </si>
  <si>
    <t>CVE-2022-41040</t>
  </si>
  <si>
    <t>Exchange Server</t>
  </si>
  <si>
    <t>Server-side request forgery</t>
  </si>
  <si>
    <t>https://msrc.microsoft.com/update-guide/vulnerability/CVE-2022-41040</t>
  </si>
  <si>
    <t>DA-0x43-Dx4-DA-Hx2-Tx2-TP-S-Q from GTSC working with Trend Micro Zero Day Initiative</t>
  </si>
  <si>
    <t>CVE-2022-41082</t>
  </si>
  <si>
    <t>Remote code execution</t>
  </si>
  <si>
    <t>https://msrc.microsoft.com/update-guide/vulnerability/CVE-2022-41082</t>
  </si>
  <si>
    <t>Piotr Bazydlo (@chudypb) and DA-0x43-Dx4-DA-Hx2-Tx2-TP-S-Q from GTSC working with Trend Micro Zero Day Initiative</t>
  </si>
  <si>
    <t>CVE-2022-41128</t>
  </si>
  <si>
    <t>Internet Explorer</t>
  </si>
  <si>
    <t>JScript9 remote code execution</t>
  </si>
  <si>
    <t>https://msrc.microsoft.com/update-guide/vulnerability/CVE-2022-41128</t>
  </si>
  <si>
    <t>https://googleprojectzero.github.io/0days-in-the-wild//0day-RCAs/2022/CVE-2022-41128.html</t>
  </si>
  <si>
    <t>Clément Lecigne of Google’s Threat Analysis Group</t>
  </si>
  <si>
    <t>CVE-2022-41073</t>
  </si>
  <si>
    <t>Print spooler elevation of privilege</t>
  </si>
  <si>
    <t>https://msrc.microsoft.com/update-guide/vulnerability/CVE-2022-41073</t>
  </si>
  <si>
    <t>https://googleprojectzero.github.io/0days-in-the-wild//0day-RCAs/2022/CVE-2022-41073.html</t>
  </si>
  <si>
    <t>CVE-2022-41125</t>
  </si>
  <si>
    <t>CNG Key Isolation Service elevation of privilege</t>
  </si>
  <si>
    <t>https://msrc.microsoft.com/update-guide/vulnerability/CVE-2022-41125</t>
  </si>
  <si>
    <t>CVE-2022-4135</t>
  </si>
  <si>
    <t>Heap buffer overflow in GPU</t>
  </si>
  <si>
    <t>https://chromereleases.googleblog.com/2022/11/stable-channel-update-for-desktop_24.html</t>
  </si>
  <si>
    <t>https://googleprojectzero.github.io/0days-in-the-wild//0day-RCAs/2022/CVE-2022-4135.html</t>
  </si>
  <si>
    <t>Clement Lecigne of Google's Threat Analysis Group</t>
  </si>
  <si>
    <t>CVE-2022-42856</t>
  </si>
  <si>
    <t>https://support.apple.com/en-us/HT213516</t>
  </si>
  <si>
    <t>CVE-2022-4262</t>
  </si>
  <si>
    <t>https://chromereleases.googleblog.com/2022/12/stable-channel-update-for-desktop.html</t>
  </si>
  <si>
    <t>https://googleprojectzero.github.io/0days-in-the-wild//0day-RCAs/2022/CVE-2022-4262.html</t>
  </si>
  <si>
    <t>CVE-2022-42475</t>
  </si>
  <si>
    <t>Fortinet</t>
  </si>
  <si>
    <t>FortiOS</t>
  </si>
  <si>
    <t>Heap buffer overflow in sslvpnd</t>
  </si>
  <si>
    <t>https://fortiguard.fortinet.com/psirt/FG-IR-22-398</t>
  </si>
  <si>
    <t>CVE-2022-27518</t>
  </si>
  <si>
    <t>Citrix</t>
  </si>
  <si>
    <t>ADC/Gateway</t>
  </si>
  <si>
    <t>Improper access restrictions in SAML SP &amp; IdP systems</t>
  </si>
  <si>
    <t>https://support.citrix.com/article/CTX474995/citrix-adc-and-citrix-gateway-security-bulletin-for-cve202227518</t>
  </si>
  <si>
    <t>CVE-2020-11261</t>
  </si>
  <si>
    <t>Memory management logic error in kgsl driver</t>
  </si>
  <si>
    <t>https://source.android.com/security/bulletin/2021-01-01</t>
  </si>
  <si>
    <t>Man Yue Mo of GitHub Security Lab</t>
  </si>
  <si>
    <t xml:space="preserve"> </t>
  </si>
  <si>
    <t>CVE-2021-1647</t>
  </si>
  <si>
    <t>Windows Defender</t>
  </si>
  <si>
    <t>Unspecified remote code execution in Windows Defender</t>
  </si>
  <si>
    <t>https://msrc.microsoft.com/update-guide/vulnerability/CVE-2021-1647</t>
  </si>
  <si>
    <t>https://googleprojectzero.github.io/0days-in-the-wild/0day-RCAs/2021/CVE-2021-1647.html</t>
  </si>
  <si>
    <t>CVE-2021-1782</t>
  </si>
  <si>
    <t>Unspecified kernel race condition</t>
  </si>
  <si>
    <t>https://support.apple.com/en-us/HT212146</t>
  </si>
  <si>
    <t>https://googleprojectzero.blogspot.com/2022/04/cve-2021-1782-ios-in-wild-vulnerability.html</t>
  </si>
  <si>
    <t>CVE-2021-1870</t>
  </si>
  <si>
    <t>Unspecified logic flaw in Webkit</t>
  </si>
  <si>
    <t>CVE-2021-1871</t>
  </si>
  <si>
    <t>CVE-2021-21148</t>
  </si>
  <si>
    <t>Heap buffer overflow in V8</t>
  </si>
  <si>
    <t>https://chromereleases.googleblog.com/2021/02/stable-channel-update-for-desktop_4.html</t>
  </si>
  <si>
    <t>Mattias Buelens</t>
  </si>
  <si>
    <t>CVE-2021-21017</t>
  </si>
  <si>
    <t>Heap-based buffer overflow</t>
  </si>
  <si>
    <t>https://helpx.adobe.com/security/products/acrobat/apsb21-09.html</t>
  </si>
  <si>
    <t>https://github.com/ZeusBox/CVE-2021-21017</t>
  </si>
  <si>
    <t>CVE-2021-1732</t>
  </si>
  <si>
    <t>Unspecified win32k escalation of privilege</t>
  </si>
  <si>
    <t>https://msrc.microsoft.com/update-guide/vulnerability/CVE-2021-1732</t>
  </si>
  <si>
    <t>https://ti.dbappsecurity.com.cn/blog/index.php/2021/02/10/windows-kernel-zero-day-exploit-is-used-by-bitter-apt-in-targeted-attack/</t>
  </si>
  <si>
    <t>https://googleprojectzero.github.io/0days-in-the-wild/0day-RCAs/2021/CVE-2021-1732.html</t>
  </si>
  <si>
    <t>JinQuan, MaDongZe, TuXiaoYi, and LiHao of DBAPPSecurity Co., Ltd</t>
  </si>
  <si>
    <t>CVE-2021-26855</t>
  </si>
  <si>
    <t xml:space="preserve">Server-side request forgery (SSRF) </t>
  </si>
  <si>
    <t>https://msrc.microsoft.com/update-guide/vulnerability/CVE-2021-26855</t>
  </si>
  <si>
    <t>https://www.microsoft.com/security/blog/2021/03/02/hafnium-targeting-exchange-servers/</t>
  </si>
  <si>
    <t>https://googleprojectzero.github.io/0days-in-the-wild/0day-RCAs/2021/CVE-2021-26855.html</t>
  </si>
  <si>
    <t>Volexity, Orange Tsai from DEVCORE research team, and Microsoft Threat Intelligence Center (MSTIC)</t>
  </si>
  <si>
    <t>CVE-2021-26857</t>
  </si>
  <si>
    <t>Insecure deserialization in the Unifed Messaging service</t>
  </si>
  <si>
    <t>https://msrc.microsoft.com/update-guide/vulnerability/CVE-2021-26857</t>
  </si>
  <si>
    <t>Dubex and Microsoft Threat Intelligence Center (MSTIC)</t>
  </si>
  <si>
    <t>CVE-2021-26858</t>
  </si>
  <si>
    <t>Arbitrary file write</t>
  </si>
  <si>
    <t>https://msrc.microsoft.com/update-guide/vulnerability/CVE-2021-26858</t>
  </si>
  <si>
    <t>Microsoft Threat Intelligence Center</t>
  </si>
  <si>
    <t>CVE-2021-27065</t>
  </si>
  <si>
    <t>https://msrc.microsoft.com/update-guide/vulnerability/CVE-2021-27065</t>
  </si>
  <si>
    <t>CVE-2021-21166</t>
  </si>
  <si>
    <t>Object lifecycle issue in audio</t>
  </si>
  <si>
    <t>https://chromereleases.googleblog.com/2021/03/stable-channel-update-for-desktop.html</t>
  </si>
  <si>
    <t>https://blog.google/threat-analysis-group/how-we-protect-users-0-day-attacks/</t>
  </si>
  <si>
    <t>https://googleprojectzero.github.io/0days-in-the-wild/0day-RCAs/2021/CVE-2021-21166.html</t>
  </si>
  <si>
    <t>Alison Huffman, Microsoft Browser Vulnerability Research &amp; Clement Lecigne of Google Threat Analysis Group</t>
  </si>
  <si>
    <t>CVE-2021-26411</t>
  </si>
  <si>
    <t>Use-after-free in MSHTML</t>
  </si>
  <si>
    <t>https://msrc.microsoft.com/update-guide/vulnerability/CVE-2021-26411</t>
  </si>
  <si>
    <t>https://enki.co.kr/blog/2021/02/04/ie_0day.html</t>
  </si>
  <si>
    <t>https://googleprojectzero.github.io/0days-in-the-wild/0day-RCAs/2021/CVE-2021-26411.html</t>
  </si>
  <si>
    <t>yangkang(@dnpushme) &amp; huangyi(@C0rk1_H) &amp; Enki</t>
  </si>
  <si>
    <t>CVE-2021-21193</t>
  </si>
  <si>
    <t>Use-after-free in Blink</t>
  </si>
  <si>
    <t>https://chromereleases.googleblog.com/2021/03/stable-channel-update-for-desktop_12.html</t>
  </si>
  <si>
    <t>CVE-2021-1879</t>
  </si>
  <si>
    <t>UXSS</t>
  </si>
  <si>
    <t>Universal cross site scripting in Webkit</t>
  </si>
  <si>
    <t>https://support.apple.com/en-us/HT212256</t>
  </si>
  <si>
    <t>https://googleprojectzero.github.io/0days-in-the-wild//0day-RCAs/2021/CVE-2021-1879.html</t>
  </si>
  <si>
    <t>Clement Lecigne of Google Threat Analysis Group and Billy Leonard of Google Threat Analysis Group</t>
  </si>
  <si>
    <t>CVE-2021-28310</t>
  </si>
  <si>
    <t>Out-of-bounds write vulnerability in dwmcore.dll</t>
  </si>
  <si>
    <t>https://msrc.microsoft.com/update-guide/vulnerability/CVE-2021-28310</t>
  </si>
  <si>
    <t>https://securelist.com/zero-day-vulnerability-in-desktop-window-manager-cve-2021-28310-used-in-the-wild/101898/</t>
  </si>
  <si>
    <t>Boris Larin (Oct0xor) of Kaspersky Lab</t>
  </si>
  <si>
    <t>CVE-2021-21206</t>
  </si>
  <si>
    <t>https://chromereleases.googleblog.com/2021/04/stable-channel-update-for-desktop.html</t>
  </si>
  <si>
    <t>CVE-2021-30661</t>
  </si>
  <si>
    <t>https://support.apple.com/en-us/HT212317</t>
  </si>
  <si>
    <t>yangkang(@dnpushme) of 360 ATA</t>
  </si>
  <si>
    <t>CVE-2021-30665</t>
  </si>
  <si>
    <t>Memory corruption related to state management in Webkit</t>
  </si>
  <si>
    <t>https://support.apple.com/en-us/HT212336</t>
  </si>
  <si>
    <t>yangkang (@dnpushme)&amp;zerokeeper&amp;bianliang of 360 ATA</t>
  </si>
  <si>
    <t>CVE-2021-30663</t>
  </si>
  <si>
    <t>Integer overflow in Webkit</t>
  </si>
  <si>
    <t>CVE-2021-1905</t>
  </si>
  <si>
    <t>Use-after-free in GPU</t>
  </si>
  <si>
    <t>https://source.android.com/security/bulletin/2021-05-01</t>
  </si>
  <si>
    <t>https://googleprojectzero.github.io/0days-in-the-wild/0day-RCAs/2021/CVE-2021-1905.html</t>
  </si>
  <si>
    <t>CVE-2021-1906</t>
  </si>
  <si>
    <t>Improper error handling in GPU</t>
  </si>
  <si>
    <t>CVE-2021-28663</t>
  </si>
  <si>
    <t>Use-after-free in Mali GPU</t>
  </si>
  <si>
    <t>https://github.com/lntrx/CVE-2021-28663</t>
  </si>
  <si>
    <t>CVE-2021-28664</t>
  </si>
  <si>
    <t>Writes to read-only memory in Mali GPU</t>
  </si>
  <si>
    <t>CVE-2021-28550</t>
  </si>
  <si>
    <t>Use-after-free</t>
  </si>
  <si>
    <t>https://helpx.adobe.com/security/products/acrobat/apsb21-29.html</t>
  </si>
  <si>
    <t>CVE-2021-31955</t>
  </si>
  <si>
    <t>Kernel information disclosure in SuperFetch</t>
  </si>
  <si>
    <t>https://msrc.microsoft.com/update-guide/vulnerability/CVE-2021-31955</t>
  </si>
  <si>
    <t>https://securelist.com/puzzlemaker-chrome-zero-day-exploit-chain/102771/</t>
  </si>
  <si>
    <t>CVE-2021-31956</t>
  </si>
  <si>
    <t>Heap-based buffer overflow in ntfs.sys</t>
  </si>
  <si>
    <t>https://msrc.microsoft.com/update-guide/vulnerability/CVE-2021-31956</t>
  </si>
  <si>
    <t>CVE-2021-33742</t>
  </si>
  <si>
    <t>Out-of-bounds write in MSHTML</t>
  </si>
  <si>
    <t>https://msrc.microsoft.com/update-guide/vulnerability/CVE-2021-33742</t>
  </si>
  <si>
    <t>https://googleprojectzero.github.io/0days-in-the-wild/0day-RCAs/2021/CVE-2021-33742.html</t>
  </si>
  <si>
    <t>CVE-2021-31199</t>
  </si>
  <si>
    <t>Unspecified enhanced crypto provider escalation of privilege</t>
  </si>
  <si>
    <t>https://msrc.microsoft.com/update-guide/vulnerability/CVE-2021-31199</t>
  </si>
  <si>
    <t>CVE-2021-31201</t>
  </si>
  <si>
    <t>https://msrc.microsoft.com/update-guide/vulnerability/CVE-2021-31201</t>
  </si>
  <si>
    <t>CVE-2021-30551</t>
  </si>
  <si>
    <t>Type confusion in v8</t>
  </si>
  <si>
    <t>https://chromereleases.googleblog.com/2021/06/stable-channel-update-for-desktop.html</t>
  </si>
  <si>
    <t>https://googleprojectzero.github.io/0days-in-the-wild/0day-RCAs/2021/CVE-2021-30551.html</t>
  </si>
  <si>
    <t>Clement Lecigne of Google's Threat Analysis Group and Sergei Glazunov of Google Project Zero</t>
  </si>
  <si>
    <t>CVE-2021-30554</t>
  </si>
  <si>
    <t>Use-after-free in WebGL</t>
  </si>
  <si>
    <t>https://chromereleases.googleblog.com/2021/06/stable-channel-update-for-desktop_17.html</t>
  </si>
  <si>
    <t>CVE-2021-33771</t>
  </si>
  <si>
    <t>Unspecified kernel escalation of privilege</t>
  </si>
  <si>
    <t>https://msrc.microsoft.com/update-guide/vulnerability/CVE-2021-33771</t>
  </si>
  <si>
    <t>https://www.microsoft.com/security/blog/2021/07/15/protecting-customers-from-a-private-sector-offensive-actor-using-0-day-exploits-and-devilstongue-malware/</t>
  </si>
  <si>
    <t>Microsoft Threat Intelligence Center (MSTIC)/ Microsoft Security Response Center (MSRC)</t>
  </si>
  <si>
    <t>CVE-2021-34448</t>
  </si>
  <si>
    <t>Unspecified scripting engine memory corruption</t>
  </si>
  <si>
    <t>https://msrc.microsoft.com/update-guide/vulnerability/CVE-2021-34448</t>
  </si>
  <si>
    <t>yangkang(@dnpushme)&amp;bianliang&amp;wanggang&amp;lihongfei of 360 ATA</t>
  </si>
  <si>
    <t>CVE-2021-31979</t>
  </si>
  <si>
    <t>https://msrc.microsoft.com/update-guide/vulnerability/CVE-2021-31979</t>
  </si>
  <si>
    <t>CVE-2021-30563</t>
  </si>
  <si>
    <t>https://chromereleases.googleblog.com/2021/07/stable-channel-update-for-desktop.html</t>
  </si>
  <si>
    <t>CVE-2021-30807</t>
  </si>
  <si>
    <t>https://support.apple.com/en-us/HT212623</t>
  </si>
  <si>
    <t>https://saaramar.github.io/IOMobileFrameBuffer_LPE_POC/</t>
  </si>
  <si>
    <t>CVE-2021-36948</t>
  </si>
  <si>
    <t>Windows update medic service elevation of privilege</t>
  </si>
  <si>
    <t>https://msrc.microsoft.com/update-guide/vulnerability/CVE-2021-36948</t>
  </si>
  <si>
    <t>CVE-2021-30860</t>
  </si>
  <si>
    <t>Integer overflow in CoreGraphics</t>
  </si>
  <si>
    <t>https://support.apple.com/en-us/HT212807</t>
  </si>
  <si>
    <t xml:space="preserve">https://googleprojectzero.blogspot.com/2021/12/a-deep-dive-into-nso-zero-click.html </t>
  </si>
  <si>
    <t>The Citizen Lab</t>
  </si>
  <si>
    <t>CVE-2021-30858</t>
  </si>
  <si>
    <t xml:space="preserve">Use-after-free in Indexed DB </t>
  </si>
  <si>
    <t>https://googleprojectzero.github.io/0days-in-the-wild//0day-RCAs/2021/CVE-2021-30858.html</t>
  </si>
  <si>
    <t>CVE-2021-30632</t>
  </si>
  <si>
    <t>Out of bounds write in V8</t>
  </si>
  <si>
    <t>https://chromereleases.googleblog.com/2021/09/stable-channel-update-for-desktop.html</t>
  </si>
  <si>
    <t xml:space="preserve">https://securitylab.github.com/research/in_the_wild_chrome_cve_2021_30632/ </t>
  </si>
  <si>
    <t>https://googleprojectzero.github.io/0days-in-the-wild//0day-RCAs/2021/CVE-2021-30632.html</t>
  </si>
  <si>
    <t>CVE-2021-30633</t>
  </si>
  <si>
    <t>CVE-2021-31010</t>
  </si>
  <si>
    <t>Vulnerability in CommCenter</t>
  </si>
  <si>
    <t>https://googleprojectzero.blogspot.com/2022/03/forcedentry-sandbox-escape.html</t>
  </si>
  <si>
    <t>The Citizen Lab &amp; Google Project Zero</t>
  </si>
  <si>
    <t>CVE-2021-40444</t>
  </si>
  <si>
    <t>Unspecified remote code execution in MSHTML</t>
  </si>
  <si>
    <t>https://msrc.microsoft.com/update-guide/vulnerability/CVE-2021-40444</t>
  </si>
  <si>
    <t>https://billdemirkapi.me/unpacking-cve-2021-40444-microsoft-office-rce/</t>
  </si>
  <si>
    <t>Rick Cole (MSTIC), Dhanesh Kizhakkinan of Mandiant, Genwei Jiang of Mandiant, Haifei Li of EXPMON, and Byce Abdo of Mandiant</t>
  </si>
  <si>
    <t>CVE-2021-30869</t>
  </si>
  <si>
    <t>Type confusion in XNU</t>
  </si>
  <si>
    <t>https://support.apple.com/en-us/HT212825</t>
  </si>
  <si>
    <t>https://blog.google/threat-analysis-group/analyzing-watering-hole-campaign-using-macos-exploits/</t>
  </si>
  <si>
    <t>Erye Hernandez of Google Threat Analysis Group, Clément Lecigne of Google Threat Analysis Group, and Ian Beer of Google Project Zero</t>
  </si>
  <si>
    <t>CVE-2021-37973</t>
  </si>
  <si>
    <t>Use-after-free in Portals</t>
  </si>
  <si>
    <t>https://chromereleases.googleblog.com/2021/09/stable-channel-update-for-desktop_24.html</t>
  </si>
  <si>
    <t xml:space="preserve">https://blog.google/threat-analysis-group/protecting-android-users-from-0-day-attacks/ </t>
  </si>
  <si>
    <t>Clément Lecigne from Google TAG, with technical assistance from Sergei Glazunov and Mark Brand from Google Project Zero</t>
  </si>
  <si>
    <t>CVE-2021-37975</t>
  </si>
  <si>
    <t>Use-after-free in V8</t>
  </si>
  <si>
    <t>https://chromereleases.googleblog.com/2021/09/stable-channel-update-for-desktop_30.html</t>
  </si>
  <si>
    <t>https://securitylab.github.com/research/in_the_wild_chrome_cve_2021_37975/</t>
  </si>
  <si>
    <t>https://googleprojectzero.github.io/0days-in-the-wild//0day-RCAs/2021/CVE-2021-37975.html</t>
  </si>
  <si>
    <t>CVE-2021-37976</t>
  </si>
  <si>
    <t>Information leak in Core</t>
  </si>
  <si>
    <t>CVE-2021-41773</t>
  </si>
  <si>
    <t>Apache</t>
  </si>
  <si>
    <t>HTTP Server</t>
  </si>
  <si>
    <t>Path traversal &amp; file disclosure vulnerability</t>
  </si>
  <si>
    <t>https://httpd.apache.org/security/vulnerabilities_24.html</t>
  </si>
  <si>
    <t>Ash Daulton along with the cPanel Security Team</t>
  </si>
  <si>
    <t>CVE-2021-30883</t>
  </si>
  <si>
    <t>A memory corruption issue in IOMobileFrameBuffer</t>
  </si>
  <si>
    <t>https://support.apple.com/en-us/HT212846</t>
  </si>
  <si>
    <t>https://saaramar.github.io/IOMFB_integer_overflow_poc/</t>
  </si>
  <si>
    <t>CVE-2021-40449</t>
  </si>
  <si>
    <t>Use-after-free in Win32k</t>
  </si>
  <si>
    <t>https://msrc.microsoft.com/update-guide/vulnerability/CVE-2021-40449</t>
  </si>
  <si>
    <t>https://securelist.com/mysterysnail-attacks-with-windows-zero-day/104509/</t>
  </si>
  <si>
    <t>Boris Larin (oct0xor) with Kaspersky</t>
  </si>
  <si>
    <t>CVE-2021-38000</t>
  </si>
  <si>
    <t>https://chromereleases.googleblog.com/2021/10/stable-channel-update-for-desktop_28.html</t>
  </si>
  <si>
    <t xml:space="preserve">https://googleprojectzero.github.io/0days-in-the-wild//0day-RCAs/2021/CVE-2021-38000.html </t>
  </si>
  <si>
    <t>Clement Lecigne, Neel Mehta, and Maddie Stone of Google Threat Analysis Group</t>
  </si>
  <si>
    <t>CVE-2021-38003</t>
  </si>
  <si>
    <t>Inappropriate implementation in V8</t>
  </si>
  <si>
    <t>Clément Lecigne from Google TAG and Samuel Groß from Google Project Zero</t>
  </si>
  <si>
    <t>CVE-2021-0920</t>
  </si>
  <si>
    <t>Race condition during SCM_RIGHTS garbage collection</t>
  </si>
  <si>
    <t>https://source.android.com/security/bulletin/2021-11-01#kernel-components</t>
  </si>
  <si>
    <t xml:space="preserve">https://googleprojectzero.blogspot.com/2022/08/the-quantum-state-of-linux-kernel.html </t>
  </si>
  <si>
    <t>https://googleprojectzero.github.io/0days-in-the-wild//0day-RCAs/2021/CVE-2021-0920.html</t>
  </si>
  <si>
    <t>CVE-2021-1048</t>
  </si>
  <si>
    <t>Use-after-free in ep_loop_check_proc</t>
  </si>
  <si>
    <t>https://source.android.com/security/bulletin/2021-11-01#2021-11-06-security-patch-level-vulnerability-details</t>
  </si>
  <si>
    <t>https://googleprojectzero.github.io/0days-in-the-wild//0day-RCAs/2021/CVE-2021-1048.html</t>
  </si>
  <si>
    <t>Clément Lecigne and Christian Resell from Google's Threat Analysis Group</t>
  </si>
  <si>
    <t>CVE-2021-42292</t>
  </si>
  <si>
    <t>Office</t>
  </si>
  <si>
    <t>Excel security feature bypass</t>
  </si>
  <si>
    <t xml:space="preserve">https://msrc.microsoft.com/update-guide/en-US/vulnerability/CVE-2021-42292 </t>
  </si>
  <si>
    <t>https://twitter.com/HaifeiLi/status/1486133229614616577</t>
  </si>
  <si>
    <t>CVE-2021-42321</t>
  </si>
  <si>
    <t>https://msrc.microsoft.com/update-guide/en-US/vulnerability/CVE-2021-42321</t>
  </si>
  <si>
    <t>https://peterjson.medium.com/some-notes-about-microsoft-exchange-deserialization-rce-cve-2021-42321-110d04e8852</t>
  </si>
  <si>
    <t>Microsoft Security Response Center, Microsoft Threat Intelligence Center (MSTIC), Yuhao Weng with Sangfor, and 漏洞研究院青训队 with Tianfu</t>
  </si>
  <si>
    <t>CVE-2021-30983</t>
  </si>
  <si>
    <t>Buffer overflow in IOMobileFrameBuffer</t>
  </si>
  <si>
    <t>https://support.apple.com/en-us/HT212976</t>
  </si>
  <si>
    <t>https://googleprojectzero.blogspot.com/2022/06/curious-case-carrier-app.html</t>
  </si>
  <si>
    <t>Pangu via Tianfu Cup</t>
  </si>
  <si>
    <t>CVE-2021-25337</t>
  </si>
  <si>
    <t>Access control issues in clipboard provider</t>
  </si>
  <si>
    <t>https://googleprojectzero.blogspot.com/2022/11/a-very-powerful-clipboard-samsung-in-the-wild-exploit-chain.html</t>
  </si>
  <si>
    <t>https://googleprojectzero.github.io/0days-in-the-wild//0day-RCAs/2021/CVE-2021-25337.html</t>
  </si>
  <si>
    <t>CVE-2021-25369</t>
  </si>
  <si>
    <t>Kernel info leak in sec_log</t>
  </si>
  <si>
    <t>https://googleprojectzero.github.io/0days-in-the-wild//0day-RCAs/2021/CVE-2021-25369.html</t>
  </si>
  <si>
    <t>CVE-2021-25370</t>
  </si>
  <si>
    <t>Use-after-free in dpu (DECON) driver</t>
  </si>
  <si>
    <t>CVE-2021-25371</t>
  </si>
  <si>
    <t>Possible to load arbitrary ELF library inside DSP</t>
  </si>
  <si>
    <t>CVE-2021-25372</t>
  </si>
  <si>
    <t>Out-of-bounds access vulnerability in DSP driver</t>
  </si>
  <si>
    <t>CVE-2021-25394</t>
  </si>
  <si>
    <t>Use-after-free in MFC charger driver</t>
  </si>
  <si>
    <t>CVE-2021-25395</t>
  </si>
  <si>
    <t>CVE-2021-25487</t>
  </si>
  <si>
    <t>Arbitrary code execution via OOB read in modem interface driver</t>
  </si>
  <si>
    <t>CVE-2021-25489</t>
  </si>
  <si>
    <t>Format string bug in modem interface driver</t>
  </si>
  <si>
    <t>CVE-2021-4102</t>
  </si>
  <si>
    <t>https://chromereleases.googleblog.com/2021/12/stable-channel-update-for-desktop_13.html</t>
  </si>
  <si>
    <t>https://googleprojectzero.github.io/0days-in-the-wild//0day-RCAs/2021/CVE-2021-4102.html</t>
  </si>
  <si>
    <t>CVE-2019-17026</t>
  </si>
  <si>
    <t>Type confusion in IonMonkey JIT compiler</t>
  </si>
  <si>
    <t>https://www.mozilla.org/en-US/security/advisories/mfsa2020-03/</t>
  </si>
  <si>
    <t>https://googleprojectzero.github.io/0days-in-the-wild//0day-RCAs/2020/CVE-2019-17026.html</t>
  </si>
  <si>
    <t>Qihoo 360 ATA</t>
  </si>
  <si>
    <t>CVE-2020-0674</t>
  </si>
  <si>
    <t>Unspecified memory corruption in Internet Explorer</t>
  </si>
  <si>
    <t>https://portal.msrc.microsoft.com/en-US/security-guidance/advisory/CVE-2020-0674</t>
  </si>
  <si>
    <t>https://blogs.360.cn/post/apt-c-06_0day.html</t>
  </si>
  <si>
    <t>https://googleprojectzero.github.io/0days-in-the-wild//0day-RCAs/2020/CVE-2020-0674.html</t>
  </si>
  <si>
    <t>Yi Huang(@C0rk1_H) &amp; Kang Yang(@dnpushme) of Qihoo 360 ATA, Clément Lecigne of Google’s Threat Analysis Group</t>
  </si>
  <si>
    <t>CVE-2020-6418</t>
  </si>
  <si>
    <t>https://chromereleases.googleblog.com/2020/02/stable-channel-update-for-desktop_24.html</t>
  </si>
  <si>
    <t>https://googleprojectzero.github.io/0days-in-the-wild/0day-RCAs/2020/CVE-2020-6418.html</t>
  </si>
  <si>
    <t>CVE-2020-8467</t>
  </si>
  <si>
    <t>TrendMicro</t>
  </si>
  <si>
    <t>Apex One/OfficeScan</t>
  </si>
  <si>
    <t>Unspecified</t>
  </si>
  <si>
    <t>Unspecified vulnerability in a migration tool component</t>
  </si>
  <si>
    <t>https://success.trendmicro.com/solution/000245571</t>
  </si>
  <si>
    <t>CVE-2020-8468</t>
  </si>
  <si>
    <t>Content validation escape in agent client component</t>
  </si>
  <si>
    <t>CVE-2020-6453</t>
  </si>
  <si>
    <t>https://chromereleases.googleblog.com/2020/03/stable-channel-update-for-desktop_31.html</t>
  </si>
  <si>
    <t>CVE-2020-6572</t>
  </si>
  <si>
    <t>Use-after-free in media</t>
  </si>
  <si>
    <t>https://chromereleases.googleblog.com/2020/04/stable-channel-update-for-desktop_7.html</t>
  </si>
  <si>
    <t>https://googleprojectzero.github.io/0days-in-the-wild/0day-RCAs/2020/CVE-2020-6572.html</t>
  </si>
  <si>
    <t>CVE-2020-6819</t>
  </si>
  <si>
    <t>Use-after-free while running the nsDocShell destructor</t>
  </si>
  <si>
    <t>https://www.mozilla.org/en-US/security/advisories/mfsa2020-11/</t>
  </si>
  <si>
    <t>Francisco Alonso @revskills working with Javier Marcos of @JMPSec</t>
  </si>
  <si>
    <t>CVE-2020-6820</t>
  </si>
  <si>
    <t>Use-after-free when handling a ReadableStream</t>
  </si>
  <si>
    <t>https://googleprojectzero.github.io/0days-in-the-wild//0day-RCAs/2020/CVE-2020-6820.html</t>
  </si>
  <si>
    <t>CVE-2020-0938</t>
  </si>
  <si>
    <t>Unspecified memory corruption in Adobe Type 1 PostScript format</t>
  </si>
  <si>
    <t>https://portal.msrc.microsoft.com/en-us/security-guidance/advisory/CVE-2020-0938</t>
  </si>
  <si>
    <t>https://googleprojectzero.github.io/0days-in-the-wild//0day-RCAs/2020/CVE-2020-0938.html</t>
  </si>
  <si>
    <t>Liubenjin and Zhiyi Zhang from Codesafe Team of Legendsec at Qi'anxin Group</t>
  </si>
  <si>
    <t>CVE-2020-1020</t>
  </si>
  <si>
    <t>https://portal.msrc.microsoft.com/en-us/security-guidance/advisory/CVE-2020-1020</t>
  </si>
  <si>
    <t>https://googleprojectzero.github.io/0days-in-the-wild//0day-RCAs/2020/CVE-2020-1020.html</t>
  </si>
  <si>
    <t>Google Project Zero &amp; Google's Threat Analysis Group</t>
  </si>
  <si>
    <t>CVE-2020-1027</t>
  </si>
  <si>
    <t>Unspecified memory corruption in Windows Kernel</t>
  </si>
  <si>
    <t>https://portal.msrc.microsoft.com/en-us/security-guidance/advisory/CVE-2020-1027</t>
  </si>
  <si>
    <t>https://googleprojectzero.github.io/0days-in-the-wild//0day-RCAs/2020/CVE-2020-1027.html</t>
  </si>
  <si>
    <t>CVE-2020-12271</t>
  </si>
  <si>
    <t>XG Firewall</t>
  </si>
  <si>
    <t>SQL injection in admin interface/user portal</t>
  </si>
  <si>
    <t>https://community.sophos.com/kb/en-us/135412</t>
  </si>
  <si>
    <t>https://news.sophos.com/en-us/2020/04/26/asnarok/</t>
  </si>
  <si>
    <t>CVE-2020-0986</t>
  </si>
  <si>
    <t>https://portal.msrc.microsoft.com/en-US/security-guidance/advisory/CVE-2020-0986</t>
  </si>
  <si>
    <t>https://securelist.com/ie-and-windows-zero-day-operation-powerfall/97976/</t>
  </si>
  <si>
    <t>https://googleprojectzero.github.io/0days-in-the-wild//0day-RCAs/2020/CVE-2020-0986.html</t>
  </si>
  <si>
    <t>Andy, Anonymous working with Trend Micro's Zero Day Initiative, &amp; Boris Larin of Kaspersky</t>
  </si>
  <si>
    <t>CVE-2020-1380</t>
  </si>
  <si>
    <t>Use-after-free in JScript9</t>
  </si>
  <si>
    <t>https://portal.msrc.microsoft.com/en-US/security-guidance/advisory/CVE-2020-1380</t>
  </si>
  <si>
    <t>https://googleprojectzero.github.io/0days-in-the-wild//0day-RCAs/2020/CVE-2020-1380.html</t>
  </si>
  <si>
    <t>CVE-2020-15999</t>
  </si>
  <si>
    <t>Heap buffer overflow in typescript Load_SBit_Png</t>
  </si>
  <si>
    <t>https://chromereleases.googleblog.com/2020/10/stable-channel-update-for-desktop_20.html</t>
  </si>
  <si>
    <t>https://savannah.nongnu.org/bugs/?59308</t>
  </si>
  <si>
    <t>https://googleprojectzero.github.io/0days-in-the-wild//0day-RCAs/2020/CVE-2020-15999.html</t>
  </si>
  <si>
    <t>Google Project Zero</t>
  </si>
  <si>
    <t>CVE-2020-17087</t>
  </si>
  <si>
    <t>Heap buffer overflow in cng.sys IOCTL 0x390400</t>
  </si>
  <si>
    <t>https://msrc.microsoft.com/update-guide/en-US/vulnerability/CVE-2020-17087</t>
  </si>
  <si>
    <t>https://bugs.chromium.org/p/project-zero/issues/detail?id=2104</t>
  </si>
  <si>
    <t>https://googleprojectzero.github.io/0days-in-the-wild//0day-RCAs/2020/CVE-2020-17087.html</t>
  </si>
  <si>
    <t>CVE-2020-16009</t>
  </si>
  <si>
    <t>Type confusion in TurboFan map deprecation</t>
  </si>
  <si>
    <t>https://chromereleases.googleblog.com/2020/11/stable-channel-update-for-desktop.html</t>
  </si>
  <si>
    <t>https://bugs.chromium.org/p/project-zero/issues/detail?id=2106</t>
  </si>
  <si>
    <t>https://googleprojectzero.github.io/0days-in-the-wild//0day-RCAs/2020/CVE-2020-16009.html</t>
  </si>
  <si>
    <t>Google Project Zero/Google TAG</t>
  </si>
  <si>
    <t>CVE-2020-16010</t>
  </si>
  <si>
    <t>Unspecified memory corruption in Chrome on Android sandbox</t>
  </si>
  <si>
    <t>https://chromereleases.googleblog.com/2020/11/chrome-for-android-update.html</t>
  </si>
  <si>
    <t>https://bugs.chromium.org/p/project-zero/issues/detail?id=2112</t>
  </si>
  <si>
    <t>https://googleprojectzero.github.io/0days-in-the-wild//0day-RCAs/2020/CVE-2020-16010.html</t>
  </si>
  <si>
    <t>CVE-2020-27930</t>
  </si>
  <si>
    <t>Unspecified memory corruption in font parsing</t>
  </si>
  <si>
    <t>https://support.apple.com/en-us/HT211929</t>
  </si>
  <si>
    <t>https://bugs.chromium.org/p/project-zero/issues/detail?id=2105</t>
  </si>
  <si>
    <t>https://googleprojectzero.github.io/0days-in-the-wild//0day-RCAs/2020/CVE-2020-27930.html</t>
  </si>
  <si>
    <t>CVE-2020-27950</t>
  </si>
  <si>
    <t>Information Leak</t>
  </si>
  <si>
    <t>Unspecified memory initialization issue in kernel</t>
  </si>
  <si>
    <t>https://bugs.chromium.org/p/project-zero/issues/detail?id=2108&amp;q=CVE-2020-27950&amp;can=1</t>
  </si>
  <si>
    <t>https://googleprojectzero.github.io/0days-in-the-wild//0day-RCAs/2020/CVE-2020-27950.html</t>
  </si>
  <si>
    <t>CVE-2020-27932</t>
  </si>
  <si>
    <t>Unspecified type confusion in kernel</t>
  </si>
  <si>
    <t>https://bugs.chromium.org/p/project-zero/issues/detail?id=2107</t>
  </si>
  <si>
    <t>https://googleprojectzero.github.io/0days-in-the-wild//0day-RCAs/2020/CVE-2020-27932.html</t>
  </si>
  <si>
    <t>CVE-2020-16013</t>
  </si>
  <si>
    <t>Unspecified memory corruption in v8</t>
  </si>
  <si>
    <t>https://chromereleases.googleblog.com/2020/11/stable-channel-update-for-desktop_11.html</t>
  </si>
  <si>
    <t>CVE-2020-16017</t>
  </si>
  <si>
    <t>Use-after-free in site isolation</t>
  </si>
  <si>
    <t>CVE-2020-4006</t>
  </si>
  <si>
    <t>VMWare</t>
  </si>
  <si>
    <t>VMware Workspace ONE Access</t>
  </si>
  <si>
    <t>Command injection</t>
  </si>
  <si>
    <t>https://www.vmware.com/security/advisories/VMSA-2020-0027.html</t>
  </si>
  <si>
    <t>National Security Agency</t>
  </si>
  <si>
    <t>CVE-2019-7286</t>
  </si>
  <si>
    <t>Use-after-free in CFPrefsDaemon</t>
  </si>
  <si>
    <t>https://support.apple.com/en-us/HT209520</t>
  </si>
  <si>
    <t>https://blog.zecops.com/vulnerabilities/analysis-and-reproduction-of-cve-2019-7286/</t>
  </si>
  <si>
    <t>https://googleprojectzero.github.io/0days-in-the-wild//0day-RCAs/2019/CVE-2019-7286.html</t>
  </si>
  <si>
    <t>Clement Lecigne of Google Threat Analysis Group, Ian Beer &amp; Samuel Groß of Google Project Zero, &amp; an anonymous researcher</t>
  </si>
  <si>
    <t>CVE-2019-7287</t>
  </si>
  <si>
    <t>Buffer overflow in ProvInfoIOKitUserClient</t>
  </si>
  <si>
    <t>https://www.antid0te.com/blog/19-02-23-ios-kernel-cve-2019-7287-memory-corruption-vulnerability.html</t>
  </si>
  <si>
    <t>https://googleprojectzero.github.io/0days-in-the-wild//0day-RCAs/2019/CVE-2019-7287.html</t>
  </si>
  <si>
    <t>CVE-2019-0676</t>
  </si>
  <si>
    <t>Unspecified information leak vulnerability</t>
  </si>
  <si>
    <t>https://portal.msrc.microsoft.com/en-US/security-guidance/advisory/CVE-2019-0676</t>
  </si>
  <si>
    <t>Clement Lecigne of Google’s Threat Analysis Group</t>
  </si>
  <si>
    <t>CVE-2019-5786</t>
  </si>
  <si>
    <t>Use-after-free in FileReader</t>
  </si>
  <si>
    <t>https://chromereleases.googleblog.com/2019/03/stable-channel-update-for-desktop.html</t>
  </si>
  <si>
    <t>https://blog.exodusintel.com/2019/03/20/cve-2019-5786-analysis-and-exploitation/</t>
  </si>
  <si>
    <t>CVE-2019-0808</t>
  </si>
  <si>
    <t>NULL pointer dereference in win32k!xxxMNFindWindowFromPoint</t>
  </si>
  <si>
    <t>https://portal.msrc.microsoft.com/en-US/security-guidance/advisory/CVE-2019-0808</t>
  </si>
  <si>
    <t>https://blog.360totalsecurity.com/en/analysis-of-the-causes-of-cve-2019-0808-core-elevation-permission-vulnerability/</t>
  </si>
  <si>
    <t>CVE-2019-0797</t>
  </si>
  <si>
    <t>Race condition in NtDCompositionDestroyConnection</t>
  </si>
  <si>
    <t>https://portal.msrc.microsoft.com/en-US/security-guidance/advisory/CVE-2019-0797</t>
  </si>
  <si>
    <t>https://securelist.com/cve-2019-0797-zero-day-vulnerability/89885/</t>
  </si>
  <si>
    <t>Vasily Berdnikov &amp; Boris Larin of Kaspersky Lab</t>
  </si>
  <si>
    <t>CVE-2019-0703</t>
  </si>
  <si>
    <t>Unspecified information leak vulnerability in SMB</t>
  </si>
  <si>
    <t>https://portal.msrc.microsoft.com/en-US/security-guidance/advisory/CVE-2019-0703</t>
  </si>
  <si>
    <t>Piotr Krysiuk of Symantec &amp; Andrew Burkhardt of MSRC Vulnerabilities &amp; Mitigations Team</t>
  </si>
  <si>
    <t>CVE-2019-0803</t>
  </si>
  <si>
    <t>Unspecified memory corruption in win32k</t>
  </si>
  <si>
    <t>https://portal.msrc.microsoft.com/en-US/security-guidance/advisory/CVE-2019-0803</t>
  </si>
  <si>
    <t>Donghai Zhu of Alibaba Cloud Intelligence Security Team</t>
  </si>
  <si>
    <t>CVE-2019-0859</t>
  </si>
  <si>
    <t>Use-after-free in CreateWindowEx</t>
  </si>
  <si>
    <t>https://portal.msrc.microsoft.com/en-US/security-guidance/advisory/CVE-2019-0859</t>
  </si>
  <si>
    <t>https://securelist.com/new-win32k-zero-day-cve-2019-0859/90435/</t>
  </si>
  <si>
    <t>CVE-2019-3568</t>
  </si>
  <si>
    <t>Facebook</t>
  </si>
  <si>
    <t>WhatsApp</t>
  </si>
  <si>
    <t>Buffer overflow in SRTCP packets</t>
  </si>
  <si>
    <t>https://www.facebook.com/security/advisories/cve-2019-3568</t>
  </si>
  <si>
    <t>https://research.checkpoint.com/the-nso-whatsapp-vulnerability-this-is-how-it-happened/</t>
  </si>
  <si>
    <t>CVE-2019-11707</t>
  </si>
  <si>
    <t>Type confusion in Array.pop</t>
  </si>
  <si>
    <t>https://www.mozilla.org/en-US/security/advisories/mfsa2019-18/</t>
  </si>
  <si>
    <t>https://googleprojectzero.github.io/0days-in-the-wild//0day-RCAs/2019/CVE-2019-11707.html</t>
  </si>
  <si>
    <t>Samuel Groß of Google Project Zero, Coinbase Security</t>
  </si>
  <si>
    <t>CVE-2019-11708</t>
  </si>
  <si>
    <t>Sandbox escape in Prompt:Open</t>
  </si>
  <si>
    <t>https://www.mozilla.org/en-US/security/advisories/mfsa2019-19/</t>
  </si>
  <si>
    <t>Coinbase Security</t>
  </si>
  <si>
    <t>CVE-2019-0880</t>
  </si>
  <si>
    <t>Sandbox escape in splwow64.exe</t>
  </si>
  <si>
    <t>https://portal.msrc.microsoft.com/en-us/security-guidance/advisory/CVE-2019-0880</t>
  </si>
  <si>
    <t>Gene Yoo of Resecurity, Inc.</t>
  </si>
  <si>
    <t>CVE-2019-1132</t>
  </si>
  <si>
    <t>https://portal.msrc.microsoft.com/en-us/security-guidance/advisory/CVE-2019-1132</t>
  </si>
  <si>
    <t>https://www.welivesecurity.com/2019/07/10/windows-zero-day-cve-2019-1132-exploit/</t>
  </si>
  <si>
    <t>Anton Cherepanov, Senior Malware Researcher of ESET</t>
  </si>
  <si>
    <t>CVE-2019-1367</t>
  </si>
  <si>
    <t>https://portal.msrc.microsoft.com/en-US/security-guidance/advisory/CVE-2019-1367</t>
  </si>
  <si>
    <t>https://googleprojectzero.github.io/0days-in-the-wild//0day-RCAs/2019/CVE-2019-1367.html</t>
  </si>
  <si>
    <t>CVE-2019-2215</t>
  </si>
  <si>
    <t>Use-after-free in Binder</t>
  </si>
  <si>
    <t>https://source.android.com/security/bulletin/2019-10-01.html#kernel-b</t>
  </si>
  <si>
    <t>https://bugs.chromium.org/p/project-zero/issues/detail?id=1942</t>
  </si>
  <si>
    <t>https://googleprojectzero.github.io/0days-in-the-wild//0day-RCAs/2019/CVE-2019-2215.html</t>
  </si>
  <si>
    <t>Maddie Stone of Google Project Zero</t>
  </si>
  <si>
    <t>CVE-2019-18187</t>
  </si>
  <si>
    <t>OfficeScan</t>
  </si>
  <si>
    <t>Directory traversal in ZIP file extraction</t>
  </si>
  <si>
    <t>https://success.trendmicro.com/solution/000151730</t>
  </si>
  <si>
    <t>CVE-2019-13720</t>
  </si>
  <si>
    <t>Use-after-free in audio</t>
  </si>
  <si>
    <t>https://chromereleases.googleblog.com/2019/10/stable-channel-update-for-desktop_31.html</t>
  </si>
  <si>
    <t>https://securelist.com/chrome-0-day-exploit-cve-2019-13720-used-in-operation-wizardopium/94866/</t>
  </si>
  <si>
    <t>https://googleprojectzero.github.io/0days-in-the-wild//0day-RCAs/2019/CVE-2019-13720.html</t>
  </si>
  <si>
    <t>Anton Ivanov and Alexey Kulaev of Kaspersky Lab</t>
  </si>
  <si>
    <t>CVE-2019-1429</t>
  </si>
  <si>
    <t>https://portal.msrc.microsoft.com/en-us/security-guidance/advisory/CVE-2019-1429</t>
  </si>
  <si>
    <t>Clément Lecigne of Google’s Threat Analysis Group &amp; Ivan Fratric of Google Project Zero</t>
  </si>
  <si>
    <t>CVE-2019-1458</t>
  </si>
  <si>
    <t>Memory corruption in window switching</t>
  </si>
  <si>
    <t>https://portal.msrc.microsoft.com/en-US/security-guidance/advisory/CVE-2019-1458</t>
  </si>
  <si>
    <t>https://securelist.com/windows-0-day-exploit-cve-2019-1458-used-in-operation-wizardopium/95432/</t>
  </si>
  <si>
    <t>https://googleprojectzero.github.io/0days-in-the-wild//0day-RCAs/2019/CVE-2019-1458.html</t>
  </si>
  <si>
    <t>CVE-2018-0802</t>
  </si>
  <si>
    <t>Buffer overflow in equation editor lfFaceName</t>
  </si>
  <si>
    <t>https://portal.msrc.microsoft.com/en-US/security-guidance/advisory/CVE-2018-0802</t>
  </si>
  <si>
    <t>https://www.freebuf.com/vuls/159789.html</t>
  </si>
  <si>
    <t>Liang Yin of Tencent PC Manager, Zhiyuan Zheng, Yuki Chen of Qihoo 360 Vulcan Team, Yang Kang, Ding Maoyin and Song Shenlei, and Jinquan of Qihoo 360 Core Security (@360CoreSec), Luka Treiber of 0patch Team - ACROS Security, zhouat of Qihoo 360 Vulcan Team, bee13oy of Qihoo 360 Vulcan Team, Netanel Ben Simon and Omer Gull of Check Point Software Technologies</t>
  </si>
  <si>
    <t>CVE-2018-4878</t>
  </si>
  <si>
    <t>Flash</t>
  </si>
  <si>
    <t>Use-after-free in MediaPlayer DRM Listener</t>
  </si>
  <si>
    <t>https://helpx.adobe.com/security/products/flash-player/apsb18-03.html</t>
  </si>
  <si>
    <t>http://blog.morphisec.com/cve-2018-4878-an-analysis-of-the-flash-player-hack</t>
  </si>
  <si>
    <t>KrCERT/CC</t>
  </si>
  <si>
    <t>CVE-2018-8120</t>
  </si>
  <si>
    <t>NULL pointer dereference in NtUserSetImeInfoEx</t>
  </si>
  <si>
    <t>https://portal.msrc.microsoft.com/en-US/security-guidance/advisory/CVE-2018-8120</t>
  </si>
  <si>
    <t>https://www.welivesecurity.com/2018/05/15/tale-two-zero-days/</t>
  </si>
  <si>
    <t>CVE-2018-8174</t>
  </si>
  <si>
    <t>VBScript</t>
  </si>
  <si>
    <t>Use-after-free in VBScriptClass::Release</t>
  </si>
  <si>
    <t>https://portal.msrc.microsoft.com/en-US/security-guidance/advisory/CVE-2018-8174</t>
  </si>
  <si>
    <t>https://securelist.com/root-cause-analysis-of-cve-2018-8174/85486/</t>
  </si>
  <si>
    <t>Dan Lutas of Bitdefender, Ding Maoyin of Qihoo 360 Core Security, Anton Ivanov of Kaspersky Lab, Song Shenlei of Qihoo 360 Core Security, Anonymous working with Trend Micro's Zero Day Initiative, Simon Zuckerbraun working with Trend Micro's Zero Day Initiative, Yang Kang of Qihoo 360 Core Security, Jinquan of Qihoo 360 Core Security, Vladislav Stolyarov of Kaspersky Lab</t>
  </si>
  <si>
    <t>CVE-2018-4990</t>
  </si>
  <si>
    <t>Out-of-bounds free in JPEG2000 CMAP</t>
  </si>
  <si>
    <t>https://helpx.adobe.com/security/products/acrobat/apsb18-09.html</t>
  </si>
  <si>
    <t>https://srcincite.io/blog/2018/05/21/adobe-me-and-a-double-free.html</t>
  </si>
  <si>
    <t>Anton Cherepanov of ESET &amp; Matt Oh of Microsoft, Ke Liu of Tencent's Xuanwu LAB working via Trend Micro's Zero Day Initiative</t>
  </si>
  <si>
    <t>CVE-2018-5002</t>
  </si>
  <si>
    <t>Out-of-bounds read/write in AVM li8 opcode</t>
  </si>
  <si>
    <t>https://helpx.adobe.com/security/products/flash-player/apsb18-19.html</t>
  </si>
  <si>
    <t>https://s.tencent.com/research/report/489.html</t>
  </si>
  <si>
    <t xml:space="preserve">Chenming Xu and Jason Jones of ICEBRG, Bai Haowen, Zeng Haitao and Huang Chaowen of 360 Threat Intelligence Center of 360 Enterprise Security Group, and Yang Kang, Hu Jiang, Zhang Qing, and Jin Quan of Qihoo 360 Core Security (@360CoreSec), Tencent PC Manager (http://guanjia.qq.com/) </t>
  </si>
  <si>
    <t>CVE-2018-8373</t>
  </si>
  <si>
    <t>Use-after-free in VBScript AssignVar</t>
  </si>
  <si>
    <t>https://portal.msrc.microsoft.com/en-US/security-guidance/advisory/CVE-2018-8373</t>
  </si>
  <si>
    <t>https://blog.trendmicro.com/trendlabs-security-intelligence/use-after-free-uaf-vulnerability-cve-2018-8373-in-vbscript-engine-affects-internet-explorer-to-run-shellcode/</t>
  </si>
  <si>
    <t>Elliot Cao of Trend Micro Security Research working with Trend Micro’s Zero Day Initiative (ZDI)</t>
  </si>
  <si>
    <t>CVE-2018-8453</t>
  </si>
  <si>
    <t>Use-after-free in win32kfull!xxxDestroyWindow</t>
  </si>
  <si>
    <t>https://portal.msrc.microsoft.com/en-US/security-guidance/advisory/CVE-2018-8453</t>
  </si>
  <si>
    <t>https://securelist.com/cve-2018-8453-used-in-targeted-attacks/88151/</t>
  </si>
  <si>
    <t>Kaspersky Lab</t>
  </si>
  <si>
    <t>CVE-2018-8589</t>
  </si>
  <si>
    <t>Race condition in win32k!xxxMoveWindow</t>
  </si>
  <si>
    <t>https://portal.msrc.microsoft.com/en-US/security-guidance/advisory/CVE-2018-8589</t>
  </si>
  <si>
    <t>https://securelist.com/a-new-exploit-for-zero-day-vulnerability-cve-2018-8589/88845/</t>
  </si>
  <si>
    <t>Boris Larin (Oct0xor) &amp; Igor Soumenkov (2igosha) of Kaspersky Lab</t>
  </si>
  <si>
    <t>CVE-2018-15982</t>
  </si>
  <si>
    <t>Use-after-free in TVSDK Metadata</t>
  </si>
  <si>
    <t>https://helpx.adobe.com/security/products/flash-player/apsb18-42.html?red=a</t>
  </si>
  <si>
    <t>http://blogs.360.cn/post/PoisonNeedles_CVE-2018-15982_EN</t>
  </si>
  <si>
    <t>Chenming Xu and Ed Miles of Gigamon ATR, Yang Kang (@dnpushme) and Jinquan (@jq0904) of Qihoo 360 Core Security (@360CoreSec), He Zhiqiu, Qu Yifan, Bai Haowen, Zeng Haitao and Gu Liang of 360 Threat Intelligence of 360 Enterprise Security Group, b2ahex</t>
  </si>
  <si>
    <t>CVE-2018-8611</t>
  </si>
  <si>
    <t>Race condition in kernel transaction manager</t>
  </si>
  <si>
    <t>https://portal.msrc.microsoft.com/en-US/security-guidance/advisory/CVE-2018-8611</t>
  </si>
  <si>
    <t>https://securelist.com/zero-day-in-windows-kernel-transaction-manager-cve-2018-8611/89253/</t>
  </si>
  <si>
    <t>CVE-2018-8653</t>
  </si>
  <si>
    <t>Use-after-free in Enumerator</t>
  </si>
  <si>
    <t>https://portal.msrc.microsoft.com/en-US/security-guidance/advisory/CVE-2018-8653</t>
  </si>
  <si>
    <t>https://securingtomorrow.mcafee.com/other-blogs/mcafee-labs/ie-scripting-flaw-still-a-threat-to-unpatched-systems-analyzing-cve-2018-8653/</t>
  </si>
  <si>
    <t>CVE-2017-0149</t>
  </si>
  <si>
    <t>Memory corruption in VBScript rtJoin</t>
  </si>
  <si>
    <t>https://docs.microsoft.com/en-us/security-updates/securitybulletins/2017/ms17-006</t>
  </si>
  <si>
    <t>https://twitter.com/jq0904/status/1062168435818283008</t>
  </si>
  <si>
    <t>CVE-2017-0022</t>
  </si>
  <si>
    <t>XML Core Services</t>
  </si>
  <si>
    <t>Information leak in MSXML version resource</t>
  </si>
  <si>
    <t>https://docs.microsoft.com/en-us/security-updates/securitybulletins/2017/ms17-022</t>
  </si>
  <si>
    <t>https://blog.trendmicro.com/trendlabs-security-intelligence/cve-2017-0022-microsoft-patches-vulnerability-exploited-adgholas-neutrino/</t>
  </si>
  <si>
    <t>Will Matcalf of Proofpoint, Kafeine of Proofpoint, Joseph C Chen of Trend Micro, Brooks Li of Trend Micro</t>
  </si>
  <si>
    <t>CVE-2017-0005</t>
  </si>
  <si>
    <t>Unspecified memory corruption in GDI</t>
  </si>
  <si>
    <t>https://docs.microsoft.com/en-us/security-updates/securitybulletins/2017/ms17-013</t>
  </si>
  <si>
    <t>https://cloudblogs.microsoft.com/microsoftsecure/2017/03/27/detecting-and-mitigating-elevation-of-privilege-exploit-for-cve-2017-0005/</t>
  </si>
  <si>
    <t>Lockheed Martin Computer Incident Response Team</t>
  </si>
  <si>
    <t>CVE-2017-0143</t>
  </si>
  <si>
    <t>Type confusion in SMB messages (EternalSynergy)</t>
  </si>
  <si>
    <t>https://docs.microsoft.com/en-us/security-updates/securitybulletins/2017/ms17-010</t>
  </si>
  <si>
    <t>https://blogs.technet.microsoft.com/srd/2017/07/13/eternal-synergy-exploit-analysis/</t>
  </si>
  <si>
    <t>CVE-2017-0144</t>
  </si>
  <si>
    <t>Buffer overflow in SMB File Extended Attributes (EternalBlue)</t>
  </si>
  <si>
    <t>https://research.checkpoint.com/eternalblue-everything-know/</t>
  </si>
  <si>
    <t>CVE-2017-0145</t>
  </si>
  <si>
    <t>Unspecified type confusion in SMB (EternalRomance)</t>
  </si>
  <si>
    <t>https://www.microsoft.com/security/blog/2017/06/16/analysis-of-the-shadow-brokers-release-and-mitigation-with-windows-10-virtualization-based-security/</t>
  </si>
  <si>
    <t>CVE-2017-0146</t>
  </si>
  <si>
    <t>Race condition in SMB transactions (EternalChampion)</t>
  </si>
  <si>
    <t>https://blogs.technet.microsoft.com/srd/2017/06/29/eternal-champion-exploit-analysis/</t>
  </si>
  <si>
    <t>CVE-2017-0147</t>
  </si>
  <si>
    <t>Information leak in SMB transactions (EternalChampion)</t>
  </si>
  <si>
    <t>CVE-2017-3881</t>
  </si>
  <si>
    <t>Cisco</t>
  </si>
  <si>
    <t>IOS</t>
  </si>
  <si>
    <t>Buffer overflow in IOS Cluster Management Protocol</t>
  </si>
  <si>
    <t>https://tools.cisco.com/security/center/content/CiscoSecurityAdvisory/cisco-sa-20170317-cmp</t>
  </si>
  <si>
    <t>https://artkond.com/2017/04/10/cisco-catalyst-remote-code-execution/</t>
  </si>
  <si>
    <t>Vault 7 Disclosure</t>
  </si>
  <si>
    <t>CVE-2017-1274</t>
  </si>
  <si>
    <t>IBM</t>
  </si>
  <si>
    <t>Domino</t>
  </si>
  <si>
    <t>Buffer overflow in IMAP EXAMINE (EmphasisMine)</t>
  </si>
  <si>
    <t>http://www-01.ibm.com/support/docview.wss?uid=swg22002280</t>
  </si>
  <si>
    <t>CVE-2017-0210</t>
  </si>
  <si>
    <t>UXSS in htmlFile ActiveX control</t>
  </si>
  <si>
    <t>https://portal.msrc.microsoft.com/en-US/security-guidance/advisory/CVE-2017-0210</t>
  </si>
  <si>
    <t>https://blog.talosintelligence.com/2017/04/ms-tuesday.html</t>
  </si>
  <si>
    <t>CVE-2017-0199</t>
  </si>
  <si>
    <t>Logic/design flaw in embedded HTA documents</t>
  </si>
  <si>
    <t>https://portal.msrc.microsoft.com/en-US/security-guidance/advisory/CVE-2017-0199</t>
  </si>
  <si>
    <t>https://www.fireeye.com/blog/threat-research/2017/04/cve-2017-0199-hta-handler.html</t>
  </si>
  <si>
    <t>Ryan Hanson (@Ryhanson) of Optiv, Microsoft MSRC Vulnerabilities and Mitigations Team, Microsoft Office Security Team, Genwei Jiang, FLARE Team, FireEye Inc, Eduardo Braun Prado of SecuriTeam Secure Disclosure (SSD)</t>
  </si>
  <si>
    <t>CVE-2017-8291</t>
  </si>
  <si>
    <t>Ghostscript</t>
  </si>
  <si>
    <t>Type confusion in rsdparams internal operator</t>
  </si>
  <si>
    <t>https://bugs.ghostscript.com/show_bug.cgi?id=697799</t>
  </si>
  <si>
    <t>https://git.ghostscript.com/?p=ghostpdl.git;a=commitdiff;h=04b37bbce1</t>
  </si>
  <si>
    <t>CVE-2017-0261</t>
  </si>
  <si>
    <t>Use-after free in EPS restore operator</t>
  </si>
  <si>
    <t>https://portal.msrc.microsoft.com/en-US/security-guidance/advisory/CVE-2017-0261</t>
  </si>
  <si>
    <t>https://www.fireeye.com/blog/threat-research/2017/05/eps-processing-zero-days.html</t>
  </si>
  <si>
    <t>Genwei Jiang of FireEye, Inc., Steven Hunter of MSRC Vulnerabilities &amp; Mitigations</t>
  </si>
  <si>
    <t>CVE-2017-0262</t>
  </si>
  <si>
    <t>Type Confusion in EPS forall operator</t>
  </si>
  <si>
    <t>https://portal.msrc.microsoft.com/en-US/security-guidance/advisory/CVE-2017-0262</t>
  </si>
  <si>
    <t>Thomas Dupuy and Jessy Campos of ESET, Genwei Jiang of FireEye, Inc.</t>
  </si>
  <si>
    <t>CVE-2017-0263</t>
  </si>
  <si>
    <t>Use-after-free in win32k!xxxDestroyWindow</t>
  </si>
  <si>
    <t>https://portal.msrc.microsoft.com/en-US/security-guidance/advisory/CVE-2017-0263</t>
  </si>
  <si>
    <t>Mikhail Tsvetkov of Positive Technologies, Dhanesh Kizhakkinan of FireEye Inc, Thomas Dupuy and Jessy Campos of ESET</t>
  </si>
  <si>
    <t>CVE-2017-0222</t>
  </si>
  <si>
    <t>https://portal.msrc.microsoft.com/en-US/security-guidance/advisory/CVE-2017-0222</t>
  </si>
  <si>
    <t>CVE-2017-8464</t>
  </si>
  <si>
    <t>Code injection in LNK file ExtraData parsing</t>
  </si>
  <si>
    <t>https://portal.msrc.microsoft.com/en-US/security-guidance/advisory/CVE-2017-8464</t>
  </si>
  <si>
    <t>http://www.vxjump.net/files/vuln_analysis/cve-2017-8464.txt</t>
  </si>
  <si>
    <t>CVE-2017-8543</t>
  </si>
  <si>
    <t>Buffer overflow in Windows Search CTableVariant</t>
  </si>
  <si>
    <t>https://portal.msrc.microsoft.com/en-US/security-guidance/advisory/CVE-2017-8543</t>
  </si>
  <si>
    <t>https://mp.weixin.qq.com/s/X2JcKCpCH4exDoxMK5oN5Q?</t>
  </si>
  <si>
    <t>CVE-2017-8759</t>
  </si>
  <si>
    <t>Code injection in SOAP WSDL parser</t>
  </si>
  <si>
    <t>https://portal.msrc.microsoft.com/en-US/security-guidance/advisory/CVE-2017-8759</t>
  </si>
  <si>
    <t>https://www.fireeye.com/blog/threat-research/2017/09/zero-day-used-to-distribute-finspy.html</t>
  </si>
  <si>
    <t>Genwei Jiang and Dhanesh Kizhakkinan of FireEye, Inc.</t>
  </si>
  <si>
    <t>CVE-2017-11826</t>
  </si>
  <si>
    <t>Memory corruption in Open XML format nested tags</t>
  </si>
  <si>
    <t>https://portal.msrc.microsoft.com/en-US/security-guidance/advisory/CVE-2017-11826</t>
  </si>
  <si>
    <t>https://securingtomorrow.mcafee.com/other-blogs/mcafee-labs/analyzing-microsoft-office-zero-day-exploit-cve-2017-11826-memory-corruption-vulnerability/</t>
  </si>
  <si>
    <t>Yang Kang, Ding Maoyin and Song Shenlei of Qihoo 360 Core Security (@360CoreSec)</t>
  </si>
  <si>
    <t>CVE-2017-11292</t>
  </si>
  <si>
    <t>Type confusion in TVSDK BufferControlParameters</t>
  </si>
  <si>
    <t>https://helpx.adobe.com/security/products/flash-player/apsb17-32.html</t>
  </si>
  <si>
    <t>https://securelist.com/blackoasis-apt-and-new-targeted-attacks-leveraging-zero-day-exploit/82732/</t>
  </si>
  <si>
    <t>Anton Ivanov of Kaspersky Labs</t>
  </si>
  <si>
    <t>CVE-2016-0034</t>
  </si>
  <si>
    <t>Silverlight</t>
  </si>
  <si>
    <t>Memory corruption in BinaryReader</t>
  </si>
  <si>
    <t>https://docs.microsoft.com/en-us/security-updates/SecurityBulletins/2016/ms16-006</t>
  </si>
  <si>
    <t>https://securelist.com/blog/research/73255/the-mysterious-case-of-cve-2016-0034-the-hunt-for-a-microsoft-silverlight-0-day/</t>
  </si>
  <si>
    <t>Anton Ivanov and Costin Raiu of Kaspersky Lab</t>
  </si>
  <si>
    <t>CVE-2016-0984</t>
  </si>
  <si>
    <t>Use-after-free in Sound.loadPCMFromByteArray</t>
  </si>
  <si>
    <t>https://helpx.adobe.com/security/products/flash-player/apsb16-04.html</t>
  </si>
  <si>
    <t>https://bugs.chromium.org/p/project-zero/issues/detail?id=698&amp;redir=1</t>
  </si>
  <si>
    <t>Natalie Silvanovich of Google Project Zero</t>
  </si>
  <si>
    <t>CVE-2016-1010</t>
  </si>
  <si>
    <t>Buffer overflow in BitmapData.copyPixels</t>
  </si>
  <si>
    <t>https://helpx.adobe.com/security/products/flash-player/apsb16-08.html</t>
  </si>
  <si>
    <t>https://blog.trendmicro.com/trendlabs-security-intelligence/root-cause-analysis-recent-flash-zero-day-vulnerability-cve-2016-1010/</t>
  </si>
  <si>
    <t>Anton Ivanov of Kaspersky Lab</t>
  </si>
  <si>
    <t>CVE-2016-1019</t>
  </si>
  <si>
    <t>Type confusion in FileReference</t>
  </si>
  <si>
    <t>https://helpx.adobe.com/security/products/flash-player/apsb16-10.html</t>
  </si>
  <si>
    <t>https://blog.trendmicro.com/trendlabs-security-intelligence/look-adobe-flash-player-cve-2016-1019-zero-day-vulnerability/</t>
  </si>
  <si>
    <t>Kafeine (EmergingThreats/Proofpoint), Genwei Jiang (FireEye, Inc.), Clement Lecigne of Google</t>
  </si>
  <si>
    <t>CVE-2016-0162</t>
  </si>
  <si>
    <t>Unspecified file detection issue</t>
  </si>
  <si>
    <t>https://docs.microsoft.com/en-us/security-updates/securitybulletins/2016/ms16-037</t>
  </si>
  <si>
    <t>https://www.welivesecurity.com/2016/12/06/readers-popular-websites-targeted-stealthy-stegano-exploit-kit-hiding-pixels-malicious-ads/</t>
  </si>
  <si>
    <t>Ladislav Janko, working with ESET</t>
  </si>
  <si>
    <t>CVE-2016-0165</t>
  </si>
  <si>
    <t>Windows Kernel</t>
  </si>
  <si>
    <t>Buffer overflow in RGNMEMOBJ::vCreate</t>
  </si>
  <si>
    <t>https://docs.microsoft.com/en-us/security-updates/securitybulletins/2016/ms16-039</t>
  </si>
  <si>
    <t>https://www.secureauth.com/blog/ms16-039-windows-10-64-bits-integer-overflow-exploitation-by-using-gdi-objects</t>
  </si>
  <si>
    <t>Sebastian Apelt of Siberas working with Trend Micro's Zero Day Initiative, Anton Ivanov of Kaspersky Lab</t>
  </si>
  <si>
    <t>CVE-2016-0167</t>
  </si>
  <si>
    <t>Use-after-free in win32k!xxxMNDestroyHandler</t>
  </si>
  <si>
    <t>https://www.fireeye.com/blog/threat-research/2016/05/windows-zero-day-payment-cards.html</t>
  </si>
  <si>
    <t>Dhanesh Kizhakkinan of FireEye, Inc.</t>
  </si>
  <si>
    <t>CVE-2016-0189</t>
  </si>
  <si>
    <t>Memory corruption in VBScript AccessArray</t>
  </si>
  <si>
    <t>https://docs.microsoft.com/en-us/security-updates/securitybulletins/2016/ms16-051</t>
  </si>
  <si>
    <t>https://theori.io/research/cve-2016-0189</t>
  </si>
  <si>
    <t>CVE-2016-4117</t>
  </si>
  <si>
    <t>Type confusion in tvsdk DeleteRangeTimelineOperation</t>
  </si>
  <si>
    <t>https://helpx.adobe.com/security/products/flash-player/apsb16-15.html</t>
  </si>
  <si>
    <t>https://www.fireeye.com/blog/threat-research/2016/05/cve-2016-4117-flash-zero-day.html</t>
  </si>
  <si>
    <t>Genwei Jiang of FireEye, Inc</t>
  </si>
  <si>
    <t>CVE-2016-4171</t>
  </si>
  <si>
    <t>Memory corruption in ExecPolicy metadata parsing</t>
  </si>
  <si>
    <t>https://helpx.adobe.com/security/products/flash-player/apsb16-18.html</t>
  </si>
  <si>
    <t>https://securelist.com/operation-daybreak/75100/</t>
  </si>
  <si>
    <t>Anton Ivanov of Kaspersky</t>
  </si>
  <si>
    <t>CVE-2016-6366</t>
  </si>
  <si>
    <t>ASA</t>
  </si>
  <si>
    <t>Buffer overflow in SNMP parsing (EXTRABACON)</t>
  </si>
  <si>
    <t>https://tools.cisco.com/security/center/content/CiscoSecurityAdvisory/cisco-sa-20160817-asa-snmp</t>
  </si>
  <si>
    <t>https://blog.silentsignal.eu/2016/08/25/bake-your-own-extrabacon/</t>
  </si>
  <si>
    <t>Shadow Brokers</t>
  </si>
  <si>
    <t>CVE-2016-6367</t>
  </si>
  <si>
    <t>Buffer overflow in CLI parsing (EPICBANANA)</t>
  </si>
  <si>
    <t>https://tools.cisco.com/security/center/content/CiscoSecurityAdvisory/cisco-sa-20160817-asa-cli</t>
  </si>
  <si>
    <t>CVE-2016-4655</t>
  </si>
  <si>
    <t>Information leak in kernel OSUnserializeBinary (Pegasus)</t>
  </si>
  <si>
    <t>https://support.apple.com/en-us/HT207107</t>
  </si>
  <si>
    <t>https://jndok.github.io/2016/10/04/pegasus-writeup/</t>
  </si>
  <si>
    <t>Citizen Lab and Lookout</t>
  </si>
  <si>
    <t>CVE-2016-4656</t>
  </si>
  <si>
    <t>Use-after-free in kernel OSUnserializeBinary (Pegasus)</t>
  </si>
  <si>
    <t>CVE-2016-4657</t>
  </si>
  <si>
    <t>Use-after-free in MarkedArgumentBuffer (Pegasus)</t>
  </si>
  <si>
    <t>CVE-2016-3351</t>
  </si>
  <si>
    <t>Information leak in a.mimeType</t>
  </si>
  <si>
    <t>https://docs.microsoft.com/en-us/security-updates/securitybulletins/2016/ms16-104</t>
  </si>
  <si>
    <t>https://blog.trendmicro.com/trendlabs-security-intelligence/microsoft-patches-ieedge-zeroday-used-in-adgholas-malvertising-campaign/</t>
  </si>
  <si>
    <t>Kafeine, Brooks Li ofTrend Micro</t>
  </si>
  <si>
    <t>CVE-2016-3298</t>
  </si>
  <si>
    <t>Information leak in Microsoft.XMLDOM</t>
  </si>
  <si>
    <t>https://docs.microsoft.com/en-us/security-updates/securitybulletins/2016/ms16-118</t>
  </si>
  <si>
    <t>https://blog.trendmicro.com/trendlabs-security-intelligence/cve-2016-3298-microsoft-fixes-another-ie-zero-day-used-in-adgholas/</t>
  </si>
  <si>
    <t>CVE-2016-3393</t>
  </si>
  <si>
    <t>Memory corruption in TTF cjComputeGLYPHSET_MSFT_GENERAL</t>
  </si>
  <si>
    <t>https://docs.microsoft.com/en-us/security-updates/securitybulletins/2016/ms16-120</t>
  </si>
  <si>
    <t>https://securelist.com/windows-zero-day-exploit-used-in-targeted-attacks-by-fruityarmor-apt/76396/</t>
  </si>
  <si>
    <t>CVE-2016-7193</t>
  </si>
  <si>
    <t>Memory corruption in \dfrxst</t>
  </si>
  <si>
    <t>https://docs.microsoft.com/en-us/security-updates/securitybulletins/2016/ms16-121</t>
  </si>
  <si>
    <t>https://paper.seebug.org/288/</t>
  </si>
  <si>
    <t>CVE-2016-5195</t>
  </si>
  <si>
    <t>Linux</t>
  </si>
  <si>
    <t>Kernel</t>
  </si>
  <si>
    <t>Race condition in copy-on-write (DirtyCOW)</t>
  </si>
  <si>
    <t>https://github.com/dirtycow/dirtycow.github.io/wiki/VulnerabilityDetails</t>
  </si>
  <si>
    <t>Phil Oester</t>
  </si>
  <si>
    <t>CVE-2016-7855</t>
  </si>
  <si>
    <t>Unspecified use-after-free issue</t>
  </si>
  <si>
    <t>https://helpx.adobe.com/security/products/flash-player/apsb16-36.html</t>
  </si>
  <si>
    <t>https://security.googleblog.com/2016/10/disclosing-vulnerabilities-to-protect.html</t>
  </si>
  <si>
    <t>Neel Mehta and Billy Leonard from Google's Threat Analysis Group</t>
  </si>
  <si>
    <t>CVE-2016-7256</t>
  </si>
  <si>
    <t>Memory corruption on OpenType fonts CFF name index</t>
  </si>
  <si>
    <t>https://docs.microsoft.com/en-us/security-updates/securitybulletins/2016/ms16-132</t>
  </si>
  <si>
    <t>https://asec.ahnlab.com/1050</t>
  </si>
  <si>
    <t>Kijong Son of KrCERT/CC in Korean Internet &amp; Security Agency (KISA)</t>
  </si>
  <si>
    <t>CVE-2016-7255</t>
  </si>
  <si>
    <t>Memory corruption in NtUserSetWindowLongPtr</t>
  </si>
  <si>
    <t>https://docs.microsoft.com/en-us/security-updates/securitybulletins/2016/ms16-135</t>
  </si>
  <si>
    <t>https://blog.trendmicro.com/trendlabs-security-intelligence/one-bit-rule-system-analyzing-cve-2016-7255-exploit-wild/</t>
  </si>
  <si>
    <t>Feike Hacquebord, Peter Pi, and Brooks Li of Trend Micro, Neel Mehta and Billy Leonard of Google’s Threat Analysis Group</t>
  </si>
  <si>
    <t>CVE-2016-9079</t>
  </si>
  <si>
    <t>Use-after-free in SVG Animation (Tor exploit)</t>
  </si>
  <si>
    <t>https://www.mozilla.org/en-US/security/advisories/mfsa2016-92/</t>
  </si>
  <si>
    <t>https://bugzilla.mozilla.org/show_bug.cgi?id=1321066</t>
  </si>
  <si>
    <t>Obscured Team</t>
  </si>
  <si>
    <t>CVE-2016-7892</t>
  </si>
  <si>
    <t>https://helpx.adobe.com/security/products/flash-player/apsb16-39.html</t>
  </si>
  <si>
    <t>Anonymous researcher working with JPCERT/CA</t>
  </si>
  <si>
    <t>CVE-2015-0016</t>
  </si>
  <si>
    <t>Improper path validation leads to IE sandbox escape</t>
  </si>
  <si>
    <t>https://docs.microsoft.com/en-us/security-updates/securitybulletins/2015/ms15-004</t>
  </si>
  <si>
    <t>http://blog.trendmicro.com/trendlabs-security-intelligence/cve-2015-0016-escaping-the-internet-explorer-sandbox/</t>
  </si>
  <si>
    <t>Liam O’Murchu of Symantec</t>
  </si>
  <si>
    <t>CVE-2015-0310</t>
  </si>
  <si>
    <t>Out-of-bounds read in RegExp::exec</t>
  </si>
  <si>
    <t>https://helpx.adobe.com/security/products/flash-player/apsb15-02.html</t>
  </si>
  <si>
    <t>https://bugs.chromium.org/p/chromium/issues/detail?id=442585</t>
  </si>
  <si>
    <t>Yang Dingning, working with the Chromium Vulnerability Rewards Program, Timo Hirvonen of F-Secure and Kafeine</t>
  </si>
  <si>
    <t>CVE-2015-0311</t>
  </si>
  <si>
    <t>Use-after-free in ByteArray::UncompressViaZlibVariant</t>
  </si>
  <si>
    <t>https://helpx.adobe.com/security/products/flash-player/apsb15-03.html</t>
  </si>
  <si>
    <t>https://blog.trendmicro.com/trendlabs-security-intelligence/analyzing-cve-2015-0311-flash-zero-day-vulnerability/</t>
  </si>
  <si>
    <t>Kafeine of Malware don’t need Coffee and Jack Tang of Trend Micro</t>
  </si>
  <si>
    <t>CVE-2015-0313</t>
  </si>
  <si>
    <t>Use-after-free in ByteArray::Clear</t>
  </si>
  <si>
    <t>https://helpx.adobe.com/security/products/flash-player/apsb15-04.html</t>
  </si>
  <si>
    <t>http://blog.trendmicro.com/trendlabs-security-intelligence/analyzing-cve-2015-0313-the-new-flash-player-zero-day/</t>
  </si>
  <si>
    <t>Elia Florio and Dave Weston of Microsoft, and Peter Pi of Trend Micro</t>
  </si>
  <si>
    <t>CVE-2015-0071</t>
  </si>
  <si>
    <t>Out-of-bounds read in Js::JavascriptRegExpConstructor::SetProperty</t>
  </si>
  <si>
    <t>https://docs.microsoft.com/en-us/security-updates/securitybulletins/2015/ms15-009</t>
  </si>
  <si>
    <t>http://blog.trendmicro.com/trendlabs-security-intelligence/bypassing-aslr-with-cve-2015-0071-an-out-of-bounds-read-vulnerability/</t>
  </si>
  <si>
    <t>Clement Lecigne of Google, The Labs Team of iSIGHT Partners</t>
  </si>
  <si>
    <t>CVE-2015-3043</t>
  </si>
  <si>
    <t>Buffer overflow in FLV media parsing</t>
  </si>
  <si>
    <t>https://helpx.adobe.com/security/products/flash-player/apsb15-06.html</t>
  </si>
  <si>
    <t>https://www.fireeye.com/blog/threat-research/2015/04/probable_apt28_useo.html</t>
  </si>
  <si>
    <t>Anonymous</t>
  </si>
  <si>
    <t>CVE-2015-1641</t>
  </si>
  <si>
    <t>Type confusion in SmartTag element</t>
  </si>
  <si>
    <t>https://docs.microsoft.com/en-us/security-updates/SecurityBulletins/2015/ms15-033</t>
  </si>
  <si>
    <t>https://paper.seebug.org/351/</t>
  </si>
  <si>
    <t>The Labs Team of iSIGHT Partners</t>
  </si>
  <si>
    <t>CVE-2015-1701</t>
  </si>
  <si>
    <t>CreateWindow callback validation error</t>
  </si>
  <si>
    <t>https://docs.microsoft.com/en-us/security-updates/securitybulletins/2015/ms15-051</t>
  </si>
  <si>
    <t>CVE-2015-4495</t>
  </si>
  <si>
    <t>Same-origin policy bypass in PDF reader</t>
  </si>
  <si>
    <t>https://www.mozilla.org/en-US/security/advisories/mfsa2015-78/</t>
  </si>
  <si>
    <t>https://blog.mozilla.org/security/2015/08/06/firefox-exploit-found-in-the-wild/</t>
  </si>
  <si>
    <t>Cody Crews</t>
  </si>
  <si>
    <t>CVE-2015-2360</t>
  </si>
  <si>
    <t>Use-after-free on tagCLS object</t>
  </si>
  <si>
    <t>https://docs.microsoft.com/en-us/security-updates/securitybulletins/2015/ms15-061</t>
  </si>
  <si>
    <t>https://blog.trendmicro.com/trendlabs-security-intelligence/analysis-of-cve-2015-2360-duqu-2-0-zero-day-vulnerability/</t>
  </si>
  <si>
    <t>Maxim Golovkin of Kaspersky Lab, enSilo Research Team</t>
  </si>
  <si>
    <t>CVE-2015-3113</t>
  </si>
  <si>
    <t>https://helpx.adobe.com/security/products/flash-player/apsb15-14.html</t>
  </si>
  <si>
    <t>https://blog.trendmicro.com/trendlabs-security-intelligence/new-adobe-zero-day-shares-same-root-cause-as-older-flaws/</t>
  </si>
  <si>
    <t>FireEye</t>
  </si>
  <si>
    <t>CVE-2015-5119</t>
  </si>
  <si>
    <t>Use-after-free in ByteArray ValueOf</t>
  </si>
  <si>
    <t>https://helpx.adobe.com/security/products/flash-player/apsb15-16.html</t>
  </si>
  <si>
    <t>https://blog.trendmicro.com/trendlabs-security-intelligence/unpatched-flash-player-flaws-more-pocs-found-in-hacking-team-leak/</t>
  </si>
  <si>
    <t>Google Project Zero and Morgan Marquis-Boire</t>
  </si>
  <si>
    <t>CVE-2015-5122</t>
  </si>
  <si>
    <t>Use-after-free in TextBlock</t>
  </si>
  <si>
    <t>https://helpx.adobe.com/security/products/flash-player/apsb15-18.html</t>
  </si>
  <si>
    <t>https://blog.trendmicro.com/trendlabs-security-intelligence/another-zero-day-vulnerability-arises-from-hacking-team-data-leak/</t>
  </si>
  <si>
    <t>Dhanesh Kizhakkinan of FireEye</t>
  </si>
  <si>
    <t>CVE-2015-5123</t>
  </si>
  <si>
    <t>Use-after-free in BitmapData</t>
  </si>
  <si>
    <t>https://blog.trendmicro.com/trendlabs-security-intelligence/new-zero-day-vulnerability-cve-2015-5123-in-adobe-flash-emerges-from-hacking-team-leak/</t>
  </si>
  <si>
    <t>Peter Pi of TrendMicro and slipstream/RoL (@TheWack0lian)</t>
  </si>
  <si>
    <t>CVE-2015-2387</t>
  </si>
  <si>
    <t>ATMFD.DLL named escape memory corruption</t>
  </si>
  <si>
    <t>https://docs.microsoft.com/en-us/security-updates/SecurityBulletins/2015/ms15-077</t>
  </si>
  <si>
    <t>https://blog.trendmicro.com/trendlabs-security-intelligence/a-look-at-the-open-type-font-manager-vulnerability-from-the-hacking-team-leak/</t>
  </si>
  <si>
    <t>CVE-2015-2425</t>
  </si>
  <si>
    <t>Use-after-free in MutationObserver</t>
  </si>
  <si>
    <t>https://docs.microsoft.com/en-us/security-updates/SecurityBulletins/2015/ms15-065</t>
  </si>
  <si>
    <t>https://blog.trendmicro.com/trendlabs-security-intelligence/gifts-from-hacking-team-continue-ie-zero-day-added-to-mix/</t>
  </si>
  <si>
    <t>Bill Finlayson of Vectra Networks, Dhanesh Kizhakkinan of FireEye, Peter Pi of TrendMicro</t>
  </si>
  <si>
    <t>CVE-2015-2424</t>
  </si>
  <si>
    <t>Heap corruption in Forms.Image.1</t>
  </si>
  <si>
    <t>https://docs.microsoft.com/en-us/security-updates/SecurityBulletins/2015/ms15-070</t>
  </si>
  <si>
    <t>https://web.archive.org/web/20150717041821/http://www.isightpartners.com/2015/07/microsoft-office-zero-day-cve-2015-2424-leveraged-by-tsar-team/</t>
  </si>
  <si>
    <t>The Labs Team of iSIGHT Partners, Edward Fjellskål of Telenor CERT</t>
  </si>
  <si>
    <t>CVE-2015-2590</t>
  </si>
  <si>
    <t>Oracle</t>
  </si>
  <si>
    <t>Java</t>
  </si>
  <si>
    <t>Race Condition</t>
  </si>
  <si>
    <t>Race condition in ObjectInputStream.readSerialData</t>
  </si>
  <si>
    <t>https://www.oracle.com/technetwork/topics/security/cpujul2015-2367936.html</t>
  </si>
  <si>
    <t>https://twitter.com/tiraniddo/status/621308239909646336</t>
  </si>
  <si>
    <t>CVE-2015-2426</t>
  </si>
  <si>
    <t>OpenType Font Driver buffer overflow in ZwGdiAddFontMemResourceEx</t>
  </si>
  <si>
    <t>https://docs.microsoft.com/en-us/security-updates/securitybulletins/2015/ms15-078</t>
  </si>
  <si>
    <t>http://blog.trendmicro.com/trendlabs-security-intelligence/hacking-team-leak-uncovers-another-windows-zero-day-ms-releases-patch/</t>
  </si>
  <si>
    <t>Mateusz Jurczyk of Google Project Zero, Genwei Jiang of FireEye, Moony Li of TrendMicro</t>
  </si>
  <si>
    <t>CVE-2015-1642</t>
  </si>
  <si>
    <t>Use-after-free in CTaskSymbol</t>
  </si>
  <si>
    <t>https://docs.microsoft.com/en-us/security-updates/securitybulletins/2015/ms15-081</t>
  </si>
  <si>
    <t>https://labs.mwrinfosecurity.com/advisories/2015/08/17/microsoft-office-ctasksymbol-use-after-free-vulnerability/</t>
  </si>
  <si>
    <t>Fortinet's FortiGuard Labs, Yong Chuan Koh (@yongchuank) of MWR Labs, s3tm3m@gmail.com working with VeriSign iDefense Labs</t>
  </si>
  <si>
    <t>CVE-2015-1769</t>
  </si>
  <si>
    <t>Symbolic link attack in Mount Manager</t>
  </si>
  <si>
    <t>https://docs.microsoft.com/en-us/security-updates/securitybulletins/2015/ms15-085</t>
  </si>
  <si>
    <t>http://h3ysatan.blogspot.com/2016/01/cve-2015-1769-cve-2015-1769-mount.html</t>
  </si>
  <si>
    <t>CVE-2015-2502</t>
  </si>
  <si>
    <t>Use-after-free in CMarkup::ReparentTableSection</t>
  </si>
  <si>
    <t>https://docs.microsoft.com/en-us/security-updates/securitybulletins/2015/ms15-093</t>
  </si>
  <si>
    <t>https://twitter.com/Laughing_Mantis/statuses/633839231840841728</t>
  </si>
  <si>
    <t>Clement Lecigne of Google</t>
  </si>
  <si>
    <t>CVE-2015-2546</t>
  </si>
  <si>
    <t>Use-after-free in xxxSendMessage (tagPOPUPMENU)</t>
  </si>
  <si>
    <t>https://docs.microsoft.com/en-us/security-updates/securitybulletins/2015/ms15-097</t>
  </si>
  <si>
    <t>https://www.fireeye.com/content/dam/fireeye-www/blog/pdfs/twoforonefinal.pdf</t>
  </si>
  <si>
    <t>Wang Yu of FireEye</t>
  </si>
  <si>
    <t>CVE-2015-2545</t>
  </si>
  <si>
    <t>Use-after-free in EPS forall operator</t>
  </si>
  <si>
    <t>https://docs.microsoft.com/en-us/security-updates/securitybulletins/2015/ms15-099</t>
  </si>
  <si>
    <t>Genwei Jiang of FireEye</t>
  </si>
  <si>
    <t>CVE-2015-7645</t>
  </si>
  <si>
    <t>Type Confusion</t>
  </si>
  <si>
    <t>Type confusion in IExternalizable.writeExternal</t>
  </si>
  <si>
    <t>https://helpx.adobe.com/security/products/flash-player/apsb15-27.html</t>
  </si>
  <si>
    <t>https://bugs.chromium.org/p/project-zero/issues/detail?id=547</t>
  </si>
  <si>
    <t>Peter Pi of Trend Micro, Natalie Silvanovich of Google Project Zero</t>
  </si>
  <si>
    <t>CVE-2015-4902</t>
  </si>
  <si>
    <t>Click-to-play bypass</t>
  </si>
  <si>
    <t>https://www.oracle.com/technetwork/topics/security/cpuoct2015-2367953.html</t>
  </si>
  <si>
    <t>https://blog.trendmicro.com/trendlabs-security-intelligence/new-headaches-how-the-pawn-storm-zero-day-evaded-javas-click-to-play-protection/</t>
  </si>
  <si>
    <t>CVE-2015-6175</t>
  </si>
  <si>
    <t>Memory corruption in gpuenergydrv.sys</t>
  </si>
  <si>
    <t>https://docs.microsoft.com/en-us/security-updates/securitybulletins/2015/ms15-135</t>
  </si>
  <si>
    <t>ChenDong Li of Tencent</t>
  </si>
  <si>
    <t>CVE-2015-8651</t>
  </si>
  <si>
    <t>Integer overflow in domainMemory</t>
  </si>
  <si>
    <t>https://helpx.adobe.com/security/products/flash-player/apsb16-01.html</t>
  </si>
  <si>
    <t>CVE-2014-0546</t>
  </si>
  <si>
    <t>Unspecified sandbox escape vulnerability</t>
  </si>
  <si>
    <t>https://helpx.adobe.com/security/products/acrobat/apsb14-19.html</t>
  </si>
  <si>
    <t>Costin Raiu and Vitaly Kamluk of Kaspersky Labs</t>
  </si>
  <si>
    <t>CVE-2014-2817</t>
  </si>
  <si>
    <t>Sandbox escape in IIEAxInstallBrokerBrokerPtr</t>
  </si>
  <si>
    <t>https://docs.microsoft.com/en-us/security-updates/securitybulletins/2014/ms14-051</t>
  </si>
  <si>
    <t>https://twitter.com/tiraniddo/status/522135160675127296</t>
  </si>
  <si>
    <t>James Forshaw of Context Information Security</t>
  </si>
  <si>
    <t>CVE-2014-4113</t>
  </si>
  <si>
    <t>NULL pointer dereference in win32k!win32k!xxxHandleMenuMessages</t>
  </si>
  <si>
    <t>https://docs.microsoft.com/en-us/security-updates/securitybulletins/2014/ms14-058</t>
  </si>
  <si>
    <t>https://www.fireeye.com/blog/threat-research/2014/10/two-targeted-attacks-two-new-zero-days.html</t>
  </si>
  <si>
    <t>CrowdStrike Intelligence Team &amp; FireEye, Inc.</t>
  </si>
  <si>
    <t>CVE-2014-4114</t>
  </si>
  <si>
    <t>Logic/design flaw in Packager OLE class</t>
  </si>
  <si>
    <t>https://docs.microsoft.com/en-us/security-updates/securitybulletins/2014/ms14-060</t>
  </si>
  <si>
    <t>https://blog.trendmicro.com/trendlabs-security-intelligence/an-analysis-of-windows-zero-day-vulnerability-cve-2014-4114-aka-sandworm/</t>
  </si>
  <si>
    <t>iSIGHT Partners and researchers from ESET</t>
  </si>
  <si>
    <t>CVE-2014-4148</t>
  </si>
  <si>
    <t>Unspecified memory corruption in TrueType fonts</t>
  </si>
  <si>
    <t>FireEye, Inc.</t>
  </si>
  <si>
    <t>CVE-2014-8439</t>
  </si>
  <si>
    <t>Unspecified memory corruption in Flash</t>
  </si>
  <si>
    <t>https://helpx.adobe.com/security/products/flash-player/apsb14-22.html</t>
  </si>
  <si>
    <t>CVE-2014-4123</t>
  </si>
  <si>
    <t>https://docs.microsoft.com/en-us/security-updates/securitybulletins/2014/ms14-056</t>
  </si>
  <si>
    <t>CVE-2014-6352</t>
  </si>
  <si>
    <t>https://docs.microsoft.com/en-us/security-updates/securitybulletins/2014/ms14-064</t>
  </si>
  <si>
    <t>https://securingtomorrow.mcafee.com/other-blogs/mcafee-labs/bypassing-microsofts-patch-for-the-sandworm-zero-day-even-editing-can-cause-harm/</t>
  </si>
  <si>
    <t>Drew Hintz, Shane Huntley, and Matty Pellegrino of Google Security Team</t>
  </si>
  <si>
    <t>CVE-2014-4077</t>
  </si>
  <si>
    <t>Unspecified sandbox escape vulnerability in IME (Japanese)</t>
  </si>
  <si>
    <t>https://docs.microsoft.com/en-us/security-updates/securitybulletins/2014/ms14-078</t>
  </si>
  <si>
    <t>Vitaly Kamluk and Costin Raiu of Kaspersky Lab</t>
  </si>
  <si>
    <t>CVE-2014-6324</t>
  </si>
  <si>
    <t>Logic/design flaw in Kerberos KDC allowing remote domain controller escalation of privilege</t>
  </si>
  <si>
    <t>https://docs.microsoft.com/en-us/security-updates/securitybulletins/2014/ms14-068</t>
  </si>
  <si>
    <t>https://blogs.technet.microsoft.com/srd/2014/11/18/additional-information-about-cve-2014-6324/</t>
  </si>
  <si>
    <t>The Qualcomm Information Security &amp; Risk Management team, with special recognition for Tom Maddock</t>
  </si>
  <si>
    <t>CVE-2014-9163</t>
  </si>
  <si>
    <t>Unspecified stack buffer overflow in Flash</t>
  </si>
  <si>
    <t>https://helpx.adobe.com/security/products/flash-player/apsb14-27.html</t>
  </si>
  <si>
    <t>bilou working with HP’s Zero Day Initiative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</si>
</sst>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quot;-&quot;mm&quot;-&quot;dd"/>
    <numFmt numFmtId="166" formatCode="m/d/yyyy"/>
  </numFmts>
  <fonts count="43">
    <font>
      <sz val="10.0"/>
      <color rgb="FF000000"/>
      <name val="Arial"/>
    </font>
    <font>
      <b/>
      <color rgb="FF000000"/>
    </font>
    <font>
      <color rgb="FF000000"/>
    </font>
    <font/>
    <font>
      <u/>
      <color rgb="FF0000FF"/>
    </font>
    <font>
      <b/>
    </font>
    <font>
      <u/>
      <color rgb="FF0000FF"/>
    </font>
    <font>
      <u/>
      <color rgb="FF0000FF"/>
    </font>
    <font>
      <u/>
      <color rgb="FF0000FF"/>
    </font>
    <font>
      <u/>
      <color rgb="FF0000FF"/>
    </font>
    <font>
      <u/>
      <color rgb="FF1155CC"/>
    </font>
    <font>
      <name val="Arial"/>
    </font>
    <font>
      <u/>
      <color rgb="FF1155CC"/>
      <name val="Arial"/>
    </font>
    <font>
      <u/>
      <color rgb="FF1155CC"/>
      <name val="Arial"/>
    </font>
    <font>
      <u/>
      <color rgb="FF0000FF"/>
      <name val="Arial"/>
    </font>
    <font>
      <u/>
      <color rgb="FF1155CC"/>
      <name val="Arial"/>
    </font>
    <font>
      <color rgb="FF000000"/>
      <name val="Arial"/>
    </font>
    <font>
      <u/>
      <color rgb="FF1155CC"/>
      <name val="Arial"/>
    </font>
    <font>
      <u/>
      <color rgb="FF1155CC"/>
      <name val="Arial"/>
    </font>
    <font>
      <u/>
      <color rgb="FF1155CC"/>
      <name val="Arial"/>
    </font>
    <font>
      <u/>
      <color rgb="FF0000FF"/>
      <name val="Arial"/>
    </font>
    <font>
      <sz val="10.0"/>
    </font>
    <font>
      <u/>
      <color rgb="FF0000FF"/>
    </font>
    <font>
      <u/>
      <color rgb="FF1155CC"/>
      <name val="Arial"/>
    </font>
    <font>
      <u/>
      <color rgb="FF1155CC"/>
    </font>
    <font>
      <u/>
      <color rgb="FF1155CC"/>
    </font>
    <font>
      <u/>
      <color rgb="FF0000FF"/>
    </font>
    <font>
      <color rgb="FF000000"/>
      <name val="Roboto"/>
    </font>
    <font>
      <u/>
      <color rgb="FF1155CC"/>
    </font>
    <font>
      <u/>
      <color rgb="FF1155CC"/>
    </font>
    <font>
      <u/>
      <color rgb="FF1155CC"/>
    </font>
    <font>
      <u/>
      <color rgb="FF0000FF"/>
    </font>
    <font>
      <u/>
      <color rgb="FF1155CC"/>
    </font>
    <font>
      <u/>
      <color rgb="FF1155CC"/>
    </font>
    <font>
      <color rgb="FF222222"/>
      <name val="Arial"/>
    </font>
    <font>
      <color rgb="FF2A2A2A"/>
    </font>
    <font>
      <u/>
      <color rgb="FF1155CC"/>
      <name val="Arial"/>
    </font>
    <font>
      <color rgb="FF2A2A2A"/>
      <name val="Arial"/>
    </font>
    <font>
      <u/>
      <color rgb="FF1155CC"/>
      <name val="Arial"/>
    </font>
    <font>
      <u/>
      <color rgb="FF0000FF"/>
    </font>
    <font>
      <u/>
      <color rgb="FF0000FF"/>
    </font>
    <font>
      <u/>
      <color rgb="FF1155CC"/>
      <name val="Arial"/>
    </font>
    <font>
      <u/>
      <color rgb="FF1155CC"/>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horizontal="center" readingOrder="0" shrinkToFit="0" vertical="bottom" wrapText="1"/>
    </xf>
    <xf borderId="0" fillId="0" fontId="2" numFmtId="0" xfId="0" applyAlignment="1" applyFont="1">
      <alignment horizontal="center" readingOrder="0" shrinkToFit="0" vertical="bottom" wrapText="1"/>
    </xf>
    <xf borderId="0" fillId="0" fontId="3" numFmtId="0" xfId="0" applyAlignment="1" applyFont="1">
      <alignment horizontal="left" shrinkToFit="0" vertical="bottom" wrapText="1"/>
    </xf>
    <xf borderId="0" fillId="0" fontId="2" numFmtId="0" xfId="0" applyAlignment="1" applyFont="1">
      <alignment horizontal="left" readingOrder="0" shrinkToFit="0" vertical="bottom" wrapText="1"/>
    </xf>
    <xf borderId="0" fillId="0" fontId="4" numFmtId="0" xfId="0" applyAlignment="1" applyFont="1">
      <alignment horizontal="center" readingOrder="0" shrinkToFit="0" wrapText="1"/>
    </xf>
    <xf borderId="0" fillId="0" fontId="3" numFmtId="0" xfId="0" applyAlignment="1" applyFont="1">
      <alignment horizontal="left" readingOrder="0" shrinkToFit="0" vertical="bottom" wrapText="1"/>
    </xf>
    <xf borderId="0" fillId="0" fontId="5" numFmtId="0" xfId="0" applyAlignment="1" applyFont="1">
      <alignment horizontal="left" readingOrder="0" vertical="bottom"/>
    </xf>
    <xf borderId="0" fillId="0" fontId="5" numFmtId="0" xfId="0" applyAlignment="1" applyFont="1">
      <alignment readingOrder="0"/>
    </xf>
    <xf borderId="0" fillId="0" fontId="3" numFmtId="164" xfId="0" applyFont="1" applyNumberFormat="1"/>
    <xf borderId="0" fillId="0" fontId="6" numFmtId="0" xfId="0" applyFont="1"/>
    <xf borderId="0" fillId="0" fontId="5" numFmtId="0" xfId="0" applyAlignment="1" applyFont="1">
      <alignment horizontal="left" readingOrder="0" shrinkToFit="0" vertical="bottom" wrapText="0"/>
    </xf>
    <xf borderId="0" fillId="0" fontId="3" numFmtId="0" xfId="0" applyAlignment="1" applyFont="1">
      <alignment readingOrder="0"/>
    </xf>
    <xf borderId="0" fillId="0" fontId="3" numFmtId="164" xfId="0" applyAlignment="1" applyFont="1" applyNumberFormat="1">
      <alignment readingOrder="0"/>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shrinkToFit="0" wrapText="0"/>
    </xf>
    <xf borderId="0" fillId="0" fontId="3" numFmtId="165" xfId="0" applyAlignment="1" applyFont="1" applyNumberFormat="1">
      <alignment readingOrder="0"/>
    </xf>
    <xf borderId="0" fillId="0" fontId="10" numFmtId="0" xfId="0" applyAlignment="1" applyFont="1">
      <alignment readingOrder="0"/>
    </xf>
    <xf borderId="0" fillId="0" fontId="5" numFmtId="0" xfId="0" applyAlignment="1" applyFont="1">
      <alignment readingOrder="0" shrinkToFit="0" wrapText="0"/>
    </xf>
    <xf borderId="0" fillId="0" fontId="11" numFmtId="0" xfId="0" applyAlignment="1" applyFont="1">
      <alignment vertical="bottom"/>
    </xf>
    <xf borderId="0" fillId="0" fontId="11" numFmtId="0" xfId="0" applyAlignment="1" applyFont="1">
      <alignment readingOrder="0" vertical="bottom"/>
    </xf>
    <xf borderId="0" fillId="0" fontId="11" numFmtId="164" xfId="0" applyAlignment="1" applyFont="1" applyNumberFormat="1">
      <alignment readingOrder="0" vertical="bottom"/>
    </xf>
    <xf borderId="0" fillId="0" fontId="11" numFmtId="164" xfId="0" applyAlignment="1" applyFont="1" applyNumberFormat="1">
      <alignment horizontal="right" vertical="bottom"/>
    </xf>
    <xf borderId="0" fillId="0" fontId="12" numFmtId="0" xfId="0" applyAlignment="1" applyFont="1">
      <alignment vertical="bottom"/>
    </xf>
    <xf borderId="0" fillId="0" fontId="11" numFmtId="0" xfId="0" applyAlignment="1" applyFont="1">
      <alignment shrinkToFit="0" vertical="bottom" wrapText="0"/>
    </xf>
    <xf borderId="0" fillId="0" fontId="3" numFmtId="0" xfId="0" applyAlignment="1" applyFont="1">
      <alignment shrinkToFit="0" wrapText="0"/>
    </xf>
    <xf borderId="0" fillId="0" fontId="13" numFmtId="0" xfId="0" applyAlignment="1" applyFont="1">
      <alignment readingOrder="0" vertical="bottom"/>
    </xf>
    <xf borderId="0" fillId="0" fontId="14" numFmtId="0" xfId="0" applyAlignment="1" applyFont="1">
      <alignment readingOrder="0" shrinkToFit="0" vertical="bottom" wrapText="0"/>
    </xf>
    <xf borderId="0" fillId="0" fontId="15" numFmtId="0" xfId="0" applyAlignment="1" applyFont="1">
      <alignment vertical="bottom"/>
    </xf>
    <xf borderId="0" fillId="0" fontId="11" numFmtId="0" xfId="0" applyAlignment="1" applyFont="1">
      <alignment shrinkToFit="0" vertical="bottom" wrapText="0"/>
    </xf>
    <xf borderId="0" fillId="0" fontId="16" numFmtId="0" xfId="0" applyAlignment="1" applyFont="1">
      <alignment readingOrder="0" vertical="bottom"/>
    </xf>
    <xf borderId="0" fillId="0" fontId="17" numFmtId="0" xfId="0" applyAlignment="1" applyFont="1">
      <alignment shrinkToFit="0" vertical="bottom" wrapText="0"/>
    </xf>
    <xf borderId="0" fillId="0" fontId="3" numFmtId="0" xfId="0" applyAlignment="1" applyFont="1">
      <alignment shrinkToFit="0" wrapText="0"/>
    </xf>
    <xf borderId="0" fillId="0" fontId="18" numFmtId="0" xfId="0" applyAlignment="1" applyFont="1">
      <alignment shrinkToFit="0" vertical="bottom" wrapText="0"/>
    </xf>
    <xf borderId="0" fillId="0" fontId="3" numFmtId="0" xfId="0" applyAlignment="1" applyFont="1">
      <alignment readingOrder="0" shrinkToFit="0" wrapText="0"/>
    </xf>
    <xf borderId="0" fillId="0" fontId="11" numFmtId="164" xfId="0" applyAlignment="1" applyFont="1" applyNumberFormat="1">
      <alignment vertical="bottom"/>
    </xf>
    <xf borderId="0" fillId="0" fontId="11" numFmtId="164" xfId="0" applyAlignment="1" applyFont="1" applyNumberFormat="1">
      <alignment horizontal="right" readingOrder="0" vertical="bottom"/>
    </xf>
    <xf borderId="0" fillId="0" fontId="19" numFmtId="0" xfId="0" applyAlignment="1" applyFont="1">
      <alignment readingOrder="0" vertical="bottom"/>
    </xf>
    <xf borderId="0" fillId="0" fontId="3" numFmtId="0" xfId="0" applyAlignment="1" applyFont="1">
      <alignment horizontal="left" readingOrder="0" vertical="bottom"/>
    </xf>
    <xf borderId="0" fillId="0" fontId="11" numFmtId="165" xfId="0" applyAlignment="1" applyFont="1" applyNumberFormat="1">
      <alignment vertical="bottom"/>
    </xf>
    <xf borderId="0" fillId="0" fontId="20" numFmtId="0" xfId="0" applyAlignment="1" applyFont="1">
      <alignment readingOrder="0" vertical="bottom"/>
    </xf>
    <xf borderId="0" fillId="0" fontId="11" numFmtId="0" xfId="0" applyAlignment="1" applyFont="1">
      <alignment vertical="bottom"/>
    </xf>
    <xf borderId="0" fillId="0" fontId="11" numFmtId="165" xfId="0" applyAlignment="1" applyFont="1" applyNumberFormat="1">
      <alignment readingOrder="0" vertical="bottom"/>
    </xf>
    <xf borderId="0" fillId="0" fontId="11" numFmtId="0" xfId="0" applyAlignment="1" applyFont="1">
      <alignment readingOrder="0" shrinkToFit="0" vertical="bottom" wrapText="0"/>
    </xf>
    <xf borderId="0" fillId="0" fontId="11" numFmtId="165" xfId="0" applyAlignment="1" applyFont="1" applyNumberFormat="1">
      <alignment horizontal="right" readingOrder="0" vertical="bottom"/>
    </xf>
    <xf borderId="0" fillId="0" fontId="11" numFmtId="165" xfId="0" applyAlignment="1" applyFont="1" applyNumberFormat="1">
      <alignment horizontal="right" vertical="bottom"/>
    </xf>
    <xf borderId="0" fillId="0" fontId="16" numFmtId="0" xfId="0" applyAlignment="1" applyFont="1">
      <alignment vertical="bottom"/>
    </xf>
    <xf borderId="0" fillId="0" fontId="11" numFmtId="0" xfId="0" applyAlignment="1" applyFont="1">
      <alignment vertical="bottom"/>
    </xf>
    <xf borderId="0" fillId="0" fontId="11" numFmtId="166" xfId="0" applyAlignment="1" applyFont="1" applyNumberFormat="1">
      <alignment vertical="bottom"/>
    </xf>
    <xf borderId="0" fillId="0" fontId="21" numFmtId="0" xfId="0" applyAlignment="1" applyFont="1">
      <alignment readingOrder="0"/>
    </xf>
    <xf borderId="0" fillId="0" fontId="11" numFmtId="0" xfId="0" applyAlignment="1" applyFont="1">
      <alignment readingOrder="0" vertical="bottom"/>
    </xf>
    <xf borderId="0" fillId="0" fontId="16" numFmtId="0" xfId="0" applyAlignment="1" applyFont="1">
      <alignment readingOrder="0" vertical="bottom"/>
    </xf>
    <xf borderId="0" fillId="0" fontId="11" numFmtId="165" xfId="0" applyAlignment="1" applyFont="1" applyNumberFormat="1">
      <alignment horizontal="right" readingOrder="0" vertical="bottom"/>
    </xf>
    <xf borderId="0" fillId="0" fontId="2" numFmtId="0" xfId="0" applyAlignment="1" applyFont="1">
      <alignment horizontal="left" readingOrder="0" vertical="bottom"/>
    </xf>
    <xf borderId="0" fillId="0" fontId="3" numFmtId="165" xfId="0" applyAlignment="1" applyFont="1" applyNumberFormat="1">
      <alignment horizontal="right" readingOrder="0" vertical="bottom"/>
    </xf>
    <xf borderId="0" fillId="0" fontId="3" numFmtId="165" xfId="0" applyAlignment="1" applyFont="1" applyNumberFormat="1">
      <alignment horizontal="right" readingOrder="0" vertical="bottom"/>
    </xf>
    <xf borderId="0" fillId="0" fontId="22" numFmtId="0" xfId="0" applyAlignment="1" applyFont="1">
      <alignment horizontal="left" readingOrder="0" vertical="bottom"/>
    </xf>
    <xf borderId="0" fillId="0" fontId="3" numFmtId="164" xfId="0" applyAlignment="1" applyFont="1" applyNumberFormat="1">
      <alignment horizontal="right" readingOrder="0" vertical="bottom"/>
    </xf>
    <xf borderId="0" fillId="0" fontId="23" numFmtId="0" xfId="0" applyAlignment="1" applyFont="1">
      <alignment readingOrder="0" shrinkToFit="0" vertical="bottom" wrapText="0"/>
    </xf>
    <xf borderId="0" fillId="0" fontId="24" numFmtId="0" xfId="0" applyAlignment="1" applyFont="1">
      <alignment horizontal="left" readingOrder="0" vertical="bottom"/>
    </xf>
    <xf borderId="0" fillId="0" fontId="3" numFmtId="0" xfId="0" applyAlignment="1" applyFont="1">
      <alignment horizontal="left" readingOrder="0" shrinkToFit="0" vertical="bottom" wrapText="0"/>
    </xf>
    <xf borderId="0" fillId="0" fontId="25" numFmtId="0" xfId="0" applyAlignment="1" applyFont="1">
      <alignment horizontal="left" readingOrder="0" vertical="bottom"/>
    </xf>
    <xf borderId="0" fillId="0" fontId="26" numFmtId="0" xfId="0" applyAlignment="1" applyFont="1">
      <alignment horizontal="left" readingOrder="0" shrinkToFit="0" vertical="bottom" wrapText="0"/>
    </xf>
    <xf borderId="0" fillId="2" fontId="27" numFmtId="0" xfId="0" applyAlignment="1" applyFill="1" applyFont="1">
      <alignment readingOrder="0" shrinkToFit="0" wrapText="0"/>
    </xf>
    <xf borderId="0" fillId="0" fontId="28"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29" numFmtId="0" xfId="0" applyAlignment="1" applyFont="1">
      <alignment horizontal="left" readingOrder="0" shrinkToFit="0" vertical="bottom" wrapText="0"/>
    </xf>
    <xf borderId="0" fillId="0" fontId="3" numFmtId="0" xfId="0" applyAlignment="1" applyFont="1">
      <alignment horizontal="left" readingOrder="0" shrinkToFit="0" vertical="bottom" wrapText="0"/>
    </xf>
    <xf borderId="0" fillId="0" fontId="30" numFmtId="0" xfId="0" applyAlignment="1" applyFont="1">
      <alignment horizontal="left" readingOrder="0" shrinkToFit="0" vertical="bottom" wrapText="0"/>
    </xf>
    <xf borderId="0" fillId="0" fontId="31" numFmtId="0" xfId="0" applyAlignment="1" applyFont="1">
      <alignment horizontal="left" readingOrder="0" shrinkToFit="0" vertical="bottom" wrapText="0"/>
    </xf>
    <xf borderId="0" fillId="0" fontId="32" numFmtId="0" xfId="0" applyAlignment="1" applyFont="1">
      <alignment horizontal="left" readingOrder="0" vertical="bottom"/>
    </xf>
    <xf borderId="0" fillId="0" fontId="33" numFmtId="0" xfId="0" applyAlignment="1" applyFont="1">
      <alignment horizontal="left" readingOrder="0" vertical="bottom"/>
    </xf>
    <xf borderId="0" fillId="2" fontId="34" numFmtId="0" xfId="0" applyAlignment="1" applyFont="1">
      <alignment readingOrder="0"/>
    </xf>
    <xf borderId="0" fillId="2" fontId="16" numFmtId="165" xfId="0" applyAlignment="1" applyFont="1" applyNumberFormat="1">
      <alignment horizontal="right" readingOrder="0"/>
    </xf>
    <xf borderId="0" fillId="2" fontId="3" numFmtId="0" xfId="0" applyAlignment="1" applyFont="1">
      <alignment horizontal="left" readingOrder="0" vertical="bottom"/>
    </xf>
    <xf borderId="0" fillId="0" fontId="3" numFmtId="166" xfId="0" applyAlignment="1" applyFont="1" applyNumberFormat="1">
      <alignment horizontal="right" readingOrder="0" vertical="bottom"/>
    </xf>
    <xf borderId="0" fillId="0" fontId="2" numFmtId="166" xfId="0" applyAlignment="1" applyFont="1" applyNumberFormat="1">
      <alignment horizontal="right" readingOrder="0" vertical="bottom"/>
    </xf>
    <xf borderId="0" fillId="0" fontId="35" numFmtId="0" xfId="0" applyAlignment="1" applyFont="1">
      <alignment horizontal="left" readingOrder="0" vertical="bottom"/>
    </xf>
    <xf borderId="0" fillId="2" fontId="2" numFmtId="0" xfId="0" applyAlignment="1" applyFont="1">
      <alignment horizontal="left" readingOrder="0" vertical="bottom"/>
    </xf>
    <xf borderId="0" fillId="0" fontId="2" numFmtId="164" xfId="0" applyAlignment="1" applyFont="1" applyNumberFormat="1">
      <alignment horizontal="right" readingOrder="0" vertical="bottom"/>
    </xf>
    <xf borderId="0" fillId="0" fontId="3" numFmtId="0" xfId="0" applyFont="1"/>
    <xf borderId="0" fillId="0" fontId="11" numFmtId="0" xfId="0" applyAlignment="1" applyFont="1">
      <alignment readingOrder="0" vertical="bottom"/>
    </xf>
    <xf borderId="0" fillId="0" fontId="11" numFmtId="165" xfId="0" applyAlignment="1" applyFont="1" applyNumberFormat="1">
      <alignment horizontal="right" readingOrder="0" vertical="bottom"/>
    </xf>
    <xf borderId="0" fillId="0" fontId="36" numFmtId="0" xfId="0" applyAlignment="1" applyFont="1">
      <alignment readingOrder="0" vertical="bottom"/>
    </xf>
    <xf borderId="0" fillId="0" fontId="16" numFmtId="0" xfId="0" applyAlignment="1" applyFont="1">
      <alignment readingOrder="0" vertical="bottom"/>
    </xf>
    <xf borderId="0" fillId="0" fontId="16" numFmtId="164" xfId="0" applyAlignment="1" applyFont="1" applyNumberFormat="1">
      <alignment readingOrder="0" vertical="bottom"/>
    </xf>
    <xf borderId="0" fillId="2" fontId="37" numFmtId="0" xfId="0" applyAlignment="1" applyFont="1">
      <alignment readingOrder="0"/>
    </xf>
    <xf borderId="0" fillId="0" fontId="11" numFmtId="164" xfId="0" applyAlignment="1" applyFont="1" applyNumberFormat="1">
      <alignment horizontal="right" readingOrder="0" vertical="bottom"/>
    </xf>
    <xf borderId="0" fillId="0" fontId="38" numFmtId="0" xfId="0" applyAlignment="1" applyFont="1">
      <alignment readingOrder="0" vertical="bottom"/>
    </xf>
    <xf borderId="0" fillId="0" fontId="3" numFmtId="164" xfId="0" applyAlignment="1" applyFont="1" applyNumberFormat="1">
      <alignment horizontal="right" readingOrder="0"/>
    </xf>
    <xf borderId="0" fillId="0" fontId="16" numFmtId="0" xfId="0" applyAlignment="1" applyFont="1">
      <alignment vertical="bottom"/>
    </xf>
    <xf borderId="0" fillId="0" fontId="16" numFmtId="164" xfId="0" applyAlignment="1" applyFont="1" applyNumberFormat="1">
      <alignment horizontal="right" readingOrder="0" vertical="bottom"/>
    </xf>
    <xf borderId="0" fillId="0" fontId="11" numFmtId="165" xfId="0" applyAlignment="1" applyFont="1" applyNumberFormat="1">
      <alignment horizontal="right" vertical="bottom"/>
    </xf>
    <xf borderId="0" fillId="0" fontId="2" numFmtId="165" xfId="0" applyAlignment="1" applyFont="1" applyNumberFormat="1">
      <alignment horizontal="left" readingOrder="0" vertical="bottom"/>
    </xf>
    <xf borderId="0" fillId="0" fontId="39" numFmtId="0" xfId="0" applyFont="1"/>
    <xf borderId="0" fillId="0" fontId="40" numFmtId="0" xfId="0" applyAlignment="1" applyFont="1">
      <alignment shrinkToFit="0" wrapText="0"/>
    </xf>
    <xf borderId="0" fillId="0" fontId="3" numFmtId="165" xfId="0" applyAlignment="1" applyFont="1" applyNumberFormat="1">
      <alignment horizontal="left" readingOrder="0" vertical="bottom"/>
    </xf>
    <xf borderId="0" fillId="0" fontId="11" numFmtId="0" xfId="0" applyAlignment="1" applyFont="1">
      <alignment vertical="bottom"/>
    </xf>
    <xf borderId="0" fillId="0" fontId="16" numFmtId="0" xfId="0" applyAlignment="1" applyFont="1">
      <alignment vertical="bottom"/>
    </xf>
    <xf borderId="0" fillId="0" fontId="3" numFmtId="165" xfId="0" applyFont="1" applyNumberFormat="1"/>
    <xf borderId="0" fillId="0" fontId="11" numFmtId="165" xfId="0" applyAlignment="1" applyFont="1" applyNumberFormat="1">
      <alignment horizontal="right" vertical="bottom"/>
    </xf>
    <xf borderId="0" fillId="0" fontId="41" numFmtId="0" xfId="0" applyAlignment="1" applyFont="1">
      <alignment vertical="bottom"/>
    </xf>
    <xf borderId="0" fillId="0" fontId="42" numFmtId="0" xfId="0" applyAlignment="1" applyFont="1">
      <alignment shrinkToFit="0" vertical="bottom" wrapText="0"/>
    </xf>
    <xf borderId="0" fillId="0" fontId="2" numFmtId="165" xfId="0" applyAlignment="1" applyFont="1" applyNumberForma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googleprojectzero.blogspot.com/p/0day.html"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ocs.microsoft.com/en-us/security-updates/securitybulletins/2017/ms17-006" TargetMode="External"/><Relationship Id="rId2" Type="http://schemas.openxmlformats.org/officeDocument/2006/relationships/hyperlink" Target="https://twitter.com/jq0904/status/1062168435818283008" TargetMode="External"/><Relationship Id="rId3" Type="http://schemas.openxmlformats.org/officeDocument/2006/relationships/hyperlink" Target="https://docs.microsoft.com/en-us/security-updates/securitybulletins/2017/ms17-022" TargetMode="External"/><Relationship Id="rId4" Type="http://schemas.openxmlformats.org/officeDocument/2006/relationships/hyperlink" Target="https://blog.trendmicro.com/trendlabs-security-intelligence/cve-2017-0022-microsoft-patches-vulnerability-exploited-adgholas-neutrino/" TargetMode="External"/><Relationship Id="rId9" Type="http://schemas.openxmlformats.org/officeDocument/2006/relationships/hyperlink" Target="https://docs.microsoft.com/en-us/security-updates/securitybulletins/2017/ms17-010" TargetMode="External"/><Relationship Id="rId5" Type="http://schemas.openxmlformats.org/officeDocument/2006/relationships/hyperlink" Target="https://docs.microsoft.com/en-us/security-updates/securitybulletins/2017/ms17-013" TargetMode="External"/><Relationship Id="rId6" Type="http://schemas.openxmlformats.org/officeDocument/2006/relationships/hyperlink" Target="https://cloudblogs.microsoft.com/microsoftsecure/2017/03/27/detecting-and-mitigating-elevation-of-privilege-exploit-for-cve-2017-0005/" TargetMode="External"/><Relationship Id="rId7" Type="http://schemas.openxmlformats.org/officeDocument/2006/relationships/hyperlink" Target="https://docs.microsoft.com/en-us/security-updates/securitybulletins/2017/ms17-010" TargetMode="External"/><Relationship Id="rId8" Type="http://schemas.openxmlformats.org/officeDocument/2006/relationships/hyperlink" Target="https://blogs.technet.microsoft.com/srd/2017/07/13/eternal-synergy-exploit-analysis/" TargetMode="External"/><Relationship Id="rId40" Type="http://schemas.openxmlformats.org/officeDocument/2006/relationships/hyperlink" Target="https://portal.msrc.microsoft.com/en-US/security-guidance/advisory/CVE-2017-8759" TargetMode="External"/><Relationship Id="rId42" Type="http://schemas.openxmlformats.org/officeDocument/2006/relationships/hyperlink" Target="https://portal.msrc.microsoft.com/en-US/security-guidance/advisory/CVE-2017-11826" TargetMode="External"/><Relationship Id="rId41" Type="http://schemas.openxmlformats.org/officeDocument/2006/relationships/hyperlink" Target="https://www.fireeye.com/blog/threat-research/2017/09/zero-day-used-to-distribute-finspy.html" TargetMode="External"/><Relationship Id="rId44" Type="http://schemas.openxmlformats.org/officeDocument/2006/relationships/hyperlink" Target="https://helpx.adobe.com/security/products/flash-player/apsb17-32.html" TargetMode="External"/><Relationship Id="rId43" Type="http://schemas.openxmlformats.org/officeDocument/2006/relationships/hyperlink" Target="https://securingtomorrow.mcafee.com/other-blogs/mcafee-labs/analyzing-microsoft-office-zero-day-exploit-cve-2017-11826-memory-corruption-vulnerability/" TargetMode="External"/><Relationship Id="rId46" Type="http://schemas.openxmlformats.org/officeDocument/2006/relationships/drawing" Target="../drawings/drawing10.xml"/><Relationship Id="rId45" Type="http://schemas.openxmlformats.org/officeDocument/2006/relationships/hyperlink" Target="https://securelist.com/blackoasis-apt-and-new-targeted-attacks-leveraging-zero-day-exploit/82732/" TargetMode="External"/><Relationship Id="rId31" Type="http://schemas.openxmlformats.org/officeDocument/2006/relationships/hyperlink" Target="https://www.fireeye.com/blog/threat-research/2017/05/eps-processing-zero-days.html" TargetMode="External"/><Relationship Id="rId30" Type="http://schemas.openxmlformats.org/officeDocument/2006/relationships/hyperlink" Target="https://portal.msrc.microsoft.com/en-US/security-guidance/advisory/CVE-2017-0262" TargetMode="External"/><Relationship Id="rId33" Type="http://schemas.openxmlformats.org/officeDocument/2006/relationships/hyperlink" Target="https://www.fireeye.com/blog/threat-research/2017/05/eps-processing-zero-days.html" TargetMode="External"/><Relationship Id="rId32" Type="http://schemas.openxmlformats.org/officeDocument/2006/relationships/hyperlink" Target="https://portal.msrc.microsoft.com/en-US/security-guidance/advisory/CVE-2017-0263" TargetMode="External"/><Relationship Id="rId35" Type="http://schemas.openxmlformats.org/officeDocument/2006/relationships/hyperlink" Target="https://portal.msrc.microsoft.com/en-US/security-guidance/advisory/CVE-2017-0222" TargetMode="External"/><Relationship Id="rId34" Type="http://schemas.openxmlformats.org/officeDocument/2006/relationships/hyperlink" Target="https://www.ptsecurity.com/" TargetMode="External"/><Relationship Id="rId37" Type="http://schemas.openxmlformats.org/officeDocument/2006/relationships/hyperlink" Target="http://www.vxjump.net/files/vuln_analysis/cve-2017-8464.txt" TargetMode="External"/><Relationship Id="rId36" Type="http://schemas.openxmlformats.org/officeDocument/2006/relationships/hyperlink" Target="https://portal.msrc.microsoft.com/en-US/security-guidance/advisory/CVE-2017-8464" TargetMode="External"/><Relationship Id="rId39" Type="http://schemas.openxmlformats.org/officeDocument/2006/relationships/hyperlink" Target="https://mp.weixin.qq.com/s/X2JcKCpCH4exDoxMK5oN5Q?" TargetMode="External"/><Relationship Id="rId38" Type="http://schemas.openxmlformats.org/officeDocument/2006/relationships/hyperlink" Target="https://portal.msrc.microsoft.com/en-US/security-guidance/advisory/CVE-2017-8543" TargetMode="External"/><Relationship Id="rId20" Type="http://schemas.openxmlformats.org/officeDocument/2006/relationships/hyperlink" Target="https://portal.msrc.microsoft.com/en-US/security-guidance/advisory/CVE-2017-0210" TargetMode="External"/><Relationship Id="rId22" Type="http://schemas.openxmlformats.org/officeDocument/2006/relationships/hyperlink" Target="https://portal.msrc.microsoft.com/en-US/security-guidance/advisory/CVE-2017-0199" TargetMode="External"/><Relationship Id="rId21" Type="http://schemas.openxmlformats.org/officeDocument/2006/relationships/hyperlink" Target="https://blog.talosintelligence.com/2017/04/ms-tuesday.html" TargetMode="External"/><Relationship Id="rId24" Type="http://schemas.openxmlformats.org/officeDocument/2006/relationships/hyperlink" Target="https://twitter.com/ryhanson" TargetMode="External"/><Relationship Id="rId23" Type="http://schemas.openxmlformats.org/officeDocument/2006/relationships/hyperlink" Target="https://www.fireeye.com/blog/threat-research/2017/04/cve-2017-0199-hta-handler.html" TargetMode="External"/><Relationship Id="rId26" Type="http://schemas.openxmlformats.org/officeDocument/2006/relationships/hyperlink" Target="https://git.ghostscript.com/?p=ghostpdl.git;a=commitdiff;h=04b37bbce1" TargetMode="External"/><Relationship Id="rId25" Type="http://schemas.openxmlformats.org/officeDocument/2006/relationships/hyperlink" Target="https://bugs.ghostscript.com/show_bug.cgi?id=697799" TargetMode="External"/><Relationship Id="rId28" Type="http://schemas.openxmlformats.org/officeDocument/2006/relationships/hyperlink" Target="https://www.fireeye.com/blog/threat-research/2017/05/eps-processing-zero-days.html" TargetMode="External"/><Relationship Id="rId27" Type="http://schemas.openxmlformats.org/officeDocument/2006/relationships/hyperlink" Target="https://portal.msrc.microsoft.com/en-US/security-guidance/advisory/CVE-2017-0261" TargetMode="External"/><Relationship Id="rId29" Type="http://schemas.openxmlformats.org/officeDocument/2006/relationships/hyperlink" Target="http://www.fireeye.com/" TargetMode="External"/><Relationship Id="rId11" Type="http://schemas.openxmlformats.org/officeDocument/2006/relationships/hyperlink" Target="https://docs.microsoft.com/en-us/security-updates/securitybulletins/2017/ms17-010" TargetMode="External"/><Relationship Id="rId10" Type="http://schemas.openxmlformats.org/officeDocument/2006/relationships/hyperlink" Target="https://research.checkpoint.com/eternalblue-everything-know/" TargetMode="External"/><Relationship Id="rId13" Type="http://schemas.openxmlformats.org/officeDocument/2006/relationships/hyperlink" Target="https://docs.microsoft.com/en-us/security-updates/securitybulletins/2017/ms17-010" TargetMode="External"/><Relationship Id="rId12" Type="http://schemas.openxmlformats.org/officeDocument/2006/relationships/hyperlink" Target="https://www.microsoft.com/security/blog/2017/06/16/analysis-of-the-shadow-brokers-release-and-mitigation-with-windows-10-virtualization-based-security/" TargetMode="External"/><Relationship Id="rId15" Type="http://schemas.openxmlformats.org/officeDocument/2006/relationships/hyperlink" Target="https://docs.microsoft.com/en-us/security-updates/securitybulletins/2017/ms17-010" TargetMode="External"/><Relationship Id="rId14" Type="http://schemas.openxmlformats.org/officeDocument/2006/relationships/hyperlink" Target="https://blogs.technet.microsoft.com/srd/2017/06/29/eternal-champion-exploit-analysis/" TargetMode="External"/><Relationship Id="rId17" Type="http://schemas.openxmlformats.org/officeDocument/2006/relationships/hyperlink" Target="https://tools.cisco.com/security/center/content/CiscoSecurityAdvisory/cisco-sa-20170317-cmp" TargetMode="External"/><Relationship Id="rId16" Type="http://schemas.openxmlformats.org/officeDocument/2006/relationships/hyperlink" Target="https://blogs.technet.microsoft.com/srd/2017/06/29/eternal-champion-exploit-analysis/" TargetMode="External"/><Relationship Id="rId19" Type="http://schemas.openxmlformats.org/officeDocument/2006/relationships/hyperlink" Target="http://www-01.ibm.com/support/docview.wss?uid=swg22002280" TargetMode="External"/><Relationship Id="rId18" Type="http://schemas.openxmlformats.org/officeDocument/2006/relationships/hyperlink" Target="https://artkond.com/2017/04/10/cisco-catalyst-remote-code-execution/"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docs.microsoft.com/en-us/security-updates/SecurityBulletins/2016/ms16-006" TargetMode="External"/><Relationship Id="rId2" Type="http://schemas.openxmlformats.org/officeDocument/2006/relationships/hyperlink" Target="https://securelist.com/blog/research/73255/the-mysterious-case-of-cve-2016-0034-the-hunt-for-a-microsoft-silverlight-0-day/" TargetMode="External"/><Relationship Id="rId3" Type="http://schemas.openxmlformats.org/officeDocument/2006/relationships/hyperlink" Target="https://helpx.adobe.com/security/products/flash-player/apsb16-04.html" TargetMode="External"/><Relationship Id="rId4" Type="http://schemas.openxmlformats.org/officeDocument/2006/relationships/hyperlink" Target="https://bugs.chromium.org/p/project-zero/issues/detail?id=698&amp;redir=1" TargetMode="External"/><Relationship Id="rId9" Type="http://schemas.openxmlformats.org/officeDocument/2006/relationships/hyperlink" Target="https://docs.microsoft.com/en-us/security-updates/securitybulletins/2016/ms16-037" TargetMode="External"/><Relationship Id="rId5" Type="http://schemas.openxmlformats.org/officeDocument/2006/relationships/hyperlink" Target="https://helpx.adobe.com/security/products/flash-player/apsb16-08.html" TargetMode="External"/><Relationship Id="rId6" Type="http://schemas.openxmlformats.org/officeDocument/2006/relationships/hyperlink" Target="https://blog.trendmicro.com/trendlabs-security-intelligence/root-cause-analysis-recent-flash-zero-day-vulnerability-cve-2016-1010/" TargetMode="External"/><Relationship Id="rId7" Type="http://schemas.openxmlformats.org/officeDocument/2006/relationships/hyperlink" Target="https://helpx.adobe.com/security/products/flash-player/apsb16-10.html" TargetMode="External"/><Relationship Id="rId8" Type="http://schemas.openxmlformats.org/officeDocument/2006/relationships/hyperlink" Target="https://blog.trendmicro.com/trendlabs-security-intelligence/look-adobe-flash-player-cve-2016-1019-zero-day-vulnerability/" TargetMode="External"/><Relationship Id="rId40" Type="http://schemas.openxmlformats.org/officeDocument/2006/relationships/hyperlink" Target="https://docs.microsoft.com/en-us/security-updates/securitybulletins/2016/ms16-132" TargetMode="External"/><Relationship Id="rId42" Type="http://schemas.openxmlformats.org/officeDocument/2006/relationships/hyperlink" Target="https://docs.microsoft.com/en-us/security-updates/securitybulletins/2016/ms16-135" TargetMode="External"/><Relationship Id="rId41" Type="http://schemas.openxmlformats.org/officeDocument/2006/relationships/hyperlink" Target="https://asec.ahnlab.com/1050" TargetMode="External"/><Relationship Id="rId44" Type="http://schemas.openxmlformats.org/officeDocument/2006/relationships/hyperlink" Target="https://www.mozilla.org/en-US/security/advisories/mfsa2016-92/" TargetMode="External"/><Relationship Id="rId43" Type="http://schemas.openxmlformats.org/officeDocument/2006/relationships/hyperlink" Target="https://blog.trendmicro.com/trendlabs-security-intelligence/one-bit-rule-system-analyzing-cve-2016-7255-exploit-wild/" TargetMode="External"/><Relationship Id="rId46" Type="http://schemas.openxmlformats.org/officeDocument/2006/relationships/hyperlink" Target="https://helpx.adobe.com/security/products/flash-player/apsb16-39.html" TargetMode="External"/><Relationship Id="rId45" Type="http://schemas.openxmlformats.org/officeDocument/2006/relationships/hyperlink" Target="https://bugzilla.mozilla.org/show_bug.cgi?id=1321066" TargetMode="External"/><Relationship Id="rId47" Type="http://schemas.openxmlformats.org/officeDocument/2006/relationships/drawing" Target="../drawings/drawing11.xml"/><Relationship Id="rId31" Type="http://schemas.openxmlformats.org/officeDocument/2006/relationships/hyperlink" Target="https://docs.microsoft.com/en-us/security-updates/securitybulletins/2016/ms16-118" TargetMode="External"/><Relationship Id="rId30" Type="http://schemas.openxmlformats.org/officeDocument/2006/relationships/hyperlink" Target="https://blog.trendmicro.com/trendlabs-security-intelligence/microsoft-patches-ieedge-zeroday-used-in-adgholas-malvertising-campaign/" TargetMode="External"/><Relationship Id="rId33" Type="http://schemas.openxmlformats.org/officeDocument/2006/relationships/hyperlink" Target="https://docs.microsoft.com/en-us/security-updates/securitybulletins/2016/ms16-120" TargetMode="External"/><Relationship Id="rId32" Type="http://schemas.openxmlformats.org/officeDocument/2006/relationships/hyperlink" Target="https://blog.trendmicro.com/trendlabs-security-intelligence/cve-2016-3298-microsoft-fixes-another-ie-zero-day-used-in-adgholas/" TargetMode="External"/><Relationship Id="rId35" Type="http://schemas.openxmlformats.org/officeDocument/2006/relationships/hyperlink" Target="https://docs.microsoft.com/en-us/security-updates/securitybulletins/2016/ms16-121" TargetMode="External"/><Relationship Id="rId34" Type="http://schemas.openxmlformats.org/officeDocument/2006/relationships/hyperlink" Target="https://securelist.com/windows-zero-day-exploit-used-in-targeted-attacks-by-fruityarmor-apt/76396/" TargetMode="External"/><Relationship Id="rId37" Type="http://schemas.openxmlformats.org/officeDocument/2006/relationships/hyperlink" Target="https://github.com/dirtycow/dirtycow.github.io/wiki/VulnerabilityDetails" TargetMode="External"/><Relationship Id="rId36" Type="http://schemas.openxmlformats.org/officeDocument/2006/relationships/hyperlink" Target="https://paper.seebug.org/288/" TargetMode="External"/><Relationship Id="rId39" Type="http://schemas.openxmlformats.org/officeDocument/2006/relationships/hyperlink" Target="https://security.googleblog.com/2016/10/disclosing-vulnerabilities-to-protect.html" TargetMode="External"/><Relationship Id="rId38" Type="http://schemas.openxmlformats.org/officeDocument/2006/relationships/hyperlink" Target="https://helpx.adobe.com/security/products/flash-player/apsb16-36.html" TargetMode="External"/><Relationship Id="rId20" Type="http://schemas.openxmlformats.org/officeDocument/2006/relationships/hyperlink" Target="https://securelist.com/operation-daybreak/75100/" TargetMode="External"/><Relationship Id="rId22" Type="http://schemas.openxmlformats.org/officeDocument/2006/relationships/hyperlink" Target="https://blog.silentsignal.eu/2016/08/25/bake-your-own-extrabacon/" TargetMode="External"/><Relationship Id="rId21" Type="http://schemas.openxmlformats.org/officeDocument/2006/relationships/hyperlink" Target="https://tools.cisco.com/security/center/content/CiscoSecurityAdvisory/cisco-sa-20160817-asa-snmp" TargetMode="External"/><Relationship Id="rId24" Type="http://schemas.openxmlformats.org/officeDocument/2006/relationships/hyperlink" Target="https://support.apple.com/en-us/HT207107" TargetMode="External"/><Relationship Id="rId23" Type="http://schemas.openxmlformats.org/officeDocument/2006/relationships/hyperlink" Target="https://tools.cisco.com/security/center/content/CiscoSecurityAdvisory/cisco-sa-20160817-asa-cli" TargetMode="External"/><Relationship Id="rId26" Type="http://schemas.openxmlformats.org/officeDocument/2006/relationships/hyperlink" Target="https://support.apple.com/en-us/HT207107" TargetMode="External"/><Relationship Id="rId25" Type="http://schemas.openxmlformats.org/officeDocument/2006/relationships/hyperlink" Target="https://jndok.github.io/2016/10/04/pegasus-writeup/" TargetMode="External"/><Relationship Id="rId28" Type="http://schemas.openxmlformats.org/officeDocument/2006/relationships/hyperlink" Target="https://support.apple.com/en-us/HT207107" TargetMode="External"/><Relationship Id="rId27" Type="http://schemas.openxmlformats.org/officeDocument/2006/relationships/hyperlink" Target="https://jndok.github.io/2016/10/04/pegasus-writeup/" TargetMode="External"/><Relationship Id="rId29" Type="http://schemas.openxmlformats.org/officeDocument/2006/relationships/hyperlink" Target="https://docs.microsoft.com/en-us/security-updates/securitybulletins/2016/ms16-104" TargetMode="External"/><Relationship Id="rId11" Type="http://schemas.openxmlformats.org/officeDocument/2006/relationships/hyperlink" Target="https://docs.microsoft.com/en-us/security-updates/securitybulletins/2016/ms16-039" TargetMode="External"/><Relationship Id="rId10" Type="http://schemas.openxmlformats.org/officeDocument/2006/relationships/hyperlink" Target="https://www.welivesecurity.com/2016/12/06/readers-popular-websites-targeted-stealthy-stegano-exploit-kit-hiding-pixels-malicious-ads/" TargetMode="External"/><Relationship Id="rId13" Type="http://schemas.openxmlformats.org/officeDocument/2006/relationships/hyperlink" Target="https://docs.microsoft.com/en-us/security-updates/securitybulletins/2016/ms16-039" TargetMode="External"/><Relationship Id="rId12" Type="http://schemas.openxmlformats.org/officeDocument/2006/relationships/hyperlink" Target="https://www.secureauth.com/blog/ms16-039-windows-10-64-bits-integer-overflow-exploitation-by-using-gdi-objects" TargetMode="External"/><Relationship Id="rId15" Type="http://schemas.openxmlformats.org/officeDocument/2006/relationships/hyperlink" Target="https://docs.microsoft.com/en-us/security-updates/securitybulletins/2016/ms16-051" TargetMode="External"/><Relationship Id="rId14" Type="http://schemas.openxmlformats.org/officeDocument/2006/relationships/hyperlink" Target="https://www.fireeye.com/blog/threat-research/2016/05/windows-zero-day-payment-cards.html" TargetMode="External"/><Relationship Id="rId17" Type="http://schemas.openxmlformats.org/officeDocument/2006/relationships/hyperlink" Target="https://helpx.adobe.com/security/products/flash-player/apsb16-15.html" TargetMode="External"/><Relationship Id="rId16" Type="http://schemas.openxmlformats.org/officeDocument/2006/relationships/hyperlink" Target="https://theori.io/research/cve-2016-0189" TargetMode="External"/><Relationship Id="rId19" Type="http://schemas.openxmlformats.org/officeDocument/2006/relationships/hyperlink" Target="https://helpx.adobe.com/security/products/flash-player/apsb16-18.html" TargetMode="External"/><Relationship Id="rId18" Type="http://schemas.openxmlformats.org/officeDocument/2006/relationships/hyperlink" Target="https://www.fireeye.com/blog/threat-research/2016/05/cve-2016-4117-flash-zero-day.html"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ocs.microsoft.com/en-us/security-updates/securitybulletins/2015/ms15-004" TargetMode="External"/><Relationship Id="rId2" Type="http://schemas.openxmlformats.org/officeDocument/2006/relationships/hyperlink" Target="http://blog.trendmicro.com/trendlabs-security-intelligence/cve-2015-0016-escaping-the-internet-explorer-sandbox/" TargetMode="External"/><Relationship Id="rId3" Type="http://schemas.openxmlformats.org/officeDocument/2006/relationships/hyperlink" Target="https://helpx.adobe.com/security/products/flash-player/apsb15-02.html" TargetMode="External"/><Relationship Id="rId4" Type="http://schemas.openxmlformats.org/officeDocument/2006/relationships/hyperlink" Target="https://bugs.chromium.org/p/chromium/issues/detail?id=442585" TargetMode="External"/><Relationship Id="rId9" Type="http://schemas.openxmlformats.org/officeDocument/2006/relationships/hyperlink" Target="https://docs.microsoft.com/en-us/security-updates/securitybulletins/2015/ms15-009" TargetMode="External"/><Relationship Id="rId5" Type="http://schemas.openxmlformats.org/officeDocument/2006/relationships/hyperlink" Target="https://helpx.adobe.com/security/products/flash-player/apsb15-03.html" TargetMode="External"/><Relationship Id="rId6" Type="http://schemas.openxmlformats.org/officeDocument/2006/relationships/hyperlink" Target="https://blog.trendmicro.com/trendlabs-security-intelligence/analyzing-cve-2015-0311-flash-zero-day-vulnerability/" TargetMode="External"/><Relationship Id="rId7" Type="http://schemas.openxmlformats.org/officeDocument/2006/relationships/hyperlink" Target="https://helpx.adobe.com/security/products/flash-player/apsb15-04.html" TargetMode="External"/><Relationship Id="rId8" Type="http://schemas.openxmlformats.org/officeDocument/2006/relationships/hyperlink" Target="http://blog.trendmicro.com/trendlabs-security-intelligence/analyzing-cve-2015-0313-the-new-flash-player-zero-day/" TargetMode="External"/><Relationship Id="rId40" Type="http://schemas.openxmlformats.org/officeDocument/2006/relationships/hyperlink" Target="https://labs.mwrinfosecurity.com/advisories/2015/08/17/microsoft-office-ctasksymbol-use-after-free-vulnerability/" TargetMode="External"/><Relationship Id="rId42" Type="http://schemas.openxmlformats.org/officeDocument/2006/relationships/hyperlink" Target="http://h3ysatan.blogspot.com/2016/01/cve-2015-1769-cve-2015-1769-mount.html" TargetMode="External"/><Relationship Id="rId41" Type="http://schemas.openxmlformats.org/officeDocument/2006/relationships/hyperlink" Target="https://docs.microsoft.com/en-us/security-updates/securitybulletins/2015/ms15-085" TargetMode="External"/><Relationship Id="rId44" Type="http://schemas.openxmlformats.org/officeDocument/2006/relationships/hyperlink" Target="https://twitter.com/Laughing_Mantis/statuses/633839231840841728" TargetMode="External"/><Relationship Id="rId43" Type="http://schemas.openxmlformats.org/officeDocument/2006/relationships/hyperlink" Target="https://docs.microsoft.com/en-us/security-updates/securitybulletins/2015/ms15-093" TargetMode="External"/><Relationship Id="rId46" Type="http://schemas.openxmlformats.org/officeDocument/2006/relationships/hyperlink" Target="https://www.fireeye.com/content/dam/fireeye-www/blog/pdfs/twoforonefinal.pdf" TargetMode="External"/><Relationship Id="rId45" Type="http://schemas.openxmlformats.org/officeDocument/2006/relationships/hyperlink" Target="https://docs.microsoft.com/en-us/security-updates/securitybulletins/2015/ms15-097" TargetMode="External"/><Relationship Id="rId48" Type="http://schemas.openxmlformats.org/officeDocument/2006/relationships/hyperlink" Target="https://www.fireeye.com/content/dam/fireeye-www/blog/pdfs/twoforonefinal.pdf" TargetMode="External"/><Relationship Id="rId47" Type="http://schemas.openxmlformats.org/officeDocument/2006/relationships/hyperlink" Target="https://docs.microsoft.com/en-us/security-updates/securitybulletins/2015/ms15-099" TargetMode="External"/><Relationship Id="rId49" Type="http://schemas.openxmlformats.org/officeDocument/2006/relationships/hyperlink" Target="https://helpx.adobe.com/security/products/flash-player/apsb15-27.html" TargetMode="External"/><Relationship Id="rId31" Type="http://schemas.openxmlformats.org/officeDocument/2006/relationships/hyperlink" Target="https://docs.microsoft.com/en-us/security-updates/SecurityBulletins/2015/ms15-065" TargetMode="External"/><Relationship Id="rId30" Type="http://schemas.openxmlformats.org/officeDocument/2006/relationships/hyperlink" Target="https://blog.trendmicro.com/trendlabs-security-intelligence/a-look-at-the-open-type-font-manager-vulnerability-from-the-hacking-team-leak/" TargetMode="External"/><Relationship Id="rId33" Type="http://schemas.openxmlformats.org/officeDocument/2006/relationships/hyperlink" Target="https://docs.microsoft.com/en-us/security-updates/SecurityBulletins/2015/ms15-070" TargetMode="External"/><Relationship Id="rId32" Type="http://schemas.openxmlformats.org/officeDocument/2006/relationships/hyperlink" Target="https://blog.trendmicro.com/trendlabs-security-intelligence/gifts-from-hacking-team-continue-ie-zero-day-added-to-mix/" TargetMode="External"/><Relationship Id="rId35" Type="http://schemas.openxmlformats.org/officeDocument/2006/relationships/hyperlink" Target="https://www.oracle.com/technetwork/topics/security/cpujul2015-2367936.html" TargetMode="External"/><Relationship Id="rId34" Type="http://schemas.openxmlformats.org/officeDocument/2006/relationships/hyperlink" Target="https://web.archive.org/web/20150717041821/http://www.isightpartners.com/2015/07/microsoft-office-zero-day-cve-2015-2424-leveraged-by-tsar-team/" TargetMode="External"/><Relationship Id="rId37" Type="http://schemas.openxmlformats.org/officeDocument/2006/relationships/hyperlink" Target="https://docs.microsoft.com/en-us/security-updates/securitybulletins/2015/ms15-078" TargetMode="External"/><Relationship Id="rId36" Type="http://schemas.openxmlformats.org/officeDocument/2006/relationships/hyperlink" Target="https://twitter.com/tiraniddo/status/621308239909646336" TargetMode="External"/><Relationship Id="rId39" Type="http://schemas.openxmlformats.org/officeDocument/2006/relationships/hyperlink" Target="https://docs.microsoft.com/en-us/security-updates/securitybulletins/2015/ms15-081" TargetMode="External"/><Relationship Id="rId38" Type="http://schemas.openxmlformats.org/officeDocument/2006/relationships/hyperlink" Target="http://blog.trendmicro.com/trendlabs-security-intelligence/hacking-team-leak-uncovers-another-windows-zero-day-ms-releases-patch/" TargetMode="External"/><Relationship Id="rId20" Type="http://schemas.openxmlformats.org/officeDocument/2006/relationships/hyperlink" Target="https://blog.trendmicro.com/trendlabs-security-intelligence/analysis-of-cve-2015-2360-duqu-2-0-zero-day-vulnerability/" TargetMode="External"/><Relationship Id="rId22" Type="http://schemas.openxmlformats.org/officeDocument/2006/relationships/hyperlink" Target="https://blog.trendmicro.com/trendlabs-security-intelligence/new-adobe-zero-day-shares-same-root-cause-as-older-flaws/" TargetMode="External"/><Relationship Id="rId21" Type="http://schemas.openxmlformats.org/officeDocument/2006/relationships/hyperlink" Target="https://helpx.adobe.com/security/products/flash-player/apsb15-14.html" TargetMode="External"/><Relationship Id="rId24" Type="http://schemas.openxmlformats.org/officeDocument/2006/relationships/hyperlink" Target="https://blog.trendmicro.com/trendlabs-security-intelligence/unpatched-flash-player-flaws-more-pocs-found-in-hacking-team-leak/" TargetMode="External"/><Relationship Id="rId23" Type="http://schemas.openxmlformats.org/officeDocument/2006/relationships/hyperlink" Target="https://helpx.adobe.com/security/products/flash-player/apsb15-16.html" TargetMode="External"/><Relationship Id="rId26" Type="http://schemas.openxmlformats.org/officeDocument/2006/relationships/hyperlink" Target="https://blog.trendmicro.com/trendlabs-security-intelligence/another-zero-day-vulnerability-arises-from-hacking-team-data-leak/" TargetMode="External"/><Relationship Id="rId25" Type="http://schemas.openxmlformats.org/officeDocument/2006/relationships/hyperlink" Target="https://helpx.adobe.com/security/products/flash-player/apsb15-18.html" TargetMode="External"/><Relationship Id="rId28" Type="http://schemas.openxmlformats.org/officeDocument/2006/relationships/hyperlink" Target="https://blog.trendmicro.com/trendlabs-security-intelligence/new-zero-day-vulnerability-cve-2015-5123-in-adobe-flash-emerges-from-hacking-team-leak/" TargetMode="External"/><Relationship Id="rId27" Type="http://schemas.openxmlformats.org/officeDocument/2006/relationships/hyperlink" Target="https://helpx.adobe.com/security/products/flash-player/apsb15-18.html" TargetMode="External"/><Relationship Id="rId29" Type="http://schemas.openxmlformats.org/officeDocument/2006/relationships/hyperlink" Target="https://docs.microsoft.com/en-us/security-updates/SecurityBulletins/2015/ms15-077" TargetMode="External"/><Relationship Id="rId11" Type="http://schemas.openxmlformats.org/officeDocument/2006/relationships/hyperlink" Target="https://helpx.adobe.com/security/products/flash-player/apsb15-06.html" TargetMode="External"/><Relationship Id="rId10" Type="http://schemas.openxmlformats.org/officeDocument/2006/relationships/hyperlink" Target="http://blog.trendmicro.com/trendlabs-security-intelligence/bypassing-aslr-with-cve-2015-0071-an-out-of-bounds-read-vulnerability/" TargetMode="External"/><Relationship Id="rId13" Type="http://schemas.openxmlformats.org/officeDocument/2006/relationships/hyperlink" Target="https://docs.microsoft.com/en-us/security-updates/SecurityBulletins/2015/ms15-033" TargetMode="External"/><Relationship Id="rId12" Type="http://schemas.openxmlformats.org/officeDocument/2006/relationships/hyperlink" Target="https://www.fireeye.com/blog/threat-research/2015/04/probable_apt28_useo.html" TargetMode="External"/><Relationship Id="rId15" Type="http://schemas.openxmlformats.org/officeDocument/2006/relationships/hyperlink" Target="https://docs.microsoft.com/en-us/security-updates/securitybulletins/2015/ms15-051" TargetMode="External"/><Relationship Id="rId14" Type="http://schemas.openxmlformats.org/officeDocument/2006/relationships/hyperlink" Target="https://paper.seebug.org/351/" TargetMode="External"/><Relationship Id="rId17" Type="http://schemas.openxmlformats.org/officeDocument/2006/relationships/hyperlink" Target="https://www.mozilla.org/en-US/security/advisories/mfsa2015-78/" TargetMode="External"/><Relationship Id="rId16" Type="http://schemas.openxmlformats.org/officeDocument/2006/relationships/hyperlink" Target="https://www.fireeye.com/blog/threat-research/2015/04/probable_apt28_useo.html" TargetMode="External"/><Relationship Id="rId19" Type="http://schemas.openxmlformats.org/officeDocument/2006/relationships/hyperlink" Target="https://docs.microsoft.com/en-us/security-updates/securitybulletins/2015/ms15-061" TargetMode="External"/><Relationship Id="rId18" Type="http://schemas.openxmlformats.org/officeDocument/2006/relationships/hyperlink" Target="https://blog.mozilla.org/security/2015/08/06/firefox-exploit-found-in-the-wild/" TargetMode="External"/><Relationship Id="rId51" Type="http://schemas.openxmlformats.org/officeDocument/2006/relationships/hyperlink" Target="https://www.oracle.com/technetwork/topics/security/cpuoct2015-2367953.html" TargetMode="External"/><Relationship Id="rId50" Type="http://schemas.openxmlformats.org/officeDocument/2006/relationships/hyperlink" Target="https://bugs.chromium.org/p/project-zero/issues/detail?id=547" TargetMode="External"/><Relationship Id="rId53" Type="http://schemas.openxmlformats.org/officeDocument/2006/relationships/hyperlink" Target="https://docs.microsoft.com/en-us/security-updates/securitybulletins/2015/ms15-135" TargetMode="External"/><Relationship Id="rId52" Type="http://schemas.openxmlformats.org/officeDocument/2006/relationships/hyperlink" Target="https://blog.trendmicro.com/trendlabs-security-intelligence/new-headaches-how-the-pawn-storm-zero-day-evaded-javas-click-to-play-protection/" TargetMode="External"/><Relationship Id="rId55" Type="http://schemas.openxmlformats.org/officeDocument/2006/relationships/drawing" Target="../drawings/drawing12.xml"/><Relationship Id="rId54" Type="http://schemas.openxmlformats.org/officeDocument/2006/relationships/hyperlink" Target="https://helpx.adobe.com/security/products/flash-player/apsb16-01.html"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helpx.adobe.com/security/products/acrobat/apsb14-19.html" TargetMode="External"/><Relationship Id="rId2" Type="http://schemas.openxmlformats.org/officeDocument/2006/relationships/hyperlink" Target="https://docs.microsoft.com/en-us/security-updates/securitybulletins/2014/ms14-051" TargetMode="External"/><Relationship Id="rId3" Type="http://schemas.openxmlformats.org/officeDocument/2006/relationships/hyperlink" Target="https://twitter.com/tiraniddo/status/522135160675127296" TargetMode="External"/><Relationship Id="rId4" Type="http://schemas.openxmlformats.org/officeDocument/2006/relationships/hyperlink" Target="https://docs.microsoft.com/en-us/security-updates/securitybulletins/2014/ms14-058" TargetMode="External"/><Relationship Id="rId9" Type="http://schemas.openxmlformats.org/officeDocument/2006/relationships/hyperlink" Target="https://www.fireeye.com/blog/threat-research/2014/10/two-targeted-attacks-two-new-zero-days.html" TargetMode="External"/><Relationship Id="rId5" Type="http://schemas.openxmlformats.org/officeDocument/2006/relationships/hyperlink" Target="https://www.fireeye.com/blog/threat-research/2014/10/two-targeted-attacks-two-new-zero-days.html" TargetMode="External"/><Relationship Id="rId6" Type="http://schemas.openxmlformats.org/officeDocument/2006/relationships/hyperlink" Target="https://docs.microsoft.com/en-us/security-updates/securitybulletins/2014/ms14-060" TargetMode="External"/><Relationship Id="rId7" Type="http://schemas.openxmlformats.org/officeDocument/2006/relationships/hyperlink" Target="https://blog.trendmicro.com/trendlabs-security-intelligence/an-analysis-of-windows-zero-day-vulnerability-cve-2014-4114-aka-sandworm/" TargetMode="External"/><Relationship Id="rId8" Type="http://schemas.openxmlformats.org/officeDocument/2006/relationships/hyperlink" Target="https://docs.microsoft.com/en-us/security-updates/securitybulletins/2014/ms14-058" TargetMode="External"/><Relationship Id="rId11" Type="http://schemas.openxmlformats.org/officeDocument/2006/relationships/hyperlink" Target="https://docs.microsoft.com/en-us/security-updates/securitybulletins/2014/ms14-056" TargetMode="External"/><Relationship Id="rId10" Type="http://schemas.openxmlformats.org/officeDocument/2006/relationships/hyperlink" Target="https://helpx.adobe.com/security/products/flash-player/apsb14-22.html" TargetMode="External"/><Relationship Id="rId13" Type="http://schemas.openxmlformats.org/officeDocument/2006/relationships/hyperlink" Target="https://securingtomorrow.mcafee.com/other-blogs/mcafee-labs/bypassing-microsofts-patch-for-the-sandworm-zero-day-even-editing-can-cause-harm/" TargetMode="External"/><Relationship Id="rId12" Type="http://schemas.openxmlformats.org/officeDocument/2006/relationships/hyperlink" Target="https://docs.microsoft.com/en-us/security-updates/securitybulletins/2014/ms14-064" TargetMode="External"/><Relationship Id="rId15" Type="http://schemas.openxmlformats.org/officeDocument/2006/relationships/hyperlink" Target="https://docs.microsoft.com/en-us/security-updates/securitybulletins/2014/ms14-068" TargetMode="External"/><Relationship Id="rId14" Type="http://schemas.openxmlformats.org/officeDocument/2006/relationships/hyperlink" Target="https://docs.microsoft.com/en-us/security-updates/securitybulletins/2014/ms14-078" TargetMode="External"/><Relationship Id="rId17" Type="http://schemas.openxmlformats.org/officeDocument/2006/relationships/hyperlink" Target="https://helpx.adobe.com/security/products/flash-player/apsb14-27.html" TargetMode="External"/><Relationship Id="rId16" Type="http://schemas.openxmlformats.org/officeDocument/2006/relationships/hyperlink" Target="https://blogs.technet.microsoft.com/srd/2014/11/18/additional-information-about-cve-2014-6324/" TargetMode="External"/><Relationship Id="rId18"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90" Type="http://schemas.openxmlformats.org/officeDocument/2006/relationships/hyperlink" Target="https://googleprojectzero.github.io/0days-in-the-wild//0day-RCAs/2021/CVE-2021-30858.html" TargetMode="External"/><Relationship Id="rId194" Type="http://schemas.openxmlformats.org/officeDocument/2006/relationships/hyperlink" Target="https://chromereleases.googleblog.com/2021/09/stable-channel-update-for-desktop.html" TargetMode="External"/><Relationship Id="rId193" Type="http://schemas.openxmlformats.org/officeDocument/2006/relationships/hyperlink" Target="https://googleprojectzero.github.io/0days-in-the-wild//0day-RCAs/2021/CVE-2021-30632.html" TargetMode="External"/><Relationship Id="rId192" Type="http://schemas.openxmlformats.org/officeDocument/2006/relationships/hyperlink" Target="https://securitylab.github.com/research/in_the_wild_chrome_cve_2021_30632/" TargetMode="External"/><Relationship Id="rId191" Type="http://schemas.openxmlformats.org/officeDocument/2006/relationships/hyperlink" Target="https://chromereleases.googleblog.com/2021/09/stable-channel-update-for-desktop.html" TargetMode="External"/><Relationship Id="rId187" Type="http://schemas.openxmlformats.org/officeDocument/2006/relationships/hyperlink" Target="https://support.apple.com/en-us/HT212807" TargetMode="External"/><Relationship Id="rId186" Type="http://schemas.openxmlformats.org/officeDocument/2006/relationships/hyperlink" Target="https://billdemirkapi.me/unpacking-cve-2021-40444-microsoft-office-rce/" TargetMode="External"/><Relationship Id="rId185" Type="http://schemas.openxmlformats.org/officeDocument/2006/relationships/hyperlink" Target="https://msrc.microsoft.com/update-guide/vulnerability/CVE-2021-40444" TargetMode="External"/><Relationship Id="rId184" Type="http://schemas.openxmlformats.org/officeDocument/2006/relationships/hyperlink" Target="https://blog.google/threat-analysis-group/analyzing-watering-hole-campaign-using-macos-exploits/" TargetMode="External"/><Relationship Id="rId189" Type="http://schemas.openxmlformats.org/officeDocument/2006/relationships/hyperlink" Target="https://support.apple.com/en-us/HT212807" TargetMode="External"/><Relationship Id="rId188" Type="http://schemas.openxmlformats.org/officeDocument/2006/relationships/hyperlink" Target="https://googleprojectzero.blogspot.com/2021/12/a-deep-dive-into-nso-zero-click.html" TargetMode="External"/><Relationship Id="rId183" Type="http://schemas.openxmlformats.org/officeDocument/2006/relationships/hyperlink" Target="https://support.apple.com/en-us/HT212825" TargetMode="External"/><Relationship Id="rId182" Type="http://schemas.openxmlformats.org/officeDocument/2006/relationships/hyperlink" Target="https://blog.google/threat-analysis-group/protecting-android-users-from-0-day-attacks/" TargetMode="External"/><Relationship Id="rId181" Type="http://schemas.openxmlformats.org/officeDocument/2006/relationships/hyperlink" Target="https://chromereleases.googleblog.com/2021/09/stable-channel-update-for-desktop_24.html" TargetMode="External"/><Relationship Id="rId180" Type="http://schemas.openxmlformats.org/officeDocument/2006/relationships/hyperlink" Target="https://blog.google/threat-analysis-group/protecting-android-users-from-0-day-attacks/" TargetMode="External"/><Relationship Id="rId176" Type="http://schemas.openxmlformats.org/officeDocument/2006/relationships/hyperlink" Target="https://chromereleases.googleblog.com/2021/09/stable-channel-update-for-desktop_30.html" TargetMode="External"/><Relationship Id="rId297" Type="http://schemas.openxmlformats.org/officeDocument/2006/relationships/hyperlink" Target="https://chromereleases.googleblog.com/2020/10/stable-channel-update-for-desktop_20.html" TargetMode="External"/><Relationship Id="rId175" Type="http://schemas.openxmlformats.org/officeDocument/2006/relationships/hyperlink" Target="https://security.samsungmobile.com/securityUpdate.smsb" TargetMode="External"/><Relationship Id="rId296" Type="http://schemas.openxmlformats.org/officeDocument/2006/relationships/hyperlink" Target="https://googleprojectzero.github.io/0days-in-the-wild//0day-RCAs/2020/CVE-2020-16010.html" TargetMode="External"/><Relationship Id="rId174" Type="http://schemas.openxmlformats.org/officeDocument/2006/relationships/hyperlink" Target="https://security.samsungmobile.com/securityUpdate.smsb" TargetMode="External"/><Relationship Id="rId295" Type="http://schemas.openxmlformats.org/officeDocument/2006/relationships/hyperlink" Target="https://bugs.chromium.org/p/project-zero/issues/detail?id=2112" TargetMode="External"/><Relationship Id="rId173" Type="http://schemas.openxmlformats.org/officeDocument/2006/relationships/hyperlink" Target="https://httpd.apache.org/security/vulnerabilities_24.html" TargetMode="External"/><Relationship Id="rId294" Type="http://schemas.openxmlformats.org/officeDocument/2006/relationships/hyperlink" Target="https://chromereleases.googleblog.com/2020/11/chrome-for-android-update.html" TargetMode="External"/><Relationship Id="rId179" Type="http://schemas.openxmlformats.org/officeDocument/2006/relationships/hyperlink" Target="https://chromereleases.googleblog.com/2021/09/stable-channel-update-for-desktop_30.html" TargetMode="External"/><Relationship Id="rId178" Type="http://schemas.openxmlformats.org/officeDocument/2006/relationships/hyperlink" Target="https://googleprojectzero.github.io/0days-in-the-wild//0day-RCAs/2021/CVE-2021-37975.html" TargetMode="External"/><Relationship Id="rId299" Type="http://schemas.openxmlformats.org/officeDocument/2006/relationships/hyperlink" Target="https://googleprojectzero.github.io/0days-in-the-wild//0day-RCAs/2020/CVE-2020-15999.html" TargetMode="External"/><Relationship Id="rId177" Type="http://schemas.openxmlformats.org/officeDocument/2006/relationships/hyperlink" Target="https://securitylab.github.com/research/in_the_wild_chrome_cve_2021_37975/" TargetMode="External"/><Relationship Id="rId298" Type="http://schemas.openxmlformats.org/officeDocument/2006/relationships/hyperlink" Target="https://savannah.nongnu.org/bugs/?59308" TargetMode="External"/><Relationship Id="rId198" Type="http://schemas.openxmlformats.org/officeDocument/2006/relationships/hyperlink" Target="https://support.apple.com/en-us/HT212623" TargetMode="External"/><Relationship Id="rId197" Type="http://schemas.openxmlformats.org/officeDocument/2006/relationships/hyperlink" Target="https://msrc.microsoft.com/update-guide/vulnerability/CVE-2021-36948" TargetMode="External"/><Relationship Id="rId196" Type="http://schemas.openxmlformats.org/officeDocument/2006/relationships/hyperlink" Target="https://googleprojectzero.blogspot.com/2022/03/forcedentry-sandbox-escape.html" TargetMode="External"/><Relationship Id="rId195" Type="http://schemas.openxmlformats.org/officeDocument/2006/relationships/hyperlink" Target="https://support.apple.com/en-us/HT212807" TargetMode="External"/><Relationship Id="rId199" Type="http://schemas.openxmlformats.org/officeDocument/2006/relationships/hyperlink" Target="https://saaramar.github.io/IOMobileFrameBuffer_LPE_POC/" TargetMode="External"/><Relationship Id="rId150" Type="http://schemas.openxmlformats.org/officeDocument/2006/relationships/hyperlink" Target="https://support.apple.com/en-us/HT212976" TargetMode="External"/><Relationship Id="rId271" Type="http://schemas.openxmlformats.org/officeDocument/2006/relationships/hyperlink" Target="https://support.apple.com/en-us/HT212146" TargetMode="External"/><Relationship Id="rId392" Type="http://schemas.openxmlformats.org/officeDocument/2006/relationships/hyperlink" Target="https://helpx.adobe.com/security/products/flash-player/apsb17-32.html" TargetMode="External"/><Relationship Id="rId270" Type="http://schemas.openxmlformats.org/officeDocument/2006/relationships/hyperlink" Target="https://googleprojectzero.blogspot.com/2022/04/cve-2021-1782-ios-in-wild-vulnerability.html" TargetMode="External"/><Relationship Id="rId391" Type="http://schemas.openxmlformats.org/officeDocument/2006/relationships/hyperlink" Target="https://www.freebuf.com/vuls/159789.html" TargetMode="External"/><Relationship Id="rId390" Type="http://schemas.openxmlformats.org/officeDocument/2006/relationships/hyperlink" Target="https://portal.msrc.microsoft.com/en-US/security-guidance/advisory/CVE-2018-0802" TargetMode="External"/><Relationship Id="rId1" Type="http://schemas.openxmlformats.org/officeDocument/2006/relationships/hyperlink" Target="https://support.apple.com/en-us/HT214059" TargetMode="External"/><Relationship Id="rId2" Type="http://schemas.openxmlformats.org/officeDocument/2006/relationships/hyperlink" Target="https://chromereleases.googleblog.com/2024/01/stable-channel-update-for-desktop_16.html" TargetMode="External"/><Relationship Id="rId3" Type="http://schemas.openxmlformats.org/officeDocument/2006/relationships/hyperlink" Target="https://chromereleases.googleblog.com/2023/12/stable-channel-update-for-desktop_20.html" TargetMode="External"/><Relationship Id="rId149" Type="http://schemas.openxmlformats.org/officeDocument/2006/relationships/hyperlink" Target="https://googleprojectzero.github.io/0days-in-the-wild//0day-RCAs/2022/CVE-2022-21882.html" TargetMode="External"/><Relationship Id="rId4" Type="http://schemas.openxmlformats.org/officeDocument/2006/relationships/hyperlink" Target="https://docs.qualcomm.com/product/publicresources/securitybulletin/october-2023-bulletin.html" TargetMode="External"/><Relationship Id="rId148" Type="http://schemas.openxmlformats.org/officeDocument/2006/relationships/hyperlink" Target="https://msrc.microsoft.com/update-guide/vulnerability/CVE-2022-21882" TargetMode="External"/><Relationship Id="rId269" Type="http://schemas.openxmlformats.org/officeDocument/2006/relationships/hyperlink" Target="https://support.apple.com/en-us/HT212146" TargetMode="External"/><Relationship Id="rId9" Type="http://schemas.openxmlformats.org/officeDocument/2006/relationships/hyperlink" Target="https://support.apple.com/en-us/HT214031" TargetMode="External"/><Relationship Id="rId143" Type="http://schemas.openxmlformats.org/officeDocument/2006/relationships/hyperlink" Target="https://googleprojectzero.blogspot.com/2022/06/an-autopsy-on-zombie-in-wild-0-day.html" TargetMode="External"/><Relationship Id="rId264" Type="http://schemas.openxmlformats.org/officeDocument/2006/relationships/hyperlink" Target="https://github.com/ZeusBox/CVE-2021-21017" TargetMode="External"/><Relationship Id="rId385" Type="http://schemas.openxmlformats.org/officeDocument/2006/relationships/hyperlink" Target="https://www.welivesecurity.com/2018/05/15/tale-two-zero-days/" TargetMode="External"/><Relationship Id="rId142" Type="http://schemas.openxmlformats.org/officeDocument/2006/relationships/hyperlink" Target="https://support.apple.com/en-us/HT213093" TargetMode="External"/><Relationship Id="rId263" Type="http://schemas.openxmlformats.org/officeDocument/2006/relationships/hyperlink" Target="https://helpx.adobe.com/security/products/acrobat/apsb21-09.html" TargetMode="External"/><Relationship Id="rId384" Type="http://schemas.openxmlformats.org/officeDocument/2006/relationships/hyperlink" Target="https://portal.msrc.microsoft.com/en-US/security-guidance/advisory/CVE-2018-8120" TargetMode="External"/><Relationship Id="rId141" Type="http://schemas.openxmlformats.org/officeDocument/2006/relationships/hyperlink" Target="https://blog.google/threat-analysis-group/countering-threats-north-korea/" TargetMode="External"/><Relationship Id="rId262" Type="http://schemas.openxmlformats.org/officeDocument/2006/relationships/hyperlink" Target="https://security.samsungmobile.com/securityUpdate.smsb" TargetMode="External"/><Relationship Id="rId383" Type="http://schemas.openxmlformats.org/officeDocument/2006/relationships/hyperlink" Target="https://srcincite.io/blog/2018/05/21/adobe-me-and-a-double-free.html" TargetMode="External"/><Relationship Id="rId140" Type="http://schemas.openxmlformats.org/officeDocument/2006/relationships/hyperlink" Target="https://chromereleases.googleblog.com/2022/02/stable-channel-update-for-desktop_14.html" TargetMode="External"/><Relationship Id="rId261" Type="http://schemas.openxmlformats.org/officeDocument/2006/relationships/hyperlink" Target="https://security.samsungmobile.com/securityUpdate.smsb" TargetMode="External"/><Relationship Id="rId382" Type="http://schemas.openxmlformats.org/officeDocument/2006/relationships/hyperlink" Target="https://helpx.adobe.com/security/products/acrobat/apsb18-09.html" TargetMode="External"/><Relationship Id="rId5" Type="http://schemas.openxmlformats.org/officeDocument/2006/relationships/hyperlink" Target="https://googleprojectzero.github.io/0days-in-the-wild//0day-RCAs/2023/CVE-2023-33106.html" TargetMode="External"/><Relationship Id="rId147" Type="http://schemas.openxmlformats.org/officeDocument/2006/relationships/hyperlink" Target="https://support.apple.com/en-us/HT213053" TargetMode="External"/><Relationship Id="rId268" Type="http://schemas.openxmlformats.org/officeDocument/2006/relationships/hyperlink" Target="https://chromereleases.googleblog.com/2021/02/stable-channel-update-for-desktop_4.html" TargetMode="External"/><Relationship Id="rId389" Type="http://schemas.openxmlformats.org/officeDocument/2006/relationships/hyperlink" Target="http://blog.morphisec.com/cve-2018-4878-an-analysis-of-the-flash-player-hack" TargetMode="External"/><Relationship Id="rId6" Type="http://schemas.openxmlformats.org/officeDocument/2006/relationships/hyperlink" Target="https://docs.qualcomm.com/product/publicresources/securitybulletin/october-2023-bulletin.html" TargetMode="External"/><Relationship Id="rId146" Type="http://schemas.openxmlformats.org/officeDocument/2006/relationships/hyperlink" Target="https://www.volexity.com/blog/2022/02/03/operation-emailthief-active-exploitation-of-zero-day-xss-vulnerability-in-zimbra/" TargetMode="External"/><Relationship Id="rId267" Type="http://schemas.openxmlformats.org/officeDocument/2006/relationships/hyperlink" Target="https://googleprojectzero.github.io/0days-in-the-wild/0day-RCAs/2021/CVE-2021-1732.html" TargetMode="External"/><Relationship Id="rId388" Type="http://schemas.openxmlformats.org/officeDocument/2006/relationships/hyperlink" Target="https://helpx.adobe.com/security/products/flash-player/apsb18-03.html" TargetMode="External"/><Relationship Id="rId7" Type="http://schemas.openxmlformats.org/officeDocument/2006/relationships/hyperlink" Target="https://googleprojectzero.github.io/0days-in-the-wild//0day-RCAs/2023/CVE-2023-33107.html" TargetMode="External"/><Relationship Id="rId145" Type="http://schemas.openxmlformats.org/officeDocument/2006/relationships/hyperlink" Target="https://wiki.zimbra.com/wiki/Zimbra_Releases/8.8.15/P30" TargetMode="External"/><Relationship Id="rId266" Type="http://schemas.openxmlformats.org/officeDocument/2006/relationships/hyperlink" Target="https://ti.dbappsecurity.com.cn/blog/index.php/2021/02/10/windows-kernel-zero-day-exploit-is-used-by-bitter-apt-in-targeted-attack/" TargetMode="External"/><Relationship Id="rId387" Type="http://schemas.openxmlformats.org/officeDocument/2006/relationships/hyperlink" Target="https://securelist.com/root-cause-analysis-of-cve-2018-8174/85486/" TargetMode="External"/><Relationship Id="rId8" Type="http://schemas.openxmlformats.org/officeDocument/2006/relationships/hyperlink" Target="https://docs.qualcomm.com/product/publicresources/securitybulletin/october-2023-bulletin.html" TargetMode="External"/><Relationship Id="rId144" Type="http://schemas.openxmlformats.org/officeDocument/2006/relationships/hyperlink" Target="https://googleprojectzero.github.io/0days-in-the-wild//0day-RCAs/2022/CVE-2022-22620.html" TargetMode="External"/><Relationship Id="rId265" Type="http://schemas.openxmlformats.org/officeDocument/2006/relationships/hyperlink" Target="https://msrc.microsoft.com/update-guide/vulnerability/CVE-2021-1732" TargetMode="External"/><Relationship Id="rId386" Type="http://schemas.openxmlformats.org/officeDocument/2006/relationships/hyperlink" Target="https://portal.msrc.microsoft.com/en-US/security-guidance/advisory/CVE-2018-8174" TargetMode="External"/><Relationship Id="rId260" Type="http://schemas.openxmlformats.org/officeDocument/2006/relationships/hyperlink" Target="https://googleprojectzero.blogspot.com/2022/11/a-very-powerful-clipboard-samsung-in-the-wild-exploit-chain.html" TargetMode="External"/><Relationship Id="rId381" Type="http://schemas.openxmlformats.org/officeDocument/2006/relationships/hyperlink" Target="https://s.tencent.com/research/report/489.html" TargetMode="External"/><Relationship Id="rId380" Type="http://schemas.openxmlformats.org/officeDocument/2006/relationships/hyperlink" Target="https://helpx.adobe.com/security/products/flash-player/apsb18-19.html" TargetMode="External"/><Relationship Id="rId139" Type="http://schemas.openxmlformats.org/officeDocument/2006/relationships/hyperlink" Target="https://www.mozilla.org/en-US/security/advisories/mfsa2022-09/" TargetMode="External"/><Relationship Id="rId138" Type="http://schemas.openxmlformats.org/officeDocument/2006/relationships/hyperlink" Target="https://www.mozilla.org/en-US/security/advisories/mfsa2022-09/" TargetMode="External"/><Relationship Id="rId259" Type="http://schemas.openxmlformats.org/officeDocument/2006/relationships/hyperlink" Target="https://security.samsungmobile.com/securityUpdate.smsb" TargetMode="External"/><Relationship Id="rId137" Type="http://schemas.openxmlformats.org/officeDocument/2006/relationships/hyperlink" Target="https://googleprojectzero.github.io/0days-in-the-wild//0day-RCAs/2021/CVE-2021-39793.html" TargetMode="External"/><Relationship Id="rId258" Type="http://schemas.openxmlformats.org/officeDocument/2006/relationships/hyperlink" Target="https://googleprojectzero.github.io/0days-in-the-wild//0day-RCAs/2021/CVE-2021-25369.html" TargetMode="External"/><Relationship Id="rId379" Type="http://schemas.openxmlformats.org/officeDocument/2006/relationships/hyperlink" Target="https://blog.trendmicro.com/trendlabs-security-intelligence/use-after-free-uaf-vulnerability-cve-2018-8373-in-vbscript-engine-affects-internet-explorer-to-run-shellcode/" TargetMode="External"/><Relationship Id="rId132" Type="http://schemas.openxmlformats.org/officeDocument/2006/relationships/hyperlink" Target="https://news.sophos.com/en-us/2022/06/15/sophos-uncovers-how-apt-groups-carried-out-highly-targeted-attack/" TargetMode="External"/><Relationship Id="rId253" Type="http://schemas.openxmlformats.org/officeDocument/2006/relationships/hyperlink" Target="https://security.samsungmobile.com/securityUpdate.smsb" TargetMode="External"/><Relationship Id="rId374" Type="http://schemas.openxmlformats.org/officeDocument/2006/relationships/hyperlink" Target="https://portal.msrc.microsoft.com/en-US/security-guidance/advisory/CVE-2018-8589" TargetMode="External"/><Relationship Id="rId495" Type="http://schemas.openxmlformats.org/officeDocument/2006/relationships/hyperlink" Target="http://h3ysatan.blogspot.com/2016/01/cve-2015-1769-cve-2015-1769-mount.html" TargetMode="External"/><Relationship Id="rId131" Type="http://schemas.openxmlformats.org/officeDocument/2006/relationships/hyperlink" Target="https://www.sophos.com/en-us/security-advisories/sophos-sa-20220325-sfos-rce" TargetMode="External"/><Relationship Id="rId252" Type="http://schemas.openxmlformats.org/officeDocument/2006/relationships/hyperlink" Target="https://googleprojectzero.github.io/0days-in-the-wild/0day-RCAs/2021/CVE-2021-21166.html" TargetMode="External"/><Relationship Id="rId373" Type="http://schemas.openxmlformats.org/officeDocument/2006/relationships/hyperlink" Target="http://blogs.360.cn/post/PoisonNeedles_CVE-2018-15982_EN" TargetMode="External"/><Relationship Id="rId494" Type="http://schemas.openxmlformats.org/officeDocument/2006/relationships/hyperlink" Target="https://docs.microsoft.com/en-us/security-updates/securitybulletins/2015/ms15-085" TargetMode="External"/><Relationship Id="rId130" Type="http://schemas.openxmlformats.org/officeDocument/2006/relationships/hyperlink" Target="https://success.trendmicro.com/dcx/s/solution/000290678?language=en_US" TargetMode="External"/><Relationship Id="rId251" Type="http://schemas.openxmlformats.org/officeDocument/2006/relationships/hyperlink" Target="https://blog.google/threat-analysis-group/how-we-protect-users-0-day-attacks/" TargetMode="External"/><Relationship Id="rId372" Type="http://schemas.openxmlformats.org/officeDocument/2006/relationships/hyperlink" Target="https://helpx.adobe.com/security/products/flash-player/apsb18-42.html?red=a" TargetMode="External"/><Relationship Id="rId493" Type="http://schemas.openxmlformats.org/officeDocument/2006/relationships/hyperlink" Target="https://labs.mwrinfosecurity.com/advisories/2015/08/17/microsoft-office-ctasksymbol-use-after-free-vulnerability/" TargetMode="External"/><Relationship Id="rId250" Type="http://schemas.openxmlformats.org/officeDocument/2006/relationships/hyperlink" Target="https://chromereleases.googleblog.com/2021/03/stable-channel-update-for-desktop.html" TargetMode="External"/><Relationship Id="rId371" Type="http://schemas.openxmlformats.org/officeDocument/2006/relationships/hyperlink" Target="https://securelist.com/zero-day-in-windows-kernel-transaction-manager-cve-2018-8611/89253/" TargetMode="External"/><Relationship Id="rId492" Type="http://schemas.openxmlformats.org/officeDocument/2006/relationships/hyperlink" Target="https://docs.microsoft.com/en-us/security-updates/securitybulletins/2015/ms15-081" TargetMode="External"/><Relationship Id="rId136" Type="http://schemas.openxmlformats.org/officeDocument/2006/relationships/hyperlink" Target="https://source.android.com/security/bulletin/pixel/2022-03-01" TargetMode="External"/><Relationship Id="rId257" Type="http://schemas.openxmlformats.org/officeDocument/2006/relationships/hyperlink" Target="https://googleprojectzero.blogspot.com/2022/11/a-very-powerful-clipboard-samsung-in-the-wild-exploit-chain.html" TargetMode="External"/><Relationship Id="rId378" Type="http://schemas.openxmlformats.org/officeDocument/2006/relationships/hyperlink" Target="https://portal.msrc.microsoft.com/en-US/security-guidance/advisory/CVE-2018-8373" TargetMode="External"/><Relationship Id="rId499" Type="http://schemas.openxmlformats.org/officeDocument/2006/relationships/hyperlink" Target="http://blog.trendmicro.com/trendlabs-security-intelligence/hacking-team-leak-uncovers-another-windows-zero-day-ms-releases-patch/" TargetMode="External"/><Relationship Id="rId135" Type="http://schemas.openxmlformats.org/officeDocument/2006/relationships/hyperlink" Target="https://source.android.com/security/bulletin/pixel/2022-03-01" TargetMode="External"/><Relationship Id="rId256" Type="http://schemas.openxmlformats.org/officeDocument/2006/relationships/hyperlink" Target="https://security.samsungmobile.com/securityUpdate.smsb" TargetMode="External"/><Relationship Id="rId377" Type="http://schemas.openxmlformats.org/officeDocument/2006/relationships/hyperlink" Target="https://securelist.com/cve-2018-8453-used-in-targeted-attacks/88151/" TargetMode="External"/><Relationship Id="rId498" Type="http://schemas.openxmlformats.org/officeDocument/2006/relationships/hyperlink" Target="https://docs.microsoft.com/en-us/security-updates/securitybulletins/2015/ms15-078" TargetMode="External"/><Relationship Id="rId134" Type="http://schemas.openxmlformats.org/officeDocument/2006/relationships/hyperlink" Target="https://googleprojectzero.github.io/0days-in-the-wild//0day-RCAs/2022/CVE-2022-1096.html" TargetMode="External"/><Relationship Id="rId255" Type="http://schemas.openxmlformats.org/officeDocument/2006/relationships/hyperlink" Target="https://googleprojectzero.github.io/0days-in-the-wild//0day-RCAs/2021/CVE-2021-25337.html" TargetMode="External"/><Relationship Id="rId376" Type="http://schemas.openxmlformats.org/officeDocument/2006/relationships/hyperlink" Target="https://portal.msrc.microsoft.com/en-US/security-guidance/advisory/CVE-2018-8453" TargetMode="External"/><Relationship Id="rId497" Type="http://schemas.openxmlformats.org/officeDocument/2006/relationships/hyperlink" Target="https://blog.mozilla.org/security/2015/08/06/firefox-exploit-found-in-the-wild/" TargetMode="External"/><Relationship Id="rId133" Type="http://schemas.openxmlformats.org/officeDocument/2006/relationships/hyperlink" Target="https://chromereleases.googleblog.com/2022/03/stable-channel-update-for-desktop_25.html" TargetMode="External"/><Relationship Id="rId254" Type="http://schemas.openxmlformats.org/officeDocument/2006/relationships/hyperlink" Target="https://googleprojectzero.blogspot.com/2022/11/a-very-powerful-clipboard-samsung-in-the-wild-exploit-chain.html" TargetMode="External"/><Relationship Id="rId375" Type="http://schemas.openxmlformats.org/officeDocument/2006/relationships/hyperlink" Target="https://securelist.com/a-new-exploit-for-zero-day-vulnerability-cve-2018-8589/88845/" TargetMode="External"/><Relationship Id="rId496" Type="http://schemas.openxmlformats.org/officeDocument/2006/relationships/hyperlink" Target="https://www.mozilla.org/en-US/security/advisories/mfsa2015-78/" TargetMode="External"/><Relationship Id="rId172" Type="http://schemas.openxmlformats.org/officeDocument/2006/relationships/hyperlink" Target="https://saaramar.github.io/IOMFB_integer_overflow_poc/" TargetMode="External"/><Relationship Id="rId293" Type="http://schemas.openxmlformats.org/officeDocument/2006/relationships/hyperlink" Target="https://googleprojectzero.github.io/0days-in-the-wild//0day-RCAs/2020/CVE-2020-16009.html" TargetMode="External"/><Relationship Id="rId171" Type="http://schemas.openxmlformats.org/officeDocument/2006/relationships/hyperlink" Target="https://support.apple.com/en-us/HT212846" TargetMode="External"/><Relationship Id="rId292" Type="http://schemas.openxmlformats.org/officeDocument/2006/relationships/hyperlink" Target="https://bugs.chromium.org/p/project-zero/issues/detail?id=2106" TargetMode="External"/><Relationship Id="rId170" Type="http://schemas.openxmlformats.org/officeDocument/2006/relationships/hyperlink" Target="https://securelist.com/mysterysnail-attacks-with-windows-zero-day/104509/" TargetMode="External"/><Relationship Id="rId291" Type="http://schemas.openxmlformats.org/officeDocument/2006/relationships/hyperlink" Target="https://chromereleases.googleblog.com/2020/11/stable-channel-update-for-desktop.html" TargetMode="External"/><Relationship Id="rId290" Type="http://schemas.openxmlformats.org/officeDocument/2006/relationships/hyperlink" Target="https://googleprojectzero.github.io/0days-in-the-wild//0day-RCAs/2020/CVE-2020-27932.html" TargetMode="External"/><Relationship Id="rId165" Type="http://schemas.openxmlformats.org/officeDocument/2006/relationships/hyperlink" Target="https://blog.google/threat-analysis-group/protecting-android-users-from-0-day-attacks/" TargetMode="External"/><Relationship Id="rId286" Type="http://schemas.openxmlformats.org/officeDocument/2006/relationships/hyperlink" Target="https://bugs.chromium.org/p/project-zero/issues/detail?id=2108&amp;q=CVE-2020-27950&amp;can=1" TargetMode="External"/><Relationship Id="rId164" Type="http://schemas.openxmlformats.org/officeDocument/2006/relationships/hyperlink" Target="https://chromereleases.googleblog.com/2021/10/stable-channel-update-for-desktop_28.html" TargetMode="External"/><Relationship Id="rId285" Type="http://schemas.openxmlformats.org/officeDocument/2006/relationships/hyperlink" Target="https://support.apple.com/en-us/HT211929" TargetMode="External"/><Relationship Id="rId163" Type="http://schemas.openxmlformats.org/officeDocument/2006/relationships/hyperlink" Target="https://googleprojectzero.github.io/0days-in-the-wild//0day-RCAs/2021/CVE-2021-0920.html" TargetMode="External"/><Relationship Id="rId284" Type="http://schemas.openxmlformats.org/officeDocument/2006/relationships/hyperlink" Target="https://googleprojectzero.github.io/0days-in-the-wild//0day-RCAs/2020/CVE-2020-27930.html" TargetMode="External"/><Relationship Id="rId162" Type="http://schemas.openxmlformats.org/officeDocument/2006/relationships/hyperlink" Target="https://googleprojectzero.blogspot.com/2022/08/the-quantum-state-of-linux-kernel.html" TargetMode="External"/><Relationship Id="rId283" Type="http://schemas.openxmlformats.org/officeDocument/2006/relationships/hyperlink" Target="https://bugs.chromium.org/p/project-zero/issues/detail?id=2105" TargetMode="External"/><Relationship Id="rId169" Type="http://schemas.openxmlformats.org/officeDocument/2006/relationships/hyperlink" Target="https://msrc.microsoft.com/update-guide/vulnerability/CVE-2021-40449" TargetMode="External"/><Relationship Id="rId168" Type="http://schemas.openxmlformats.org/officeDocument/2006/relationships/hyperlink" Target="https://blog.google/threat-analysis-group/protecting-android-users-from-0-day-attacks/" TargetMode="External"/><Relationship Id="rId289" Type="http://schemas.openxmlformats.org/officeDocument/2006/relationships/hyperlink" Target="https://bugs.chromium.org/p/project-zero/issues/detail?id=2107" TargetMode="External"/><Relationship Id="rId167" Type="http://schemas.openxmlformats.org/officeDocument/2006/relationships/hyperlink" Target="https://chromereleases.googleblog.com/2021/10/stable-channel-update-for-desktop_28.html" TargetMode="External"/><Relationship Id="rId288" Type="http://schemas.openxmlformats.org/officeDocument/2006/relationships/hyperlink" Target="https://support.apple.com/en-us/HT211929" TargetMode="External"/><Relationship Id="rId166" Type="http://schemas.openxmlformats.org/officeDocument/2006/relationships/hyperlink" Target="https://googleprojectzero.github.io/0days-in-the-wild//0day-RCAs/2021/CVE-2021-38000.html" TargetMode="External"/><Relationship Id="rId287" Type="http://schemas.openxmlformats.org/officeDocument/2006/relationships/hyperlink" Target="https://googleprojectzero.github.io/0days-in-the-wild//0day-RCAs/2020/CVE-2020-27950.html" TargetMode="External"/><Relationship Id="rId161" Type="http://schemas.openxmlformats.org/officeDocument/2006/relationships/hyperlink" Target="https://source.android.com/security/bulletin/2021-11-01" TargetMode="External"/><Relationship Id="rId282" Type="http://schemas.openxmlformats.org/officeDocument/2006/relationships/hyperlink" Target="https://support.apple.com/en-us/HT211929" TargetMode="External"/><Relationship Id="rId160" Type="http://schemas.openxmlformats.org/officeDocument/2006/relationships/hyperlink" Target="https://googleprojectzero.github.io/0days-in-the-wild//0day-RCAs/2021/CVE-2021-1048.html" TargetMode="External"/><Relationship Id="rId281" Type="http://schemas.openxmlformats.org/officeDocument/2006/relationships/hyperlink" Target="https://googleprojectzero.github.io/0days-in-the-wild//0day-RCAs/2020/CVE-2020-17087.html" TargetMode="External"/><Relationship Id="rId280" Type="http://schemas.openxmlformats.org/officeDocument/2006/relationships/hyperlink" Target="https://bugs.chromium.org/p/project-zero/issues/detail?id=2104" TargetMode="External"/><Relationship Id="rId159" Type="http://schemas.openxmlformats.org/officeDocument/2006/relationships/hyperlink" Target="https://blog.google/threat-analysis-group/protecting-android-users-from-0-day-attacks/" TargetMode="External"/><Relationship Id="rId154" Type="http://schemas.openxmlformats.org/officeDocument/2006/relationships/hyperlink" Target="https://msrc.microsoft.com/update-guide/en-US/vulnerability/CVE-2021-42292" TargetMode="External"/><Relationship Id="rId275" Type="http://schemas.openxmlformats.org/officeDocument/2006/relationships/hyperlink" Target="https://source.android.com/security/bulletin/2021-01-01" TargetMode="External"/><Relationship Id="rId396" Type="http://schemas.openxmlformats.org/officeDocument/2006/relationships/hyperlink" Target="https://portal.msrc.microsoft.com/en-US/security-guidance/advisory/CVE-2017-8759" TargetMode="External"/><Relationship Id="rId153" Type="http://schemas.openxmlformats.org/officeDocument/2006/relationships/hyperlink" Target="https://googleprojectzero.github.io/0days-in-the-wild//0day-RCAs/2021/CVE-2021-4102.html" TargetMode="External"/><Relationship Id="rId274" Type="http://schemas.openxmlformats.org/officeDocument/2006/relationships/hyperlink" Target="https://googleprojectzero.github.io/0days-in-the-wild/0day-RCAs/2021/CVE-2021-1647.html" TargetMode="External"/><Relationship Id="rId395" Type="http://schemas.openxmlformats.org/officeDocument/2006/relationships/hyperlink" Target="https://securingtomorrow.mcafee.com/other-blogs/mcafee-labs/analyzing-microsoft-office-zero-day-exploit-cve-2017-11826-memory-corruption-vulnerability/" TargetMode="External"/><Relationship Id="rId152" Type="http://schemas.openxmlformats.org/officeDocument/2006/relationships/hyperlink" Target="https://chromereleases.googleblog.com/2021/12/stable-channel-update-for-desktop_13.html" TargetMode="External"/><Relationship Id="rId273" Type="http://schemas.openxmlformats.org/officeDocument/2006/relationships/hyperlink" Target="https://msrc.microsoft.com/update-guide/vulnerability/CVE-2021-1647" TargetMode="External"/><Relationship Id="rId394" Type="http://schemas.openxmlformats.org/officeDocument/2006/relationships/hyperlink" Target="https://portal.msrc.microsoft.com/en-US/security-guidance/advisory/CVE-2017-11826" TargetMode="External"/><Relationship Id="rId151" Type="http://schemas.openxmlformats.org/officeDocument/2006/relationships/hyperlink" Target="https://googleprojectzero.blogspot.com/2022/06/curious-case-carrier-app.html" TargetMode="External"/><Relationship Id="rId272" Type="http://schemas.openxmlformats.org/officeDocument/2006/relationships/hyperlink" Target="https://support.apple.com/en-us/HT212146" TargetMode="External"/><Relationship Id="rId393" Type="http://schemas.openxmlformats.org/officeDocument/2006/relationships/hyperlink" Target="https://securelist.com/blackoasis-apt-and-new-targeted-attacks-leveraging-zero-day-exploit/82732/" TargetMode="External"/><Relationship Id="rId158" Type="http://schemas.openxmlformats.org/officeDocument/2006/relationships/hyperlink" Target="https://source.android.com/security/bulletin/2021-11-01" TargetMode="External"/><Relationship Id="rId279" Type="http://schemas.openxmlformats.org/officeDocument/2006/relationships/hyperlink" Target="https://msrc.microsoft.com/update-guide/en-US/vulnerability/CVE-2020-17087" TargetMode="External"/><Relationship Id="rId157" Type="http://schemas.openxmlformats.org/officeDocument/2006/relationships/hyperlink" Target="https://peterjson.medium.com/some-notes-about-microsoft-exchange-deserialization-rce-cve-2021-42321-110d04e8852" TargetMode="External"/><Relationship Id="rId278" Type="http://schemas.openxmlformats.org/officeDocument/2006/relationships/hyperlink" Target="https://chromereleases.googleblog.com/2020/11/stable-channel-update-for-desktop_11.html" TargetMode="External"/><Relationship Id="rId399" Type="http://schemas.openxmlformats.org/officeDocument/2006/relationships/hyperlink" Target="http://www.vxjump.net/files/vuln_analysis/cve-2017-8464.txt" TargetMode="External"/><Relationship Id="rId156" Type="http://schemas.openxmlformats.org/officeDocument/2006/relationships/hyperlink" Target="https://msrc.microsoft.com/update-guide/en-US/vulnerability/CVE-2021-42321" TargetMode="External"/><Relationship Id="rId277" Type="http://schemas.openxmlformats.org/officeDocument/2006/relationships/hyperlink" Target="https://chromereleases.googleblog.com/2020/11/stable-channel-update-for-desktop_11.html" TargetMode="External"/><Relationship Id="rId398" Type="http://schemas.openxmlformats.org/officeDocument/2006/relationships/hyperlink" Target="https://portal.msrc.microsoft.com/en-US/security-guidance/advisory/CVE-2017-8464" TargetMode="External"/><Relationship Id="rId155" Type="http://schemas.openxmlformats.org/officeDocument/2006/relationships/hyperlink" Target="https://twitter.com/HaifeiLi/status/1486133229614616577" TargetMode="External"/><Relationship Id="rId276" Type="http://schemas.openxmlformats.org/officeDocument/2006/relationships/hyperlink" Target="https://www.vmware.com/security/advisories/VMSA-2020-0027.html" TargetMode="External"/><Relationship Id="rId397" Type="http://schemas.openxmlformats.org/officeDocument/2006/relationships/hyperlink" Target="https://www.fireeye.com/blog/threat-research/2017/09/zero-day-used-to-distribute-finspy.html" TargetMode="External"/><Relationship Id="rId40" Type="http://schemas.openxmlformats.org/officeDocument/2006/relationships/hyperlink" Target="https://msrc.microsoft.com/update-guide/vulnerability/CVE-2023-36884" TargetMode="External"/><Relationship Id="rId42" Type="http://schemas.openxmlformats.org/officeDocument/2006/relationships/hyperlink" Target="https://www.group-ib.com/blog/cve-2023-38831-winrar-zero-day/" TargetMode="External"/><Relationship Id="rId41" Type="http://schemas.openxmlformats.org/officeDocument/2006/relationships/hyperlink" Target="https://www.win-rar.com/singlenewsview.html?&amp;L=0&amp;tx_ttnews%5Btt_news%5D=232&amp;cHash=c5bf79590657e32554c6683296a8e8aa" TargetMode="External"/><Relationship Id="rId44" Type="http://schemas.openxmlformats.org/officeDocument/2006/relationships/hyperlink" Target="https://wiki.zimbra.com/wiki/Zimbra_Releases/8.8.15/P41" TargetMode="External"/><Relationship Id="rId43" Type="http://schemas.openxmlformats.org/officeDocument/2006/relationships/hyperlink" Target="https://googleprojectzero.github.io/0days-in-the-wild//0day-RCAs/2023/CVE-2023-38831.html" TargetMode="External"/><Relationship Id="rId46" Type="http://schemas.openxmlformats.org/officeDocument/2006/relationships/hyperlink" Target="https://support.apple.com/en-us/HT213841" TargetMode="External"/><Relationship Id="rId45" Type="http://schemas.openxmlformats.org/officeDocument/2006/relationships/hyperlink" Target="https://blog.google/threat-analysis-group/zimbra-0-day-used-to-target-international-government-organizations/" TargetMode="External"/><Relationship Id="rId509" Type="http://schemas.openxmlformats.org/officeDocument/2006/relationships/hyperlink" Target="https://web.archive.org/web/20150717041821/http://www.isightpartners.com/2015/07/microsoft-office-zero-day-cve-2015-2424-leveraged-by-tsar-team/" TargetMode="External"/><Relationship Id="rId508" Type="http://schemas.openxmlformats.org/officeDocument/2006/relationships/hyperlink" Target="https://docs.microsoft.com/en-us/security-updates/SecurityBulletins/2015/ms15-070" TargetMode="External"/><Relationship Id="rId503" Type="http://schemas.openxmlformats.org/officeDocument/2006/relationships/hyperlink" Target="https://blog.trendmicro.com/trendlabs-security-intelligence/new-zero-day-vulnerability-cve-2015-5123-in-adobe-flash-emerges-from-hacking-team-leak/" TargetMode="External"/><Relationship Id="rId502" Type="http://schemas.openxmlformats.org/officeDocument/2006/relationships/hyperlink" Target="https://helpx.adobe.com/security/products/flash-player/apsb15-18.html" TargetMode="External"/><Relationship Id="rId501" Type="http://schemas.openxmlformats.org/officeDocument/2006/relationships/hyperlink" Target="https://blog.trendmicro.com/trendlabs-security-intelligence/another-zero-day-vulnerability-arises-from-hacking-team-data-leak/" TargetMode="External"/><Relationship Id="rId500" Type="http://schemas.openxmlformats.org/officeDocument/2006/relationships/hyperlink" Target="https://helpx.adobe.com/security/products/flash-player/apsb15-18.html" TargetMode="External"/><Relationship Id="rId507" Type="http://schemas.openxmlformats.org/officeDocument/2006/relationships/hyperlink" Target="https://blog.trendmicro.com/trendlabs-security-intelligence/gifts-from-hacking-team-continue-ie-zero-day-added-to-mix/" TargetMode="External"/><Relationship Id="rId506" Type="http://schemas.openxmlformats.org/officeDocument/2006/relationships/hyperlink" Target="https://docs.microsoft.com/en-us/security-updates/SecurityBulletins/2015/ms15-065" TargetMode="External"/><Relationship Id="rId505" Type="http://schemas.openxmlformats.org/officeDocument/2006/relationships/hyperlink" Target="https://blog.trendmicro.com/trendlabs-security-intelligence/a-look-at-the-open-type-font-manager-vulnerability-from-the-hacking-team-leak/" TargetMode="External"/><Relationship Id="rId504" Type="http://schemas.openxmlformats.org/officeDocument/2006/relationships/hyperlink" Target="https://docs.microsoft.com/en-us/security-updates/SecurityBulletins/2015/ms15-077" TargetMode="External"/><Relationship Id="rId48" Type="http://schemas.openxmlformats.org/officeDocument/2006/relationships/hyperlink" Target="https://msrc.microsoft.com/update-guide/vulnerability/CVE-2023-32046" TargetMode="External"/><Relationship Id="rId47" Type="http://schemas.openxmlformats.org/officeDocument/2006/relationships/hyperlink" Target="https://support.apple.com/en-us/HT213842" TargetMode="External"/><Relationship Id="rId49" Type="http://schemas.openxmlformats.org/officeDocument/2006/relationships/hyperlink" Target="https://msrc.microsoft.com/update-guide/vulnerability/CVE-2023-36874" TargetMode="External"/><Relationship Id="rId31" Type="http://schemas.openxmlformats.org/officeDocument/2006/relationships/hyperlink" Target="https://msrc.microsoft.com/update-guide/en-US/advisory/CVE-2023-36802" TargetMode="External"/><Relationship Id="rId30" Type="http://schemas.openxmlformats.org/officeDocument/2006/relationships/hyperlink" Target="https://googleprojectzero.github.io/0days-in-the-wild//0day-RCAs/2023/CVE-2023-26369.html" TargetMode="External"/><Relationship Id="rId33" Type="http://schemas.openxmlformats.org/officeDocument/2006/relationships/hyperlink" Target="https://googleprojectzero.github.io/0days-in-the-wild//0day-RCAs/2023/CVE-2023-36802.html" TargetMode="External"/><Relationship Id="rId32" Type="http://schemas.openxmlformats.org/officeDocument/2006/relationships/hyperlink" Target="https://securityintelligence.com/x-force/critically-close-to-zero-day-exploiting-microsoft-kernel-streaming-service/" TargetMode="External"/><Relationship Id="rId35" Type="http://schemas.openxmlformats.org/officeDocument/2006/relationships/hyperlink" Target="https://support.apple.com/en-us/HT213905" TargetMode="External"/><Relationship Id="rId34" Type="http://schemas.openxmlformats.org/officeDocument/2006/relationships/hyperlink" Target="https://msrc.microsoft.com/update-guide/en-US/advisory/CVE-2023-36761" TargetMode="External"/><Relationship Id="rId37" Type="http://schemas.openxmlformats.org/officeDocument/2006/relationships/hyperlink" Target="https://source.android.com/docs/security/bulletin/2023-09-01" TargetMode="External"/><Relationship Id="rId36" Type="http://schemas.openxmlformats.org/officeDocument/2006/relationships/hyperlink" Target="https://support.apple.com/en-us/HT213905" TargetMode="External"/><Relationship Id="rId39" Type="http://schemas.openxmlformats.org/officeDocument/2006/relationships/hyperlink" Target="https://blog.google/threat-analysis-group/0-days-exploited-by-commercial-surveillance-vendor-in-egypt/" TargetMode="External"/><Relationship Id="rId38" Type="http://schemas.openxmlformats.org/officeDocument/2006/relationships/hyperlink" Target="https://chromereleases.googleblog.com/2023/09/stable-channel-update-for-desktop.html" TargetMode="External"/><Relationship Id="rId20" Type="http://schemas.openxmlformats.org/officeDocument/2006/relationships/hyperlink" Target="https://support.apple.com/en-us/HT213926" TargetMode="External"/><Relationship Id="rId22" Type="http://schemas.openxmlformats.org/officeDocument/2006/relationships/hyperlink" Target="https://support.apple.com/en-us/HT213926" TargetMode="External"/><Relationship Id="rId21" Type="http://schemas.openxmlformats.org/officeDocument/2006/relationships/hyperlink" Target="https://blog.google/threat-analysis-group/0-days-exploited-by-commercial-surveillance-vendor-in-egypt/" TargetMode="External"/><Relationship Id="rId24" Type="http://schemas.openxmlformats.org/officeDocument/2006/relationships/hyperlink" Target="https://support.apple.com/en-us/HT213926" TargetMode="External"/><Relationship Id="rId23" Type="http://schemas.openxmlformats.org/officeDocument/2006/relationships/hyperlink" Target="https://blog.google/threat-analysis-group/0-days-exploited-by-commercial-surveillance-vendor-in-egypt/" TargetMode="External"/><Relationship Id="rId409" Type="http://schemas.openxmlformats.org/officeDocument/2006/relationships/hyperlink" Target="https://bugs.ghostscript.com/show_bug.cgi?id=697799" TargetMode="External"/><Relationship Id="rId404" Type="http://schemas.openxmlformats.org/officeDocument/2006/relationships/hyperlink" Target="https://portal.msrc.microsoft.com/en-US/security-guidance/advisory/CVE-2017-0262" TargetMode="External"/><Relationship Id="rId525" Type="http://schemas.openxmlformats.org/officeDocument/2006/relationships/hyperlink" Target="http://blog.trendmicro.com/trendlabs-security-intelligence/bypassing-aslr-with-cve-2015-0071-an-out-of-bounds-read-vulnerability/" TargetMode="External"/><Relationship Id="rId403" Type="http://schemas.openxmlformats.org/officeDocument/2006/relationships/hyperlink" Target="https://www.fireeye.com/blog/threat-research/2017/05/eps-processing-zero-days.html" TargetMode="External"/><Relationship Id="rId524" Type="http://schemas.openxmlformats.org/officeDocument/2006/relationships/hyperlink" Target="https://docs.microsoft.com/en-us/security-updates/securitybulletins/2015/ms15-009" TargetMode="External"/><Relationship Id="rId402" Type="http://schemas.openxmlformats.org/officeDocument/2006/relationships/hyperlink" Target="https://portal.msrc.microsoft.com/en-US/security-guidance/advisory/CVE-2017-0261" TargetMode="External"/><Relationship Id="rId523" Type="http://schemas.openxmlformats.org/officeDocument/2006/relationships/hyperlink" Target="https://paper.seebug.org/351/" TargetMode="External"/><Relationship Id="rId401" Type="http://schemas.openxmlformats.org/officeDocument/2006/relationships/hyperlink" Target="https://mp.weixin.qq.com/s/X2JcKCpCH4exDoxMK5oN5Q?" TargetMode="External"/><Relationship Id="rId522" Type="http://schemas.openxmlformats.org/officeDocument/2006/relationships/hyperlink" Target="https://docs.microsoft.com/en-us/security-updates/SecurityBulletins/2015/ms15-033" TargetMode="External"/><Relationship Id="rId408" Type="http://schemas.openxmlformats.org/officeDocument/2006/relationships/hyperlink" Target="https://portal.msrc.microsoft.com/en-US/security-guidance/advisory/CVE-2017-0222" TargetMode="External"/><Relationship Id="rId529" Type="http://schemas.openxmlformats.org/officeDocument/2006/relationships/hyperlink" Target="https://blog.trendmicro.com/trendlabs-security-intelligence/analyzing-cve-2015-0311-flash-zero-day-vulnerability/" TargetMode="External"/><Relationship Id="rId407" Type="http://schemas.openxmlformats.org/officeDocument/2006/relationships/hyperlink" Target="https://www.fireeye.com/blog/threat-research/2017/05/eps-processing-zero-days.html" TargetMode="External"/><Relationship Id="rId528" Type="http://schemas.openxmlformats.org/officeDocument/2006/relationships/hyperlink" Target="https://helpx.adobe.com/security/products/flash-player/apsb15-03.html" TargetMode="External"/><Relationship Id="rId406" Type="http://schemas.openxmlformats.org/officeDocument/2006/relationships/hyperlink" Target="https://portal.msrc.microsoft.com/en-US/security-guidance/advisory/CVE-2017-0263" TargetMode="External"/><Relationship Id="rId527" Type="http://schemas.openxmlformats.org/officeDocument/2006/relationships/hyperlink" Target="http://blog.trendmicro.com/trendlabs-security-intelligence/analyzing-cve-2015-0313-the-new-flash-player-zero-day/" TargetMode="External"/><Relationship Id="rId405" Type="http://schemas.openxmlformats.org/officeDocument/2006/relationships/hyperlink" Target="https://www.fireeye.com/blog/threat-research/2017/05/eps-processing-zero-days.html" TargetMode="External"/><Relationship Id="rId526" Type="http://schemas.openxmlformats.org/officeDocument/2006/relationships/hyperlink" Target="https://helpx.adobe.com/security/products/flash-player/apsb15-04.html" TargetMode="External"/><Relationship Id="rId26" Type="http://schemas.openxmlformats.org/officeDocument/2006/relationships/hyperlink" Target="https://chromereleases.googleblog.com/2023/09/stable-channel-update-for-desktop_12.html" TargetMode="External"/><Relationship Id="rId25" Type="http://schemas.openxmlformats.org/officeDocument/2006/relationships/hyperlink" Target="https://blog.google/threat-analysis-group/0-days-exploited-by-commercial-surveillance-vendor-in-egypt/" TargetMode="External"/><Relationship Id="rId28" Type="http://schemas.openxmlformats.org/officeDocument/2006/relationships/hyperlink" Target="https://helpx.adobe.com/security/products/acrobat/apsb23-34.html" TargetMode="External"/><Relationship Id="rId27" Type="http://schemas.openxmlformats.org/officeDocument/2006/relationships/hyperlink" Target="https://blog.isosceles.com/the-webp-0day/" TargetMode="External"/><Relationship Id="rId400" Type="http://schemas.openxmlformats.org/officeDocument/2006/relationships/hyperlink" Target="https://portal.msrc.microsoft.com/en-US/security-guidance/advisory/CVE-2017-8543" TargetMode="External"/><Relationship Id="rId521" Type="http://schemas.openxmlformats.org/officeDocument/2006/relationships/hyperlink" Target="https://www.fireeye.com/blog/threat-research/2015/04/probable_apt28_useo.html" TargetMode="External"/><Relationship Id="rId29" Type="http://schemas.openxmlformats.org/officeDocument/2006/relationships/hyperlink" Target="https://blog.google/threat-analysis-group/active-north-korean-campaign-targeting-security-researchers/" TargetMode="External"/><Relationship Id="rId520" Type="http://schemas.openxmlformats.org/officeDocument/2006/relationships/hyperlink" Target="https://helpx.adobe.com/security/products/flash-player/apsb15-06.html" TargetMode="External"/><Relationship Id="rId11" Type="http://schemas.openxmlformats.org/officeDocument/2006/relationships/hyperlink" Target="https://chromereleases.googleblog.com/2023/11/stable-channel-update-for-desktop_28.html" TargetMode="External"/><Relationship Id="rId10" Type="http://schemas.openxmlformats.org/officeDocument/2006/relationships/hyperlink" Target="https://support.apple.com/en-us/HT214031" TargetMode="External"/><Relationship Id="rId13" Type="http://schemas.openxmlformats.org/officeDocument/2006/relationships/hyperlink" Target="https://msrc.microsoft.com/update-guide/en-US/advisory/CVE-2023-36033" TargetMode="External"/><Relationship Id="rId12" Type="http://schemas.openxmlformats.org/officeDocument/2006/relationships/hyperlink" Target="https://msrc.microsoft.com/update-guide/en-US/advisory/CVE-2023-36036" TargetMode="External"/><Relationship Id="rId519" Type="http://schemas.openxmlformats.org/officeDocument/2006/relationships/hyperlink" Target="https://www.fireeye.com/blog/threat-research/2015/04/probable_apt28_useo.html" TargetMode="External"/><Relationship Id="rId514" Type="http://schemas.openxmlformats.org/officeDocument/2006/relationships/hyperlink" Target="https://helpx.adobe.com/security/products/flash-player/apsb15-14.html" TargetMode="External"/><Relationship Id="rId513" Type="http://schemas.openxmlformats.org/officeDocument/2006/relationships/hyperlink" Target="https://blog.trendmicro.com/trendlabs-security-intelligence/unpatched-flash-player-flaws-more-pocs-found-in-hacking-team-leak/" TargetMode="External"/><Relationship Id="rId512" Type="http://schemas.openxmlformats.org/officeDocument/2006/relationships/hyperlink" Target="https://helpx.adobe.com/security/products/flash-player/apsb15-16.html" TargetMode="External"/><Relationship Id="rId511" Type="http://schemas.openxmlformats.org/officeDocument/2006/relationships/hyperlink" Target="https://twitter.com/tiraniddo/status/621308239909646336" TargetMode="External"/><Relationship Id="rId518" Type="http://schemas.openxmlformats.org/officeDocument/2006/relationships/hyperlink" Target="https://docs.microsoft.com/en-us/security-updates/securitybulletins/2015/ms15-051" TargetMode="External"/><Relationship Id="rId517" Type="http://schemas.openxmlformats.org/officeDocument/2006/relationships/hyperlink" Target="https://blog.trendmicro.com/trendlabs-security-intelligence/analysis-of-cve-2015-2360-duqu-2-0-zero-day-vulnerability/" TargetMode="External"/><Relationship Id="rId516" Type="http://schemas.openxmlformats.org/officeDocument/2006/relationships/hyperlink" Target="https://docs.microsoft.com/en-us/security-updates/securitybulletins/2015/ms15-061" TargetMode="External"/><Relationship Id="rId515" Type="http://schemas.openxmlformats.org/officeDocument/2006/relationships/hyperlink" Target="https://blog.trendmicro.com/trendlabs-security-intelligence/new-adobe-zero-day-shares-same-root-cause-as-older-flaws/" TargetMode="External"/><Relationship Id="rId15" Type="http://schemas.openxmlformats.org/officeDocument/2006/relationships/hyperlink" Target="https://support.apple.com/en-us/HT213961" TargetMode="External"/><Relationship Id="rId14" Type="http://schemas.openxmlformats.org/officeDocument/2006/relationships/hyperlink" Target="https://googleprojectzero.github.io/0days-in-the-wild//0day-RCAs/2023/CVE-2023-36033.html" TargetMode="External"/><Relationship Id="rId17" Type="http://schemas.openxmlformats.org/officeDocument/2006/relationships/hyperlink" Target="https://developer.arm.com/Arm%20Security%20Center/Mali%20GPU%20Driver%20Vulnerabilities" TargetMode="External"/><Relationship Id="rId16" Type="http://schemas.openxmlformats.org/officeDocument/2006/relationships/hyperlink" Target="https://confluence.atlassian.com/security/cve-2023-22515-privilege-escalation-vulnerability-in-confluence-data-center-and-server-1295682276.html" TargetMode="External"/><Relationship Id="rId19" Type="http://schemas.openxmlformats.org/officeDocument/2006/relationships/hyperlink" Target="https://chromereleases.googleblog.com/2023/09/stable-channel-update-for-desktop_27.html" TargetMode="External"/><Relationship Id="rId510" Type="http://schemas.openxmlformats.org/officeDocument/2006/relationships/hyperlink" Target="https://www.oracle.com/technetwork/topics/security/cpujul2015-2367936.html" TargetMode="External"/><Relationship Id="rId18" Type="http://schemas.openxmlformats.org/officeDocument/2006/relationships/hyperlink" Target="https://googleprojectzero.github.io/0days-in-the-wild//0day-RCAs/2023/CVE-2023-4211.html" TargetMode="External"/><Relationship Id="rId84" Type="http://schemas.openxmlformats.org/officeDocument/2006/relationships/hyperlink" Target="https://fortiguard.fortinet.com/psirt/FG-IR-22-398" TargetMode="External"/><Relationship Id="rId83" Type="http://schemas.openxmlformats.org/officeDocument/2006/relationships/hyperlink" Target="https://support.citrix.com/article/CTX474995/citrix-adc-and-citrix-gateway-security-bulletin-for-cve202227518" TargetMode="External"/><Relationship Id="rId86" Type="http://schemas.openxmlformats.org/officeDocument/2006/relationships/hyperlink" Target="https://blog.google/threat-analysis-group/spyware-vendors-use-0-days-and-n-days-against-popular-platforms/" TargetMode="External"/><Relationship Id="rId85" Type="http://schemas.openxmlformats.org/officeDocument/2006/relationships/hyperlink" Target="https://chromereleases.googleblog.com/2022/12/stable-channel-update-for-desktop.html" TargetMode="External"/><Relationship Id="rId88" Type="http://schemas.openxmlformats.org/officeDocument/2006/relationships/hyperlink" Target="https://support.apple.com/en-us/HT213516" TargetMode="External"/><Relationship Id="rId87" Type="http://schemas.openxmlformats.org/officeDocument/2006/relationships/hyperlink" Target="https://googleprojectzero.github.io/0days-in-the-wild//0day-RCAs/2022/CVE-2022-4262.html" TargetMode="External"/><Relationship Id="rId89" Type="http://schemas.openxmlformats.org/officeDocument/2006/relationships/hyperlink" Target="https://blog.google/threat-analysis-group/spyware-vendors-use-0-days-and-n-days-against-popular-platforms/" TargetMode="External"/><Relationship Id="rId80" Type="http://schemas.openxmlformats.org/officeDocument/2006/relationships/hyperlink" Target="https://msrc.microsoft.com/update-guide/en-US/vulnerability/CVE-2023-23376" TargetMode="External"/><Relationship Id="rId82" Type="http://schemas.openxmlformats.org/officeDocument/2006/relationships/hyperlink" Target="https://msrc.microsoft.com/update-guide/en-US/vulnerability/CVE-2023-21674" TargetMode="External"/><Relationship Id="rId81" Type="http://schemas.openxmlformats.org/officeDocument/2006/relationships/hyperlink" Target="https://support.apple.com/en-us/HT213638" TargetMode="External"/><Relationship Id="rId73" Type="http://schemas.openxmlformats.org/officeDocument/2006/relationships/hyperlink" Target="https://blog.google/threat-analysis-group/spyware-vendors-use-0-days-and-n-days-against-popular-platforms/" TargetMode="External"/><Relationship Id="rId72" Type="http://schemas.openxmlformats.org/officeDocument/2006/relationships/hyperlink" Target="https://developer.arm.com/Arm%20Security%20Center/Mali%20GPU%20Driver%20Vulnerabilities" TargetMode="External"/><Relationship Id="rId75" Type="http://schemas.openxmlformats.org/officeDocument/2006/relationships/hyperlink" Target="https://msrc.microsoft.com/update-guide/vulnerability/CVE-2023-21768" TargetMode="External"/><Relationship Id="rId74" Type="http://schemas.openxmlformats.org/officeDocument/2006/relationships/hyperlink" Target="https://msrc.microsoft.com/update-guide/vulnerability/CVE-2023-23397" TargetMode="External"/><Relationship Id="rId77" Type="http://schemas.openxmlformats.org/officeDocument/2006/relationships/hyperlink" Target="https://source.android.com/docs/security/bulletin/2023-03-01" TargetMode="External"/><Relationship Id="rId76" Type="http://schemas.openxmlformats.org/officeDocument/2006/relationships/hyperlink" Target="https://securityintelligence.com/posts/patch-tuesday-exploit-wednesday-pwning-windows-ancillary-function-driver-winsock/" TargetMode="External"/><Relationship Id="rId79" Type="http://schemas.openxmlformats.org/officeDocument/2006/relationships/hyperlink" Target="https://msrc.microsoft.com/update-guide/en-US/vulnerability/CVE-2023-21823" TargetMode="External"/><Relationship Id="rId78" Type="http://schemas.openxmlformats.org/officeDocument/2006/relationships/hyperlink" Target="https://googleprojectzero.github.io/0days-in-the-wild//0day-RCAs/2023/CVE-2023-20963.html" TargetMode="External"/><Relationship Id="rId71" Type="http://schemas.openxmlformats.org/officeDocument/2006/relationships/hyperlink" Target="https://support.apple.com/en-us/102795" TargetMode="External"/><Relationship Id="rId70" Type="http://schemas.openxmlformats.org/officeDocument/2006/relationships/hyperlink" Target="https://support.apple.com/en-us/102795" TargetMode="External"/><Relationship Id="rId62" Type="http://schemas.openxmlformats.org/officeDocument/2006/relationships/hyperlink" Target="https://security.samsungmobile.com/securityUpdate.smsb" TargetMode="External"/><Relationship Id="rId61" Type="http://schemas.openxmlformats.org/officeDocument/2006/relationships/hyperlink" Target="https://blog.google/threat-analysis-group/spyware-vendors-use-0-days-and-n-days-against-popular-platforms/" TargetMode="External"/><Relationship Id="rId64" Type="http://schemas.openxmlformats.org/officeDocument/2006/relationships/hyperlink" Target="https://support.apple.com/en-us/HT213757" TargetMode="External"/><Relationship Id="rId63" Type="http://schemas.openxmlformats.org/officeDocument/2006/relationships/hyperlink" Target="https://support.apple.com/en-us/HT213757" TargetMode="External"/><Relationship Id="rId66" Type="http://schemas.openxmlformats.org/officeDocument/2006/relationships/hyperlink" Target="https://chromereleases.googleblog.com/2023/04/stable-channel-update-for-desktop_14.html" TargetMode="External"/><Relationship Id="rId65" Type="http://schemas.openxmlformats.org/officeDocument/2006/relationships/hyperlink" Target="https://chromereleases.googleblog.com/2023/04/stable-channel-update-for-desktop_18.html" TargetMode="External"/><Relationship Id="rId68" Type="http://schemas.openxmlformats.org/officeDocument/2006/relationships/hyperlink" Target="https://securelist.com/nokoyawa-ransomware-attacks-with-windows-zero-day/109483/" TargetMode="External"/><Relationship Id="rId67" Type="http://schemas.openxmlformats.org/officeDocument/2006/relationships/hyperlink" Target="https://msrc.microsoft.com/update-guide/vulnerability/CVE-2023-28252" TargetMode="External"/><Relationship Id="rId60" Type="http://schemas.openxmlformats.org/officeDocument/2006/relationships/hyperlink" Target="https://source.android.com/docs/security/bulletin/2023-05-01" TargetMode="External"/><Relationship Id="rId69" Type="http://schemas.openxmlformats.org/officeDocument/2006/relationships/hyperlink" Target="https://googleprojectzero.github.io/0days-in-the-wild//0day-RCAs/2023/CVE-2023-28252.html" TargetMode="External"/><Relationship Id="rId51" Type="http://schemas.openxmlformats.org/officeDocument/2006/relationships/hyperlink" Target="https://support.apple.com/en-us/HT213814" TargetMode="External"/><Relationship Id="rId50" Type="http://schemas.openxmlformats.org/officeDocument/2006/relationships/hyperlink" Target="https://support.apple.com/en-us/HT213823" TargetMode="External"/><Relationship Id="rId53" Type="http://schemas.openxmlformats.org/officeDocument/2006/relationships/hyperlink" Target="https://support.apple.com/en-us/HT213811" TargetMode="External"/><Relationship Id="rId52" Type="http://schemas.openxmlformats.org/officeDocument/2006/relationships/hyperlink" Target="https://securelist.com/operation-triangulation/109842/" TargetMode="External"/><Relationship Id="rId55" Type="http://schemas.openxmlformats.org/officeDocument/2006/relationships/hyperlink" Target="https://support.apple.com/en-us/HT213814" TargetMode="External"/><Relationship Id="rId54" Type="http://schemas.openxmlformats.org/officeDocument/2006/relationships/hyperlink" Target="https://securelist.com/operation-triangulation/109842/" TargetMode="External"/><Relationship Id="rId57" Type="http://schemas.openxmlformats.org/officeDocument/2006/relationships/hyperlink" Target="https://www.barracuda.com/company/legal/esg-vulnerability" TargetMode="External"/><Relationship Id="rId56" Type="http://schemas.openxmlformats.org/officeDocument/2006/relationships/hyperlink" Target="https://chromereleases.googleblog.com/2023/06/stable-channel-update-for-desktop.html" TargetMode="External"/><Relationship Id="rId59" Type="http://schemas.openxmlformats.org/officeDocument/2006/relationships/hyperlink" Target="https://msrc.microsoft.com/update-guide/vulnerability/CVE-2023-29336" TargetMode="External"/><Relationship Id="rId58" Type="http://schemas.openxmlformats.org/officeDocument/2006/relationships/hyperlink" Target="https://support.apple.com/en-us/HT213757" TargetMode="External"/><Relationship Id="rId107" Type="http://schemas.openxmlformats.org/officeDocument/2006/relationships/hyperlink" Target="https://support.apple.com/en-us/HT213445" TargetMode="External"/><Relationship Id="rId228" Type="http://schemas.openxmlformats.org/officeDocument/2006/relationships/hyperlink" Target="https://security.samsungmobile.com/securityUpdate.smsb" TargetMode="External"/><Relationship Id="rId349" Type="http://schemas.openxmlformats.org/officeDocument/2006/relationships/hyperlink" Target="https://www.facebook.com/security/advisories/cve-2019-3568" TargetMode="External"/><Relationship Id="rId106" Type="http://schemas.openxmlformats.org/officeDocument/2006/relationships/hyperlink" Target="https://news.sophos.com/en-us/2022/10/19/covert-channels/" TargetMode="External"/><Relationship Id="rId227" Type="http://schemas.openxmlformats.org/officeDocument/2006/relationships/hyperlink" Target="https://source.android.com/security/bulletin/2021-05-01" TargetMode="External"/><Relationship Id="rId348" Type="http://schemas.openxmlformats.org/officeDocument/2006/relationships/hyperlink" Target="https://googleprojectzero.github.io/0days-in-the-wild//0day-RCAs/2019/CVE-2019-11707.html" TargetMode="External"/><Relationship Id="rId469" Type="http://schemas.openxmlformats.org/officeDocument/2006/relationships/hyperlink" Target="https://www.secureauth.com/blog/ms16-039-windows-10-64-bits-integer-overflow-exploitation-by-using-gdi-objects" TargetMode="External"/><Relationship Id="rId105" Type="http://schemas.openxmlformats.org/officeDocument/2006/relationships/hyperlink" Target="https://www.sophos.com/en-us/security-advisories/sophos-sa-20220923-sfos-rce" TargetMode="External"/><Relationship Id="rId226" Type="http://schemas.openxmlformats.org/officeDocument/2006/relationships/hyperlink" Target="https://github.com/lntrx/CVE-2021-28663" TargetMode="External"/><Relationship Id="rId347" Type="http://schemas.openxmlformats.org/officeDocument/2006/relationships/hyperlink" Target="https://www.mozilla.org/en-US/security/advisories/mfsa2019-18/" TargetMode="External"/><Relationship Id="rId468" Type="http://schemas.openxmlformats.org/officeDocument/2006/relationships/hyperlink" Target="https://docs.microsoft.com/en-us/security-updates/securitybulletins/2016/ms16-039" TargetMode="External"/><Relationship Id="rId104" Type="http://schemas.openxmlformats.org/officeDocument/2006/relationships/hyperlink" Target="https://googleprojectzero.github.io/0days-in-the-wild//0day-RCAs/2022/CVE-2022-41033.html" TargetMode="External"/><Relationship Id="rId225" Type="http://schemas.openxmlformats.org/officeDocument/2006/relationships/hyperlink" Target="https://source.android.com/security/bulletin/2021-05-01" TargetMode="External"/><Relationship Id="rId346" Type="http://schemas.openxmlformats.org/officeDocument/2006/relationships/hyperlink" Target="https://www.mozilla.org/en-US/security/advisories/mfsa2019-19/" TargetMode="External"/><Relationship Id="rId467" Type="http://schemas.openxmlformats.org/officeDocument/2006/relationships/hyperlink" Target="https://www.welivesecurity.com/2016/12/06/readers-popular-websites-targeted-stealthy-stegano-exploit-kit-hiding-pixels-malicious-ads/" TargetMode="External"/><Relationship Id="rId109" Type="http://schemas.openxmlformats.org/officeDocument/2006/relationships/hyperlink" Target="https://chromereleases.googleblog.com/2022/09/stable-channel-update-for-desktop.html" TargetMode="External"/><Relationship Id="rId108" Type="http://schemas.openxmlformats.org/officeDocument/2006/relationships/hyperlink" Target="https://googleprojectzero.github.io/0days-in-the-wild//0day-RCAs/2022/CVE-2022-32917.html" TargetMode="External"/><Relationship Id="rId229" Type="http://schemas.openxmlformats.org/officeDocument/2006/relationships/hyperlink" Target="https://security.samsungmobile.com/securityUpdate.smsb" TargetMode="External"/><Relationship Id="rId220" Type="http://schemas.openxmlformats.org/officeDocument/2006/relationships/hyperlink" Target="https://support.apple.com/en-us/HT212336" TargetMode="External"/><Relationship Id="rId341" Type="http://schemas.openxmlformats.org/officeDocument/2006/relationships/hyperlink" Target="https://portal.msrc.microsoft.com/en-US/security-guidance/advisory/CVE-2019-1367" TargetMode="External"/><Relationship Id="rId462" Type="http://schemas.openxmlformats.org/officeDocument/2006/relationships/hyperlink" Target="https://helpx.adobe.com/security/products/flash-player/apsb16-15.html" TargetMode="External"/><Relationship Id="rId340" Type="http://schemas.openxmlformats.org/officeDocument/2006/relationships/hyperlink" Target="https://googleprojectzero.github.io/0days-in-the-wild//0day-RCAs/2019/CVE-2019-2215.html" TargetMode="External"/><Relationship Id="rId461" Type="http://schemas.openxmlformats.org/officeDocument/2006/relationships/hyperlink" Target="https://securelist.com/operation-daybreak/75100/" TargetMode="External"/><Relationship Id="rId460" Type="http://schemas.openxmlformats.org/officeDocument/2006/relationships/hyperlink" Target="https://helpx.adobe.com/security/products/flash-player/apsb16-18.html" TargetMode="External"/><Relationship Id="rId103" Type="http://schemas.openxmlformats.org/officeDocument/2006/relationships/hyperlink" Target="https://msrc.microsoft.com/update-guide/vulnerability/CVE-2022-41033" TargetMode="External"/><Relationship Id="rId224" Type="http://schemas.openxmlformats.org/officeDocument/2006/relationships/hyperlink" Target="https://source.android.com/security/bulletin/2021-05-01" TargetMode="External"/><Relationship Id="rId345" Type="http://schemas.openxmlformats.org/officeDocument/2006/relationships/hyperlink" Target="https://www.welivesecurity.com/2019/07/10/windows-zero-day-cve-2019-1132-exploit/" TargetMode="External"/><Relationship Id="rId466" Type="http://schemas.openxmlformats.org/officeDocument/2006/relationships/hyperlink" Target="https://docs.microsoft.com/en-us/security-updates/securitybulletins/2016/ms16-037" TargetMode="External"/><Relationship Id="rId102" Type="http://schemas.openxmlformats.org/officeDocument/2006/relationships/hyperlink" Target="https://support.apple.com/en-us/HT213489" TargetMode="External"/><Relationship Id="rId223" Type="http://schemas.openxmlformats.org/officeDocument/2006/relationships/hyperlink" Target="https://googleprojectzero.github.io/0days-in-the-wild/0day-RCAs/2021/CVE-2021-1905.html" TargetMode="External"/><Relationship Id="rId344" Type="http://schemas.openxmlformats.org/officeDocument/2006/relationships/hyperlink" Target="https://portal.msrc.microsoft.com/en-us/security-guidance/advisory/CVE-2019-1132" TargetMode="External"/><Relationship Id="rId465" Type="http://schemas.openxmlformats.org/officeDocument/2006/relationships/hyperlink" Target="https://theori.io/research/cve-2016-0189" TargetMode="External"/><Relationship Id="rId101" Type="http://schemas.openxmlformats.org/officeDocument/2006/relationships/hyperlink" Target="https://googleprojectzero.github.io/0days-in-the-wild//0day-RCAs/2022/CVE-2022-3723.html" TargetMode="External"/><Relationship Id="rId222" Type="http://schemas.openxmlformats.org/officeDocument/2006/relationships/hyperlink" Target="https://source.android.com/security/bulletin/2021-05-01" TargetMode="External"/><Relationship Id="rId343" Type="http://schemas.openxmlformats.org/officeDocument/2006/relationships/hyperlink" Target="https://portal.msrc.microsoft.com/en-us/security-guidance/advisory/CVE-2019-0880" TargetMode="External"/><Relationship Id="rId464" Type="http://schemas.openxmlformats.org/officeDocument/2006/relationships/hyperlink" Target="https://docs.microsoft.com/en-us/security-updates/securitybulletins/2016/ms16-051" TargetMode="External"/><Relationship Id="rId100" Type="http://schemas.openxmlformats.org/officeDocument/2006/relationships/hyperlink" Target="https://chromereleases.googleblog.com/2022/10/stable-channel-update-for-desktop_27.html" TargetMode="External"/><Relationship Id="rId221" Type="http://schemas.openxmlformats.org/officeDocument/2006/relationships/hyperlink" Target="https://support.apple.com/en-us/HT212336" TargetMode="External"/><Relationship Id="rId342" Type="http://schemas.openxmlformats.org/officeDocument/2006/relationships/hyperlink" Target="https://googleprojectzero.github.io/0days-in-the-wild//0day-RCAs/2019/CVE-2019-1367.html" TargetMode="External"/><Relationship Id="rId463" Type="http://schemas.openxmlformats.org/officeDocument/2006/relationships/hyperlink" Target="https://www.fireeye.com/blog/threat-research/2016/05/cve-2016-4117-flash-zero-day.html" TargetMode="External"/><Relationship Id="rId217" Type="http://schemas.openxmlformats.org/officeDocument/2006/relationships/hyperlink" Target="https://msrc.microsoft.com/update-guide/vulnerability/CVE-2021-31199" TargetMode="External"/><Relationship Id="rId338" Type="http://schemas.openxmlformats.org/officeDocument/2006/relationships/hyperlink" Target="https://source.android.com/security/bulletin/2019-10-01.html" TargetMode="External"/><Relationship Id="rId459" Type="http://schemas.openxmlformats.org/officeDocument/2006/relationships/hyperlink" Target="https://tools.cisco.com/security/center/content/CiscoSecurityAdvisory/cisco-sa-20160817-asa-cli" TargetMode="External"/><Relationship Id="rId216" Type="http://schemas.openxmlformats.org/officeDocument/2006/relationships/hyperlink" Target="https://googleprojectzero.github.io/0days-in-the-wild/0day-RCAs/2021/CVE-2021-33742.html" TargetMode="External"/><Relationship Id="rId337" Type="http://schemas.openxmlformats.org/officeDocument/2006/relationships/hyperlink" Target="https://success.trendmicro.com/solution/000151730" TargetMode="External"/><Relationship Id="rId458" Type="http://schemas.openxmlformats.org/officeDocument/2006/relationships/hyperlink" Target="https://blog.silentsignal.eu/2016/08/25/bake-your-own-extrabacon/" TargetMode="External"/><Relationship Id="rId215" Type="http://schemas.openxmlformats.org/officeDocument/2006/relationships/hyperlink" Target="https://blog.google/threat-analysis-group/how-we-protect-users-0-day-attacks/" TargetMode="External"/><Relationship Id="rId336" Type="http://schemas.openxmlformats.org/officeDocument/2006/relationships/hyperlink" Target="https://googleprojectzero.github.io/0days-in-the-wild//0day-RCAs/2019/CVE-2019-13720.html" TargetMode="External"/><Relationship Id="rId457" Type="http://schemas.openxmlformats.org/officeDocument/2006/relationships/hyperlink" Target="https://tools.cisco.com/security/center/content/CiscoSecurityAdvisory/cisco-sa-20160817-asa-snmp" TargetMode="External"/><Relationship Id="rId214" Type="http://schemas.openxmlformats.org/officeDocument/2006/relationships/hyperlink" Target="https://msrc.microsoft.com/update-guide/vulnerability/CVE-2021-33742" TargetMode="External"/><Relationship Id="rId335" Type="http://schemas.openxmlformats.org/officeDocument/2006/relationships/hyperlink" Target="https://securelist.com/chrome-0-day-exploit-cve-2019-13720-used-in-operation-wizardopium/94866/" TargetMode="External"/><Relationship Id="rId456" Type="http://schemas.openxmlformats.org/officeDocument/2006/relationships/hyperlink" Target="https://support.apple.com/en-us/HT207107" TargetMode="External"/><Relationship Id="rId219" Type="http://schemas.openxmlformats.org/officeDocument/2006/relationships/hyperlink" Target="https://helpx.adobe.com/security/products/acrobat/apsb21-29.html" TargetMode="External"/><Relationship Id="rId218" Type="http://schemas.openxmlformats.org/officeDocument/2006/relationships/hyperlink" Target="https://msrc.microsoft.com/update-guide/vulnerability/CVE-2021-31201" TargetMode="External"/><Relationship Id="rId339" Type="http://schemas.openxmlformats.org/officeDocument/2006/relationships/hyperlink" Target="https://bugs.chromium.org/p/project-zero/issues/detail?id=1942" TargetMode="External"/><Relationship Id="rId330" Type="http://schemas.openxmlformats.org/officeDocument/2006/relationships/hyperlink" Target="https://securelist.com/windows-0-day-exploit-cve-2019-1458-used-in-operation-wizardopium/95432/" TargetMode="External"/><Relationship Id="rId451" Type="http://schemas.openxmlformats.org/officeDocument/2006/relationships/hyperlink" Target="https://blog.trendmicro.com/trendlabs-security-intelligence/microsoft-patches-ieedge-zeroday-used-in-adgholas-malvertising-campaign/" TargetMode="External"/><Relationship Id="rId450" Type="http://schemas.openxmlformats.org/officeDocument/2006/relationships/hyperlink" Target="https://docs.microsoft.com/en-us/security-updates/securitybulletins/2016/ms16-104" TargetMode="External"/><Relationship Id="rId213" Type="http://schemas.openxmlformats.org/officeDocument/2006/relationships/hyperlink" Target="https://securelist.com/puzzlemaker-chrome-zero-day-exploit-chain/102771/" TargetMode="External"/><Relationship Id="rId334" Type="http://schemas.openxmlformats.org/officeDocument/2006/relationships/hyperlink" Target="https://chromereleases.googleblog.com/2019/10/stable-channel-update-for-desktop_31.html" TargetMode="External"/><Relationship Id="rId455" Type="http://schemas.openxmlformats.org/officeDocument/2006/relationships/hyperlink" Target="https://jndok.github.io/2016/10/04/pegasus-writeup/" TargetMode="External"/><Relationship Id="rId212" Type="http://schemas.openxmlformats.org/officeDocument/2006/relationships/hyperlink" Target="https://msrc.microsoft.com/update-guide/vulnerability/CVE-2021-31956" TargetMode="External"/><Relationship Id="rId333" Type="http://schemas.openxmlformats.org/officeDocument/2006/relationships/hyperlink" Target="https://googleprojectzero.github.io/0days-in-the-wild//0day-RCAs/2019/CVE-2019-1367.html" TargetMode="External"/><Relationship Id="rId454" Type="http://schemas.openxmlformats.org/officeDocument/2006/relationships/hyperlink" Target="https://support.apple.com/en-us/HT207107" TargetMode="External"/><Relationship Id="rId211" Type="http://schemas.openxmlformats.org/officeDocument/2006/relationships/hyperlink" Target="https://securelist.com/puzzlemaker-chrome-zero-day-exploit-chain/102771/" TargetMode="External"/><Relationship Id="rId332" Type="http://schemas.openxmlformats.org/officeDocument/2006/relationships/hyperlink" Target="https://portal.msrc.microsoft.com/en-us/security-guidance/advisory/CVE-2019-1429" TargetMode="External"/><Relationship Id="rId453" Type="http://schemas.openxmlformats.org/officeDocument/2006/relationships/hyperlink" Target="https://jndok.github.io/2016/10/04/pegasus-writeup/" TargetMode="External"/><Relationship Id="rId210" Type="http://schemas.openxmlformats.org/officeDocument/2006/relationships/hyperlink" Target="https://msrc.microsoft.com/update-guide/vulnerability/CVE-2021-31955" TargetMode="External"/><Relationship Id="rId331" Type="http://schemas.openxmlformats.org/officeDocument/2006/relationships/hyperlink" Target="https://googleprojectzero.github.io/0days-in-the-wild//0day-RCAs/2019/CVE-2019-1458.html" TargetMode="External"/><Relationship Id="rId452" Type="http://schemas.openxmlformats.org/officeDocument/2006/relationships/hyperlink" Target="https://support.apple.com/en-us/HT207107" TargetMode="External"/><Relationship Id="rId370" Type="http://schemas.openxmlformats.org/officeDocument/2006/relationships/hyperlink" Target="https://portal.msrc.microsoft.com/en-US/security-guidance/advisory/CVE-2018-8611" TargetMode="External"/><Relationship Id="rId491" Type="http://schemas.openxmlformats.org/officeDocument/2006/relationships/hyperlink" Target="https://twitter.com/Laughing_Mantis/statuses/633839231840841728" TargetMode="External"/><Relationship Id="rId490" Type="http://schemas.openxmlformats.org/officeDocument/2006/relationships/hyperlink" Target="https://docs.microsoft.com/en-us/security-updates/securitybulletins/2015/ms15-093" TargetMode="External"/><Relationship Id="rId129" Type="http://schemas.openxmlformats.org/officeDocument/2006/relationships/hyperlink" Target="https://googleprojectzero.github.io/0days-in-the-wild/0day-RCAs/2022/CVE-2022-22675.html" TargetMode="External"/><Relationship Id="rId128" Type="http://schemas.openxmlformats.org/officeDocument/2006/relationships/hyperlink" Target="https://support.apple.com/en-us/HT213220" TargetMode="External"/><Relationship Id="rId249" Type="http://schemas.openxmlformats.org/officeDocument/2006/relationships/hyperlink" Target="https://www.microsoft.com/security/blog/2021/03/02/hafnium-targeting-exchange-servers/" TargetMode="External"/><Relationship Id="rId127" Type="http://schemas.openxmlformats.org/officeDocument/2006/relationships/hyperlink" Target="https://support.apple.com/en-us/HT213220" TargetMode="External"/><Relationship Id="rId248" Type="http://schemas.openxmlformats.org/officeDocument/2006/relationships/hyperlink" Target="https://msrc.microsoft.com/update-guide/vulnerability/CVE-2021-27065" TargetMode="External"/><Relationship Id="rId369" Type="http://schemas.openxmlformats.org/officeDocument/2006/relationships/hyperlink" Target="https://securingtomorrow.mcafee.com/other-blogs/mcafee-labs/ie-scripting-flaw-still-a-threat-to-unpatched-systems-analyzing-cve-2018-8653/" TargetMode="External"/><Relationship Id="rId126" Type="http://schemas.openxmlformats.org/officeDocument/2006/relationships/hyperlink" Target="https://googleprojectzero.github.io/0days-in-the-wild//0day-RCAs/2022/CVE-2022-24521.html" TargetMode="External"/><Relationship Id="rId247" Type="http://schemas.openxmlformats.org/officeDocument/2006/relationships/hyperlink" Target="https://www.microsoft.com/security/blog/2021/03/02/hafnium-targeting-exchange-servers/" TargetMode="External"/><Relationship Id="rId368" Type="http://schemas.openxmlformats.org/officeDocument/2006/relationships/hyperlink" Target="https://portal.msrc.microsoft.com/en-US/security-guidance/advisory/CVE-2018-8653" TargetMode="External"/><Relationship Id="rId489" Type="http://schemas.openxmlformats.org/officeDocument/2006/relationships/hyperlink" Target="https://www.fireeye.com/content/dam/fireeye-www/blog/pdfs/twoforonefinal.pdf" TargetMode="External"/><Relationship Id="rId121" Type="http://schemas.openxmlformats.org/officeDocument/2006/relationships/hyperlink" Target="https://msrc.microsoft.com/update-guide/vulnerability/CVE-2022-26925" TargetMode="External"/><Relationship Id="rId242" Type="http://schemas.openxmlformats.org/officeDocument/2006/relationships/hyperlink" Target="https://www.microsoft.com/security/blog/2021/03/02/hafnium-targeting-exchange-servers/" TargetMode="External"/><Relationship Id="rId363" Type="http://schemas.openxmlformats.org/officeDocument/2006/relationships/hyperlink" Target="https://blog.zecops.com/vulnerabilities/analysis-and-reproduction-of-cve-2019-7286/" TargetMode="External"/><Relationship Id="rId484" Type="http://schemas.openxmlformats.org/officeDocument/2006/relationships/hyperlink" Target="https://helpx.adobe.com/security/products/flash-player/apsb15-27.html" TargetMode="External"/><Relationship Id="rId120" Type="http://schemas.openxmlformats.org/officeDocument/2006/relationships/hyperlink" Target="https://www.volexity.com/blog/2022/06/02/zero-day-exploitation-of-atlassian-confluence/" TargetMode="External"/><Relationship Id="rId241" Type="http://schemas.openxmlformats.org/officeDocument/2006/relationships/hyperlink" Target="https://msrc.microsoft.com/update-guide/vulnerability/CVE-2021-26855" TargetMode="External"/><Relationship Id="rId362" Type="http://schemas.openxmlformats.org/officeDocument/2006/relationships/hyperlink" Target="https://support.apple.com/en-us/HT209520" TargetMode="External"/><Relationship Id="rId483" Type="http://schemas.openxmlformats.org/officeDocument/2006/relationships/hyperlink" Target="https://blog.trendmicro.com/trendlabs-security-intelligence/new-headaches-how-the-pawn-storm-zero-day-evaded-javas-click-to-play-protection/" TargetMode="External"/><Relationship Id="rId240" Type="http://schemas.openxmlformats.org/officeDocument/2006/relationships/hyperlink" Target="https://googleprojectzero.github.io/0days-in-the-wild/0day-RCAs/2021/CVE-2021-26411.html" TargetMode="External"/><Relationship Id="rId361" Type="http://schemas.openxmlformats.org/officeDocument/2006/relationships/hyperlink" Target="https://portal.msrc.microsoft.com/en-US/security-guidance/advisory/CVE-2019-0676" TargetMode="External"/><Relationship Id="rId482" Type="http://schemas.openxmlformats.org/officeDocument/2006/relationships/hyperlink" Target="https://www.oracle.com/technetwork/topics/security/cpuoct2015-2367953.html" TargetMode="External"/><Relationship Id="rId360" Type="http://schemas.openxmlformats.org/officeDocument/2006/relationships/hyperlink" Target="https://blog.exodusintel.com/2019/03/20/cve-2019-5786-analysis-and-exploitation/" TargetMode="External"/><Relationship Id="rId481" Type="http://schemas.openxmlformats.org/officeDocument/2006/relationships/hyperlink" Target="https://docs.microsoft.com/en-us/security-updates/securitybulletins/2015/ms15-135" TargetMode="External"/><Relationship Id="rId125" Type="http://schemas.openxmlformats.org/officeDocument/2006/relationships/hyperlink" Target="https://www.pixiepointsecurity.com/blog/nday-cve-2022-24521.html" TargetMode="External"/><Relationship Id="rId246" Type="http://schemas.openxmlformats.org/officeDocument/2006/relationships/hyperlink" Target="https://msrc.microsoft.com/update-guide/vulnerability/CVE-2021-26858" TargetMode="External"/><Relationship Id="rId367" Type="http://schemas.openxmlformats.org/officeDocument/2006/relationships/hyperlink" Target="https://googleprojectzero.github.io/0days-in-the-wild//0day-RCAs/2019/CVE-2019-7287.html" TargetMode="External"/><Relationship Id="rId488" Type="http://schemas.openxmlformats.org/officeDocument/2006/relationships/hyperlink" Target="https://docs.microsoft.com/en-us/security-updates/securitybulletins/2015/ms15-099" TargetMode="External"/><Relationship Id="rId124" Type="http://schemas.openxmlformats.org/officeDocument/2006/relationships/hyperlink" Target="https://msrc.microsoft.com/update-guide/vulnerability/CVE-2022-24521" TargetMode="External"/><Relationship Id="rId245" Type="http://schemas.openxmlformats.org/officeDocument/2006/relationships/hyperlink" Target="https://www.microsoft.com/security/blog/2021/03/02/hafnium-targeting-exchange-servers/" TargetMode="External"/><Relationship Id="rId366" Type="http://schemas.openxmlformats.org/officeDocument/2006/relationships/hyperlink" Target="https://www.antid0te.com/blog/19-02-23-ios-kernel-cve-2019-7287-memory-corruption-vulnerability.html" TargetMode="External"/><Relationship Id="rId487" Type="http://schemas.openxmlformats.org/officeDocument/2006/relationships/hyperlink" Target="https://www.fireeye.com/content/dam/fireeye-www/blog/pdfs/twoforonefinal.pdf" TargetMode="External"/><Relationship Id="rId123" Type="http://schemas.openxmlformats.org/officeDocument/2006/relationships/hyperlink" Target="https://googleprojectzero.github.io/0days-in-the-wild//0day-RCAs/2022/CVE-2022-1364.html" TargetMode="External"/><Relationship Id="rId244" Type="http://schemas.openxmlformats.org/officeDocument/2006/relationships/hyperlink" Target="https://msrc.microsoft.com/update-guide/vulnerability/CVE-2021-26857" TargetMode="External"/><Relationship Id="rId365" Type="http://schemas.openxmlformats.org/officeDocument/2006/relationships/hyperlink" Target="https://support.apple.com/en-us/HT209520" TargetMode="External"/><Relationship Id="rId486" Type="http://schemas.openxmlformats.org/officeDocument/2006/relationships/hyperlink" Target="https://docs.microsoft.com/en-us/security-updates/securitybulletins/2015/ms15-097" TargetMode="External"/><Relationship Id="rId122" Type="http://schemas.openxmlformats.org/officeDocument/2006/relationships/hyperlink" Target="https://chromereleases.googleblog.com/2022/04/stable-channel-update-for-desktop_14.html" TargetMode="External"/><Relationship Id="rId243" Type="http://schemas.openxmlformats.org/officeDocument/2006/relationships/hyperlink" Target="https://googleprojectzero.github.io/0days-in-the-wild/0day-RCAs/2021/CVE-2021-26855.html" TargetMode="External"/><Relationship Id="rId364" Type="http://schemas.openxmlformats.org/officeDocument/2006/relationships/hyperlink" Target="https://googleprojectzero.github.io/0days-in-the-wild//0day-RCAs/2019/CVE-2019-7286.html" TargetMode="External"/><Relationship Id="rId485" Type="http://schemas.openxmlformats.org/officeDocument/2006/relationships/hyperlink" Target="https://bugs.chromium.org/p/project-zero/issues/detail?id=547" TargetMode="External"/><Relationship Id="rId95" Type="http://schemas.openxmlformats.org/officeDocument/2006/relationships/hyperlink" Target="https://msrc.microsoft.com/update-guide/vulnerability/CVE-2022-41128" TargetMode="External"/><Relationship Id="rId94" Type="http://schemas.openxmlformats.org/officeDocument/2006/relationships/hyperlink" Target="https://msrc.microsoft.com/update-guide/vulnerability/CVE-2022-41082" TargetMode="External"/><Relationship Id="rId97" Type="http://schemas.openxmlformats.org/officeDocument/2006/relationships/hyperlink" Target="https://msrc.microsoft.com/update-guide/vulnerability/CVE-2022-41073" TargetMode="External"/><Relationship Id="rId96" Type="http://schemas.openxmlformats.org/officeDocument/2006/relationships/hyperlink" Target="https://googleprojectzero.github.io/0days-in-the-wild//0day-RCAs/2022/CVE-2022-41128.html" TargetMode="External"/><Relationship Id="rId99" Type="http://schemas.openxmlformats.org/officeDocument/2006/relationships/hyperlink" Target="https://msrc.microsoft.com/update-guide/vulnerability/CVE-2022-41125" TargetMode="External"/><Relationship Id="rId480" Type="http://schemas.openxmlformats.org/officeDocument/2006/relationships/hyperlink" Target="https://helpx.adobe.com/security/products/flash-player/apsb16-01.html" TargetMode="External"/><Relationship Id="rId98" Type="http://schemas.openxmlformats.org/officeDocument/2006/relationships/hyperlink" Target="https://googleprojectzero.github.io/0days-in-the-wild//0day-RCAs/2022/CVE-2022-41073.html" TargetMode="External"/><Relationship Id="rId91" Type="http://schemas.openxmlformats.org/officeDocument/2006/relationships/hyperlink" Target="https://blog.google/threat-analysis-group/spyware-vendors-use-0-days-and-n-days-against-popular-platforms/" TargetMode="External"/><Relationship Id="rId90" Type="http://schemas.openxmlformats.org/officeDocument/2006/relationships/hyperlink" Target="https://chromereleases.googleblog.com/2022/11/stable-channel-update-for-desktop_24.html" TargetMode="External"/><Relationship Id="rId93" Type="http://schemas.openxmlformats.org/officeDocument/2006/relationships/hyperlink" Target="https://msrc.microsoft.com/update-guide/vulnerability/CVE-2022-41040" TargetMode="External"/><Relationship Id="rId92" Type="http://schemas.openxmlformats.org/officeDocument/2006/relationships/hyperlink" Target="https://googleprojectzero.github.io/0days-in-the-wild//0day-RCAs/2022/CVE-2022-4135.html" TargetMode="External"/><Relationship Id="rId118" Type="http://schemas.openxmlformats.org/officeDocument/2006/relationships/hyperlink" Target="https://doublepulsar.com/follina-a-microsoft-office-code-execution-vulnerability-1a47fce5629e" TargetMode="External"/><Relationship Id="rId239" Type="http://schemas.openxmlformats.org/officeDocument/2006/relationships/hyperlink" Target="https://enki.co.kr/blog/2021/02/04/ie_0day.html" TargetMode="External"/><Relationship Id="rId117" Type="http://schemas.openxmlformats.org/officeDocument/2006/relationships/hyperlink" Target="https://msrc.microsoft.com/update-guide/vulnerability/CVE-2022-30190" TargetMode="External"/><Relationship Id="rId238" Type="http://schemas.openxmlformats.org/officeDocument/2006/relationships/hyperlink" Target="https://msrc.microsoft.com/update-guide/vulnerability/CVE-2021-26411" TargetMode="External"/><Relationship Id="rId359" Type="http://schemas.openxmlformats.org/officeDocument/2006/relationships/hyperlink" Target="https://chromereleases.googleblog.com/2019/03/stable-channel-update-for-desktop.html" TargetMode="External"/><Relationship Id="rId116" Type="http://schemas.openxmlformats.org/officeDocument/2006/relationships/hyperlink" Target="https://googleprojectzero.github.io/0days-in-the-wild//0day-RCAs/2022/CVE-2022-2294.html" TargetMode="External"/><Relationship Id="rId237" Type="http://schemas.openxmlformats.org/officeDocument/2006/relationships/hyperlink" Target="https://chromereleases.googleblog.com/2021/03/stable-channel-update-for-desktop_12.html" TargetMode="External"/><Relationship Id="rId358" Type="http://schemas.openxmlformats.org/officeDocument/2006/relationships/hyperlink" Target="https://portal.msrc.microsoft.com/en-US/security-guidance/advisory/CVE-2019-0703" TargetMode="External"/><Relationship Id="rId479" Type="http://schemas.openxmlformats.org/officeDocument/2006/relationships/hyperlink" Target="https://securelist.com/blog/research/73255/the-mysterious-case-of-cve-2016-0034-the-hunt-for-a-microsoft-silverlight-0-day/" TargetMode="External"/><Relationship Id="rId115" Type="http://schemas.openxmlformats.org/officeDocument/2006/relationships/hyperlink" Target="https://chromereleases.googleblog.com/2022/07/stable-channel-update-for-desktop.html" TargetMode="External"/><Relationship Id="rId236" Type="http://schemas.openxmlformats.org/officeDocument/2006/relationships/hyperlink" Target="https://googleprojectzero.github.io/0days-in-the-wild//0day-RCAs/2021/CVE-2021-1879.html" TargetMode="External"/><Relationship Id="rId357" Type="http://schemas.openxmlformats.org/officeDocument/2006/relationships/hyperlink" Target="https://securelist.com/cve-2019-0797-zero-day-vulnerability/89885/" TargetMode="External"/><Relationship Id="rId478" Type="http://schemas.openxmlformats.org/officeDocument/2006/relationships/hyperlink" Target="https://docs.microsoft.com/en-us/security-updates/SecurityBulletins/2016/ms16-006" TargetMode="External"/><Relationship Id="rId119" Type="http://schemas.openxmlformats.org/officeDocument/2006/relationships/hyperlink" Target="https://confluence.atlassian.com/doc/confluence-security-advisory-2022-06-02-1130377146.html" TargetMode="External"/><Relationship Id="rId110" Type="http://schemas.openxmlformats.org/officeDocument/2006/relationships/hyperlink" Target="https://support.apple.com/en-us/HT213413" TargetMode="External"/><Relationship Id="rId231" Type="http://schemas.openxmlformats.org/officeDocument/2006/relationships/hyperlink" Target="https://msrc.microsoft.com/update-guide/vulnerability/CVE-2021-28310" TargetMode="External"/><Relationship Id="rId352" Type="http://schemas.openxmlformats.org/officeDocument/2006/relationships/hyperlink" Target="https://portal.msrc.microsoft.com/en-US/security-guidance/advisory/CVE-2019-0859" TargetMode="External"/><Relationship Id="rId473" Type="http://schemas.openxmlformats.org/officeDocument/2006/relationships/hyperlink" Target="https://blog.trendmicro.com/trendlabs-security-intelligence/look-adobe-flash-player-cve-2016-1019-zero-day-vulnerability/" TargetMode="External"/><Relationship Id="rId230" Type="http://schemas.openxmlformats.org/officeDocument/2006/relationships/hyperlink" Target="https://support.apple.com/en-us/HT212317" TargetMode="External"/><Relationship Id="rId351" Type="http://schemas.openxmlformats.org/officeDocument/2006/relationships/hyperlink" Target="https://portal.msrc.microsoft.com/en-US/security-guidance/advisory/CVE-2019-0803" TargetMode="External"/><Relationship Id="rId472" Type="http://schemas.openxmlformats.org/officeDocument/2006/relationships/hyperlink" Target="https://helpx.adobe.com/security/products/flash-player/apsb16-10.html" TargetMode="External"/><Relationship Id="rId350" Type="http://schemas.openxmlformats.org/officeDocument/2006/relationships/hyperlink" Target="https://research.checkpoint.com/the-nso-whatsapp-vulnerability-this-is-how-it-happened/" TargetMode="External"/><Relationship Id="rId471" Type="http://schemas.openxmlformats.org/officeDocument/2006/relationships/hyperlink" Target="https://www.fireeye.com/blog/threat-research/2016/05/windows-zero-day-payment-cards.html" TargetMode="External"/><Relationship Id="rId470" Type="http://schemas.openxmlformats.org/officeDocument/2006/relationships/hyperlink" Target="https://docs.microsoft.com/en-us/security-updates/securitybulletins/2016/ms16-039" TargetMode="External"/><Relationship Id="rId114" Type="http://schemas.openxmlformats.org/officeDocument/2006/relationships/hyperlink" Target="https://www.zerodayinitiative.com/blog/2023/1/23/activation-context-cache-poisoning-exploiting-csrss-for-privilege-escalation" TargetMode="External"/><Relationship Id="rId235" Type="http://schemas.openxmlformats.org/officeDocument/2006/relationships/hyperlink" Target="https://blog.google/threat-analysis-group/how-we-protect-users-0-day-attacks/" TargetMode="External"/><Relationship Id="rId356" Type="http://schemas.openxmlformats.org/officeDocument/2006/relationships/hyperlink" Target="https://portal.msrc.microsoft.com/en-US/security-guidance/advisory/CVE-2019-0797" TargetMode="External"/><Relationship Id="rId477" Type="http://schemas.openxmlformats.org/officeDocument/2006/relationships/hyperlink" Target="https://bugs.chromium.org/p/project-zero/issues/detail?id=698&amp;redir=1" TargetMode="External"/><Relationship Id="rId113" Type="http://schemas.openxmlformats.org/officeDocument/2006/relationships/hyperlink" Target="https://msrc.microsoft.com/update-guide/vulnerability/CVE-2022-22047" TargetMode="External"/><Relationship Id="rId234" Type="http://schemas.openxmlformats.org/officeDocument/2006/relationships/hyperlink" Target="https://support.apple.com/en-us/HT212256" TargetMode="External"/><Relationship Id="rId355" Type="http://schemas.openxmlformats.org/officeDocument/2006/relationships/hyperlink" Target="https://blog.360totalsecurity.com/en/analysis-of-the-causes-of-cve-2019-0808-core-elevation-permission-vulnerability/" TargetMode="External"/><Relationship Id="rId476" Type="http://schemas.openxmlformats.org/officeDocument/2006/relationships/hyperlink" Target="https://helpx.adobe.com/security/products/flash-player/apsb16-04.html" TargetMode="External"/><Relationship Id="rId112" Type="http://schemas.openxmlformats.org/officeDocument/2006/relationships/hyperlink" Target="https://chromereleases.googleblog.com/2022/08/stable-channel-update-for-desktop_16.html" TargetMode="External"/><Relationship Id="rId233" Type="http://schemas.openxmlformats.org/officeDocument/2006/relationships/hyperlink" Target="https://chromereleases.googleblog.com/2021/04/stable-channel-update-for-desktop.html" TargetMode="External"/><Relationship Id="rId354" Type="http://schemas.openxmlformats.org/officeDocument/2006/relationships/hyperlink" Target="https://portal.msrc.microsoft.com/en-US/security-guidance/advisory/CVE-2019-0808" TargetMode="External"/><Relationship Id="rId475" Type="http://schemas.openxmlformats.org/officeDocument/2006/relationships/hyperlink" Target="https://blog.trendmicro.com/trendlabs-security-intelligence/root-cause-analysis-recent-flash-zero-day-vulnerability-cve-2016-1010/" TargetMode="External"/><Relationship Id="rId111" Type="http://schemas.openxmlformats.org/officeDocument/2006/relationships/hyperlink" Target="https://support.apple.com/en-us/HT213413" TargetMode="External"/><Relationship Id="rId232" Type="http://schemas.openxmlformats.org/officeDocument/2006/relationships/hyperlink" Target="https://securelist.com/zero-day-vulnerability-in-desktop-window-manager-cve-2021-28310-used-in-the-wild/101898/" TargetMode="External"/><Relationship Id="rId353" Type="http://schemas.openxmlformats.org/officeDocument/2006/relationships/hyperlink" Target="https://securelist.com/new-win32k-zero-day-cve-2019-0859/90435/" TargetMode="External"/><Relationship Id="rId474" Type="http://schemas.openxmlformats.org/officeDocument/2006/relationships/hyperlink" Target="https://helpx.adobe.com/security/products/flash-player/apsb16-08.html" TargetMode="External"/><Relationship Id="rId305" Type="http://schemas.openxmlformats.org/officeDocument/2006/relationships/hyperlink" Target="https://googleprojectzero.github.io/0days-in-the-wild//0day-RCAs/2020/CVE-2020-0986.html" TargetMode="External"/><Relationship Id="rId426" Type="http://schemas.openxmlformats.org/officeDocument/2006/relationships/hyperlink" Target="https://docs.microsoft.com/en-us/security-updates/securitybulletins/2017/ms17-010" TargetMode="External"/><Relationship Id="rId547" Type="http://schemas.openxmlformats.org/officeDocument/2006/relationships/hyperlink" Target="https://docs.microsoft.com/en-us/security-updates/securitybulletins/2014/ms14-056" TargetMode="External"/><Relationship Id="rId304" Type="http://schemas.openxmlformats.org/officeDocument/2006/relationships/hyperlink" Target="https://securelist.com/ie-and-windows-zero-day-operation-powerfall/97976/" TargetMode="External"/><Relationship Id="rId425" Type="http://schemas.openxmlformats.org/officeDocument/2006/relationships/hyperlink" Target="https://blogs.technet.microsoft.com/srd/2017/07/13/eternal-synergy-exploit-analysis/" TargetMode="External"/><Relationship Id="rId546" Type="http://schemas.openxmlformats.org/officeDocument/2006/relationships/hyperlink" Target="https://helpx.adobe.com/security/products/flash-player/apsb14-22.html" TargetMode="External"/><Relationship Id="rId303" Type="http://schemas.openxmlformats.org/officeDocument/2006/relationships/hyperlink" Target="https://portal.msrc.microsoft.com/en-US/security-guidance/advisory/CVE-2020-0986" TargetMode="External"/><Relationship Id="rId424" Type="http://schemas.openxmlformats.org/officeDocument/2006/relationships/hyperlink" Target="https://docs.microsoft.com/en-us/security-updates/securitybulletins/2017/ms17-010" TargetMode="External"/><Relationship Id="rId545" Type="http://schemas.openxmlformats.org/officeDocument/2006/relationships/hyperlink" Target="https://www.fireeye.com/blog/threat-research/2014/10/two-targeted-attacks-two-new-zero-days.html" TargetMode="External"/><Relationship Id="rId302" Type="http://schemas.openxmlformats.org/officeDocument/2006/relationships/hyperlink" Target="https://googleprojectzero.github.io/0days-in-the-wild//0day-RCAs/2020/CVE-2020-1380.html" TargetMode="External"/><Relationship Id="rId423" Type="http://schemas.openxmlformats.org/officeDocument/2006/relationships/hyperlink" Target="https://cloudblogs.microsoft.com/microsoftsecure/2017/03/27/detecting-and-mitigating-elevation-of-privilege-exploit-for-cve-2017-0005/" TargetMode="External"/><Relationship Id="rId544" Type="http://schemas.openxmlformats.org/officeDocument/2006/relationships/hyperlink" Target="https://docs.microsoft.com/en-us/security-updates/securitybulletins/2014/ms14-058" TargetMode="External"/><Relationship Id="rId309" Type="http://schemas.openxmlformats.org/officeDocument/2006/relationships/hyperlink" Target="https://googleprojectzero.github.io/0days-in-the-wild//0day-RCAs/2020/CVE-2020-0938.html" TargetMode="External"/><Relationship Id="rId308" Type="http://schemas.openxmlformats.org/officeDocument/2006/relationships/hyperlink" Target="https://portal.msrc.microsoft.com/en-us/security-guidance/advisory/CVE-2020-0938" TargetMode="External"/><Relationship Id="rId429" Type="http://schemas.openxmlformats.org/officeDocument/2006/relationships/hyperlink" Target="https://www.microsoft.com/security/blog/2017/06/16/analysis-of-the-shadow-brokers-release-and-mitigation-with-windows-10-virtualization-based-security/" TargetMode="External"/><Relationship Id="rId307" Type="http://schemas.openxmlformats.org/officeDocument/2006/relationships/hyperlink" Target="https://news.sophos.com/en-us/2020/04/26/asnarok/" TargetMode="External"/><Relationship Id="rId428" Type="http://schemas.openxmlformats.org/officeDocument/2006/relationships/hyperlink" Target="https://docs.microsoft.com/en-us/security-updates/securitybulletins/2017/ms17-010" TargetMode="External"/><Relationship Id="rId549" Type="http://schemas.openxmlformats.org/officeDocument/2006/relationships/hyperlink" Target="https://docs.microsoft.com/en-us/security-updates/securitybulletins/2014/ms14-051" TargetMode="External"/><Relationship Id="rId306" Type="http://schemas.openxmlformats.org/officeDocument/2006/relationships/hyperlink" Target="https://community.sophos.com/kb/en-us/135412" TargetMode="External"/><Relationship Id="rId427" Type="http://schemas.openxmlformats.org/officeDocument/2006/relationships/hyperlink" Target="https://research.checkpoint.com/eternalblue-everything-know/" TargetMode="External"/><Relationship Id="rId548" Type="http://schemas.openxmlformats.org/officeDocument/2006/relationships/hyperlink" Target="https://helpx.adobe.com/security/products/acrobat/apsb14-19.html" TargetMode="External"/><Relationship Id="rId301" Type="http://schemas.openxmlformats.org/officeDocument/2006/relationships/hyperlink" Target="https://securelist.com/ie-and-windows-zero-day-operation-powerfall/97976/" TargetMode="External"/><Relationship Id="rId422" Type="http://schemas.openxmlformats.org/officeDocument/2006/relationships/hyperlink" Target="https://docs.microsoft.com/en-us/security-updates/securitybulletins/2017/ms17-013" TargetMode="External"/><Relationship Id="rId543" Type="http://schemas.openxmlformats.org/officeDocument/2006/relationships/hyperlink" Target="https://blog.trendmicro.com/trendlabs-security-intelligence/an-analysis-of-windows-zero-day-vulnerability-cve-2014-4114-aka-sandworm/" TargetMode="External"/><Relationship Id="rId300" Type="http://schemas.openxmlformats.org/officeDocument/2006/relationships/hyperlink" Target="https://portal.msrc.microsoft.com/en-US/security-guidance/advisory/CVE-2020-1380" TargetMode="External"/><Relationship Id="rId421" Type="http://schemas.openxmlformats.org/officeDocument/2006/relationships/hyperlink" Target="https://blog.trendmicro.com/trendlabs-security-intelligence/cve-2017-0022-microsoft-patches-vulnerability-exploited-adgholas-neutrino/" TargetMode="External"/><Relationship Id="rId542" Type="http://schemas.openxmlformats.org/officeDocument/2006/relationships/hyperlink" Target="https://docs.microsoft.com/en-us/security-updates/securitybulletins/2014/ms14-060" TargetMode="External"/><Relationship Id="rId420" Type="http://schemas.openxmlformats.org/officeDocument/2006/relationships/hyperlink" Target="https://docs.microsoft.com/en-us/security-updates/securitybulletins/2017/ms17-022" TargetMode="External"/><Relationship Id="rId541" Type="http://schemas.openxmlformats.org/officeDocument/2006/relationships/hyperlink" Target="https://www.fireeye.com/blog/threat-research/2014/10/two-targeted-attacks-two-new-zero-days.html" TargetMode="External"/><Relationship Id="rId540" Type="http://schemas.openxmlformats.org/officeDocument/2006/relationships/hyperlink" Target="https://docs.microsoft.com/en-us/security-updates/securitybulletins/2014/ms14-058" TargetMode="External"/><Relationship Id="rId415" Type="http://schemas.openxmlformats.org/officeDocument/2006/relationships/hyperlink" Target="http://www-01.ibm.com/support/docview.wss?uid=swg22002280" TargetMode="External"/><Relationship Id="rId536" Type="http://schemas.openxmlformats.org/officeDocument/2006/relationships/hyperlink" Target="https://blogs.technet.microsoft.com/srd/2014/11/18/additional-information-about-cve-2014-6324/" TargetMode="External"/><Relationship Id="rId414" Type="http://schemas.openxmlformats.org/officeDocument/2006/relationships/hyperlink" Target="https://www.fireeye.com/blog/threat-research/2017/04/cve-2017-0199-hta-handler.html" TargetMode="External"/><Relationship Id="rId535" Type="http://schemas.openxmlformats.org/officeDocument/2006/relationships/hyperlink" Target="https://docs.microsoft.com/en-us/security-updates/securitybulletins/2014/ms14-068" TargetMode="External"/><Relationship Id="rId413" Type="http://schemas.openxmlformats.org/officeDocument/2006/relationships/hyperlink" Target="https://portal.msrc.microsoft.com/en-US/security-guidance/advisory/CVE-2017-0199" TargetMode="External"/><Relationship Id="rId534" Type="http://schemas.openxmlformats.org/officeDocument/2006/relationships/hyperlink" Target="https://helpx.adobe.com/security/products/flash-player/apsb14-27.html" TargetMode="External"/><Relationship Id="rId412" Type="http://schemas.openxmlformats.org/officeDocument/2006/relationships/hyperlink" Target="https://blog.talosintelligence.com/2017/04/ms-tuesday.html" TargetMode="External"/><Relationship Id="rId533" Type="http://schemas.openxmlformats.org/officeDocument/2006/relationships/hyperlink" Target="http://blog.trendmicro.com/trendlabs-security-intelligence/cve-2015-0016-escaping-the-internet-explorer-sandbox/" TargetMode="External"/><Relationship Id="rId419" Type="http://schemas.openxmlformats.org/officeDocument/2006/relationships/hyperlink" Target="https://twitter.com/jq0904/status/1062168435818283008" TargetMode="External"/><Relationship Id="rId418" Type="http://schemas.openxmlformats.org/officeDocument/2006/relationships/hyperlink" Target="https://docs.microsoft.com/en-us/security-updates/securitybulletins/2017/ms17-006" TargetMode="External"/><Relationship Id="rId539" Type="http://schemas.openxmlformats.org/officeDocument/2006/relationships/hyperlink" Target="https://docs.microsoft.com/en-us/security-updates/securitybulletins/2014/ms14-078" TargetMode="External"/><Relationship Id="rId417" Type="http://schemas.openxmlformats.org/officeDocument/2006/relationships/hyperlink" Target="https://artkond.com/2017/04/10/cisco-catalyst-remote-code-execution/" TargetMode="External"/><Relationship Id="rId538" Type="http://schemas.openxmlformats.org/officeDocument/2006/relationships/hyperlink" Target="https://securingtomorrow.mcafee.com/other-blogs/mcafee-labs/bypassing-microsofts-patch-for-the-sandworm-zero-day-even-editing-can-cause-harm/" TargetMode="External"/><Relationship Id="rId416" Type="http://schemas.openxmlformats.org/officeDocument/2006/relationships/hyperlink" Target="https://tools.cisco.com/security/center/content/CiscoSecurityAdvisory/cisco-sa-20170317-cmp" TargetMode="External"/><Relationship Id="rId537" Type="http://schemas.openxmlformats.org/officeDocument/2006/relationships/hyperlink" Target="https://docs.microsoft.com/en-us/security-updates/securitybulletins/2014/ms14-064" TargetMode="External"/><Relationship Id="rId411" Type="http://schemas.openxmlformats.org/officeDocument/2006/relationships/hyperlink" Target="https://portal.msrc.microsoft.com/en-US/security-guidance/advisory/CVE-2017-0210" TargetMode="External"/><Relationship Id="rId532" Type="http://schemas.openxmlformats.org/officeDocument/2006/relationships/hyperlink" Target="https://docs.microsoft.com/en-us/security-updates/securitybulletins/2015/ms15-004" TargetMode="External"/><Relationship Id="rId410" Type="http://schemas.openxmlformats.org/officeDocument/2006/relationships/hyperlink" Target="https://git.ghostscript.com/?p=ghostpdl.git;a=commitdiff;h=04b37bbce1" TargetMode="External"/><Relationship Id="rId531" Type="http://schemas.openxmlformats.org/officeDocument/2006/relationships/hyperlink" Target="https://bugs.chromium.org/p/chromium/issues/detail?id=442585" TargetMode="External"/><Relationship Id="rId530" Type="http://schemas.openxmlformats.org/officeDocument/2006/relationships/hyperlink" Target="https://helpx.adobe.com/security/products/flash-player/apsb15-02.html" TargetMode="External"/><Relationship Id="rId206" Type="http://schemas.openxmlformats.org/officeDocument/2006/relationships/hyperlink" Target="https://chromereleases.googleblog.com/2021/06/stable-channel-update-for-desktop_17.html" TargetMode="External"/><Relationship Id="rId327" Type="http://schemas.openxmlformats.org/officeDocument/2006/relationships/hyperlink" Target="https://www.mozilla.org/en-US/security/advisories/mfsa2020-03/" TargetMode="External"/><Relationship Id="rId448" Type="http://schemas.openxmlformats.org/officeDocument/2006/relationships/hyperlink" Target="https://docs.microsoft.com/en-us/security-updates/securitybulletins/2016/ms16-121" TargetMode="External"/><Relationship Id="rId205" Type="http://schemas.openxmlformats.org/officeDocument/2006/relationships/hyperlink" Target="https://www.microsoft.com/security/blog/2021/07/15/protecting-customers-from-a-private-sector-offensive-actor-using-0-day-exploits-and-devilstongue-malware/" TargetMode="External"/><Relationship Id="rId326" Type="http://schemas.openxmlformats.org/officeDocument/2006/relationships/hyperlink" Target="https://googleprojectzero.github.io/0days-in-the-wild//0day-RCAs/2020/CVE-2020-0674.html" TargetMode="External"/><Relationship Id="rId447" Type="http://schemas.openxmlformats.org/officeDocument/2006/relationships/hyperlink" Target="https://securelist.com/windows-zero-day-exploit-used-in-targeted-attacks-by-fruityarmor-apt/76396/" TargetMode="External"/><Relationship Id="rId204" Type="http://schemas.openxmlformats.org/officeDocument/2006/relationships/hyperlink" Target="https://msrc.microsoft.com/update-guide/vulnerability/CVE-2021-31979" TargetMode="External"/><Relationship Id="rId325" Type="http://schemas.openxmlformats.org/officeDocument/2006/relationships/hyperlink" Target="https://blogs.360.cn/post/apt-c-06_0day.html" TargetMode="External"/><Relationship Id="rId446" Type="http://schemas.openxmlformats.org/officeDocument/2006/relationships/hyperlink" Target="https://docs.microsoft.com/en-us/security-updates/securitybulletins/2016/ms16-120" TargetMode="External"/><Relationship Id="rId203" Type="http://schemas.openxmlformats.org/officeDocument/2006/relationships/hyperlink" Target="https://msrc.microsoft.com/update-guide/vulnerability/CVE-2021-34448" TargetMode="External"/><Relationship Id="rId324" Type="http://schemas.openxmlformats.org/officeDocument/2006/relationships/hyperlink" Target="https://portal.msrc.microsoft.com/en-US/security-guidance/advisory/CVE-2020-0674" TargetMode="External"/><Relationship Id="rId445" Type="http://schemas.openxmlformats.org/officeDocument/2006/relationships/hyperlink" Target="https://blog.trendmicro.com/trendlabs-security-intelligence/cve-2016-3298-microsoft-fixes-another-ie-zero-day-used-in-adgholas/" TargetMode="External"/><Relationship Id="rId209" Type="http://schemas.openxmlformats.org/officeDocument/2006/relationships/hyperlink" Target="https://googleprojectzero.github.io/0days-in-the-wild/0day-RCAs/2021/CVE-2021-30551.html" TargetMode="External"/><Relationship Id="rId208" Type="http://schemas.openxmlformats.org/officeDocument/2006/relationships/hyperlink" Target="https://blog.google/threat-analysis-group/how-we-protect-users-0-day-attacks/" TargetMode="External"/><Relationship Id="rId329" Type="http://schemas.openxmlformats.org/officeDocument/2006/relationships/hyperlink" Target="https://portal.msrc.microsoft.com/en-US/security-guidance/advisory/CVE-2019-1458" TargetMode="External"/><Relationship Id="rId207" Type="http://schemas.openxmlformats.org/officeDocument/2006/relationships/hyperlink" Target="https://chromereleases.googleblog.com/2021/06/stable-channel-update-for-desktop.html" TargetMode="External"/><Relationship Id="rId328" Type="http://schemas.openxmlformats.org/officeDocument/2006/relationships/hyperlink" Target="https://googleprojectzero.github.io/0days-in-the-wild//0day-RCAs/2020/CVE-2019-17026.html" TargetMode="External"/><Relationship Id="rId449" Type="http://schemas.openxmlformats.org/officeDocument/2006/relationships/hyperlink" Target="https://paper.seebug.org/288/" TargetMode="External"/><Relationship Id="rId440" Type="http://schemas.openxmlformats.org/officeDocument/2006/relationships/hyperlink" Target="https://blog.trendmicro.com/trendlabs-security-intelligence/one-bit-rule-system-analyzing-cve-2016-7255-exploit-wild/" TargetMode="External"/><Relationship Id="rId202" Type="http://schemas.openxmlformats.org/officeDocument/2006/relationships/hyperlink" Target="https://www.microsoft.com/security/blog/2021/07/15/protecting-customers-from-a-private-sector-offensive-actor-using-0-day-exploits-and-devilstongue-malware/" TargetMode="External"/><Relationship Id="rId323" Type="http://schemas.openxmlformats.org/officeDocument/2006/relationships/hyperlink" Target="https://googleprojectzero.github.io/0days-in-the-wild/0day-RCAs/2020/CVE-2020-6418.html" TargetMode="External"/><Relationship Id="rId444" Type="http://schemas.openxmlformats.org/officeDocument/2006/relationships/hyperlink" Target="https://docs.microsoft.com/en-us/security-updates/securitybulletins/2016/ms16-118" TargetMode="External"/><Relationship Id="rId201" Type="http://schemas.openxmlformats.org/officeDocument/2006/relationships/hyperlink" Target="https://msrc.microsoft.com/update-guide/vulnerability/CVE-2021-33771" TargetMode="External"/><Relationship Id="rId322" Type="http://schemas.openxmlformats.org/officeDocument/2006/relationships/hyperlink" Target="https://chromereleases.googleblog.com/2020/02/stable-channel-update-for-desktop_24.html" TargetMode="External"/><Relationship Id="rId443" Type="http://schemas.openxmlformats.org/officeDocument/2006/relationships/hyperlink" Target="https://github.com/dirtycow/dirtycow.github.io/wiki/VulnerabilityDetails" TargetMode="External"/><Relationship Id="rId200" Type="http://schemas.openxmlformats.org/officeDocument/2006/relationships/hyperlink" Target="https://chromereleases.googleblog.com/2021/07/stable-channel-update-for-desktop.html" TargetMode="External"/><Relationship Id="rId321" Type="http://schemas.openxmlformats.org/officeDocument/2006/relationships/hyperlink" Target="https://success.trendmicro.com/solution/000245571" TargetMode="External"/><Relationship Id="rId442" Type="http://schemas.openxmlformats.org/officeDocument/2006/relationships/hyperlink" Target="https://security.googleblog.com/2016/10/disclosing-vulnerabilities-to-protect.html" TargetMode="External"/><Relationship Id="rId320" Type="http://schemas.openxmlformats.org/officeDocument/2006/relationships/hyperlink" Target="https://success.trendmicro.com/solution/000245571" TargetMode="External"/><Relationship Id="rId441" Type="http://schemas.openxmlformats.org/officeDocument/2006/relationships/hyperlink" Target="https://helpx.adobe.com/security/products/flash-player/apsb16-36.html" TargetMode="External"/><Relationship Id="rId316" Type="http://schemas.openxmlformats.org/officeDocument/2006/relationships/hyperlink" Target="https://www.mozilla.org/en-US/security/advisories/mfsa2020-11/" TargetMode="External"/><Relationship Id="rId437" Type="http://schemas.openxmlformats.org/officeDocument/2006/relationships/hyperlink" Target="https://docs.microsoft.com/en-us/security-updates/securitybulletins/2016/ms16-132" TargetMode="External"/><Relationship Id="rId315" Type="http://schemas.openxmlformats.org/officeDocument/2006/relationships/hyperlink" Target="https://googleprojectzero.github.io/0days-in-the-wild/0day-RCAs/2020/CVE-2020-6572.html" TargetMode="External"/><Relationship Id="rId436" Type="http://schemas.openxmlformats.org/officeDocument/2006/relationships/hyperlink" Target="https://bugzilla.mozilla.org/show_bug.cgi?id=1321066" TargetMode="External"/><Relationship Id="rId314" Type="http://schemas.openxmlformats.org/officeDocument/2006/relationships/hyperlink" Target="https://chromereleases.googleblog.com/2020/04/stable-channel-update-for-desktop_7.html" TargetMode="External"/><Relationship Id="rId435" Type="http://schemas.openxmlformats.org/officeDocument/2006/relationships/hyperlink" Target="https://www.mozilla.org/en-US/security/advisories/mfsa2016-92/" TargetMode="External"/><Relationship Id="rId313" Type="http://schemas.openxmlformats.org/officeDocument/2006/relationships/hyperlink" Target="https://googleprojectzero.github.io/0days-in-the-wild//0day-RCAs/2020/CVE-2020-1027.html" TargetMode="External"/><Relationship Id="rId434" Type="http://schemas.openxmlformats.org/officeDocument/2006/relationships/hyperlink" Target="https://helpx.adobe.com/security/products/flash-player/apsb16-39.html" TargetMode="External"/><Relationship Id="rId319" Type="http://schemas.openxmlformats.org/officeDocument/2006/relationships/hyperlink" Target="https://chromereleases.googleblog.com/2020/03/stable-channel-update-for-desktop_31.html" TargetMode="External"/><Relationship Id="rId318" Type="http://schemas.openxmlformats.org/officeDocument/2006/relationships/hyperlink" Target="https://googleprojectzero.github.io/0days-in-the-wild//0day-RCAs/2020/CVE-2020-6820.html" TargetMode="External"/><Relationship Id="rId439" Type="http://schemas.openxmlformats.org/officeDocument/2006/relationships/hyperlink" Target="https://docs.microsoft.com/en-us/security-updates/securitybulletins/2016/ms16-135" TargetMode="External"/><Relationship Id="rId317" Type="http://schemas.openxmlformats.org/officeDocument/2006/relationships/hyperlink" Target="https://www.mozilla.org/en-US/security/advisories/mfsa2020-11/" TargetMode="External"/><Relationship Id="rId438" Type="http://schemas.openxmlformats.org/officeDocument/2006/relationships/hyperlink" Target="https://asec.ahnlab.com/1050" TargetMode="External"/><Relationship Id="rId550" Type="http://schemas.openxmlformats.org/officeDocument/2006/relationships/hyperlink" Target="https://twitter.com/tiraniddo/status/522135160675127296" TargetMode="External"/><Relationship Id="rId312" Type="http://schemas.openxmlformats.org/officeDocument/2006/relationships/hyperlink" Target="https://portal.msrc.microsoft.com/en-us/security-guidance/advisory/CVE-2020-1027" TargetMode="External"/><Relationship Id="rId433" Type="http://schemas.openxmlformats.org/officeDocument/2006/relationships/hyperlink" Target="https://blogs.technet.microsoft.com/srd/2017/06/29/eternal-champion-exploit-analysis/" TargetMode="External"/><Relationship Id="rId311" Type="http://schemas.openxmlformats.org/officeDocument/2006/relationships/hyperlink" Target="https://googleprojectzero.github.io/0days-in-the-wild//0day-RCAs/2020/CVE-2020-1020.html" TargetMode="External"/><Relationship Id="rId432" Type="http://schemas.openxmlformats.org/officeDocument/2006/relationships/hyperlink" Target="https://docs.microsoft.com/en-us/security-updates/securitybulletins/2017/ms17-010" TargetMode="External"/><Relationship Id="rId310" Type="http://schemas.openxmlformats.org/officeDocument/2006/relationships/hyperlink" Target="https://portal.msrc.microsoft.com/en-us/security-guidance/advisory/CVE-2020-1020" TargetMode="External"/><Relationship Id="rId431" Type="http://schemas.openxmlformats.org/officeDocument/2006/relationships/hyperlink" Target="https://blogs.technet.microsoft.com/srd/2017/06/29/eternal-champion-exploit-analysis/" TargetMode="External"/><Relationship Id="rId430" Type="http://schemas.openxmlformats.org/officeDocument/2006/relationships/hyperlink" Target="https://docs.microsoft.com/en-us/security-updates/securitybulletins/2017/ms17-010" TargetMode="External"/><Relationship Id="rId55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romereleases.googleblog.com/2024/01/stable-channel-update-for-desktop_16.html" TargetMode="External"/><Relationship Id="rId2" Type="http://schemas.openxmlformats.org/officeDocument/2006/relationships/hyperlink" Target="https://support.apple.com/en-us/HT214059"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msrc.microsoft.com/update-guide/en-US/vulnerability/CVE-2023-21674" TargetMode="External"/><Relationship Id="rId2" Type="http://schemas.openxmlformats.org/officeDocument/2006/relationships/hyperlink" Target="https://support.apple.com/en-us/HT213638" TargetMode="External"/><Relationship Id="rId3" Type="http://schemas.openxmlformats.org/officeDocument/2006/relationships/hyperlink" Target="https://msrc.microsoft.com/update-guide/en-US/vulnerability/CVE-2023-21823" TargetMode="External"/><Relationship Id="rId4" Type="http://schemas.openxmlformats.org/officeDocument/2006/relationships/hyperlink" Target="https://msrc.microsoft.com/update-guide/en-US/vulnerability/CVE-2023-23376" TargetMode="External"/><Relationship Id="rId9" Type="http://schemas.openxmlformats.org/officeDocument/2006/relationships/hyperlink" Target="https://securityintelligence.com/posts/patch-tuesday-exploit-wednesday-pwning-windows-ancillary-function-driver-winsock/" TargetMode="External"/><Relationship Id="rId5" Type="http://schemas.openxmlformats.org/officeDocument/2006/relationships/hyperlink" Target="https://source.android.com/docs/security/bulletin/2023-03-01" TargetMode="External"/><Relationship Id="rId6" Type="http://schemas.openxmlformats.org/officeDocument/2006/relationships/hyperlink" Target="https://googleprojectzero.github.io/0days-in-the-wild//0day-RCAs/2023/CVE-2023-20963.html" TargetMode="External"/><Relationship Id="rId7" Type="http://schemas.openxmlformats.org/officeDocument/2006/relationships/hyperlink" Target="https://msrc.microsoft.com/update-guide/vulnerability/CVE-2023-23397" TargetMode="External"/><Relationship Id="rId8" Type="http://schemas.openxmlformats.org/officeDocument/2006/relationships/hyperlink" Target="https://msrc.microsoft.com/update-guide/vulnerability/CVE-2023-21768" TargetMode="External"/><Relationship Id="rId40" Type="http://schemas.openxmlformats.org/officeDocument/2006/relationships/hyperlink" Target="https://support.apple.com/en-us/HT213842" TargetMode="External"/><Relationship Id="rId42" Type="http://schemas.openxmlformats.org/officeDocument/2006/relationships/hyperlink" Target="https://www.group-ib.com/blog/cve-2023-38831-winrar-zero-day/" TargetMode="External"/><Relationship Id="rId41" Type="http://schemas.openxmlformats.org/officeDocument/2006/relationships/hyperlink" Target="https://www.win-rar.com/singlenewsview.html?&amp;L=0&amp;tx_ttnews%5Btt_news%5D=232&amp;cHash=c5bf79590657e32554c6683296a8e8aa" TargetMode="External"/><Relationship Id="rId44" Type="http://schemas.openxmlformats.org/officeDocument/2006/relationships/hyperlink" Target="https://source.android.com/docs/security/bulletin/2023-09-01" TargetMode="External"/><Relationship Id="rId43" Type="http://schemas.openxmlformats.org/officeDocument/2006/relationships/hyperlink" Target="https://googleprojectzero.github.io/0days-in-the-wild//0day-RCAs/2023/CVE-2023-38831.html" TargetMode="External"/><Relationship Id="rId46" Type="http://schemas.openxmlformats.org/officeDocument/2006/relationships/hyperlink" Target="https://blog.google/threat-analysis-group/0-days-exploited-by-commercial-surveillance-vendor-in-egypt/" TargetMode="External"/><Relationship Id="rId45" Type="http://schemas.openxmlformats.org/officeDocument/2006/relationships/hyperlink" Target="https://chromereleases.googleblog.com/2023/09/stable-channel-update-for-desktop.html" TargetMode="External"/><Relationship Id="rId48" Type="http://schemas.openxmlformats.org/officeDocument/2006/relationships/hyperlink" Target="https://support.apple.com/en-us/HT213905" TargetMode="External"/><Relationship Id="rId47" Type="http://schemas.openxmlformats.org/officeDocument/2006/relationships/hyperlink" Target="https://support.apple.com/en-us/HT213905" TargetMode="External"/><Relationship Id="rId49" Type="http://schemas.openxmlformats.org/officeDocument/2006/relationships/hyperlink" Target="https://chromereleases.googleblog.com/2023/09/stable-channel-update-for-desktop_12.html" TargetMode="External"/><Relationship Id="rId31" Type="http://schemas.openxmlformats.org/officeDocument/2006/relationships/hyperlink" Target="https://securelist.com/operation-triangulation/109842/" TargetMode="External"/><Relationship Id="rId30" Type="http://schemas.openxmlformats.org/officeDocument/2006/relationships/hyperlink" Target="https://support.apple.com/en-us/HT213811" TargetMode="External"/><Relationship Id="rId33" Type="http://schemas.openxmlformats.org/officeDocument/2006/relationships/hyperlink" Target="https://support.apple.com/en-us/HT213823" TargetMode="External"/><Relationship Id="rId32" Type="http://schemas.openxmlformats.org/officeDocument/2006/relationships/hyperlink" Target="https://support.apple.com/en-us/HT213814" TargetMode="External"/><Relationship Id="rId35" Type="http://schemas.openxmlformats.org/officeDocument/2006/relationships/hyperlink" Target="https://msrc.microsoft.com/update-guide/vulnerability/CVE-2023-36874" TargetMode="External"/><Relationship Id="rId34" Type="http://schemas.openxmlformats.org/officeDocument/2006/relationships/hyperlink" Target="https://msrc.microsoft.com/update-guide/vulnerability/CVE-2023-32046" TargetMode="External"/><Relationship Id="rId37" Type="http://schemas.openxmlformats.org/officeDocument/2006/relationships/hyperlink" Target="https://wiki.zimbra.com/wiki/Zimbra_Releases/8.8.15/P41" TargetMode="External"/><Relationship Id="rId36" Type="http://schemas.openxmlformats.org/officeDocument/2006/relationships/hyperlink" Target="https://msrc.microsoft.com/update-guide/vulnerability/CVE-2023-36884" TargetMode="External"/><Relationship Id="rId39" Type="http://schemas.openxmlformats.org/officeDocument/2006/relationships/hyperlink" Target="https://support.apple.com/en-us/HT213841" TargetMode="External"/><Relationship Id="rId38" Type="http://schemas.openxmlformats.org/officeDocument/2006/relationships/hyperlink" Target="https://blog.google/threat-analysis-group/zimbra-0-day-used-to-target-international-government-organizations/" TargetMode="External"/><Relationship Id="rId20" Type="http://schemas.openxmlformats.org/officeDocument/2006/relationships/hyperlink" Target="https://chromereleases.googleblog.com/2023/04/stable-channel-update-for-desktop_18.html" TargetMode="External"/><Relationship Id="rId22" Type="http://schemas.openxmlformats.org/officeDocument/2006/relationships/hyperlink" Target="https://support.apple.com/en-us/HT213757" TargetMode="External"/><Relationship Id="rId21" Type="http://schemas.openxmlformats.org/officeDocument/2006/relationships/hyperlink" Target="https://security.samsungmobile.com/securityUpdate.smsb" TargetMode="External"/><Relationship Id="rId24" Type="http://schemas.openxmlformats.org/officeDocument/2006/relationships/hyperlink" Target="https://msrc.microsoft.com/update-guide/vulnerability/CVE-2023-29336" TargetMode="External"/><Relationship Id="rId23" Type="http://schemas.openxmlformats.org/officeDocument/2006/relationships/hyperlink" Target="https://support.apple.com/en-us/HT213757" TargetMode="External"/><Relationship Id="rId26" Type="http://schemas.openxmlformats.org/officeDocument/2006/relationships/hyperlink" Target="https://www.barracuda.com/company/legal/esg-vulnerability" TargetMode="External"/><Relationship Id="rId25" Type="http://schemas.openxmlformats.org/officeDocument/2006/relationships/hyperlink" Target="https://support.apple.com/en-us/HT213757" TargetMode="External"/><Relationship Id="rId28" Type="http://schemas.openxmlformats.org/officeDocument/2006/relationships/hyperlink" Target="https://support.apple.com/en-us/HT213814" TargetMode="External"/><Relationship Id="rId27" Type="http://schemas.openxmlformats.org/officeDocument/2006/relationships/hyperlink" Target="https://chromereleases.googleblog.com/2023/06/stable-channel-update-for-desktop.html" TargetMode="External"/><Relationship Id="rId29" Type="http://schemas.openxmlformats.org/officeDocument/2006/relationships/hyperlink" Target="https://securelist.com/operation-triangulation/109842/" TargetMode="External"/><Relationship Id="rId11" Type="http://schemas.openxmlformats.org/officeDocument/2006/relationships/hyperlink" Target="https://blog.google/threat-analysis-group/spyware-vendors-use-0-days-and-n-days-against-popular-platforms/" TargetMode="External"/><Relationship Id="rId10" Type="http://schemas.openxmlformats.org/officeDocument/2006/relationships/hyperlink" Target="https://source.android.com/docs/security/bulletin/2023-05-01" TargetMode="External"/><Relationship Id="rId13" Type="http://schemas.openxmlformats.org/officeDocument/2006/relationships/hyperlink" Target="https://blog.google/threat-analysis-group/spyware-vendors-use-0-days-and-n-days-against-popular-platforms/" TargetMode="External"/><Relationship Id="rId12" Type="http://schemas.openxmlformats.org/officeDocument/2006/relationships/hyperlink" Target="https://developer.arm.com/Arm%20Security%20Center/Mali%20GPU%20Driver%20Vulnerabilities" TargetMode="External"/><Relationship Id="rId15" Type="http://schemas.openxmlformats.org/officeDocument/2006/relationships/hyperlink" Target="https://support.apple.com/en-us/102795" TargetMode="External"/><Relationship Id="rId14" Type="http://schemas.openxmlformats.org/officeDocument/2006/relationships/hyperlink" Target="https://support.apple.com/en-us/102795" TargetMode="External"/><Relationship Id="rId17" Type="http://schemas.openxmlformats.org/officeDocument/2006/relationships/hyperlink" Target="https://securelist.com/nokoyawa-ransomware-attacks-with-windows-zero-day/109483/" TargetMode="External"/><Relationship Id="rId16" Type="http://schemas.openxmlformats.org/officeDocument/2006/relationships/hyperlink" Target="https://msrc.microsoft.com/update-guide/vulnerability/CVE-2023-28252" TargetMode="External"/><Relationship Id="rId19" Type="http://schemas.openxmlformats.org/officeDocument/2006/relationships/hyperlink" Target="https://chromereleases.googleblog.com/2023/04/stable-channel-update-for-desktop_14.html" TargetMode="External"/><Relationship Id="rId18" Type="http://schemas.openxmlformats.org/officeDocument/2006/relationships/hyperlink" Target="https://googleprojectzero.github.io/0days-in-the-wild//0day-RCAs/2023/CVE-2023-28252.html" TargetMode="External"/><Relationship Id="rId80" Type="http://schemas.openxmlformats.org/officeDocument/2006/relationships/hyperlink" Target="https://chromereleases.googleblog.com/2023/12/stable-channel-update-for-desktop_20.html" TargetMode="External"/><Relationship Id="rId81" Type="http://schemas.openxmlformats.org/officeDocument/2006/relationships/drawing" Target="../drawings/drawing4.xml"/><Relationship Id="rId73" Type="http://schemas.openxmlformats.org/officeDocument/2006/relationships/hyperlink" Target="https://confluence.atlassian.com/security/cve-2023-22515-privilege-escalation-vulnerability-in-confluence-data-center-and-server-1295682276.html" TargetMode="External"/><Relationship Id="rId72" Type="http://schemas.openxmlformats.org/officeDocument/2006/relationships/hyperlink" Target="https://support.apple.com/en-us/HT213961" TargetMode="External"/><Relationship Id="rId75" Type="http://schemas.openxmlformats.org/officeDocument/2006/relationships/hyperlink" Target="https://msrc.microsoft.com/update-guide/en-US/advisory/CVE-2023-36033" TargetMode="External"/><Relationship Id="rId74" Type="http://schemas.openxmlformats.org/officeDocument/2006/relationships/hyperlink" Target="https://msrc.microsoft.com/update-guide/en-US/advisory/CVE-2023-36036" TargetMode="External"/><Relationship Id="rId77" Type="http://schemas.openxmlformats.org/officeDocument/2006/relationships/hyperlink" Target="https://chromereleases.googleblog.com/2023/11/stable-channel-update-for-desktop_28.html" TargetMode="External"/><Relationship Id="rId76" Type="http://schemas.openxmlformats.org/officeDocument/2006/relationships/hyperlink" Target="https://googleprojectzero.github.io/0days-in-the-wild//0day-RCAs/2023/CVE-2023-36033.html" TargetMode="External"/><Relationship Id="rId79" Type="http://schemas.openxmlformats.org/officeDocument/2006/relationships/hyperlink" Target="https://support.apple.com/en-us/HT214031" TargetMode="External"/><Relationship Id="rId78" Type="http://schemas.openxmlformats.org/officeDocument/2006/relationships/hyperlink" Target="https://support.apple.com/en-us/HT214031" TargetMode="External"/><Relationship Id="rId71" Type="http://schemas.openxmlformats.org/officeDocument/2006/relationships/hyperlink" Target="https://docs.qualcomm.com/product/publicresources/securitybulletin/october-2023-bulletin.html" TargetMode="External"/><Relationship Id="rId70" Type="http://schemas.openxmlformats.org/officeDocument/2006/relationships/hyperlink" Target="https://googleprojectzero.github.io/0days-in-the-wild//0day-RCAs/2023/CVE-2023-33107.html" TargetMode="External"/><Relationship Id="rId62" Type="http://schemas.openxmlformats.org/officeDocument/2006/relationships/hyperlink" Target="https://support.apple.com/en-us/HT213926" TargetMode="External"/><Relationship Id="rId61" Type="http://schemas.openxmlformats.org/officeDocument/2006/relationships/hyperlink" Target="https://blog.google/threat-analysis-group/0-days-exploited-by-commercial-surveillance-vendor-in-egypt/" TargetMode="External"/><Relationship Id="rId64" Type="http://schemas.openxmlformats.org/officeDocument/2006/relationships/hyperlink" Target="https://chromereleases.googleblog.com/2023/09/stable-channel-update-for-desktop_27.html" TargetMode="External"/><Relationship Id="rId63" Type="http://schemas.openxmlformats.org/officeDocument/2006/relationships/hyperlink" Target="https://blog.google/threat-analysis-group/0-days-exploited-by-commercial-surveillance-vendor-in-egypt/" TargetMode="External"/><Relationship Id="rId66" Type="http://schemas.openxmlformats.org/officeDocument/2006/relationships/hyperlink" Target="https://googleprojectzero.github.io/0days-in-the-wild//0day-RCAs/2023/CVE-2023-4211.html" TargetMode="External"/><Relationship Id="rId65" Type="http://schemas.openxmlformats.org/officeDocument/2006/relationships/hyperlink" Target="https://developer.arm.com/Arm%20Security%20Center/Mali%20GPU%20Driver%20Vulnerabilities" TargetMode="External"/><Relationship Id="rId68" Type="http://schemas.openxmlformats.org/officeDocument/2006/relationships/hyperlink" Target="https://googleprojectzero.github.io/0days-in-the-wild//0day-RCAs/2023/CVE-2023-33106.html" TargetMode="External"/><Relationship Id="rId67" Type="http://schemas.openxmlformats.org/officeDocument/2006/relationships/hyperlink" Target="https://docs.qualcomm.com/product/publicresources/securitybulletin/october-2023-bulletin.html" TargetMode="External"/><Relationship Id="rId60" Type="http://schemas.openxmlformats.org/officeDocument/2006/relationships/hyperlink" Target="https://support.apple.com/en-us/HT213926" TargetMode="External"/><Relationship Id="rId69" Type="http://schemas.openxmlformats.org/officeDocument/2006/relationships/hyperlink" Target="https://docs.qualcomm.com/product/publicresources/securitybulletin/october-2023-bulletin.html" TargetMode="External"/><Relationship Id="rId51" Type="http://schemas.openxmlformats.org/officeDocument/2006/relationships/hyperlink" Target="https://helpx.adobe.com/security/products/acrobat/apsb23-34.html" TargetMode="External"/><Relationship Id="rId50" Type="http://schemas.openxmlformats.org/officeDocument/2006/relationships/hyperlink" Target="https://blog.isosceles.com/the-webp-0day/" TargetMode="External"/><Relationship Id="rId53" Type="http://schemas.openxmlformats.org/officeDocument/2006/relationships/hyperlink" Target="https://googleprojectzero.github.io/0days-in-the-wild//0day-RCAs/2023/CVE-2023-26369.html" TargetMode="External"/><Relationship Id="rId52" Type="http://schemas.openxmlformats.org/officeDocument/2006/relationships/hyperlink" Target="https://blog.google/threat-analysis-group/active-north-korean-campaign-targeting-security-researchers/" TargetMode="External"/><Relationship Id="rId55" Type="http://schemas.openxmlformats.org/officeDocument/2006/relationships/hyperlink" Target="https://securityintelligence.com/x-force/critically-close-to-zero-day-exploiting-microsoft-kernel-streaming-service/" TargetMode="External"/><Relationship Id="rId54" Type="http://schemas.openxmlformats.org/officeDocument/2006/relationships/hyperlink" Target="https://msrc.microsoft.com/update-guide/en-US/advisory/CVE-2023-36802" TargetMode="External"/><Relationship Id="rId57" Type="http://schemas.openxmlformats.org/officeDocument/2006/relationships/hyperlink" Target="https://msrc.microsoft.com/update-guide/en-US/advisory/CVE-2023-36761" TargetMode="External"/><Relationship Id="rId56" Type="http://schemas.openxmlformats.org/officeDocument/2006/relationships/hyperlink" Target="https://googleprojectzero.github.io/0days-in-the-wild//0day-RCAs/2023/CVE-2023-36802.html" TargetMode="External"/><Relationship Id="rId59" Type="http://schemas.openxmlformats.org/officeDocument/2006/relationships/hyperlink" Target="https://blog.google/threat-analysis-group/0-days-exploited-by-commercial-surveillance-vendor-in-egypt/" TargetMode="External"/><Relationship Id="rId58" Type="http://schemas.openxmlformats.org/officeDocument/2006/relationships/hyperlink" Target="https://support.apple.com/en-us/HT213926"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security.samsungmobile.com/securityUpdate.smsb" TargetMode="External"/><Relationship Id="rId2" Type="http://schemas.openxmlformats.org/officeDocument/2006/relationships/hyperlink" Target="https://googleprojectzero.github.io/0days-in-the-wild//0day-RCAs/2022/CVE-2022-22265.html" TargetMode="External"/><Relationship Id="rId3" Type="http://schemas.openxmlformats.org/officeDocument/2006/relationships/hyperlink" Target="https://msrc.microsoft.com/update-guide/vulnerability/CVE-2022-21882" TargetMode="External"/><Relationship Id="rId4" Type="http://schemas.openxmlformats.org/officeDocument/2006/relationships/hyperlink" Target="https://googleprojectzero.github.io/0days-in-the-wild//0day-RCAs/2022/CVE-2022-21882.html" TargetMode="External"/><Relationship Id="rId9" Type="http://schemas.openxmlformats.org/officeDocument/2006/relationships/hyperlink" Target="https://googleprojectzero.blogspot.com/2022/06/an-autopsy-on-zombie-in-wild-0-day.html" TargetMode="External"/><Relationship Id="rId5" Type="http://schemas.openxmlformats.org/officeDocument/2006/relationships/hyperlink" Target="https://support.apple.com/en-us/HT213053" TargetMode="External"/><Relationship Id="rId6" Type="http://schemas.openxmlformats.org/officeDocument/2006/relationships/hyperlink" Target="https://wiki.zimbra.com/wiki/Zimbra_Releases/8.8.15/P30" TargetMode="External"/><Relationship Id="rId7" Type="http://schemas.openxmlformats.org/officeDocument/2006/relationships/hyperlink" Target="https://www.volexity.com/blog/2022/02/03/operation-emailthief-active-exploitation-of-zero-day-xss-vulnerability-in-zimbra/" TargetMode="External"/><Relationship Id="rId8" Type="http://schemas.openxmlformats.org/officeDocument/2006/relationships/hyperlink" Target="https://support.apple.com/en-us/HT213093" TargetMode="External"/><Relationship Id="rId40" Type="http://schemas.openxmlformats.org/officeDocument/2006/relationships/hyperlink" Target="https://chromereleases.googleblog.com/2022/08/stable-channel-update-for-desktop_16.html" TargetMode="External"/><Relationship Id="rId42" Type="http://schemas.openxmlformats.org/officeDocument/2006/relationships/hyperlink" Target="https://support.apple.com/en-us/HT213413" TargetMode="External"/><Relationship Id="rId41" Type="http://schemas.openxmlformats.org/officeDocument/2006/relationships/hyperlink" Target="https://support.apple.com/en-us/HT213413" TargetMode="External"/><Relationship Id="rId44" Type="http://schemas.openxmlformats.org/officeDocument/2006/relationships/hyperlink" Target="https://www.sophos.com/en-us/security-advisories/sophos-sa-20220923-sfos-rce" TargetMode="External"/><Relationship Id="rId43" Type="http://schemas.openxmlformats.org/officeDocument/2006/relationships/hyperlink" Target="https://chromereleases.googleblog.com/2022/09/stable-channel-update-for-desktop.html" TargetMode="External"/><Relationship Id="rId46" Type="http://schemas.openxmlformats.org/officeDocument/2006/relationships/hyperlink" Target="https://support.apple.com/en-us/HT213445" TargetMode="External"/><Relationship Id="rId45" Type="http://schemas.openxmlformats.org/officeDocument/2006/relationships/hyperlink" Target="https://news.sophos.com/en-us/2022/10/19/covert-channels/" TargetMode="External"/><Relationship Id="rId48" Type="http://schemas.openxmlformats.org/officeDocument/2006/relationships/hyperlink" Target="https://msrc.microsoft.com/update-guide/vulnerability/CVE-2022-41033" TargetMode="External"/><Relationship Id="rId47" Type="http://schemas.openxmlformats.org/officeDocument/2006/relationships/hyperlink" Target="https://googleprojectzero.github.io/0days-in-the-wild//0day-RCAs/2022/CVE-2022-32917.html" TargetMode="External"/><Relationship Id="rId49" Type="http://schemas.openxmlformats.org/officeDocument/2006/relationships/hyperlink" Target="https://googleprojectzero.github.io/0days-in-the-wild//0day-RCAs/2022/CVE-2022-41033.html" TargetMode="External"/><Relationship Id="rId31" Type="http://schemas.openxmlformats.org/officeDocument/2006/relationships/hyperlink" Target="https://msrc.microsoft.com/update-guide/vulnerability/CVE-2022-26925" TargetMode="External"/><Relationship Id="rId30" Type="http://schemas.openxmlformats.org/officeDocument/2006/relationships/hyperlink" Target="https://googleprojectzero.github.io/0days-in-the-wild//0day-RCAs/2022/CVE-2022-1364.html" TargetMode="External"/><Relationship Id="rId33" Type="http://schemas.openxmlformats.org/officeDocument/2006/relationships/hyperlink" Target="https://doublepulsar.com/follina-a-microsoft-office-code-execution-vulnerability-1a47fce5629e" TargetMode="External"/><Relationship Id="rId32" Type="http://schemas.openxmlformats.org/officeDocument/2006/relationships/hyperlink" Target="https://msrc.microsoft.com/update-guide/vulnerability/CVE-2022-30190" TargetMode="External"/><Relationship Id="rId35" Type="http://schemas.openxmlformats.org/officeDocument/2006/relationships/hyperlink" Target="https://www.volexity.com/blog/2022/06/02/zero-day-exploitation-of-atlassian-confluence/" TargetMode="External"/><Relationship Id="rId34" Type="http://schemas.openxmlformats.org/officeDocument/2006/relationships/hyperlink" Target="https://confluence.atlassian.com/doc/confluence-security-advisory-2022-06-02-1130377146.html" TargetMode="External"/><Relationship Id="rId37" Type="http://schemas.openxmlformats.org/officeDocument/2006/relationships/hyperlink" Target="https://googleprojectzero.github.io/0days-in-the-wild//0day-RCAs/2022/CVE-2022-2294.html" TargetMode="External"/><Relationship Id="rId36" Type="http://schemas.openxmlformats.org/officeDocument/2006/relationships/hyperlink" Target="https://chromereleases.googleblog.com/2022/07/stable-channel-update-for-desktop.html" TargetMode="External"/><Relationship Id="rId39" Type="http://schemas.openxmlformats.org/officeDocument/2006/relationships/hyperlink" Target="https://www.zerodayinitiative.com/blog/2023/1/23/activation-context-cache-poisoning-exploiting-csrss-for-privilege-escalation" TargetMode="External"/><Relationship Id="rId38" Type="http://schemas.openxmlformats.org/officeDocument/2006/relationships/hyperlink" Target="https://msrc.microsoft.com/update-guide/vulnerability/CVE-2022-22047" TargetMode="External"/><Relationship Id="rId20" Type="http://schemas.openxmlformats.org/officeDocument/2006/relationships/hyperlink" Target="https://chromereleases.googleblog.com/2022/03/stable-channel-update-for-desktop_25.html" TargetMode="External"/><Relationship Id="rId22" Type="http://schemas.openxmlformats.org/officeDocument/2006/relationships/hyperlink" Target="https://support.apple.com/en-us/HT213220" TargetMode="External"/><Relationship Id="rId21" Type="http://schemas.openxmlformats.org/officeDocument/2006/relationships/hyperlink" Target="https://googleprojectzero.github.io/0days-in-the-wild//0day-RCAs/2022/CVE-2022-1096.html" TargetMode="External"/><Relationship Id="rId24" Type="http://schemas.openxmlformats.org/officeDocument/2006/relationships/hyperlink" Target="https://googleprojectzero.github.io/0days-in-the-wild/0day-RCAs/2022/CVE-2022-22675.html" TargetMode="External"/><Relationship Id="rId23" Type="http://schemas.openxmlformats.org/officeDocument/2006/relationships/hyperlink" Target="https://support.apple.com/en-us/HT213220" TargetMode="External"/><Relationship Id="rId26" Type="http://schemas.openxmlformats.org/officeDocument/2006/relationships/hyperlink" Target="https://msrc.microsoft.com/update-guide/vulnerability/CVE-2022-24521" TargetMode="External"/><Relationship Id="rId25" Type="http://schemas.openxmlformats.org/officeDocument/2006/relationships/hyperlink" Target="https://success.trendmicro.com/dcx/s/solution/000290678?language=en_US" TargetMode="External"/><Relationship Id="rId28" Type="http://schemas.openxmlformats.org/officeDocument/2006/relationships/hyperlink" Target="https://googleprojectzero.github.io/0days-in-the-wild//0day-RCAs/2022/CVE-2022-24521.html" TargetMode="External"/><Relationship Id="rId27" Type="http://schemas.openxmlformats.org/officeDocument/2006/relationships/hyperlink" Target="https://www.pixiepointsecurity.com/blog/nday-cve-2022-24521.html" TargetMode="External"/><Relationship Id="rId29" Type="http://schemas.openxmlformats.org/officeDocument/2006/relationships/hyperlink" Target="https://chromereleases.googleblog.com/2022/04/stable-channel-update-for-desktop_14.html" TargetMode="External"/><Relationship Id="rId11" Type="http://schemas.openxmlformats.org/officeDocument/2006/relationships/hyperlink" Target="https://chromereleases.googleblog.com/2022/02/stable-channel-update-for-desktop_14.html" TargetMode="External"/><Relationship Id="rId10" Type="http://schemas.openxmlformats.org/officeDocument/2006/relationships/hyperlink" Target="https://googleprojectzero.github.io/0days-in-the-wild//0day-RCAs/2022/CVE-2022-22620.html" TargetMode="External"/><Relationship Id="rId13" Type="http://schemas.openxmlformats.org/officeDocument/2006/relationships/hyperlink" Target="https://www.mozilla.org/en-US/security/advisories/mfsa2022-09/" TargetMode="External"/><Relationship Id="rId12" Type="http://schemas.openxmlformats.org/officeDocument/2006/relationships/hyperlink" Target="https://blog.google/threat-analysis-group/countering-threats-north-korea/" TargetMode="External"/><Relationship Id="rId15" Type="http://schemas.openxmlformats.org/officeDocument/2006/relationships/hyperlink" Target="https://source.android.com/security/bulletin/pixel/2022-03-01" TargetMode="External"/><Relationship Id="rId14" Type="http://schemas.openxmlformats.org/officeDocument/2006/relationships/hyperlink" Target="https://www.mozilla.org/en-US/security/advisories/mfsa2022-09/" TargetMode="External"/><Relationship Id="rId17" Type="http://schemas.openxmlformats.org/officeDocument/2006/relationships/hyperlink" Target="https://googleprojectzero.github.io/0days-in-the-wild//0day-RCAs/2021/CVE-2021-39793.html" TargetMode="External"/><Relationship Id="rId16" Type="http://schemas.openxmlformats.org/officeDocument/2006/relationships/hyperlink" Target="https://source.android.com/security/bulletin/pixel/2022-03-01" TargetMode="External"/><Relationship Id="rId19" Type="http://schemas.openxmlformats.org/officeDocument/2006/relationships/hyperlink" Target="https://news.sophos.com/en-us/2022/06/15/sophos-uncovers-how-apt-groups-carried-out-highly-targeted-attack/" TargetMode="External"/><Relationship Id="rId18" Type="http://schemas.openxmlformats.org/officeDocument/2006/relationships/hyperlink" Target="https://www.sophos.com/en-us/security-advisories/sophos-sa-20220325-sfos-rce" TargetMode="External"/><Relationship Id="rId70" Type="http://schemas.openxmlformats.org/officeDocument/2006/relationships/drawing" Target="../drawings/drawing5.xml"/><Relationship Id="rId62" Type="http://schemas.openxmlformats.org/officeDocument/2006/relationships/hyperlink" Target="https://googleprojectzero.github.io/0days-in-the-wild//0day-RCAs/2022/CVE-2022-4135.html" TargetMode="External"/><Relationship Id="rId61" Type="http://schemas.openxmlformats.org/officeDocument/2006/relationships/hyperlink" Target="https://blog.google/threat-analysis-group/spyware-vendors-use-0-days-and-n-days-against-popular-platforms/" TargetMode="External"/><Relationship Id="rId64" Type="http://schemas.openxmlformats.org/officeDocument/2006/relationships/hyperlink" Target="https://blog.google/threat-analysis-group/spyware-vendors-use-0-days-and-n-days-against-popular-platforms/" TargetMode="External"/><Relationship Id="rId63" Type="http://schemas.openxmlformats.org/officeDocument/2006/relationships/hyperlink" Target="https://support.apple.com/en-us/HT213516" TargetMode="External"/><Relationship Id="rId66" Type="http://schemas.openxmlformats.org/officeDocument/2006/relationships/hyperlink" Target="https://blog.google/threat-analysis-group/spyware-vendors-use-0-days-and-n-days-against-popular-platforms/" TargetMode="External"/><Relationship Id="rId65" Type="http://schemas.openxmlformats.org/officeDocument/2006/relationships/hyperlink" Target="https://chromereleases.googleblog.com/2022/12/stable-channel-update-for-desktop.html" TargetMode="External"/><Relationship Id="rId68" Type="http://schemas.openxmlformats.org/officeDocument/2006/relationships/hyperlink" Target="https://fortiguard.fortinet.com/psirt/FG-IR-22-398" TargetMode="External"/><Relationship Id="rId67" Type="http://schemas.openxmlformats.org/officeDocument/2006/relationships/hyperlink" Target="https://googleprojectzero.github.io/0days-in-the-wild//0day-RCAs/2022/CVE-2022-4262.html" TargetMode="External"/><Relationship Id="rId60" Type="http://schemas.openxmlformats.org/officeDocument/2006/relationships/hyperlink" Target="https://chromereleases.googleblog.com/2022/11/stable-channel-update-for-desktop_24.html" TargetMode="External"/><Relationship Id="rId69" Type="http://schemas.openxmlformats.org/officeDocument/2006/relationships/hyperlink" Target="https://support.citrix.com/article/CTX474995/citrix-adc-and-citrix-gateway-security-bulletin-for-cve202227518" TargetMode="External"/><Relationship Id="rId51" Type="http://schemas.openxmlformats.org/officeDocument/2006/relationships/hyperlink" Target="https://chromereleases.googleblog.com/2022/10/stable-channel-update-for-desktop_27.html" TargetMode="External"/><Relationship Id="rId50" Type="http://schemas.openxmlformats.org/officeDocument/2006/relationships/hyperlink" Target="https://support.apple.com/en-us/HT213489" TargetMode="External"/><Relationship Id="rId53" Type="http://schemas.openxmlformats.org/officeDocument/2006/relationships/hyperlink" Target="https://msrc.microsoft.com/update-guide/vulnerability/CVE-2022-41040" TargetMode="External"/><Relationship Id="rId52" Type="http://schemas.openxmlformats.org/officeDocument/2006/relationships/hyperlink" Target="https://googleprojectzero.github.io/0days-in-the-wild//0day-RCAs/2022/CVE-2022-3723.html" TargetMode="External"/><Relationship Id="rId55" Type="http://schemas.openxmlformats.org/officeDocument/2006/relationships/hyperlink" Target="https://msrc.microsoft.com/update-guide/vulnerability/CVE-2022-41128" TargetMode="External"/><Relationship Id="rId54" Type="http://schemas.openxmlformats.org/officeDocument/2006/relationships/hyperlink" Target="https://msrc.microsoft.com/update-guide/vulnerability/CVE-2022-41082" TargetMode="External"/><Relationship Id="rId57" Type="http://schemas.openxmlformats.org/officeDocument/2006/relationships/hyperlink" Target="https://msrc.microsoft.com/update-guide/vulnerability/CVE-2022-41073" TargetMode="External"/><Relationship Id="rId56" Type="http://schemas.openxmlformats.org/officeDocument/2006/relationships/hyperlink" Target="https://googleprojectzero.github.io/0days-in-the-wild//0day-RCAs/2022/CVE-2022-41128.html" TargetMode="External"/><Relationship Id="rId59" Type="http://schemas.openxmlformats.org/officeDocument/2006/relationships/hyperlink" Target="https://msrc.microsoft.com/update-guide/vulnerability/CVE-2022-41125" TargetMode="External"/><Relationship Id="rId58" Type="http://schemas.openxmlformats.org/officeDocument/2006/relationships/hyperlink" Target="https://googleprojectzero.github.io/0days-in-the-wild//0day-RCAs/2022/CVE-2022-41073.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source.android.com/security/bulletin/2021-01-01" TargetMode="External"/><Relationship Id="rId2" Type="http://schemas.openxmlformats.org/officeDocument/2006/relationships/hyperlink" Target="https://msrc.microsoft.com/update-guide/vulnerability/CVE-2021-1647" TargetMode="External"/><Relationship Id="rId3" Type="http://schemas.openxmlformats.org/officeDocument/2006/relationships/hyperlink" Target="https://googleprojectzero.github.io/0days-in-the-wild//0day-RCAs/2021/CVE-2021-1647.html" TargetMode="External"/><Relationship Id="rId4" Type="http://schemas.openxmlformats.org/officeDocument/2006/relationships/hyperlink" Target="https://support.apple.com/en-us/HT212146" TargetMode="External"/><Relationship Id="rId9" Type="http://schemas.openxmlformats.org/officeDocument/2006/relationships/hyperlink" Target="https://helpx.adobe.com/security/products/acrobat/apsb21-09.html" TargetMode="External"/><Relationship Id="rId5" Type="http://schemas.openxmlformats.org/officeDocument/2006/relationships/hyperlink" Target="https://googleprojectzero.blogspot.com/2022/04/cve-2021-1782-ios-in-wild-vulnerability.html" TargetMode="External"/><Relationship Id="rId6" Type="http://schemas.openxmlformats.org/officeDocument/2006/relationships/hyperlink" Target="https://support.apple.com/en-us/HT212146" TargetMode="External"/><Relationship Id="rId7" Type="http://schemas.openxmlformats.org/officeDocument/2006/relationships/hyperlink" Target="https://support.apple.com/en-us/HT212146" TargetMode="External"/><Relationship Id="rId8" Type="http://schemas.openxmlformats.org/officeDocument/2006/relationships/hyperlink" Target="https://chromereleases.googleblog.com/2021/02/stable-channel-update-for-desktop_4.html" TargetMode="External"/><Relationship Id="rId40" Type="http://schemas.openxmlformats.org/officeDocument/2006/relationships/hyperlink" Target="https://googleprojectzero.github.io/0days-in-the-wild/0day-RCAs/2021/CVE-2021-1905.html" TargetMode="External"/><Relationship Id="rId42" Type="http://schemas.openxmlformats.org/officeDocument/2006/relationships/hyperlink" Target="https://source.android.com/security/bulletin/2021-05-01" TargetMode="External"/><Relationship Id="rId41" Type="http://schemas.openxmlformats.org/officeDocument/2006/relationships/hyperlink" Target="https://source.android.com/security/bulletin/2021-05-01" TargetMode="External"/><Relationship Id="rId44" Type="http://schemas.openxmlformats.org/officeDocument/2006/relationships/hyperlink" Target="https://source.android.com/security/bulletin/2021-05-01" TargetMode="External"/><Relationship Id="rId43" Type="http://schemas.openxmlformats.org/officeDocument/2006/relationships/hyperlink" Target="https://github.com/lntrx/CVE-2021-28663" TargetMode="External"/><Relationship Id="rId46" Type="http://schemas.openxmlformats.org/officeDocument/2006/relationships/hyperlink" Target="https://msrc.microsoft.com/update-guide/vulnerability/CVE-2021-31955" TargetMode="External"/><Relationship Id="rId45" Type="http://schemas.openxmlformats.org/officeDocument/2006/relationships/hyperlink" Target="https://helpx.adobe.com/security/products/acrobat/apsb21-29.html" TargetMode="External"/><Relationship Id="rId48" Type="http://schemas.openxmlformats.org/officeDocument/2006/relationships/hyperlink" Target="https://msrc.microsoft.com/update-guide/vulnerability/CVE-2021-31956" TargetMode="External"/><Relationship Id="rId47" Type="http://schemas.openxmlformats.org/officeDocument/2006/relationships/hyperlink" Target="https://securelist.com/puzzlemaker-chrome-zero-day-exploit-chain/102771/" TargetMode="External"/><Relationship Id="rId49" Type="http://schemas.openxmlformats.org/officeDocument/2006/relationships/hyperlink" Target="https://securelist.com/puzzlemaker-chrome-zero-day-exploit-chain/102771/" TargetMode="External"/><Relationship Id="rId31" Type="http://schemas.openxmlformats.org/officeDocument/2006/relationships/hyperlink" Target="https://blog.google/threat-analysis-group/how-we-protect-users-0-day-attacks/" TargetMode="External"/><Relationship Id="rId30" Type="http://schemas.openxmlformats.org/officeDocument/2006/relationships/hyperlink" Target="https://support.apple.com/en-us/HT212256" TargetMode="External"/><Relationship Id="rId33" Type="http://schemas.openxmlformats.org/officeDocument/2006/relationships/hyperlink" Target="https://msrc.microsoft.com/update-guide/vulnerability/CVE-2021-28310" TargetMode="External"/><Relationship Id="rId32" Type="http://schemas.openxmlformats.org/officeDocument/2006/relationships/hyperlink" Target="https://googleprojectzero.github.io/0days-in-the-wild//0day-RCAs/2021/CVE-2021-1879.html" TargetMode="External"/><Relationship Id="rId35" Type="http://schemas.openxmlformats.org/officeDocument/2006/relationships/hyperlink" Target="https://chromereleases.googleblog.com/2021/04/stable-channel-update-for-desktop.html" TargetMode="External"/><Relationship Id="rId34" Type="http://schemas.openxmlformats.org/officeDocument/2006/relationships/hyperlink" Target="https://securelist.com/zero-day-vulnerability-in-desktop-window-manager-cve-2021-28310-used-in-the-wild/101898/" TargetMode="External"/><Relationship Id="rId37" Type="http://schemas.openxmlformats.org/officeDocument/2006/relationships/hyperlink" Target="https://support.apple.com/en-us/HT212336" TargetMode="External"/><Relationship Id="rId36" Type="http://schemas.openxmlformats.org/officeDocument/2006/relationships/hyperlink" Target="https://support.apple.com/en-us/HT212317" TargetMode="External"/><Relationship Id="rId39" Type="http://schemas.openxmlformats.org/officeDocument/2006/relationships/hyperlink" Target="https://source.android.com/security/bulletin/2021-05-01" TargetMode="External"/><Relationship Id="rId38" Type="http://schemas.openxmlformats.org/officeDocument/2006/relationships/hyperlink" Target="https://support.apple.com/en-us/HT212336" TargetMode="External"/><Relationship Id="rId20" Type="http://schemas.openxmlformats.org/officeDocument/2006/relationships/hyperlink" Target="https://www.microsoft.com/security/blog/2021/03/02/hafnium-targeting-exchange-servers/" TargetMode="External"/><Relationship Id="rId22" Type="http://schemas.openxmlformats.org/officeDocument/2006/relationships/hyperlink" Target="https://www.microsoft.com/security/blog/2021/03/02/hafnium-targeting-exchange-servers/" TargetMode="External"/><Relationship Id="rId21" Type="http://schemas.openxmlformats.org/officeDocument/2006/relationships/hyperlink" Target="https://msrc.microsoft.com/update-guide/vulnerability/CVE-2021-27065" TargetMode="External"/><Relationship Id="rId24" Type="http://schemas.openxmlformats.org/officeDocument/2006/relationships/hyperlink" Target="https://blog.google/threat-analysis-group/how-we-protect-users-0-day-attacks/" TargetMode="External"/><Relationship Id="rId23" Type="http://schemas.openxmlformats.org/officeDocument/2006/relationships/hyperlink" Target="https://chromereleases.googleblog.com/2021/03/stable-channel-update-for-desktop.html" TargetMode="External"/><Relationship Id="rId26" Type="http://schemas.openxmlformats.org/officeDocument/2006/relationships/hyperlink" Target="https://msrc.microsoft.com/update-guide/vulnerability/CVE-2021-26411" TargetMode="External"/><Relationship Id="rId25" Type="http://schemas.openxmlformats.org/officeDocument/2006/relationships/hyperlink" Target="https://googleprojectzero.github.io/0days-in-the-wild//0day-RCAs/2021/CVE-2021-21166.html" TargetMode="External"/><Relationship Id="rId28" Type="http://schemas.openxmlformats.org/officeDocument/2006/relationships/hyperlink" Target="https://googleprojectzero.github.io/0days-in-the-wild//0day-RCAs/2021/CVE-2021-26411.html" TargetMode="External"/><Relationship Id="rId27" Type="http://schemas.openxmlformats.org/officeDocument/2006/relationships/hyperlink" Target="https://enki.co.kr/blog/2021/02/04/ie_0day.html" TargetMode="External"/><Relationship Id="rId29" Type="http://schemas.openxmlformats.org/officeDocument/2006/relationships/hyperlink" Target="https://chromereleases.googleblog.com/2021/03/stable-channel-update-for-desktop_12.html" TargetMode="External"/><Relationship Id="rId11" Type="http://schemas.openxmlformats.org/officeDocument/2006/relationships/hyperlink" Target="https://msrc.microsoft.com/update-guide/vulnerability/CVE-2021-1732" TargetMode="External"/><Relationship Id="rId10" Type="http://schemas.openxmlformats.org/officeDocument/2006/relationships/hyperlink" Target="https://github.com/ZeusBox/CVE-2021-21017" TargetMode="External"/><Relationship Id="rId13" Type="http://schemas.openxmlformats.org/officeDocument/2006/relationships/hyperlink" Target="https://googleprojectzero.github.io/0days-in-the-wild//0day-RCAs/2021/CVE-2021-1732.html" TargetMode="External"/><Relationship Id="rId12" Type="http://schemas.openxmlformats.org/officeDocument/2006/relationships/hyperlink" Target="https://ti.dbappsecurity.com.cn/blog/index.php/2021/02/10/windows-kernel-zero-day-exploit-is-used-by-bitter-apt-in-targeted-attack/" TargetMode="External"/><Relationship Id="rId15" Type="http://schemas.openxmlformats.org/officeDocument/2006/relationships/hyperlink" Target="https://www.microsoft.com/security/blog/2021/03/02/hafnium-targeting-exchange-servers/" TargetMode="External"/><Relationship Id="rId14" Type="http://schemas.openxmlformats.org/officeDocument/2006/relationships/hyperlink" Target="https://msrc.microsoft.com/update-guide/vulnerability/CVE-2021-26855" TargetMode="External"/><Relationship Id="rId17" Type="http://schemas.openxmlformats.org/officeDocument/2006/relationships/hyperlink" Target="https://msrc.microsoft.com/update-guide/vulnerability/CVE-2021-26857" TargetMode="External"/><Relationship Id="rId16" Type="http://schemas.openxmlformats.org/officeDocument/2006/relationships/hyperlink" Target="https://googleprojectzero.github.io/0days-in-the-wild//0day-RCAs/2021/CVE-2021-26855.html" TargetMode="External"/><Relationship Id="rId19" Type="http://schemas.openxmlformats.org/officeDocument/2006/relationships/hyperlink" Target="https://msrc.microsoft.com/update-guide/vulnerability/CVE-2021-26858" TargetMode="External"/><Relationship Id="rId18" Type="http://schemas.openxmlformats.org/officeDocument/2006/relationships/hyperlink" Target="https://www.microsoft.com/security/blog/2021/03/02/hafnium-targeting-exchange-servers/" TargetMode="External"/><Relationship Id="rId84" Type="http://schemas.openxmlformats.org/officeDocument/2006/relationships/hyperlink" Target="https://chromereleases.googleblog.com/2021/09/stable-channel-update-for-desktop_30.html" TargetMode="External"/><Relationship Id="rId83" Type="http://schemas.openxmlformats.org/officeDocument/2006/relationships/hyperlink" Target="https://blog.google/threat-analysis-group/protecting-android-users-from-0-day-attacks/" TargetMode="External"/><Relationship Id="rId86" Type="http://schemas.openxmlformats.org/officeDocument/2006/relationships/hyperlink" Target="https://googleprojectzero.github.io/0days-in-the-wild//0day-RCAs/2021/CVE-2021-37975.html" TargetMode="External"/><Relationship Id="rId85" Type="http://schemas.openxmlformats.org/officeDocument/2006/relationships/hyperlink" Target="https://securitylab.github.com/research/in_the_wild_chrome_cve_2021_37975/" TargetMode="External"/><Relationship Id="rId88" Type="http://schemas.openxmlformats.org/officeDocument/2006/relationships/hyperlink" Target="https://blog.google/threat-analysis-group/protecting-android-users-from-0-day-attacks/" TargetMode="External"/><Relationship Id="rId87" Type="http://schemas.openxmlformats.org/officeDocument/2006/relationships/hyperlink" Target="https://chromereleases.googleblog.com/2021/09/stable-channel-update-for-desktop_30.html" TargetMode="External"/><Relationship Id="rId89" Type="http://schemas.openxmlformats.org/officeDocument/2006/relationships/hyperlink" Target="https://httpd.apache.org/security/vulnerabilities_24.html" TargetMode="External"/><Relationship Id="rId80" Type="http://schemas.openxmlformats.org/officeDocument/2006/relationships/hyperlink" Target="https://support.apple.com/en-us/HT212825" TargetMode="External"/><Relationship Id="rId82" Type="http://schemas.openxmlformats.org/officeDocument/2006/relationships/hyperlink" Target="https://chromereleases.googleblog.com/2021/09/stable-channel-update-for-desktop_24.html" TargetMode="External"/><Relationship Id="rId81" Type="http://schemas.openxmlformats.org/officeDocument/2006/relationships/hyperlink" Target="https://blog.google/threat-analysis-group/analyzing-watering-hole-campaign-using-macos-exploits/" TargetMode="External"/><Relationship Id="rId73" Type="http://schemas.openxmlformats.org/officeDocument/2006/relationships/hyperlink" Target="https://securitylab.github.com/research/in_the_wild_chrome_cve_2021_30632/" TargetMode="External"/><Relationship Id="rId72" Type="http://schemas.openxmlformats.org/officeDocument/2006/relationships/hyperlink" Target="https://chromereleases.googleblog.com/2021/09/stable-channel-update-for-desktop.html" TargetMode="External"/><Relationship Id="rId75" Type="http://schemas.openxmlformats.org/officeDocument/2006/relationships/hyperlink" Target="https://chromereleases.googleblog.com/2021/09/stable-channel-update-for-desktop.html" TargetMode="External"/><Relationship Id="rId74" Type="http://schemas.openxmlformats.org/officeDocument/2006/relationships/hyperlink" Target="https://googleprojectzero.github.io/0days-in-the-wild//0day-RCAs/2021/CVE-2021-30632.html" TargetMode="External"/><Relationship Id="rId77" Type="http://schemas.openxmlformats.org/officeDocument/2006/relationships/hyperlink" Target="https://googleprojectzero.blogspot.com/2022/03/forcedentry-sandbox-escape.html" TargetMode="External"/><Relationship Id="rId76" Type="http://schemas.openxmlformats.org/officeDocument/2006/relationships/hyperlink" Target="https://support.apple.com/en-us/HT212807" TargetMode="External"/><Relationship Id="rId79" Type="http://schemas.openxmlformats.org/officeDocument/2006/relationships/hyperlink" Target="https://billdemirkapi.me/unpacking-cve-2021-40444-microsoft-office-rce/" TargetMode="External"/><Relationship Id="rId78" Type="http://schemas.openxmlformats.org/officeDocument/2006/relationships/hyperlink" Target="https://msrc.microsoft.com/update-guide/vulnerability/CVE-2021-40444" TargetMode="External"/><Relationship Id="rId71" Type="http://schemas.openxmlformats.org/officeDocument/2006/relationships/hyperlink" Target="https://googleprojectzero.github.io/0days-in-the-wild//0day-RCAs/2021/CVE-2021-30858.html" TargetMode="External"/><Relationship Id="rId70" Type="http://schemas.openxmlformats.org/officeDocument/2006/relationships/hyperlink" Target="https://support.apple.com/en-us/HT212807" TargetMode="External"/><Relationship Id="rId62" Type="http://schemas.openxmlformats.org/officeDocument/2006/relationships/hyperlink" Target="https://msrc.microsoft.com/update-guide/vulnerability/CVE-2021-31979" TargetMode="External"/><Relationship Id="rId61" Type="http://schemas.openxmlformats.org/officeDocument/2006/relationships/hyperlink" Target="https://msrc.microsoft.com/update-guide/vulnerability/CVE-2021-34448" TargetMode="External"/><Relationship Id="rId64" Type="http://schemas.openxmlformats.org/officeDocument/2006/relationships/hyperlink" Target="https://chromereleases.googleblog.com/2021/07/stable-channel-update-for-desktop.html" TargetMode="External"/><Relationship Id="rId63" Type="http://schemas.openxmlformats.org/officeDocument/2006/relationships/hyperlink" Target="https://www.microsoft.com/security/blog/2021/07/15/protecting-customers-from-a-private-sector-offensive-actor-using-0-day-exploits-and-devilstongue-malware/" TargetMode="External"/><Relationship Id="rId66" Type="http://schemas.openxmlformats.org/officeDocument/2006/relationships/hyperlink" Target="https://saaramar.github.io/IOMobileFrameBuffer_LPE_POC/" TargetMode="External"/><Relationship Id="rId65" Type="http://schemas.openxmlformats.org/officeDocument/2006/relationships/hyperlink" Target="https://support.apple.com/en-us/HT212623" TargetMode="External"/><Relationship Id="rId68" Type="http://schemas.openxmlformats.org/officeDocument/2006/relationships/hyperlink" Target="https://support.apple.com/en-us/HT212807" TargetMode="External"/><Relationship Id="rId67" Type="http://schemas.openxmlformats.org/officeDocument/2006/relationships/hyperlink" Target="https://msrc.microsoft.com/update-guide/vulnerability/CVE-2021-36948" TargetMode="External"/><Relationship Id="rId60" Type="http://schemas.openxmlformats.org/officeDocument/2006/relationships/hyperlink" Target="https://www.microsoft.com/security/blog/2021/07/15/protecting-customers-from-a-private-sector-offensive-actor-using-0-day-exploits-and-devilstongue-malware/" TargetMode="External"/><Relationship Id="rId69" Type="http://schemas.openxmlformats.org/officeDocument/2006/relationships/hyperlink" Target="https://googleprojectzero.blogspot.com/2021/12/a-deep-dive-into-nso-zero-click.html" TargetMode="External"/><Relationship Id="rId51" Type="http://schemas.openxmlformats.org/officeDocument/2006/relationships/hyperlink" Target="https://blog.google/threat-analysis-group/how-we-protect-users-0-day-attacks/" TargetMode="External"/><Relationship Id="rId50" Type="http://schemas.openxmlformats.org/officeDocument/2006/relationships/hyperlink" Target="https://msrc.microsoft.com/update-guide/vulnerability/CVE-2021-33742" TargetMode="External"/><Relationship Id="rId53" Type="http://schemas.openxmlformats.org/officeDocument/2006/relationships/hyperlink" Target="https://msrc.microsoft.com/update-guide/vulnerability/CVE-2021-31199" TargetMode="External"/><Relationship Id="rId52" Type="http://schemas.openxmlformats.org/officeDocument/2006/relationships/hyperlink" Target="https://googleprojectzero.github.io/0days-in-the-wild/0day-RCAs/2021/CVE-2021-33742.html" TargetMode="External"/><Relationship Id="rId55" Type="http://schemas.openxmlformats.org/officeDocument/2006/relationships/hyperlink" Target="https://chromereleases.googleblog.com/2021/06/stable-channel-update-for-desktop.html" TargetMode="External"/><Relationship Id="rId54" Type="http://schemas.openxmlformats.org/officeDocument/2006/relationships/hyperlink" Target="https://msrc.microsoft.com/update-guide/vulnerability/CVE-2021-31201" TargetMode="External"/><Relationship Id="rId57" Type="http://schemas.openxmlformats.org/officeDocument/2006/relationships/hyperlink" Target="https://googleprojectzero.github.io/0days-in-the-wild//0day-RCAs/2021/CVE-2021-30551.html" TargetMode="External"/><Relationship Id="rId56" Type="http://schemas.openxmlformats.org/officeDocument/2006/relationships/hyperlink" Target="https://blog.google/threat-analysis-group/how-we-protect-users-0-day-attacks/" TargetMode="External"/><Relationship Id="rId59" Type="http://schemas.openxmlformats.org/officeDocument/2006/relationships/hyperlink" Target="https://msrc.microsoft.com/update-guide/vulnerability/CVE-2021-33771" TargetMode="External"/><Relationship Id="rId58" Type="http://schemas.openxmlformats.org/officeDocument/2006/relationships/hyperlink" Target="https://chromereleases.googleblog.com/2021/06/stable-channel-update-for-desktop_17.html" TargetMode="External"/><Relationship Id="rId107" Type="http://schemas.openxmlformats.org/officeDocument/2006/relationships/hyperlink" Target="https://msrc.microsoft.com/update-guide/en-US/vulnerability/CVE-2021-42321" TargetMode="External"/><Relationship Id="rId106" Type="http://schemas.openxmlformats.org/officeDocument/2006/relationships/hyperlink" Target="https://twitter.com/HaifeiLi/status/1486133229614616577" TargetMode="External"/><Relationship Id="rId105" Type="http://schemas.openxmlformats.org/officeDocument/2006/relationships/hyperlink" Target="https://msrc.microsoft.com/update-guide/en-US/vulnerability/CVE-2021-42292" TargetMode="External"/><Relationship Id="rId104" Type="http://schemas.openxmlformats.org/officeDocument/2006/relationships/hyperlink" Target="https://googleprojectzero.github.io/0days-in-the-wild//0day-RCAs/2021/CVE-2021-1048.html" TargetMode="External"/><Relationship Id="rId109" Type="http://schemas.openxmlformats.org/officeDocument/2006/relationships/hyperlink" Target="https://support.apple.com/en-us/HT212976" TargetMode="External"/><Relationship Id="rId108" Type="http://schemas.openxmlformats.org/officeDocument/2006/relationships/hyperlink" Target="https://peterjson.medium.com/some-notes-about-microsoft-exchange-deserialization-rce-cve-2021-42321-110d04e8852" TargetMode="External"/><Relationship Id="rId103" Type="http://schemas.openxmlformats.org/officeDocument/2006/relationships/hyperlink" Target="https://blog.google/threat-analysis-group/protecting-android-users-from-0-day-attacks/" TargetMode="External"/><Relationship Id="rId102" Type="http://schemas.openxmlformats.org/officeDocument/2006/relationships/hyperlink" Target="https://source.android.com/security/bulletin/2021-11-01" TargetMode="External"/><Relationship Id="rId101" Type="http://schemas.openxmlformats.org/officeDocument/2006/relationships/hyperlink" Target="https://googleprojectzero.github.io/0days-in-the-wild//0day-RCAs/2021/CVE-2021-0920.html" TargetMode="External"/><Relationship Id="rId100" Type="http://schemas.openxmlformats.org/officeDocument/2006/relationships/hyperlink" Target="https://googleprojectzero.blogspot.com/2022/08/the-quantum-state-of-linux-kernel.html" TargetMode="External"/><Relationship Id="rId127" Type="http://schemas.openxmlformats.org/officeDocument/2006/relationships/drawing" Target="../drawings/drawing6.xml"/><Relationship Id="rId126" Type="http://schemas.openxmlformats.org/officeDocument/2006/relationships/hyperlink" Target="https://googleprojectzero.github.io/0days-in-the-wild//0day-RCAs/2021/CVE-2021-4102.html" TargetMode="External"/><Relationship Id="rId121" Type="http://schemas.openxmlformats.org/officeDocument/2006/relationships/hyperlink" Target="https://security.samsungmobile.com/securityUpdate.smsb" TargetMode="External"/><Relationship Id="rId120" Type="http://schemas.openxmlformats.org/officeDocument/2006/relationships/hyperlink" Target="https://security.samsungmobile.com/securityUpdate.smsb" TargetMode="External"/><Relationship Id="rId125" Type="http://schemas.openxmlformats.org/officeDocument/2006/relationships/hyperlink" Target="https://chromereleases.googleblog.com/2021/12/stable-channel-update-for-desktop_13.html" TargetMode="External"/><Relationship Id="rId124" Type="http://schemas.openxmlformats.org/officeDocument/2006/relationships/hyperlink" Target="https://security.samsungmobile.com/securityUpdate.smsb" TargetMode="External"/><Relationship Id="rId123" Type="http://schemas.openxmlformats.org/officeDocument/2006/relationships/hyperlink" Target="https://security.samsungmobile.com/securityUpdate.smsb" TargetMode="External"/><Relationship Id="rId122" Type="http://schemas.openxmlformats.org/officeDocument/2006/relationships/hyperlink" Target="https://security.samsungmobile.com/securityUpdate.smsb" TargetMode="External"/><Relationship Id="rId95" Type="http://schemas.openxmlformats.org/officeDocument/2006/relationships/hyperlink" Target="https://blog.google/threat-analysis-group/protecting-android-users-from-0-day-attacks/" TargetMode="External"/><Relationship Id="rId94" Type="http://schemas.openxmlformats.org/officeDocument/2006/relationships/hyperlink" Target="https://chromereleases.googleblog.com/2021/10/stable-channel-update-for-desktop_28.html" TargetMode="External"/><Relationship Id="rId97" Type="http://schemas.openxmlformats.org/officeDocument/2006/relationships/hyperlink" Target="https://chromereleases.googleblog.com/2021/10/stable-channel-update-for-desktop_28.html" TargetMode="External"/><Relationship Id="rId96" Type="http://schemas.openxmlformats.org/officeDocument/2006/relationships/hyperlink" Target="https://googleprojectzero.github.io/0days-in-the-wild//0day-RCAs/2021/CVE-2021-38000.html" TargetMode="External"/><Relationship Id="rId99" Type="http://schemas.openxmlformats.org/officeDocument/2006/relationships/hyperlink" Target="https://source.android.com/security/bulletin/2021-11-01" TargetMode="External"/><Relationship Id="rId98" Type="http://schemas.openxmlformats.org/officeDocument/2006/relationships/hyperlink" Target="https://blog.google/threat-analysis-group/protecting-android-users-from-0-day-attacks/" TargetMode="External"/><Relationship Id="rId91" Type="http://schemas.openxmlformats.org/officeDocument/2006/relationships/hyperlink" Target="https://saaramar.github.io/IOMFB_integer_overflow_poc/" TargetMode="External"/><Relationship Id="rId90" Type="http://schemas.openxmlformats.org/officeDocument/2006/relationships/hyperlink" Target="https://support.apple.com/en-us/HT212846" TargetMode="External"/><Relationship Id="rId93" Type="http://schemas.openxmlformats.org/officeDocument/2006/relationships/hyperlink" Target="https://securelist.com/mysterysnail-attacks-with-windows-zero-day/104509/" TargetMode="External"/><Relationship Id="rId92" Type="http://schemas.openxmlformats.org/officeDocument/2006/relationships/hyperlink" Target="https://msrc.microsoft.com/update-guide/vulnerability/CVE-2021-40449" TargetMode="External"/><Relationship Id="rId118" Type="http://schemas.openxmlformats.org/officeDocument/2006/relationships/hyperlink" Target="https://googleprojectzero.blogspot.com/2022/11/a-very-powerful-clipboard-samsung-in-the-wild-exploit-chain.html" TargetMode="External"/><Relationship Id="rId117" Type="http://schemas.openxmlformats.org/officeDocument/2006/relationships/hyperlink" Target="https://security.samsungmobile.com/securityUpdate.smsb" TargetMode="External"/><Relationship Id="rId116" Type="http://schemas.openxmlformats.org/officeDocument/2006/relationships/hyperlink" Target="https://googleprojectzero.github.io/0days-in-the-wild//0day-RCAs/2021/CVE-2021-25369.html" TargetMode="External"/><Relationship Id="rId115" Type="http://schemas.openxmlformats.org/officeDocument/2006/relationships/hyperlink" Target="https://googleprojectzero.blogspot.com/2022/11/a-very-powerful-clipboard-samsung-in-the-wild-exploit-chain.html" TargetMode="External"/><Relationship Id="rId119" Type="http://schemas.openxmlformats.org/officeDocument/2006/relationships/hyperlink" Target="https://security.samsungmobile.com/securityUpdate.smsb" TargetMode="External"/><Relationship Id="rId110" Type="http://schemas.openxmlformats.org/officeDocument/2006/relationships/hyperlink" Target="https://googleprojectzero.blogspot.com/2022/06/curious-case-carrier-app.html" TargetMode="External"/><Relationship Id="rId114" Type="http://schemas.openxmlformats.org/officeDocument/2006/relationships/hyperlink" Target="https://security.samsungmobile.com/securityUpdate.smsb" TargetMode="External"/><Relationship Id="rId113" Type="http://schemas.openxmlformats.org/officeDocument/2006/relationships/hyperlink" Target="https://googleprojectzero.github.io/0days-in-the-wild//0day-RCAs/2021/CVE-2021-25337.html" TargetMode="External"/><Relationship Id="rId112" Type="http://schemas.openxmlformats.org/officeDocument/2006/relationships/hyperlink" Target="https://googleprojectzero.blogspot.com/2022/11/a-very-powerful-clipboard-samsung-in-the-wild-exploit-chain.html" TargetMode="External"/><Relationship Id="rId111" Type="http://schemas.openxmlformats.org/officeDocument/2006/relationships/hyperlink" Target="https://security.samsungmobile.com/securityUpdate.smsb"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mozilla.org/en-US/security/advisories/mfsa2020-03/" TargetMode="External"/><Relationship Id="rId2" Type="http://schemas.openxmlformats.org/officeDocument/2006/relationships/hyperlink" Target="https://googleprojectzero.github.io/0days-in-the-wild//0day-RCAs/2020/CVE-2019-17026.html" TargetMode="External"/><Relationship Id="rId3" Type="http://schemas.openxmlformats.org/officeDocument/2006/relationships/hyperlink" Target="https://portal.msrc.microsoft.com/en-US/security-guidance/advisory/CVE-2020-0674" TargetMode="External"/><Relationship Id="rId4" Type="http://schemas.openxmlformats.org/officeDocument/2006/relationships/hyperlink" Target="https://blogs.360.cn/post/apt-c-06_0day.html" TargetMode="External"/><Relationship Id="rId9" Type="http://schemas.openxmlformats.org/officeDocument/2006/relationships/hyperlink" Target="https://success.trendmicro.com/solution/000245571" TargetMode="External"/><Relationship Id="rId5" Type="http://schemas.openxmlformats.org/officeDocument/2006/relationships/hyperlink" Target="https://googleprojectzero.github.io/0days-in-the-wild//0day-RCAs/2020/CVE-2020-0674.html" TargetMode="External"/><Relationship Id="rId6" Type="http://schemas.openxmlformats.org/officeDocument/2006/relationships/hyperlink" Target="https://chromereleases.googleblog.com/2020/02/stable-channel-update-for-desktop_24.html" TargetMode="External"/><Relationship Id="rId7" Type="http://schemas.openxmlformats.org/officeDocument/2006/relationships/hyperlink" Target="https://googleprojectzero.github.io/0days-in-the-wild//0day-RCAs/2020/CVE-2020-6418.html" TargetMode="External"/><Relationship Id="rId8" Type="http://schemas.openxmlformats.org/officeDocument/2006/relationships/hyperlink" Target="https://success.trendmicro.com/solution/000245571" TargetMode="External"/><Relationship Id="rId40" Type="http://schemas.openxmlformats.org/officeDocument/2006/relationships/hyperlink" Target="https://bugs.chromium.org/p/project-zero/issues/detail?id=2112" TargetMode="External"/><Relationship Id="rId42" Type="http://schemas.openxmlformats.org/officeDocument/2006/relationships/hyperlink" Target="https://support.apple.com/en-us/HT211929" TargetMode="External"/><Relationship Id="rId41" Type="http://schemas.openxmlformats.org/officeDocument/2006/relationships/hyperlink" Target="https://googleprojectzero.github.io/0days-in-the-wild//0day-RCAs/2020/CVE-2020-16010.html" TargetMode="External"/><Relationship Id="rId44" Type="http://schemas.openxmlformats.org/officeDocument/2006/relationships/hyperlink" Target="https://googleprojectzero.github.io/0days-in-the-wild//0day-RCAs/2020/CVE-2020-27930.html" TargetMode="External"/><Relationship Id="rId43" Type="http://schemas.openxmlformats.org/officeDocument/2006/relationships/hyperlink" Target="https://bugs.chromium.org/p/project-zero/issues/detail?id=2105" TargetMode="External"/><Relationship Id="rId46" Type="http://schemas.openxmlformats.org/officeDocument/2006/relationships/hyperlink" Target="https://bugs.chromium.org/p/project-zero/issues/detail?id=2108&amp;q=CVE-2020-27950&amp;can=1" TargetMode="External"/><Relationship Id="rId45" Type="http://schemas.openxmlformats.org/officeDocument/2006/relationships/hyperlink" Target="https://support.apple.com/en-us/HT211929" TargetMode="External"/><Relationship Id="rId48" Type="http://schemas.openxmlformats.org/officeDocument/2006/relationships/hyperlink" Target="https://support.apple.com/en-us/HT211929" TargetMode="External"/><Relationship Id="rId47" Type="http://schemas.openxmlformats.org/officeDocument/2006/relationships/hyperlink" Target="https://googleprojectzero.github.io/0days-in-the-wild//0day-RCAs/2020/CVE-2020-27950.html" TargetMode="External"/><Relationship Id="rId49" Type="http://schemas.openxmlformats.org/officeDocument/2006/relationships/hyperlink" Target="https://bugs.chromium.org/p/project-zero/issues/detail?id=2107" TargetMode="External"/><Relationship Id="rId31" Type="http://schemas.openxmlformats.org/officeDocument/2006/relationships/hyperlink" Target="https://savannah.nongnu.org/bugs/?59308" TargetMode="External"/><Relationship Id="rId30" Type="http://schemas.openxmlformats.org/officeDocument/2006/relationships/hyperlink" Target="https://chromereleases.googleblog.com/2020/10/stable-channel-update-for-desktop_20.html" TargetMode="External"/><Relationship Id="rId33" Type="http://schemas.openxmlformats.org/officeDocument/2006/relationships/hyperlink" Target="https://msrc.microsoft.com/update-guide/en-US/vulnerability/CVE-2020-17087" TargetMode="External"/><Relationship Id="rId32" Type="http://schemas.openxmlformats.org/officeDocument/2006/relationships/hyperlink" Target="https://googleprojectzero.github.io/0days-in-the-wild//0day-RCAs/2020/CVE-2020-15999.html" TargetMode="External"/><Relationship Id="rId35" Type="http://schemas.openxmlformats.org/officeDocument/2006/relationships/hyperlink" Target="https://googleprojectzero.github.io/0days-in-the-wild//0day-RCAs/2020/CVE-2020-17087.html" TargetMode="External"/><Relationship Id="rId34" Type="http://schemas.openxmlformats.org/officeDocument/2006/relationships/hyperlink" Target="https://bugs.chromium.org/p/project-zero/issues/detail?id=2104" TargetMode="External"/><Relationship Id="rId37" Type="http://schemas.openxmlformats.org/officeDocument/2006/relationships/hyperlink" Target="https://bugs.chromium.org/p/project-zero/issues/detail?id=2106" TargetMode="External"/><Relationship Id="rId36" Type="http://schemas.openxmlformats.org/officeDocument/2006/relationships/hyperlink" Target="https://chromereleases.googleblog.com/2020/11/stable-channel-update-for-desktop.html" TargetMode="External"/><Relationship Id="rId39" Type="http://schemas.openxmlformats.org/officeDocument/2006/relationships/hyperlink" Target="https://chromereleases.googleblog.com/2020/11/chrome-for-android-update.html" TargetMode="External"/><Relationship Id="rId38" Type="http://schemas.openxmlformats.org/officeDocument/2006/relationships/hyperlink" Target="https://googleprojectzero.github.io/0days-in-the-wild//0day-RCAs/2020/CVE-2020-16009.html" TargetMode="External"/><Relationship Id="rId20" Type="http://schemas.openxmlformats.org/officeDocument/2006/relationships/hyperlink" Target="https://portal.msrc.microsoft.com/en-us/security-guidance/advisory/CVE-2020-1027" TargetMode="External"/><Relationship Id="rId22" Type="http://schemas.openxmlformats.org/officeDocument/2006/relationships/hyperlink" Target="https://community.sophos.com/kb/en-us/135412" TargetMode="External"/><Relationship Id="rId21" Type="http://schemas.openxmlformats.org/officeDocument/2006/relationships/hyperlink" Target="https://googleprojectzero.github.io/0days-in-the-wild//0day-RCAs/2020/CVE-2020-1027.html" TargetMode="External"/><Relationship Id="rId24" Type="http://schemas.openxmlformats.org/officeDocument/2006/relationships/hyperlink" Target="https://portal.msrc.microsoft.com/en-US/security-guidance/advisory/CVE-2020-0986" TargetMode="External"/><Relationship Id="rId23" Type="http://schemas.openxmlformats.org/officeDocument/2006/relationships/hyperlink" Target="https://news.sophos.com/en-us/2020/04/26/asnarok/" TargetMode="External"/><Relationship Id="rId26" Type="http://schemas.openxmlformats.org/officeDocument/2006/relationships/hyperlink" Target="https://googleprojectzero.github.io/0days-in-the-wild//0day-RCAs/2020/CVE-2020-0986.html" TargetMode="External"/><Relationship Id="rId25" Type="http://schemas.openxmlformats.org/officeDocument/2006/relationships/hyperlink" Target="https://securelist.com/ie-and-windows-zero-day-operation-powerfall/97976/" TargetMode="External"/><Relationship Id="rId28" Type="http://schemas.openxmlformats.org/officeDocument/2006/relationships/hyperlink" Target="https://securelist.com/ie-and-windows-zero-day-operation-powerfall/97976/" TargetMode="External"/><Relationship Id="rId27" Type="http://schemas.openxmlformats.org/officeDocument/2006/relationships/hyperlink" Target="https://portal.msrc.microsoft.com/en-US/security-guidance/advisory/CVE-2020-1380" TargetMode="External"/><Relationship Id="rId29" Type="http://schemas.openxmlformats.org/officeDocument/2006/relationships/hyperlink" Target="https://googleprojectzero.github.io/0days-in-the-wild//0day-RCAs/2020/CVE-2020-1380.html" TargetMode="External"/><Relationship Id="rId11" Type="http://schemas.openxmlformats.org/officeDocument/2006/relationships/hyperlink" Target="https://chromereleases.googleblog.com/2020/04/stable-channel-update-for-desktop_7.html" TargetMode="External"/><Relationship Id="rId10" Type="http://schemas.openxmlformats.org/officeDocument/2006/relationships/hyperlink" Target="https://chromereleases.googleblog.com/2020/03/stable-channel-update-for-desktop_31.html" TargetMode="External"/><Relationship Id="rId13" Type="http://schemas.openxmlformats.org/officeDocument/2006/relationships/hyperlink" Target="https://www.mozilla.org/en-US/security/advisories/mfsa2020-11/" TargetMode="External"/><Relationship Id="rId12" Type="http://schemas.openxmlformats.org/officeDocument/2006/relationships/hyperlink" Target="https://googleprojectzero.github.io/0days-in-the-wild/0day-RCAs/2020/CVE-2020-6572.html" TargetMode="External"/><Relationship Id="rId15" Type="http://schemas.openxmlformats.org/officeDocument/2006/relationships/hyperlink" Target="https://googleprojectzero.github.io/0days-in-the-wild//0day-RCAs/2020/CVE-2020-6820.html" TargetMode="External"/><Relationship Id="rId14" Type="http://schemas.openxmlformats.org/officeDocument/2006/relationships/hyperlink" Target="https://www.mozilla.org/en-US/security/advisories/mfsa2020-11/" TargetMode="External"/><Relationship Id="rId17" Type="http://schemas.openxmlformats.org/officeDocument/2006/relationships/hyperlink" Target="https://googleprojectzero.github.io/0days-in-the-wild//0day-RCAs/2020/CVE-2020-0938.html" TargetMode="External"/><Relationship Id="rId16" Type="http://schemas.openxmlformats.org/officeDocument/2006/relationships/hyperlink" Target="https://portal.msrc.microsoft.com/en-us/security-guidance/advisory/CVE-2020-0938" TargetMode="External"/><Relationship Id="rId19" Type="http://schemas.openxmlformats.org/officeDocument/2006/relationships/hyperlink" Target="https://googleprojectzero.github.io/0days-in-the-wild//0day-RCAs/2020/CVE-2020-1020.html" TargetMode="External"/><Relationship Id="rId18" Type="http://schemas.openxmlformats.org/officeDocument/2006/relationships/hyperlink" Target="https://portal.msrc.microsoft.com/en-us/security-guidance/advisory/CVE-2020-1020" TargetMode="External"/><Relationship Id="rId51" Type="http://schemas.openxmlformats.org/officeDocument/2006/relationships/hyperlink" Target="https://chromereleases.googleblog.com/2020/11/stable-channel-update-for-desktop_11.html" TargetMode="External"/><Relationship Id="rId50" Type="http://schemas.openxmlformats.org/officeDocument/2006/relationships/hyperlink" Target="https://googleprojectzero.github.io/0days-in-the-wild//0day-RCAs/2020/CVE-2020-27932.html" TargetMode="External"/><Relationship Id="rId53" Type="http://schemas.openxmlformats.org/officeDocument/2006/relationships/hyperlink" Target="https://www.vmware.com/security/advisories/VMSA-2020-0027.html" TargetMode="External"/><Relationship Id="rId52" Type="http://schemas.openxmlformats.org/officeDocument/2006/relationships/hyperlink" Target="https://chromereleases.googleblog.com/2020/11/stable-channel-update-for-desktop_11.html" TargetMode="External"/><Relationship Id="rId5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support.apple.com/en-us/HT209520" TargetMode="External"/><Relationship Id="rId2" Type="http://schemas.openxmlformats.org/officeDocument/2006/relationships/hyperlink" Target="https://blog.zecops.com/vulnerabilities/analysis-and-reproduction-of-cve-2019-7286/" TargetMode="External"/><Relationship Id="rId3" Type="http://schemas.openxmlformats.org/officeDocument/2006/relationships/hyperlink" Target="https://googleprojectzero.github.io/0days-in-the-wild//0day-RCAs/2019/CVE-2019-7286.html" TargetMode="External"/><Relationship Id="rId4" Type="http://schemas.openxmlformats.org/officeDocument/2006/relationships/hyperlink" Target="https://support.apple.com/en-us/HT209520" TargetMode="External"/><Relationship Id="rId9" Type="http://schemas.openxmlformats.org/officeDocument/2006/relationships/hyperlink" Target="https://blog.exodusintel.com/2019/03/20/cve-2019-5786-analysis-and-exploitation/" TargetMode="External"/><Relationship Id="rId5" Type="http://schemas.openxmlformats.org/officeDocument/2006/relationships/hyperlink" Target="https://www.antid0te.com/blog/19-02-23-ios-kernel-cve-2019-7287-memory-corruption-vulnerability.html" TargetMode="External"/><Relationship Id="rId6" Type="http://schemas.openxmlformats.org/officeDocument/2006/relationships/hyperlink" Target="https://googleprojectzero.github.io/0days-in-the-wild//0day-RCAs/2019/CVE-2019-7287.html" TargetMode="External"/><Relationship Id="rId7" Type="http://schemas.openxmlformats.org/officeDocument/2006/relationships/hyperlink" Target="https://portal.msrc.microsoft.com/en-US/security-guidance/advisory/CVE-2019-0676" TargetMode="External"/><Relationship Id="rId8" Type="http://schemas.openxmlformats.org/officeDocument/2006/relationships/hyperlink" Target="https://chromereleases.googleblog.com/2019/03/stable-channel-update-for-desktop.html" TargetMode="External"/><Relationship Id="rId40" Type="http://schemas.openxmlformats.org/officeDocument/2006/relationships/drawing" Target="../drawings/drawing8.xml"/><Relationship Id="rId31" Type="http://schemas.openxmlformats.org/officeDocument/2006/relationships/hyperlink" Target="https://success.trendmicro.com/solution/000151730" TargetMode="External"/><Relationship Id="rId30" Type="http://schemas.openxmlformats.org/officeDocument/2006/relationships/hyperlink" Target="https://googleprojectzero.github.io/0days-in-the-wild//0day-RCAs/2019/CVE-2019-2215.html" TargetMode="External"/><Relationship Id="rId33" Type="http://schemas.openxmlformats.org/officeDocument/2006/relationships/hyperlink" Target="https://securelist.com/chrome-0-day-exploit-cve-2019-13720-used-in-operation-wizardopium/94866/" TargetMode="External"/><Relationship Id="rId32" Type="http://schemas.openxmlformats.org/officeDocument/2006/relationships/hyperlink" Target="https://chromereleases.googleblog.com/2019/10/stable-channel-update-for-desktop_31.html" TargetMode="External"/><Relationship Id="rId35" Type="http://schemas.openxmlformats.org/officeDocument/2006/relationships/hyperlink" Target="https://portal.msrc.microsoft.com/en-us/security-guidance/advisory/CVE-2019-1429" TargetMode="External"/><Relationship Id="rId34" Type="http://schemas.openxmlformats.org/officeDocument/2006/relationships/hyperlink" Target="https://googleprojectzero.github.io/0days-in-the-wild//0day-RCAs/2019/CVE-2019-13720.html" TargetMode="External"/><Relationship Id="rId37" Type="http://schemas.openxmlformats.org/officeDocument/2006/relationships/hyperlink" Target="https://portal.msrc.microsoft.com/en-US/security-guidance/advisory/CVE-2019-1458" TargetMode="External"/><Relationship Id="rId36" Type="http://schemas.openxmlformats.org/officeDocument/2006/relationships/hyperlink" Target="https://googleprojectzero.github.io/0days-in-the-wild//0day-RCAs/2019/CVE-2019-1367.html" TargetMode="External"/><Relationship Id="rId39" Type="http://schemas.openxmlformats.org/officeDocument/2006/relationships/hyperlink" Target="https://googleprojectzero.github.io/0days-in-the-wild//0day-RCAs/2019/CVE-2019-1458.html" TargetMode="External"/><Relationship Id="rId38" Type="http://schemas.openxmlformats.org/officeDocument/2006/relationships/hyperlink" Target="https://securelist.com/windows-0-day-exploit-cve-2019-1458-used-in-operation-wizardopium/95432/" TargetMode="External"/><Relationship Id="rId20" Type="http://schemas.openxmlformats.org/officeDocument/2006/relationships/hyperlink" Target="https://www.mozilla.org/en-US/security/advisories/mfsa2019-18/" TargetMode="External"/><Relationship Id="rId22" Type="http://schemas.openxmlformats.org/officeDocument/2006/relationships/hyperlink" Target="https://www.mozilla.org/en-US/security/advisories/mfsa2019-19/" TargetMode="External"/><Relationship Id="rId21" Type="http://schemas.openxmlformats.org/officeDocument/2006/relationships/hyperlink" Target="https://googleprojectzero.github.io/0days-in-the-wild//0day-RCAs/2019/CVE-2019-11707.html" TargetMode="External"/><Relationship Id="rId24" Type="http://schemas.openxmlformats.org/officeDocument/2006/relationships/hyperlink" Target="https://portal.msrc.microsoft.com/en-us/security-guidance/advisory/CVE-2019-1132" TargetMode="External"/><Relationship Id="rId23" Type="http://schemas.openxmlformats.org/officeDocument/2006/relationships/hyperlink" Target="https://portal.msrc.microsoft.com/en-us/security-guidance/advisory/CVE-2019-0880" TargetMode="External"/><Relationship Id="rId26" Type="http://schemas.openxmlformats.org/officeDocument/2006/relationships/hyperlink" Target="https://portal.msrc.microsoft.com/en-US/security-guidance/advisory/CVE-2019-1367" TargetMode="External"/><Relationship Id="rId25" Type="http://schemas.openxmlformats.org/officeDocument/2006/relationships/hyperlink" Target="https://www.welivesecurity.com/2019/07/10/windows-zero-day-cve-2019-1132-exploit/" TargetMode="External"/><Relationship Id="rId28" Type="http://schemas.openxmlformats.org/officeDocument/2006/relationships/hyperlink" Target="https://source.android.com/security/bulletin/2019-10-01.html" TargetMode="External"/><Relationship Id="rId27" Type="http://schemas.openxmlformats.org/officeDocument/2006/relationships/hyperlink" Target="https://googleprojectzero.github.io/0days-in-the-wild//0day-RCAs/2019/CVE-2019-1367.html" TargetMode="External"/><Relationship Id="rId29" Type="http://schemas.openxmlformats.org/officeDocument/2006/relationships/hyperlink" Target="https://bugs.chromium.org/p/project-zero/issues/detail?id=1942" TargetMode="External"/><Relationship Id="rId11" Type="http://schemas.openxmlformats.org/officeDocument/2006/relationships/hyperlink" Target="https://blog.360totalsecurity.com/en/analysis-of-the-causes-of-cve-2019-0808-core-elevation-permission-vulnerability/" TargetMode="External"/><Relationship Id="rId10" Type="http://schemas.openxmlformats.org/officeDocument/2006/relationships/hyperlink" Target="https://portal.msrc.microsoft.com/en-US/security-guidance/advisory/CVE-2019-0808" TargetMode="External"/><Relationship Id="rId13" Type="http://schemas.openxmlformats.org/officeDocument/2006/relationships/hyperlink" Target="https://securelist.com/cve-2019-0797-zero-day-vulnerability/89885/" TargetMode="External"/><Relationship Id="rId12" Type="http://schemas.openxmlformats.org/officeDocument/2006/relationships/hyperlink" Target="https://portal.msrc.microsoft.com/en-US/security-guidance/advisory/CVE-2019-0797" TargetMode="External"/><Relationship Id="rId15" Type="http://schemas.openxmlformats.org/officeDocument/2006/relationships/hyperlink" Target="https://portal.msrc.microsoft.com/en-US/security-guidance/advisory/CVE-2019-0803" TargetMode="External"/><Relationship Id="rId14" Type="http://schemas.openxmlformats.org/officeDocument/2006/relationships/hyperlink" Target="https://portal.msrc.microsoft.com/en-US/security-guidance/advisory/CVE-2019-0703" TargetMode="External"/><Relationship Id="rId17" Type="http://schemas.openxmlformats.org/officeDocument/2006/relationships/hyperlink" Target="https://securelist.com/new-win32k-zero-day-cve-2019-0859/90435/" TargetMode="External"/><Relationship Id="rId16" Type="http://schemas.openxmlformats.org/officeDocument/2006/relationships/hyperlink" Target="https://portal.msrc.microsoft.com/en-US/security-guidance/advisory/CVE-2019-0859" TargetMode="External"/><Relationship Id="rId19" Type="http://schemas.openxmlformats.org/officeDocument/2006/relationships/hyperlink" Target="https://research.checkpoint.com/the-nso-whatsapp-vulnerability-this-is-how-it-happened/" TargetMode="External"/><Relationship Id="rId18" Type="http://schemas.openxmlformats.org/officeDocument/2006/relationships/hyperlink" Target="https://www.facebook.com/security/advisories/cve-2019-3568"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portal.msrc.microsoft.com/en-US/security-guidance/advisory/CVE-2018-0802" TargetMode="External"/><Relationship Id="rId2" Type="http://schemas.openxmlformats.org/officeDocument/2006/relationships/hyperlink" Target="https://www.freebuf.com/vuls/159789.html" TargetMode="External"/><Relationship Id="rId3" Type="http://schemas.openxmlformats.org/officeDocument/2006/relationships/hyperlink" Target="https://helpx.adobe.com/security/products/flash-player/apsb18-03.html" TargetMode="External"/><Relationship Id="rId4" Type="http://schemas.openxmlformats.org/officeDocument/2006/relationships/hyperlink" Target="http://blog.morphisec.com/cve-2018-4878-an-analysis-of-the-flash-player-hack" TargetMode="External"/><Relationship Id="rId9" Type="http://schemas.openxmlformats.org/officeDocument/2006/relationships/hyperlink" Target="https://helpx.adobe.com/security/products/acrobat/apsb18-09.html" TargetMode="External"/><Relationship Id="rId5" Type="http://schemas.openxmlformats.org/officeDocument/2006/relationships/hyperlink" Target="https://portal.msrc.microsoft.com/en-US/security-guidance/advisory/CVE-2018-8120" TargetMode="External"/><Relationship Id="rId6" Type="http://schemas.openxmlformats.org/officeDocument/2006/relationships/hyperlink" Target="https://www.welivesecurity.com/2018/05/15/tale-two-zero-days/" TargetMode="External"/><Relationship Id="rId7" Type="http://schemas.openxmlformats.org/officeDocument/2006/relationships/hyperlink" Target="https://portal.msrc.microsoft.com/en-US/security-guidance/advisory/CVE-2018-8174" TargetMode="External"/><Relationship Id="rId8" Type="http://schemas.openxmlformats.org/officeDocument/2006/relationships/hyperlink" Target="https://securelist.com/root-cause-analysis-of-cve-2018-8174/85486/" TargetMode="External"/><Relationship Id="rId20" Type="http://schemas.openxmlformats.org/officeDocument/2006/relationships/hyperlink" Target="http://blogs.360.cn/post/PoisonNeedles_CVE-2018-15982_EN" TargetMode="External"/><Relationship Id="rId22" Type="http://schemas.openxmlformats.org/officeDocument/2006/relationships/hyperlink" Target="https://securelist.com/zero-day-in-windows-kernel-transaction-manager-cve-2018-8611/89253/" TargetMode="External"/><Relationship Id="rId21" Type="http://schemas.openxmlformats.org/officeDocument/2006/relationships/hyperlink" Target="https://portal.msrc.microsoft.com/en-US/security-guidance/advisory/CVE-2018-8611" TargetMode="External"/><Relationship Id="rId24" Type="http://schemas.openxmlformats.org/officeDocument/2006/relationships/hyperlink" Target="https://securingtomorrow.mcafee.com/other-blogs/mcafee-labs/ie-scripting-flaw-still-a-threat-to-unpatched-systems-analyzing-cve-2018-8653/" TargetMode="External"/><Relationship Id="rId23" Type="http://schemas.openxmlformats.org/officeDocument/2006/relationships/hyperlink" Target="https://portal.msrc.microsoft.com/en-US/security-guidance/advisory/CVE-2018-8653" TargetMode="External"/><Relationship Id="rId25" Type="http://schemas.openxmlformats.org/officeDocument/2006/relationships/drawing" Target="../drawings/drawing9.xml"/><Relationship Id="rId11" Type="http://schemas.openxmlformats.org/officeDocument/2006/relationships/hyperlink" Target="https://helpx.adobe.com/security/products/flash-player/apsb18-19.html" TargetMode="External"/><Relationship Id="rId10" Type="http://schemas.openxmlformats.org/officeDocument/2006/relationships/hyperlink" Target="https://srcincite.io/blog/2018/05/21/adobe-me-and-a-double-free.html" TargetMode="External"/><Relationship Id="rId13" Type="http://schemas.openxmlformats.org/officeDocument/2006/relationships/hyperlink" Target="https://portal.msrc.microsoft.com/en-US/security-guidance/advisory/CVE-2018-8373" TargetMode="External"/><Relationship Id="rId12" Type="http://schemas.openxmlformats.org/officeDocument/2006/relationships/hyperlink" Target="https://s.tencent.com/research/report/489.html" TargetMode="External"/><Relationship Id="rId15" Type="http://schemas.openxmlformats.org/officeDocument/2006/relationships/hyperlink" Target="https://portal.msrc.microsoft.com/en-US/security-guidance/advisory/CVE-2018-8453" TargetMode="External"/><Relationship Id="rId14" Type="http://schemas.openxmlformats.org/officeDocument/2006/relationships/hyperlink" Target="https://blog.trendmicro.com/trendlabs-security-intelligence/use-after-free-uaf-vulnerability-cve-2018-8373-in-vbscript-engine-affects-internet-explorer-to-run-shellcode/" TargetMode="External"/><Relationship Id="rId17" Type="http://schemas.openxmlformats.org/officeDocument/2006/relationships/hyperlink" Target="https://portal.msrc.microsoft.com/en-US/security-guidance/advisory/CVE-2018-8589" TargetMode="External"/><Relationship Id="rId16" Type="http://schemas.openxmlformats.org/officeDocument/2006/relationships/hyperlink" Target="https://securelist.com/cve-2018-8453-used-in-targeted-attacks/88151/" TargetMode="External"/><Relationship Id="rId19" Type="http://schemas.openxmlformats.org/officeDocument/2006/relationships/hyperlink" Target="https://helpx.adobe.com/security/products/flash-player/apsb18-42.html?red=a" TargetMode="External"/><Relationship Id="rId18" Type="http://schemas.openxmlformats.org/officeDocument/2006/relationships/hyperlink" Target="https://securelist.com/a-new-exploit-for-zero-day-vulnerability-cve-2018-8589/8884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25"/>
  </cols>
  <sheetData>
    <row r="1">
      <c r="A1" s="1" t="s">
        <v>0</v>
      </c>
    </row>
    <row r="2">
      <c r="A2" s="2" t="s">
        <v>1</v>
      </c>
    </row>
    <row r="3">
      <c r="A3" s="3"/>
    </row>
    <row r="4">
      <c r="A4" s="4" t="s">
        <v>2</v>
      </c>
    </row>
    <row r="5">
      <c r="A5" s="3"/>
    </row>
    <row r="6">
      <c r="A6" s="4" t="s">
        <v>3</v>
      </c>
    </row>
    <row r="7">
      <c r="A7" s="5" t="s">
        <v>4</v>
      </c>
    </row>
    <row r="8">
      <c r="A8" s="4"/>
    </row>
    <row r="9">
      <c r="A9" s="4" t="s">
        <v>5</v>
      </c>
    </row>
    <row r="10">
      <c r="A10" s="4" t="s">
        <v>6</v>
      </c>
    </row>
    <row r="11">
      <c r="A11" s="4" t="s">
        <v>7</v>
      </c>
    </row>
    <row r="12">
      <c r="A12" s="4" t="s">
        <v>8</v>
      </c>
    </row>
    <row r="13">
      <c r="A13" s="4" t="s">
        <v>9</v>
      </c>
    </row>
    <row r="14">
      <c r="A14" s="4" t="s">
        <v>10</v>
      </c>
    </row>
    <row r="15">
      <c r="A15" s="4" t="s">
        <v>11</v>
      </c>
    </row>
    <row r="16">
      <c r="A16" s="3"/>
    </row>
    <row r="17">
      <c r="A17" s="6" t="s">
        <v>12</v>
      </c>
    </row>
  </sheetData>
  <hyperlinks>
    <hyperlink r:id="rId1" ref="A7"/>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38"/>
    <col customWidth="1" min="2" max="2" width="9.25"/>
    <col customWidth="1" min="3" max="3" width="15.0"/>
    <col customWidth="1" min="4" max="4" width="14.88"/>
    <col customWidth="1" min="5" max="5" width="34.75"/>
    <col customWidth="1" min="6" max="6" width="13.75"/>
    <col customWidth="1" min="7" max="7" width="11.25"/>
    <col customWidth="1" min="10" max="10" width="17.63"/>
  </cols>
  <sheetData>
    <row r="1">
      <c r="A1" s="7" t="s">
        <v>13</v>
      </c>
      <c r="B1" s="7" t="s">
        <v>14</v>
      </c>
      <c r="C1" s="7" t="s">
        <v>15</v>
      </c>
      <c r="D1" s="7" t="s">
        <v>16</v>
      </c>
      <c r="E1" s="7" t="s">
        <v>17</v>
      </c>
      <c r="F1" s="7" t="s">
        <v>18</v>
      </c>
      <c r="G1" s="7" t="s">
        <v>19</v>
      </c>
      <c r="H1" s="7" t="s">
        <v>20</v>
      </c>
      <c r="I1" s="7" t="s">
        <v>21</v>
      </c>
      <c r="J1" s="7" t="s">
        <v>22</v>
      </c>
      <c r="K1" s="8" t="s">
        <v>23</v>
      </c>
    </row>
    <row r="2">
      <c r="A2" s="54" t="s">
        <v>936</v>
      </c>
      <c r="B2" s="39" t="s">
        <v>37</v>
      </c>
      <c r="C2" s="39" t="s">
        <v>397</v>
      </c>
      <c r="D2" s="39" t="s">
        <v>27</v>
      </c>
      <c r="E2" s="39" t="s">
        <v>937</v>
      </c>
      <c r="F2" s="97" t="s">
        <v>30</v>
      </c>
      <c r="G2" s="55">
        <v>42808.0</v>
      </c>
      <c r="H2" s="95" t="s">
        <v>938</v>
      </c>
      <c r="I2" s="95" t="s">
        <v>939</v>
      </c>
      <c r="J2" s="12" t="s">
        <v>30</v>
      </c>
      <c r="K2" s="12" t="s">
        <v>30</v>
      </c>
      <c r="L2" s="12" t="s">
        <v>433</v>
      </c>
    </row>
    <row r="3">
      <c r="A3" s="54" t="s">
        <v>940</v>
      </c>
      <c r="B3" s="39" t="s">
        <v>37</v>
      </c>
      <c r="C3" s="39" t="s">
        <v>941</v>
      </c>
      <c r="D3" s="39" t="s">
        <v>769</v>
      </c>
      <c r="E3" s="39" t="s">
        <v>942</v>
      </c>
      <c r="F3" s="97" t="s">
        <v>30</v>
      </c>
      <c r="G3" s="55">
        <v>42808.0</v>
      </c>
      <c r="H3" s="95" t="s">
        <v>943</v>
      </c>
      <c r="I3" s="95" t="s">
        <v>944</v>
      </c>
      <c r="J3" s="12" t="s">
        <v>30</v>
      </c>
      <c r="K3" s="81" t="s">
        <v>945</v>
      </c>
      <c r="L3" s="12" t="s">
        <v>433</v>
      </c>
    </row>
    <row r="4">
      <c r="A4" s="54" t="s">
        <v>946</v>
      </c>
      <c r="B4" s="39" t="s">
        <v>37</v>
      </c>
      <c r="C4" s="39" t="s">
        <v>38</v>
      </c>
      <c r="D4" s="39" t="s">
        <v>27</v>
      </c>
      <c r="E4" s="39" t="s">
        <v>947</v>
      </c>
      <c r="F4" s="97" t="s">
        <v>30</v>
      </c>
      <c r="G4" s="55">
        <v>42808.0</v>
      </c>
      <c r="H4" s="95" t="s">
        <v>948</v>
      </c>
      <c r="I4" s="95" t="s">
        <v>949</v>
      </c>
      <c r="J4" s="12" t="s">
        <v>30</v>
      </c>
      <c r="K4" s="81" t="s">
        <v>950</v>
      </c>
      <c r="L4" s="12" t="s">
        <v>433</v>
      </c>
    </row>
    <row r="5">
      <c r="A5" s="54" t="s">
        <v>951</v>
      </c>
      <c r="B5" s="39" t="s">
        <v>37</v>
      </c>
      <c r="C5" s="39" t="s">
        <v>38</v>
      </c>
      <c r="D5" s="39" t="s">
        <v>27</v>
      </c>
      <c r="E5" s="39" t="s">
        <v>952</v>
      </c>
      <c r="F5" s="97" t="s">
        <v>30</v>
      </c>
      <c r="G5" s="55">
        <v>42808.0</v>
      </c>
      <c r="H5" s="95" t="s">
        <v>953</v>
      </c>
      <c r="I5" s="95" t="s">
        <v>954</v>
      </c>
      <c r="J5" s="12" t="s">
        <v>30</v>
      </c>
      <c r="K5" s="12" t="s">
        <v>30</v>
      </c>
      <c r="L5" s="12" t="s">
        <v>433</v>
      </c>
    </row>
    <row r="6">
      <c r="A6" s="54" t="s">
        <v>955</v>
      </c>
      <c r="B6" s="39" t="s">
        <v>37</v>
      </c>
      <c r="C6" s="39" t="s">
        <v>38</v>
      </c>
      <c r="D6" s="39" t="s">
        <v>27</v>
      </c>
      <c r="E6" s="39" t="s">
        <v>956</v>
      </c>
      <c r="F6" s="97" t="s">
        <v>30</v>
      </c>
      <c r="G6" s="55">
        <v>42808.0</v>
      </c>
      <c r="H6" s="95" t="s">
        <v>953</v>
      </c>
      <c r="I6" s="95" t="s">
        <v>957</v>
      </c>
      <c r="J6" s="12" t="s">
        <v>30</v>
      </c>
      <c r="K6" s="12" t="s">
        <v>30</v>
      </c>
      <c r="L6" s="12" t="s">
        <v>433</v>
      </c>
    </row>
    <row r="7">
      <c r="A7" s="54" t="s">
        <v>958</v>
      </c>
      <c r="B7" s="39" t="s">
        <v>37</v>
      </c>
      <c r="C7" s="39" t="s">
        <v>38</v>
      </c>
      <c r="D7" s="39" t="s">
        <v>27</v>
      </c>
      <c r="E7" s="39" t="s">
        <v>959</v>
      </c>
      <c r="F7" s="97" t="s">
        <v>30</v>
      </c>
      <c r="G7" s="55">
        <v>42808.0</v>
      </c>
      <c r="H7" s="95" t="s">
        <v>953</v>
      </c>
      <c r="I7" s="95" t="s">
        <v>960</v>
      </c>
      <c r="J7" s="12" t="s">
        <v>30</v>
      </c>
      <c r="K7" s="12" t="s">
        <v>30</v>
      </c>
      <c r="L7" s="12" t="s">
        <v>433</v>
      </c>
    </row>
    <row r="8">
      <c r="A8" s="54" t="s">
        <v>961</v>
      </c>
      <c r="B8" s="39" t="s">
        <v>37</v>
      </c>
      <c r="C8" s="39" t="s">
        <v>38</v>
      </c>
      <c r="D8" s="39" t="s">
        <v>27</v>
      </c>
      <c r="E8" s="39" t="s">
        <v>962</v>
      </c>
      <c r="F8" s="97" t="s">
        <v>30</v>
      </c>
      <c r="G8" s="55">
        <v>42808.0</v>
      </c>
      <c r="H8" s="95" t="s">
        <v>953</v>
      </c>
      <c r="I8" s="95" t="s">
        <v>963</v>
      </c>
      <c r="J8" s="12" t="s">
        <v>30</v>
      </c>
      <c r="K8" s="12" t="s">
        <v>30</v>
      </c>
      <c r="L8" s="12" t="s">
        <v>433</v>
      </c>
    </row>
    <row r="9">
      <c r="A9" s="54" t="s">
        <v>964</v>
      </c>
      <c r="B9" s="39" t="s">
        <v>37</v>
      </c>
      <c r="C9" s="39" t="s">
        <v>38</v>
      </c>
      <c r="D9" s="39" t="s">
        <v>769</v>
      </c>
      <c r="E9" s="39" t="s">
        <v>965</v>
      </c>
      <c r="F9" s="97" t="s">
        <v>30</v>
      </c>
      <c r="G9" s="55">
        <v>42808.0</v>
      </c>
      <c r="H9" s="95" t="s">
        <v>953</v>
      </c>
      <c r="I9" s="95" t="s">
        <v>963</v>
      </c>
      <c r="J9" s="12" t="s">
        <v>30</v>
      </c>
      <c r="K9" s="12" t="s">
        <v>30</v>
      </c>
      <c r="L9" s="12" t="s">
        <v>433</v>
      </c>
    </row>
    <row r="10">
      <c r="A10" s="54" t="s">
        <v>966</v>
      </c>
      <c r="B10" s="39" t="s">
        <v>967</v>
      </c>
      <c r="C10" s="39" t="s">
        <v>968</v>
      </c>
      <c r="D10" s="39" t="s">
        <v>27</v>
      </c>
      <c r="E10" s="54" t="s">
        <v>969</v>
      </c>
      <c r="F10" s="97" t="s">
        <v>30</v>
      </c>
      <c r="G10" s="55">
        <v>42811.0</v>
      </c>
      <c r="H10" s="95" t="s">
        <v>970</v>
      </c>
      <c r="I10" s="95" t="s">
        <v>971</v>
      </c>
      <c r="J10" s="12" t="s">
        <v>30</v>
      </c>
      <c r="K10" s="81" t="s">
        <v>972</v>
      </c>
      <c r="L10" s="12" t="s">
        <v>433</v>
      </c>
    </row>
    <row r="11">
      <c r="A11" s="54" t="s">
        <v>973</v>
      </c>
      <c r="B11" s="39" t="s">
        <v>974</v>
      </c>
      <c r="C11" s="39" t="s">
        <v>975</v>
      </c>
      <c r="D11" s="39" t="s">
        <v>27</v>
      </c>
      <c r="E11" s="39" t="s">
        <v>976</v>
      </c>
      <c r="F11" s="97" t="s">
        <v>30</v>
      </c>
      <c r="G11" s="55">
        <v>42814.0</v>
      </c>
      <c r="H11" s="95" t="s">
        <v>977</v>
      </c>
      <c r="I11" s="81" t="s">
        <v>30</v>
      </c>
      <c r="J11" s="12" t="s">
        <v>30</v>
      </c>
      <c r="K11" s="12" t="s">
        <v>30</v>
      </c>
      <c r="L11" s="12" t="s">
        <v>433</v>
      </c>
    </row>
    <row r="12">
      <c r="A12" s="54" t="s">
        <v>978</v>
      </c>
      <c r="B12" s="39" t="s">
        <v>37</v>
      </c>
      <c r="C12" s="39" t="s">
        <v>397</v>
      </c>
      <c r="D12" s="39" t="s">
        <v>492</v>
      </c>
      <c r="E12" s="39" t="s">
        <v>979</v>
      </c>
      <c r="F12" s="97" t="s">
        <v>30</v>
      </c>
      <c r="G12" s="55">
        <v>42836.0</v>
      </c>
      <c r="H12" s="95" t="s">
        <v>980</v>
      </c>
      <c r="I12" s="95" t="s">
        <v>981</v>
      </c>
      <c r="J12" s="12" t="s">
        <v>30</v>
      </c>
      <c r="K12" s="12" t="s">
        <v>30</v>
      </c>
      <c r="L12" s="12" t="s">
        <v>433</v>
      </c>
    </row>
    <row r="13">
      <c r="A13" s="54" t="s">
        <v>982</v>
      </c>
      <c r="B13" s="39" t="s">
        <v>37</v>
      </c>
      <c r="C13" s="39" t="s">
        <v>643</v>
      </c>
      <c r="D13" s="39" t="s">
        <v>54</v>
      </c>
      <c r="E13" s="39" t="s">
        <v>983</v>
      </c>
      <c r="F13" s="97" t="s">
        <v>30</v>
      </c>
      <c r="G13" s="55">
        <v>42836.0</v>
      </c>
      <c r="H13" s="95" t="s">
        <v>984</v>
      </c>
      <c r="I13" s="95" t="s">
        <v>985</v>
      </c>
      <c r="J13" s="12" t="s">
        <v>30</v>
      </c>
      <c r="K13" s="95" t="s">
        <v>986</v>
      </c>
      <c r="L13" s="12" t="s">
        <v>433</v>
      </c>
    </row>
    <row r="14">
      <c r="A14" s="39" t="s">
        <v>987</v>
      </c>
      <c r="B14" s="39" t="s">
        <v>988</v>
      </c>
      <c r="C14" s="39" t="s">
        <v>988</v>
      </c>
      <c r="D14" s="39" t="s">
        <v>27</v>
      </c>
      <c r="E14" s="39" t="s">
        <v>989</v>
      </c>
      <c r="F14" s="97" t="s">
        <v>30</v>
      </c>
      <c r="G14" s="55">
        <v>42852.0</v>
      </c>
      <c r="H14" s="95" t="s">
        <v>990</v>
      </c>
      <c r="I14" s="95" t="s">
        <v>991</v>
      </c>
      <c r="J14" s="12" t="s">
        <v>30</v>
      </c>
      <c r="K14" s="12" t="s">
        <v>30</v>
      </c>
      <c r="L14" s="12" t="s">
        <v>433</v>
      </c>
    </row>
    <row r="15">
      <c r="A15" s="54" t="s">
        <v>992</v>
      </c>
      <c r="B15" s="39" t="s">
        <v>37</v>
      </c>
      <c r="C15" s="39" t="s">
        <v>643</v>
      </c>
      <c r="D15" s="39" t="s">
        <v>27</v>
      </c>
      <c r="E15" s="39" t="s">
        <v>993</v>
      </c>
      <c r="F15" s="97" t="s">
        <v>30</v>
      </c>
      <c r="G15" s="55">
        <v>42864.0</v>
      </c>
      <c r="H15" s="95" t="s">
        <v>994</v>
      </c>
      <c r="I15" s="95" t="s">
        <v>995</v>
      </c>
      <c r="J15" s="12" t="s">
        <v>30</v>
      </c>
      <c r="K15" s="95" t="s">
        <v>996</v>
      </c>
      <c r="L15" s="12" t="s">
        <v>433</v>
      </c>
    </row>
    <row r="16">
      <c r="A16" s="54" t="s">
        <v>997</v>
      </c>
      <c r="B16" s="39" t="s">
        <v>37</v>
      </c>
      <c r="C16" s="39" t="s">
        <v>643</v>
      </c>
      <c r="D16" s="39" t="s">
        <v>27</v>
      </c>
      <c r="E16" s="39" t="s">
        <v>998</v>
      </c>
      <c r="F16" s="97" t="s">
        <v>30</v>
      </c>
      <c r="G16" s="55">
        <v>42864.0</v>
      </c>
      <c r="H16" s="95" t="s">
        <v>999</v>
      </c>
      <c r="I16" s="95" t="s">
        <v>995</v>
      </c>
      <c r="J16" s="12" t="s">
        <v>30</v>
      </c>
      <c r="K16" s="81" t="s">
        <v>1000</v>
      </c>
      <c r="L16" s="12" t="s">
        <v>433</v>
      </c>
    </row>
    <row r="17">
      <c r="A17" s="54" t="s">
        <v>1001</v>
      </c>
      <c r="B17" s="39" t="s">
        <v>37</v>
      </c>
      <c r="C17" s="39" t="s">
        <v>38</v>
      </c>
      <c r="D17" s="39" t="s">
        <v>27</v>
      </c>
      <c r="E17" s="39" t="s">
        <v>1002</v>
      </c>
      <c r="F17" s="97" t="s">
        <v>30</v>
      </c>
      <c r="G17" s="55">
        <v>42864.0</v>
      </c>
      <c r="H17" s="95" t="s">
        <v>1003</v>
      </c>
      <c r="I17" s="95" t="s">
        <v>995</v>
      </c>
      <c r="J17" s="12" t="s">
        <v>30</v>
      </c>
      <c r="K17" s="95" t="s">
        <v>1004</v>
      </c>
      <c r="L17" s="12" t="s">
        <v>433</v>
      </c>
    </row>
    <row r="18">
      <c r="A18" s="54" t="s">
        <v>1005</v>
      </c>
      <c r="B18" s="39" t="s">
        <v>37</v>
      </c>
      <c r="C18" s="39" t="s">
        <v>397</v>
      </c>
      <c r="D18" s="39" t="s">
        <v>27</v>
      </c>
      <c r="E18" s="39" t="s">
        <v>685</v>
      </c>
      <c r="F18" s="97" t="s">
        <v>30</v>
      </c>
      <c r="G18" s="55">
        <v>42864.0</v>
      </c>
      <c r="H18" s="95" t="s">
        <v>1006</v>
      </c>
      <c r="I18" s="81" t="s">
        <v>30</v>
      </c>
      <c r="J18" s="12" t="s">
        <v>30</v>
      </c>
      <c r="K18" s="12" t="s">
        <v>30</v>
      </c>
      <c r="L18" s="12" t="s">
        <v>433</v>
      </c>
    </row>
    <row r="19">
      <c r="A19" s="54" t="s">
        <v>1007</v>
      </c>
      <c r="B19" s="39" t="s">
        <v>37</v>
      </c>
      <c r="C19" s="39" t="s">
        <v>38</v>
      </c>
      <c r="D19" s="39" t="s">
        <v>54</v>
      </c>
      <c r="E19" s="39" t="s">
        <v>1008</v>
      </c>
      <c r="F19" s="97" t="s">
        <v>30</v>
      </c>
      <c r="G19" s="55">
        <v>42899.0</v>
      </c>
      <c r="H19" s="95" t="s">
        <v>1009</v>
      </c>
      <c r="I19" s="95" t="s">
        <v>1010</v>
      </c>
      <c r="J19" s="12" t="s">
        <v>30</v>
      </c>
      <c r="K19" s="12" t="s">
        <v>30</v>
      </c>
      <c r="L19" s="12" t="s">
        <v>433</v>
      </c>
    </row>
    <row r="20">
      <c r="A20" s="54" t="s">
        <v>1011</v>
      </c>
      <c r="B20" s="39" t="s">
        <v>37</v>
      </c>
      <c r="C20" s="39" t="s">
        <v>38</v>
      </c>
      <c r="D20" s="39" t="s">
        <v>27</v>
      </c>
      <c r="E20" s="39" t="s">
        <v>1012</v>
      </c>
      <c r="F20" s="97" t="s">
        <v>30</v>
      </c>
      <c r="G20" s="55">
        <v>42899.0</v>
      </c>
      <c r="H20" s="95" t="s">
        <v>1013</v>
      </c>
      <c r="I20" s="95" t="s">
        <v>1014</v>
      </c>
      <c r="J20" s="12" t="s">
        <v>30</v>
      </c>
      <c r="K20" s="12" t="s">
        <v>30</v>
      </c>
      <c r="L20" s="12" t="s">
        <v>433</v>
      </c>
    </row>
    <row r="21">
      <c r="A21" s="54" t="s">
        <v>1015</v>
      </c>
      <c r="B21" s="39" t="s">
        <v>37</v>
      </c>
      <c r="C21" s="39" t="s">
        <v>643</v>
      </c>
      <c r="D21" s="39" t="s">
        <v>54</v>
      </c>
      <c r="E21" s="39" t="s">
        <v>1016</v>
      </c>
      <c r="F21" s="97" t="s">
        <v>30</v>
      </c>
      <c r="G21" s="55">
        <v>42990.0</v>
      </c>
      <c r="H21" s="95" t="s">
        <v>1017</v>
      </c>
      <c r="I21" s="95" t="s">
        <v>1018</v>
      </c>
      <c r="J21" s="12" t="s">
        <v>30</v>
      </c>
      <c r="K21" s="81" t="s">
        <v>1019</v>
      </c>
      <c r="L21" s="12" t="s">
        <v>433</v>
      </c>
    </row>
    <row r="22">
      <c r="A22" s="54" t="s">
        <v>1020</v>
      </c>
      <c r="B22" s="39" t="s">
        <v>37</v>
      </c>
      <c r="C22" s="39" t="s">
        <v>643</v>
      </c>
      <c r="D22" s="39" t="s">
        <v>27</v>
      </c>
      <c r="E22" s="39" t="s">
        <v>1021</v>
      </c>
      <c r="F22" s="55">
        <v>43006.0</v>
      </c>
      <c r="G22" s="55">
        <v>43018.0</v>
      </c>
      <c r="H22" s="95" t="s">
        <v>1022</v>
      </c>
      <c r="I22" s="95" t="s">
        <v>1023</v>
      </c>
      <c r="J22" s="12" t="s">
        <v>30</v>
      </c>
      <c r="K22" s="81" t="s">
        <v>1024</v>
      </c>
      <c r="L22" s="12" t="s">
        <v>433</v>
      </c>
    </row>
    <row r="23">
      <c r="A23" s="54" t="s">
        <v>1025</v>
      </c>
      <c r="B23" s="39" t="s">
        <v>184</v>
      </c>
      <c r="C23" s="39" t="s">
        <v>883</v>
      </c>
      <c r="D23" s="39" t="s">
        <v>27</v>
      </c>
      <c r="E23" s="39" t="s">
        <v>1026</v>
      </c>
      <c r="F23" s="55">
        <v>43018.0</v>
      </c>
      <c r="G23" s="55">
        <v>43024.0</v>
      </c>
      <c r="H23" s="95" t="s">
        <v>1027</v>
      </c>
      <c r="I23" s="95" t="s">
        <v>1028</v>
      </c>
      <c r="J23" s="12" t="s">
        <v>30</v>
      </c>
      <c r="K23" s="81" t="s">
        <v>1029</v>
      </c>
      <c r="L23" s="12" t="s">
        <v>433</v>
      </c>
    </row>
    <row r="24">
      <c r="A24" s="54"/>
      <c r="B24" s="39"/>
      <c r="C24" s="39"/>
      <c r="D24" s="39"/>
      <c r="E24" s="39"/>
      <c r="F24" s="76"/>
      <c r="G24" s="76"/>
      <c r="H24" s="57"/>
      <c r="I24" s="57"/>
      <c r="J24" s="57"/>
      <c r="K24" s="12" t="s">
        <v>433</v>
      </c>
      <c r="L24" s="12" t="s">
        <v>433</v>
      </c>
    </row>
    <row r="25">
      <c r="A25" s="54"/>
      <c r="B25" s="39"/>
      <c r="C25" s="39"/>
      <c r="D25" s="39"/>
      <c r="E25" s="39"/>
      <c r="F25" s="76"/>
      <c r="G25" s="76"/>
      <c r="H25" s="57"/>
      <c r="I25" s="57"/>
      <c r="J25" s="57"/>
      <c r="K25" s="12" t="s">
        <v>433</v>
      </c>
      <c r="L25" s="12" t="s">
        <v>433</v>
      </c>
    </row>
    <row r="26">
      <c r="A26" s="54"/>
      <c r="B26" s="39"/>
      <c r="C26" s="39"/>
      <c r="D26" s="39"/>
      <c r="E26" s="39"/>
      <c r="F26" s="39"/>
      <c r="G26" s="76"/>
      <c r="H26" s="57"/>
      <c r="I26" s="57"/>
      <c r="J26" s="57"/>
      <c r="K26" s="12" t="s">
        <v>433</v>
      </c>
    </row>
    <row r="27">
      <c r="A27" s="54"/>
      <c r="B27" s="39"/>
      <c r="C27" s="39"/>
      <c r="D27" s="39"/>
      <c r="E27" s="39"/>
      <c r="F27" s="39"/>
      <c r="G27" s="76"/>
      <c r="H27" s="57"/>
      <c r="I27" s="57"/>
      <c r="J27" s="57"/>
      <c r="K27" s="12" t="s">
        <v>433</v>
      </c>
    </row>
    <row r="28">
      <c r="A28" s="54"/>
      <c r="B28" s="39"/>
      <c r="C28" s="39"/>
      <c r="D28" s="39"/>
      <c r="E28" s="39"/>
      <c r="F28" s="39"/>
      <c r="G28" s="76"/>
      <c r="H28" s="57"/>
      <c r="I28" s="57"/>
      <c r="J28" s="57"/>
      <c r="K28" s="12" t="s">
        <v>433</v>
      </c>
    </row>
    <row r="29">
      <c r="A29" s="54"/>
      <c r="B29" s="39"/>
      <c r="C29" s="39"/>
      <c r="D29" s="39"/>
      <c r="E29" s="39"/>
      <c r="F29" s="39"/>
      <c r="G29" s="76"/>
      <c r="H29" s="57"/>
      <c r="I29" s="57"/>
      <c r="J29" s="57"/>
      <c r="K29" s="12" t="s">
        <v>433</v>
      </c>
    </row>
    <row r="30">
      <c r="A30" s="54"/>
      <c r="B30" s="39"/>
      <c r="C30" s="39"/>
      <c r="D30" s="39"/>
      <c r="E30" s="39"/>
      <c r="F30" s="39"/>
      <c r="G30" s="76"/>
      <c r="H30" s="57"/>
      <c r="I30" s="57"/>
      <c r="J30" s="57"/>
      <c r="K30" s="12" t="s">
        <v>433</v>
      </c>
    </row>
    <row r="31">
      <c r="A31" s="54"/>
      <c r="B31" s="39"/>
      <c r="C31" s="39"/>
      <c r="D31" s="39"/>
      <c r="E31" s="39"/>
      <c r="F31" s="39"/>
      <c r="G31" s="76"/>
      <c r="H31" s="57"/>
      <c r="I31" s="57"/>
      <c r="J31" s="57"/>
      <c r="K31" s="12" t="s">
        <v>433</v>
      </c>
    </row>
    <row r="32">
      <c r="A32" s="54"/>
      <c r="B32" s="39"/>
      <c r="C32" s="39"/>
      <c r="D32" s="39"/>
      <c r="E32" s="39"/>
      <c r="F32" s="39"/>
      <c r="G32" s="76"/>
      <c r="H32" s="57"/>
      <c r="I32" s="39"/>
      <c r="J32" s="39"/>
      <c r="K32" s="12" t="s">
        <v>433</v>
      </c>
    </row>
    <row r="33">
      <c r="A33" s="39"/>
      <c r="B33" s="39"/>
      <c r="C33" s="39"/>
      <c r="D33" s="39"/>
      <c r="E33" s="39"/>
      <c r="F33" s="39"/>
      <c r="G33" s="76"/>
      <c r="H33" s="57"/>
      <c r="I33" s="57"/>
      <c r="J33" s="57"/>
      <c r="K33" s="12" t="s">
        <v>433</v>
      </c>
    </row>
    <row r="34">
      <c r="A34" s="54"/>
      <c r="B34" s="39"/>
      <c r="C34" s="39"/>
      <c r="D34" s="39"/>
      <c r="E34" s="39"/>
      <c r="F34" s="39"/>
      <c r="G34" s="76"/>
      <c r="H34" s="57"/>
      <c r="I34" s="57"/>
      <c r="J34" s="57"/>
      <c r="K34" s="12" t="s">
        <v>433</v>
      </c>
    </row>
    <row r="35">
      <c r="A35" s="54"/>
      <c r="B35" s="39"/>
      <c r="C35" s="39"/>
      <c r="D35" s="39"/>
      <c r="E35" s="39"/>
      <c r="F35" s="39"/>
      <c r="G35" s="76"/>
      <c r="H35" s="57"/>
      <c r="I35" s="57"/>
      <c r="J35" s="57"/>
      <c r="K35" s="12" t="s">
        <v>433</v>
      </c>
    </row>
    <row r="36">
      <c r="A36" s="54"/>
      <c r="B36" s="39"/>
      <c r="C36" s="39"/>
      <c r="D36" s="39"/>
      <c r="E36" s="39"/>
      <c r="F36" s="39"/>
      <c r="G36" s="76"/>
      <c r="H36" s="57"/>
      <c r="I36" s="39"/>
      <c r="J36" s="39"/>
      <c r="K36" s="12" t="s">
        <v>433</v>
      </c>
    </row>
    <row r="37">
      <c r="A37" s="54"/>
      <c r="B37" s="39"/>
      <c r="C37" s="39"/>
      <c r="D37" s="39"/>
      <c r="E37" s="54"/>
      <c r="F37" s="39"/>
      <c r="G37" s="76"/>
      <c r="H37" s="57"/>
      <c r="I37" s="57"/>
      <c r="J37" s="57"/>
      <c r="K37" s="12" t="s">
        <v>433</v>
      </c>
    </row>
    <row r="38">
      <c r="A38" s="54"/>
      <c r="B38" s="39"/>
      <c r="C38" s="39"/>
      <c r="D38" s="39"/>
      <c r="E38" s="39"/>
      <c r="F38" s="39"/>
      <c r="G38" s="76"/>
      <c r="H38" s="57"/>
      <c r="I38" s="57"/>
      <c r="J38" s="57"/>
      <c r="K38" s="12" t="s">
        <v>433</v>
      </c>
    </row>
    <row r="39">
      <c r="A39" s="54"/>
      <c r="B39" s="39"/>
      <c r="C39" s="39"/>
      <c r="D39" s="39"/>
      <c r="E39" s="39"/>
      <c r="F39" s="39"/>
      <c r="G39" s="76"/>
      <c r="H39" s="57"/>
      <c r="I39" s="57"/>
      <c r="J39" s="57"/>
      <c r="K39" s="12" t="s">
        <v>433</v>
      </c>
    </row>
    <row r="40">
      <c r="A40" s="54"/>
      <c r="B40" s="39"/>
      <c r="C40" s="39"/>
      <c r="D40" s="39"/>
      <c r="E40" s="39"/>
      <c r="F40" s="39"/>
      <c r="G40" s="76"/>
      <c r="H40" s="57"/>
      <c r="I40" s="57"/>
      <c r="J40" s="57"/>
      <c r="K40" s="12" t="s">
        <v>433</v>
      </c>
    </row>
    <row r="41">
      <c r="A41" s="54"/>
      <c r="B41" s="39"/>
      <c r="C41" s="39"/>
      <c r="D41" s="39"/>
      <c r="E41" s="39"/>
      <c r="F41" s="39"/>
      <c r="G41" s="76"/>
      <c r="H41" s="57"/>
      <c r="I41" s="57"/>
      <c r="J41" s="57"/>
      <c r="K41" s="12" t="s">
        <v>433</v>
      </c>
    </row>
    <row r="42">
      <c r="A42" s="54"/>
      <c r="B42" s="39"/>
      <c r="C42" s="39"/>
      <c r="D42" s="39"/>
      <c r="E42" s="39"/>
      <c r="F42" s="39"/>
      <c r="G42" s="76"/>
      <c r="H42" s="57"/>
      <c r="I42" s="57"/>
      <c r="J42" s="57"/>
      <c r="K42" s="12" t="s">
        <v>433</v>
      </c>
    </row>
    <row r="43">
      <c r="A43" s="54"/>
      <c r="B43" s="39"/>
      <c r="C43" s="39"/>
      <c r="D43" s="39"/>
      <c r="E43" s="39"/>
      <c r="F43" s="39"/>
      <c r="G43" s="76"/>
      <c r="H43" s="57"/>
      <c r="I43" s="57"/>
      <c r="J43" s="57"/>
      <c r="K43" s="12" t="s">
        <v>433</v>
      </c>
    </row>
    <row r="44">
      <c r="A44" s="54"/>
      <c r="B44" s="39"/>
      <c r="C44" s="39"/>
      <c r="D44" s="39"/>
      <c r="E44" s="39"/>
      <c r="F44" s="39"/>
      <c r="G44" s="76"/>
      <c r="H44" s="57"/>
      <c r="I44" s="57"/>
      <c r="J44" s="57"/>
      <c r="K44" s="12" t="s">
        <v>433</v>
      </c>
    </row>
    <row r="45">
      <c r="A45" s="54"/>
      <c r="B45" s="39"/>
      <c r="C45" s="39"/>
      <c r="D45" s="39"/>
      <c r="E45" s="39"/>
      <c r="F45" s="39"/>
      <c r="G45" s="76"/>
      <c r="H45" s="57"/>
      <c r="I45" s="57"/>
      <c r="J45" s="57"/>
      <c r="K45" s="12" t="s">
        <v>433</v>
      </c>
    </row>
    <row r="46">
      <c r="A46" s="54"/>
      <c r="B46" s="39"/>
      <c r="C46" s="39"/>
      <c r="D46" s="39"/>
      <c r="E46" s="54"/>
      <c r="F46" s="39"/>
      <c r="G46" s="76"/>
      <c r="H46" s="57"/>
      <c r="I46" s="39"/>
      <c r="J46" s="39"/>
      <c r="K46" s="12" t="s">
        <v>433</v>
      </c>
    </row>
    <row r="47">
      <c r="A47" s="39"/>
      <c r="B47" s="39"/>
      <c r="C47" s="39"/>
      <c r="D47" s="39"/>
      <c r="E47" s="39"/>
      <c r="F47" s="76"/>
      <c r="G47" s="76"/>
      <c r="H47" s="57"/>
      <c r="I47" s="57"/>
      <c r="J47" s="57"/>
      <c r="K47" s="12" t="s">
        <v>433</v>
      </c>
    </row>
    <row r="48">
      <c r="A48" s="54"/>
      <c r="B48" s="39"/>
      <c r="C48" s="39"/>
      <c r="D48" s="39"/>
      <c r="E48" s="54"/>
      <c r="F48" s="39"/>
      <c r="G48" s="76"/>
      <c r="H48" s="57"/>
      <c r="I48" s="57"/>
      <c r="J48" s="57"/>
      <c r="K48" s="12" t="s">
        <v>433</v>
      </c>
    </row>
    <row r="49">
      <c r="A49" s="54"/>
      <c r="B49" s="39"/>
      <c r="C49" s="39"/>
      <c r="D49" s="39"/>
      <c r="E49" s="54"/>
      <c r="F49" s="76"/>
      <c r="G49" s="76"/>
      <c r="H49" s="57"/>
      <c r="I49" s="57"/>
      <c r="J49" s="57"/>
      <c r="K49" s="12" t="s">
        <v>433</v>
      </c>
    </row>
    <row r="50">
      <c r="A50" s="54"/>
      <c r="B50" s="39"/>
      <c r="C50" s="39"/>
      <c r="D50" s="39"/>
      <c r="E50" s="54"/>
      <c r="F50" s="76"/>
      <c r="G50" s="76"/>
      <c r="H50" s="57"/>
      <c r="I50" s="57"/>
      <c r="J50" s="57"/>
      <c r="K50" s="12" t="s">
        <v>433</v>
      </c>
    </row>
    <row r="51">
      <c r="A51" s="39"/>
      <c r="B51" s="39"/>
      <c r="C51" s="39"/>
      <c r="D51" s="39"/>
      <c r="E51" s="39"/>
      <c r="F51" s="39"/>
      <c r="G51" s="76"/>
      <c r="H51" s="57"/>
      <c r="I51" s="39"/>
      <c r="J51" s="39"/>
      <c r="K51" s="12" t="s">
        <v>433</v>
      </c>
    </row>
    <row r="52">
      <c r="A52" s="54"/>
      <c r="B52" s="39"/>
      <c r="C52" s="39"/>
      <c r="D52" s="39"/>
      <c r="E52" s="39"/>
      <c r="F52" s="39"/>
      <c r="G52" s="76"/>
      <c r="H52" s="57"/>
      <c r="I52" s="57"/>
      <c r="J52" s="57"/>
      <c r="K52" s="12" t="s">
        <v>433</v>
      </c>
    </row>
    <row r="53">
      <c r="A53" s="54"/>
      <c r="B53" s="39"/>
      <c r="C53" s="39"/>
      <c r="D53" s="39"/>
      <c r="E53" s="39"/>
      <c r="F53" s="39"/>
      <c r="G53" s="76"/>
      <c r="H53" s="57"/>
      <c r="I53" s="57"/>
      <c r="J53" s="57"/>
      <c r="K53" s="12" t="s">
        <v>433</v>
      </c>
    </row>
    <row r="54">
      <c r="A54" s="54"/>
      <c r="B54" s="39"/>
      <c r="C54" s="39"/>
      <c r="D54" s="39"/>
      <c r="E54" s="39"/>
      <c r="F54" s="39"/>
      <c r="G54" s="76"/>
      <c r="H54" s="57"/>
      <c r="I54" s="57"/>
      <c r="J54" s="57"/>
      <c r="K54" s="12" t="s">
        <v>433</v>
      </c>
    </row>
    <row r="55">
      <c r="A55" s="54"/>
      <c r="B55" s="39"/>
      <c r="C55" s="39"/>
      <c r="D55" s="39"/>
      <c r="E55" s="39"/>
      <c r="F55" s="39"/>
      <c r="G55" s="76"/>
      <c r="H55" s="57"/>
      <c r="I55" s="57"/>
      <c r="J55" s="57"/>
      <c r="K55" s="12" t="s">
        <v>433</v>
      </c>
    </row>
    <row r="56">
      <c r="A56" s="39"/>
      <c r="B56" s="39"/>
      <c r="C56" s="39"/>
      <c r="D56" s="39"/>
      <c r="E56" s="39"/>
      <c r="F56" s="76"/>
      <c r="G56" s="76"/>
      <c r="H56" s="57"/>
      <c r="I56" s="57"/>
      <c r="J56" s="57"/>
      <c r="K56" s="12" t="s">
        <v>433</v>
      </c>
    </row>
    <row r="57">
      <c r="A57" s="75"/>
      <c r="B57" s="39"/>
      <c r="C57" s="39"/>
      <c r="D57" s="39"/>
      <c r="E57" s="54"/>
      <c r="F57" s="76"/>
      <c r="G57" s="76"/>
      <c r="H57" s="57"/>
      <c r="I57" s="57"/>
      <c r="J57" s="57"/>
      <c r="K57" s="12" t="s">
        <v>433</v>
      </c>
    </row>
    <row r="58">
      <c r="A58" s="39"/>
      <c r="B58" s="39"/>
      <c r="C58" s="39"/>
      <c r="D58" s="39"/>
      <c r="E58" s="54"/>
      <c r="F58" s="76"/>
      <c r="G58" s="76"/>
      <c r="H58" s="57"/>
      <c r="I58" s="57"/>
      <c r="J58" s="57"/>
      <c r="K58" s="12" t="s">
        <v>433</v>
      </c>
    </row>
    <row r="59">
      <c r="A59" s="54"/>
      <c r="B59" s="39"/>
      <c r="C59" s="39"/>
      <c r="D59" s="39"/>
      <c r="E59" s="54"/>
      <c r="F59" s="76"/>
      <c r="G59" s="76"/>
      <c r="H59" s="57"/>
      <c r="I59" s="57"/>
      <c r="J59" s="57"/>
      <c r="K59" s="12" t="s">
        <v>433</v>
      </c>
    </row>
    <row r="60">
      <c r="A60" s="39"/>
      <c r="B60" s="39"/>
      <c r="C60" s="39"/>
      <c r="D60" s="39"/>
      <c r="E60" s="39"/>
      <c r="F60" s="76"/>
      <c r="G60" s="76"/>
      <c r="H60" s="57"/>
      <c r="I60" s="39"/>
      <c r="J60" s="39"/>
      <c r="K60" s="12" t="s">
        <v>433</v>
      </c>
    </row>
    <row r="61">
      <c r="A61" s="54"/>
      <c r="B61" s="39"/>
      <c r="C61" s="39"/>
      <c r="D61" s="79"/>
      <c r="E61" s="54"/>
      <c r="F61" s="39"/>
      <c r="G61" s="76"/>
      <c r="H61" s="57"/>
      <c r="I61" s="57"/>
      <c r="J61" s="57"/>
      <c r="K61" s="12" t="s">
        <v>433</v>
      </c>
    </row>
    <row r="62">
      <c r="A62" s="54"/>
      <c r="B62" s="39"/>
      <c r="C62" s="39"/>
      <c r="D62" s="39"/>
      <c r="E62" s="39"/>
      <c r="F62" s="76"/>
      <c r="G62" s="76"/>
      <c r="H62" s="57"/>
      <c r="I62" s="57"/>
      <c r="J62" s="57"/>
      <c r="K62" s="12" t="s">
        <v>433</v>
      </c>
    </row>
    <row r="63">
      <c r="A63" s="54"/>
      <c r="B63" s="39"/>
      <c r="C63" s="39"/>
      <c r="D63" s="39"/>
      <c r="E63" s="54"/>
      <c r="F63" s="39"/>
      <c r="G63" s="76"/>
      <c r="H63" s="57"/>
      <c r="I63" s="57"/>
      <c r="J63" s="57"/>
      <c r="K63" s="12" t="s">
        <v>433</v>
      </c>
    </row>
    <row r="64">
      <c r="A64" s="39"/>
      <c r="B64" s="39"/>
      <c r="C64" s="39"/>
      <c r="D64" s="39"/>
      <c r="E64" s="54"/>
      <c r="F64" s="39"/>
      <c r="G64" s="76"/>
      <c r="H64" s="57"/>
      <c r="I64" s="57"/>
      <c r="J64" s="57"/>
      <c r="K64" s="12" t="s">
        <v>433</v>
      </c>
    </row>
    <row r="65">
      <c r="A65" s="39"/>
      <c r="B65" s="39"/>
      <c r="C65" s="39"/>
      <c r="D65" s="39"/>
      <c r="E65" s="39"/>
      <c r="F65" s="39"/>
      <c r="G65" s="76"/>
      <c r="H65" s="57"/>
      <c r="I65" s="57"/>
      <c r="J65" s="57"/>
      <c r="K65" s="12" t="s">
        <v>433</v>
      </c>
    </row>
    <row r="66">
      <c r="A66" s="54"/>
      <c r="B66" s="39"/>
      <c r="C66" s="39"/>
      <c r="D66" s="39"/>
      <c r="E66" s="54"/>
      <c r="F66" s="77"/>
      <c r="G66" s="76"/>
      <c r="H66" s="57"/>
      <c r="I66" s="57"/>
      <c r="J66" s="57"/>
      <c r="K66" s="12" t="s">
        <v>433</v>
      </c>
    </row>
    <row r="67">
      <c r="A67" s="39"/>
      <c r="B67" s="39"/>
      <c r="C67" s="39"/>
      <c r="D67" s="39"/>
      <c r="E67" s="39"/>
      <c r="F67" s="76"/>
      <c r="G67" s="76"/>
      <c r="H67" s="57"/>
      <c r="I67" s="57"/>
      <c r="J67" s="57"/>
      <c r="K67" s="12" t="s">
        <v>433</v>
      </c>
    </row>
    <row r="68">
      <c r="A68" s="39"/>
      <c r="B68" s="39"/>
      <c r="C68" s="39"/>
      <c r="D68" s="39"/>
      <c r="E68" s="39"/>
      <c r="F68" s="39"/>
      <c r="G68" s="76"/>
      <c r="H68" s="57"/>
      <c r="I68" s="57"/>
      <c r="J68" s="57"/>
      <c r="K68" s="12" t="s">
        <v>433</v>
      </c>
    </row>
    <row r="69">
      <c r="A69" s="39"/>
      <c r="B69" s="39"/>
      <c r="C69" s="39"/>
      <c r="D69" s="39"/>
      <c r="E69" s="39"/>
      <c r="F69" s="76"/>
      <c r="G69" s="76"/>
      <c r="H69" s="57"/>
      <c r="I69" s="57"/>
      <c r="J69" s="57"/>
      <c r="K69" s="12" t="s">
        <v>433</v>
      </c>
    </row>
    <row r="70">
      <c r="A70" s="39"/>
      <c r="B70" s="39"/>
      <c r="C70" s="39"/>
      <c r="D70" s="78"/>
      <c r="E70" s="54"/>
      <c r="F70" s="76"/>
      <c r="G70" s="76"/>
      <c r="H70" s="62"/>
      <c r="I70" s="62"/>
      <c r="J70" s="62"/>
      <c r="K70" s="12" t="s">
        <v>433</v>
      </c>
    </row>
    <row r="71">
      <c r="A71" s="39"/>
      <c r="B71" s="39"/>
      <c r="C71" s="39"/>
      <c r="D71" s="39"/>
      <c r="E71" s="39"/>
      <c r="F71" s="39"/>
      <c r="G71" s="76"/>
      <c r="H71" s="57"/>
      <c r="I71" s="39"/>
      <c r="J71" s="39"/>
      <c r="K71" s="12" t="s">
        <v>433</v>
      </c>
    </row>
    <row r="72">
      <c r="A72" s="39"/>
      <c r="B72" s="39"/>
      <c r="C72" s="39"/>
      <c r="D72" s="39"/>
      <c r="E72" s="54"/>
      <c r="F72" s="39"/>
      <c r="G72" s="76"/>
      <c r="H72" s="57"/>
      <c r="I72" s="39"/>
      <c r="J72" s="39"/>
      <c r="K72" s="12" t="s">
        <v>433</v>
      </c>
    </row>
    <row r="73">
      <c r="A73" s="39"/>
      <c r="B73" s="39"/>
      <c r="C73" s="39"/>
      <c r="D73" s="39"/>
      <c r="E73" s="39"/>
      <c r="F73" s="39"/>
      <c r="G73" s="76"/>
      <c r="H73" s="57"/>
      <c r="I73" s="57"/>
      <c r="J73" s="57"/>
      <c r="K73" s="12" t="s">
        <v>433</v>
      </c>
    </row>
    <row r="74">
      <c r="A74" s="39"/>
      <c r="B74" s="39"/>
      <c r="C74" s="39"/>
      <c r="D74" s="39"/>
      <c r="E74" s="39"/>
      <c r="F74" s="76"/>
      <c r="G74" s="76"/>
      <c r="H74" s="57"/>
      <c r="I74" s="57"/>
      <c r="J74" s="57"/>
      <c r="K74" s="12" t="s">
        <v>433</v>
      </c>
    </row>
    <row r="75">
      <c r="A75" s="39"/>
      <c r="B75" s="39"/>
      <c r="C75" s="39"/>
      <c r="D75" s="39"/>
      <c r="E75" s="54"/>
      <c r="F75" s="39"/>
      <c r="G75" s="76"/>
      <c r="H75" s="57"/>
      <c r="I75" s="57"/>
      <c r="J75" s="57"/>
      <c r="K75" s="12" t="s">
        <v>433</v>
      </c>
    </row>
    <row r="76">
      <c r="A76" s="39"/>
      <c r="B76" s="39"/>
      <c r="C76" s="39"/>
      <c r="D76" s="39"/>
      <c r="E76" s="54"/>
      <c r="F76" s="39"/>
      <c r="G76" s="76"/>
      <c r="H76" s="57"/>
      <c r="I76" s="57"/>
      <c r="J76" s="57"/>
      <c r="K76" s="12" t="s">
        <v>433</v>
      </c>
    </row>
    <row r="77">
      <c r="A77" s="39"/>
      <c r="B77" s="39"/>
      <c r="C77" s="39"/>
      <c r="D77" s="39"/>
      <c r="E77" s="54"/>
      <c r="F77" s="39"/>
      <c r="G77" s="76"/>
      <c r="H77" s="57"/>
      <c r="I77" s="57"/>
      <c r="J77" s="57"/>
      <c r="K77" s="12" t="s">
        <v>433</v>
      </c>
    </row>
    <row r="78">
      <c r="A78" s="54"/>
      <c r="B78" s="39"/>
      <c r="C78" s="39"/>
      <c r="D78" s="39"/>
      <c r="E78" s="54"/>
      <c r="F78" s="76"/>
      <c r="G78" s="76"/>
      <c r="H78" s="57"/>
      <c r="I78" s="57"/>
      <c r="J78" s="57"/>
      <c r="K78" s="12" t="s">
        <v>433</v>
      </c>
    </row>
    <row r="79">
      <c r="A79" s="75"/>
      <c r="B79" s="39"/>
      <c r="C79" s="39"/>
      <c r="D79" s="39"/>
      <c r="E79" s="54"/>
      <c r="F79" s="39"/>
      <c r="G79" s="76"/>
      <c r="H79" s="57"/>
      <c r="I79" s="57"/>
      <c r="J79" s="57"/>
      <c r="K79" s="12" t="s">
        <v>433</v>
      </c>
    </row>
    <row r="80">
      <c r="A80" s="54"/>
      <c r="B80" s="39"/>
      <c r="C80" s="39"/>
      <c r="D80" s="39"/>
      <c r="E80" s="54"/>
      <c r="F80" s="76"/>
      <c r="G80" s="76"/>
      <c r="H80" s="57"/>
      <c r="I80" s="57"/>
      <c r="J80" s="57"/>
      <c r="K80" s="12" t="s">
        <v>433</v>
      </c>
    </row>
    <row r="81">
      <c r="A81" s="39"/>
      <c r="B81" s="39"/>
      <c r="C81" s="39"/>
      <c r="D81" s="39"/>
      <c r="E81" s="39"/>
      <c r="F81" s="76"/>
      <c r="G81" s="76"/>
      <c r="H81" s="57"/>
      <c r="I81" s="57"/>
      <c r="J81" s="57"/>
      <c r="K81" s="12" t="s">
        <v>433</v>
      </c>
    </row>
    <row r="82">
      <c r="A82" s="39"/>
      <c r="B82" s="39"/>
      <c r="C82" s="39"/>
      <c r="D82" s="39"/>
      <c r="E82" s="39"/>
      <c r="F82" s="76"/>
      <c r="G82" s="76"/>
      <c r="H82" s="57"/>
      <c r="I82" s="57"/>
      <c r="J82" s="57"/>
      <c r="K82" s="12" t="s">
        <v>433</v>
      </c>
    </row>
    <row r="83">
      <c r="A83" s="39"/>
      <c r="B83" s="39"/>
      <c r="C83" s="39"/>
      <c r="D83" s="39"/>
      <c r="E83" s="54"/>
      <c r="F83" s="76"/>
      <c r="G83" s="76"/>
      <c r="H83" s="57"/>
      <c r="I83" s="57"/>
      <c r="J83" s="57"/>
      <c r="K83" s="12" t="s">
        <v>433</v>
      </c>
    </row>
    <row r="84">
      <c r="A84" s="39"/>
      <c r="B84" s="39"/>
      <c r="C84" s="39"/>
      <c r="D84" s="39"/>
      <c r="E84" s="54"/>
      <c r="F84" s="76"/>
      <c r="G84" s="76"/>
      <c r="H84" s="57"/>
      <c r="I84" s="57"/>
      <c r="J84" s="57"/>
      <c r="K84" s="12" t="s">
        <v>433</v>
      </c>
    </row>
    <row r="85">
      <c r="A85" s="54"/>
      <c r="B85" s="39"/>
      <c r="C85" s="39"/>
      <c r="D85" s="39"/>
      <c r="E85" s="54"/>
      <c r="F85" s="77"/>
      <c r="G85" s="76"/>
      <c r="H85" s="57"/>
      <c r="I85" s="57"/>
      <c r="J85" s="57"/>
      <c r="K85" s="12" t="s">
        <v>433</v>
      </c>
    </row>
    <row r="86">
      <c r="A86" s="39"/>
      <c r="B86" s="39"/>
      <c r="C86" s="39"/>
      <c r="D86" s="39"/>
      <c r="E86" s="39"/>
      <c r="F86" s="39"/>
      <c r="G86" s="76"/>
      <c r="H86" s="57"/>
      <c r="I86" s="57"/>
      <c r="J86" s="57"/>
      <c r="K86" s="12" t="s">
        <v>433</v>
      </c>
    </row>
    <row r="87">
      <c r="A87" s="54"/>
      <c r="B87" s="39"/>
      <c r="C87" s="39"/>
      <c r="D87" s="39"/>
      <c r="E87" s="39"/>
      <c r="F87" s="76"/>
      <c r="G87" s="76"/>
      <c r="H87" s="57"/>
      <c r="I87" s="57"/>
      <c r="J87" s="57"/>
      <c r="K87" s="12" t="s">
        <v>433</v>
      </c>
    </row>
    <row r="88">
      <c r="A88" s="54"/>
      <c r="B88" s="39"/>
      <c r="C88" s="39"/>
      <c r="D88" s="39"/>
      <c r="E88" s="39"/>
      <c r="F88" s="39"/>
      <c r="G88" s="76"/>
      <c r="H88" s="57"/>
      <c r="I88" s="57"/>
      <c r="J88" s="57"/>
      <c r="K88" s="12" t="s">
        <v>433</v>
      </c>
    </row>
    <row r="89">
      <c r="A89" s="39"/>
      <c r="B89" s="39"/>
      <c r="C89" s="39"/>
      <c r="D89" s="39"/>
      <c r="E89" s="54"/>
      <c r="F89" s="54"/>
      <c r="G89" s="76"/>
      <c r="H89" s="57"/>
      <c r="I89" s="57"/>
      <c r="J89" s="57"/>
      <c r="K89" s="12" t="s">
        <v>433</v>
      </c>
    </row>
    <row r="90">
      <c r="A90" s="39"/>
      <c r="B90" s="39"/>
      <c r="C90" s="39"/>
      <c r="D90" s="39"/>
      <c r="E90" s="39"/>
      <c r="F90" s="76"/>
      <c r="G90" s="76"/>
      <c r="H90" s="57"/>
      <c r="I90" s="57"/>
      <c r="J90" s="57"/>
      <c r="K90" s="12" t="s">
        <v>433</v>
      </c>
    </row>
    <row r="91">
      <c r="A91" s="39"/>
      <c r="B91" s="39"/>
      <c r="C91" s="39"/>
      <c r="D91" s="39"/>
      <c r="E91" s="54"/>
      <c r="F91" s="77"/>
      <c r="G91" s="76"/>
      <c r="H91" s="57"/>
      <c r="I91" s="57"/>
      <c r="J91" s="57"/>
      <c r="K91" s="12" t="s">
        <v>433</v>
      </c>
    </row>
    <row r="92">
      <c r="A92" s="39"/>
      <c r="B92" s="39"/>
      <c r="C92" s="39"/>
      <c r="D92" s="39"/>
      <c r="E92" s="39"/>
      <c r="F92" s="76"/>
      <c r="G92" s="76"/>
      <c r="H92" s="57"/>
      <c r="I92" s="57"/>
      <c r="J92" s="57"/>
      <c r="K92" s="12" t="s">
        <v>433</v>
      </c>
    </row>
    <row r="93">
      <c r="A93" s="54"/>
      <c r="B93" s="39"/>
      <c r="C93" s="39"/>
      <c r="D93" s="39"/>
      <c r="E93" s="54"/>
      <c r="F93" s="39"/>
      <c r="G93" s="76"/>
      <c r="H93" s="57"/>
      <c r="I93" s="57"/>
      <c r="J93" s="57"/>
      <c r="K93" s="12" t="s">
        <v>433</v>
      </c>
    </row>
    <row r="94">
      <c r="A94" s="39"/>
      <c r="B94" s="39"/>
      <c r="C94" s="39"/>
      <c r="D94" s="39"/>
      <c r="E94" s="54"/>
      <c r="F94" s="54"/>
      <c r="G94" s="76"/>
      <c r="H94" s="57"/>
      <c r="I94" s="57"/>
      <c r="J94" s="57"/>
      <c r="K94" s="12" t="s">
        <v>433</v>
      </c>
    </row>
    <row r="95">
      <c r="A95" s="39"/>
      <c r="B95" s="39"/>
      <c r="C95" s="39"/>
      <c r="D95" s="39"/>
      <c r="E95" s="39"/>
      <c r="F95" s="76"/>
      <c r="G95" s="76"/>
      <c r="H95" s="57"/>
      <c r="I95" s="57"/>
      <c r="J95" s="57"/>
      <c r="K95" s="12" t="s">
        <v>433</v>
      </c>
    </row>
    <row r="96">
      <c r="A96" s="54"/>
      <c r="B96" s="39"/>
      <c r="C96" s="39"/>
      <c r="D96" s="39"/>
      <c r="E96" s="39"/>
      <c r="F96" s="76"/>
      <c r="G96" s="76"/>
      <c r="H96" s="57"/>
      <c r="I96" s="57"/>
      <c r="J96" s="57"/>
      <c r="K96" s="12" t="s">
        <v>433</v>
      </c>
    </row>
    <row r="97">
      <c r="A97" s="39"/>
      <c r="B97" s="39"/>
      <c r="C97" s="39"/>
      <c r="D97" s="39"/>
      <c r="E97" s="39"/>
      <c r="F97" s="76"/>
      <c r="G97" s="76"/>
      <c r="H97" s="57"/>
      <c r="I97" s="57"/>
      <c r="J97" s="57"/>
      <c r="K97" s="12" t="s">
        <v>433</v>
      </c>
    </row>
    <row r="98">
      <c r="A98" s="39"/>
      <c r="B98" s="39"/>
      <c r="C98" s="39"/>
      <c r="D98" s="39"/>
      <c r="E98" s="54"/>
      <c r="F98" s="54"/>
      <c r="G98" s="76"/>
      <c r="H98" s="57"/>
      <c r="I98" s="57"/>
      <c r="J98" s="57"/>
      <c r="K98" s="12" t="s">
        <v>433</v>
      </c>
    </row>
    <row r="99">
      <c r="A99" s="39"/>
      <c r="B99" s="39"/>
      <c r="C99" s="39"/>
      <c r="D99" s="39"/>
      <c r="E99" s="39"/>
      <c r="F99" s="54"/>
      <c r="G99" s="76"/>
      <c r="H99" s="57"/>
      <c r="I99" s="39"/>
      <c r="J99" s="39"/>
      <c r="K99" s="12" t="s">
        <v>433</v>
      </c>
    </row>
    <row r="100">
      <c r="A100" s="54"/>
      <c r="B100" s="39"/>
      <c r="C100" s="39"/>
      <c r="D100" s="39"/>
      <c r="E100" s="39"/>
      <c r="F100" s="54"/>
      <c r="G100" s="76"/>
      <c r="H100" s="57"/>
      <c r="I100" s="57"/>
      <c r="J100" s="57"/>
      <c r="K100" s="12" t="s">
        <v>433</v>
      </c>
    </row>
    <row r="101">
      <c r="A101" s="39"/>
      <c r="B101" s="39"/>
      <c r="C101" s="39"/>
      <c r="D101" s="39"/>
      <c r="E101" s="39"/>
      <c r="F101" s="54"/>
      <c r="G101" s="76"/>
      <c r="H101" s="57"/>
      <c r="I101" s="57"/>
      <c r="J101" s="57"/>
      <c r="K101" s="12" t="s">
        <v>433</v>
      </c>
    </row>
    <row r="102">
      <c r="A102" s="39"/>
      <c r="B102" s="39"/>
      <c r="C102" s="39"/>
      <c r="D102" s="39"/>
      <c r="E102" s="39"/>
      <c r="F102" s="54"/>
      <c r="G102" s="76"/>
      <c r="H102" s="57"/>
      <c r="I102" s="39"/>
      <c r="J102" s="39"/>
      <c r="K102" s="12" t="s">
        <v>433</v>
      </c>
    </row>
    <row r="103">
      <c r="A103" s="39"/>
      <c r="B103" s="39"/>
      <c r="C103" s="39"/>
      <c r="D103" s="39"/>
      <c r="E103" s="54"/>
      <c r="F103" s="54"/>
      <c r="G103" s="76"/>
      <c r="H103" s="57"/>
      <c r="I103" s="57"/>
      <c r="J103" s="57"/>
      <c r="K103" s="12" t="s">
        <v>433</v>
      </c>
    </row>
    <row r="104">
      <c r="A104" s="39"/>
      <c r="B104" s="39"/>
      <c r="C104" s="39"/>
      <c r="D104" s="39"/>
      <c r="E104" s="54"/>
      <c r="F104" s="54"/>
      <c r="G104" s="76"/>
      <c r="H104" s="57"/>
      <c r="I104" s="57"/>
      <c r="J104" s="57"/>
      <c r="K104" s="12" t="s">
        <v>433</v>
      </c>
    </row>
    <row r="105">
      <c r="A105" s="54"/>
      <c r="B105" s="39"/>
      <c r="C105" s="39"/>
      <c r="D105" s="39"/>
      <c r="E105" s="54"/>
      <c r="F105" s="54"/>
      <c r="G105" s="76"/>
      <c r="H105" s="57"/>
      <c r="I105" s="39"/>
      <c r="J105" s="39"/>
      <c r="K105" s="12" t="s">
        <v>433</v>
      </c>
    </row>
    <row r="106">
      <c r="A106" s="39"/>
      <c r="B106" s="39"/>
      <c r="C106" s="39"/>
      <c r="D106" s="39"/>
      <c r="E106" s="54"/>
      <c r="F106" s="54"/>
      <c r="G106" s="76"/>
      <c r="H106" s="57"/>
      <c r="I106" s="39"/>
      <c r="J106" s="39"/>
      <c r="K106" s="12" t="s">
        <v>433</v>
      </c>
    </row>
    <row r="107">
      <c r="A107" s="39"/>
      <c r="B107" s="39"/>
      <c r="C107" s="39"/>
      <c r="D107" s="39"/>
      <c r="E107" s="39"/>
      <c r="F107" s="54"/>
      <c r="G107" s="76"/>
      <c r="H107" s="57"/>
      <c r="I107" s="57"/>
      <c r="J107" s="57"/>
      <c r="K107" s="12" t="s">
        <v>433</v>
      </c>
    </row>
    <row r="108">
      <c r="A108" s="54"/>
      <c r="B108" s="39"/>
      <c r="C108" s="39"/>
      <c r="D108" s="39"/>
      <c r="E108" s="54"/>
      <c r="F108" s="54"/>
      <c r="G108" s="76"/>
      <c r="H108" s="57"/>
      <c r="I108" s="39"/>
      <c r="J108" s="39"/>
      <c r="K108" s="12" t="s">
        <v>433</v>
      </c>
    </row>
    <row r="109">
      <c r="A109" s="39"/>
      <c r="B109" s="39"/>
      <c r="C109" s="39"/>
      <c r="D109" s="39"/>
      <c r="E109" s="39"/>
      <c r="F109" s="54"/>
      <c r="G109" s="76"/>
      <c r="H109" s="57"/>
      <c r="I109" s="57"/>
      <c r="J109" s="57"/>
      <c r="K109" s="12" t="s">
        <v>433</v>
      </c>
    </row>
  </sheetData>
  <hyperlinks>
    <hyperlink r:id="rId1" ref="H2"/>
    <hyperlink r:id="rId2" ref="I2"/>
    <hyperlink r:id="rId3" ref="H3"/>
    <hyperlink r:id="rId4" ref="I3"/>
    <hyperlink r:id="rId5" ref="H4"/>
    <hyperlink r:id="rId6" ref="I4"/>
    <hyperlink r:id="rId7" ref="H5"/>
    <hyperlink r:id="rId8" ref="I5"/>
    <hyperlink r:id="rId9" ref="H6"/>
    <hyperlink r:id="rId10" ref="I6"/>
    <hyperlink r:id="rId11" ref="H7"/>
    <hyperlink r:id="rId12" ref="I7"/>
    <hyperlink r:id="rId13" ref="H8"/>
    <hyperlink r:id="rId14" ref="I8"/>
    <hyperlink r:id="rId15" ref="H9"/>
    <hyperlink r:id="rId16" ref="I9"/>
    <hyperlink r:id="rId17" ref="H10"/>
    <hyperlink r:id="rId18" ref="I10"/>
    <hyperlink r:id="rId19" ref="H11"/>
    <hyperlink r:id="rId20" ref="H12"/>
    <hyperlink r:id="rId21" ref="I12"/>
    <hyperlink r:id="rId22" ref="H13"/>
    <hyperlink r:id="rId23" ref="I13"/>
    <hyperlink r:id="rId24" ref="K13"/>
    <hyperlink r:id="rId25" ref="H14"/>
    <hyperlink r:id="rId26" ref="I14"/>
    <hyperlink r:id="rId27" ref="H15"/>
    <hyperlink r:id="rId28" ref="I15"/>
    <hyperlink r:id="rId29" ref="K15"/>
    <hyperlink r:id="rId30" ref="H16"/>
    <hyperlink r:id="rId31" ref="I16"/>
    <hyperlink r:id="rId32" ref="H17"/>
    <hyperlink r:id="rId33" ref="I17"/>
    <hyperlink r:id="rId34" ref="K17"/>
    <hyperlink r:id="rId35" ref="H18"/>
    <hyperlink r:id="rId36" ref="H19"/>
    <hyperlink r:id="rId37" ref="I19"/>
    <hyperlink r:id="rId38" ref="H20"/>
    <hyperlink r:id="rId39" ref="I20"/>
    <hyperlink r:id="rId40" ref="H21"/>
    <hyperlink r:id="rId41" ref="I21"/>
    <hyperlink r:id="rId42" ref="H22"/>
    <hyperlink r:id="rId43" ref="I22"/>
    <hyperlink r:id="rId44" ref="H23"/>
    <hyperlink r:id="rId45" ref="I23"/>
  </hyperlinks>
  <drawing r:id="rId4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5"/>
    <col customWidth="1" min="2" max="2" width="9.25"/>
    <col customWidth="1" min="3" max="3" width="15.0"/>
    <col customWidth="1" min="4" max="4" width="14.88"/>
    <col customWidth="1" min="5" max="5" width="34.75"/>
    <col customWidth="1" min="6" max="6" width="13.75"/>
    <col customWidth="1" min="7" max="7" width="11.25"/>
    <col customWidth="1" min="10" max="10" width="17.63"/>
  </cols>
  <sheetData>
    <row r="1">
      <c r="A1" s="7" t="s">
        <v>13</v>
      </c>
      <c r="B1" s="7" t="s">
        <v>14</v>
      </c>
      <c r="C1" s="7" t="s">
        <v>15</v>
      </c>
      <c r="D1" s="7" t="s">
        <v>16</v>
      </c>
      <c r="E1" s="7" t="s">
        <v>17</v>
      </c>
      <c r="F1" s="7" t="s">
        <v>18</v>
      </c>
      <c r="G1" s="7" t="s">
        <v>19</v>
      </c>
      <c r="H1" s="7" t="s">
        <v>20</v>
      </c>
      <c r="I1" s="7" t="s">
        <v>21</v>
      </c>
      <c r="J1" s="7" t="s">
        <v>22</v>
      </c>
      <c r="K1" s="8" t="s">
        <v>23</v>
      </c>
    </row>
    <row r="2">
      <c r="A2" s="39" t="s">
        <v>1030</v>
      </c>
      <c r="B2" s="39" t="s">
        <v>37</v>
      </c>
      <c r="C2" s="39" t="s">
        <v>1031</v>
      </c>
      <c r="D2" s="78" t="s">
        <v>27</v>
      </c>
      <c r="E2" s="54" t="s">
        <v>1032</v>
      </c>
      <c r="F2" s="55">
        <v>42333.0</v>
      </c>
      <c r="G2" s="55">
        <v>42381.0</v>
      </c>
      <c r="H2" s="95" t="s">
        <v>1033</v>
      </c>
      <c r="I2" s="95" t="s">
        <v>1034</v>
      </c>
      <c r="J2" s="12" t="s">
        <v>30</v>
      </c>
      <c r="K2" s="81" t="s">
        <v>1035</v>
      </c>
      <c r="L2" s="12" t="s">
        <v>433</v>
      </c>
    </row>
    <row r="3">
      <c r="A3" s="39" t="s">
        <v>1036</v>
      </c>
      <c r="B3" s="39" t="s">
        <v>184</v>
      </c>
      <c r="C3" s="39" t="s">
        <v>883</v>
      </c>
      <c r="D3" s="39" t="s">
        <v>27</v>
      </c>
      <c r="E3" s="39" t="s">
        <v>1037</v>
      </c>
      <c r="F3" s="55">
        <v>42380.0</v>
      </c>
      <c r="G3" s="55">
        <v>42409.0</v>
      </c>
      <c r="H3" s="95" t="s">
        <v>1038</v>
      </c>
      <c r="I3" s="95" t="s">
        <v>1039</v>
      </c>
      <c r="J3" s="12" t="s">
        <v>30</v>
      </c>
      <c r="K3" s="81" t="s">
        <v>1040</v>
      </c>
      <c r="L3" s="12" t="s">
        <v>433</v>
      </c>
    </row>
    <row r="4">
      <c r="A4" s="39" t="s">
        <v>1041</v>
      </c>
      <c r="B4" s="39" t="s">
        <v>184</v>
      </c>
      <c r="C4" s="39" t="s">
        <v>883</v>
      </c>
      <c r="D4" s="39" t="s">
        <v>27</v>
      </c>
      <c r="E4" s="39" t="s">
        <v>1042</v>
      </c>
      <c r="F4" s="97" t="s">
        <v>30</v>
      </c>
      <c r="G4" s="55">
        <v>42439.0</v>
      </c>
      <c r="H4" s="95" t="s">
        <v>1043</v>
      </c>
      <c r="I4" s="95" t="s">
        <v>1044</v>
      </c>
      <c r="J4" s="12" t="s">
        <v>30</v>
      </c>
      <c r="K4" s="81" t="s">
        <v>1045</v>
      </c>
      <c r="L4" s="12" t="s">
        <v>433</v>
      </c>
    </row>
    <row r="5">
      <c r="A5" s="39" t="s">
        <v>1046</v>
      </c>
      <c r="B5" s="39" t="s">
        <v>184</v>
      </c>
      <c r="C5" s="39" t="s">
        <v>883</v>
      </c>
      <c r="D5" s="39" t="s">
        <v>27</v>
      </c>
      <c r="E5" s="39" t="s">
        <v>1047</v>
      </c>
      <c r="F5" s="55">
        <v>42462.0</v>
      </c>
      <c r="G5" s="55">
        <v>42467.0</v>
      </c>
      <c r="H5" s="95" t="s">
        <v>1048</v>
      </c>
      <c r="I5" s="95" t="s">
        <v>1049</v>
      </c>
      <c r="J5" s="12" t="s">
        <v>30</v>
      </c>
      <c r="K5" s="81" t="s">
        <v>1050</v>
      </c>
      <c r="L5" s="12" t="s">
        <v>433</v>
      </c>
    </row>
    <row r="6">
      <c r="A6" s="39" t="s">
        <v>1051</v>
      </c>
      <c r="B6" s="39" t="s">
        <v>37</v>
      </c>
      <c r="C6" s="39" t="s">
        <v>397</v>
      </c>
      <c r="D6" s="39" t="s">
        <v>769</v>
      </c>
      <c r="E6" s="54" t="s">
        <v>1052</v>
      </c>
      <c r="F6" s="97" t="s">
        <v>30</v>
      </c>
      <c r="G6" s="55">
        <v>42472.0</v>
      </c>
      <c r="H6" s="95" t="s">
        <v>1053</v>
      </c>
      <c r="I6" s="95" t="s">
        <v>1054</v>
      </c>
      <c r="J6" s="12" t="s">
        <v>30</v>
      </c>
      <c r="K6" s="81" t="s">
        <v>1055</v>
      </c>
      <c r="L6" s="12" t="s">
        <v>433</v>
      </c>
    </row>
    <row r="7">
      <c r="A7" s="39" t="s">
        <v>1056</v>
      </c>
      <c r="B7" s="39" t="s">
        <v>37</v>
      </c>
      <c r="C7" s="39" t="s">
        <v>1057</v>
      </c>
      <c r="D7" s="39" t="s">
        <v>27</v>
      </c>
      <c r="E7" s="39" t="s">
        <v>1058</v>
      </c>
      <c r="F7" s="97" t="s">
        <v>30</v>
      </c>
      <c r="G7" s="55">
        <v>42472.0</v>
      </c>
      <c r="H7" s="95" t="s">
        <v>1059</v>
      </c>
      <c r="I7" s="95" t="s">
        <v>1060</v>
      </c>
      <c r="J7" s="12" t="s">
        <v>30</v>
      </c>
      <c r="K7" s="81" t="s">
        <v>1061</v>
      </c>
      <c r="L7" s="12" t="s">
        <v>433</v>
      </c>
    </row>
    <row r="8">
      <c r="A8" s="54" t="s">
        <v>1062</v>
      </c>
      <c r="B8" s="39" t="s">
        <v>37</v>
      </c>
      <c r="C8" s="39" t="s">
        <v>1057</v>
      </c>
      <c r="D8" s="39" t="s">
        <v>27</v>
      </c>
      <c r="E8" s="54" t="s">
        <v>1063</v>
      </c>
      <c r="F8" s="104">
        <v>42437.0</v>
      </c>
      <c r="G8" s="55">
        <v>42472.0</v>
      </c>
      <c r="H8" s="95" t="s">
        <v>1059</v>
      </c>
      <c r="I8" s="95" t="s">
        <v>1064</v>
      </c>
      <c r="J8" s="12" t="s">
        <v>30</v>
      </c>
      <c r="K8" s="81" t="s">
        <v>1065</v>
      </c>
      <c r="L8" s="12" t="s">
        <v>433</v>
      </c>
    </row>
    <row r="9">
      <c r="A9" s="54" t="s">
        <v>1066</v>
      </c>
      <c r="B9" s="39" t="s">
        <v>37</v>
      </c>
      <c r="C9" s="39" t="s">
        <v>397</v>
      </c>
      <c r="D9" s="39" t="s">
        <v>27</v>
      </c>
      <c r="E9" s="54" t="s">
        <v>1067</v>
      </c>
      <c r="F9" s="97" t="s">
        <v>30</v>
      </c>
      <c r="G9" s="55">
        <v>42500.0</v>
      </c>
      <c r="H9" s="95" t="s">
        <v>1068</v>
      </c>
      <c r="I9" s="95" t="s">
        <v>1069</v>
      </c>
      <c r="J9" s="12" t="s">
        <v>30</v>
      </c>
      <c r="K9" s="12" t="s">
        <v>30</v>
      </c>
      <c r="L9" s="12" t="s">
        <v>433</v>
      </c>
    </row>
    <row r="10">
      <c r="A10" s="54" t="s">
        <v>1070</v>
      </c>
      <c r="B10" s="39" t="s">
        <v>184</v>
      </c>
      <c r="C10" s="39" t="s">
        <v>883</v>
      </c>
      <c r="D10" s="39" t="s">
        <v>27</v>
      </c>
      <c r="E10" s="39" t="s">
        <v>1071</v>
      </c>
      <c r="F10" s="55">
        <v>42498.0</v>
      </c>
      <c r="G10" s="55">
        <v>42502.0</v>
      </c>
      <c r="H10" s="95" t="s">
        <v>1072</v>
      </c>
      <c r="I10" s="95" t="s">
        <v>1073</v>
      </c>
      <c r="J10" s="12" t="s">
        <v>30</v>
      </c>
      <c r="K10" s="81" t="s">
        <v>1074</v>
      </c>
      <c r="L10" s="12" t="s">
        <v>433</v>
      </c>
    </row>
    <row r="11">
      <c r="A11" s="54" t="s">
        <v>1075</v>
      </c>
      <c r="B11" s="39" t="s">
        <v>184</v>
      </c>
      <c r="C11" s="39" t="s">
        <v>883</v>
      </c>
      <c r="D11" s="79" t="s">
        <v>27</v>
      </c>
      <c r="E11" s="54" t="s">
        <v>1076</v>
      </c>
      <c r="F11" s="39" t="s">
        <v>30</v>
      </c>
      <c r="G11" s="55">
        <v>42536.0</v>
      </c>
      <c r="H11" s="95" t="s">
        <v>1077</v>
      </c>
      <c r="I11" s="95" t="s">
        <v>1078</v>
      </c>
      <c r="J11" s="12" t="s">
        <v>30</v>
      </c>
      <c r="K11" s="81" t="s">
        <v>1079</v>
      </c>
      <c r="L11" s="12" t="s">
        <v>433</v>
      </c>
    </row>
    <row r="12">
      <c r="A12" s="54" t="s">
        <v>1080</v>
      </c>
      <c r="B12" s="39" t="s">
        <v>967</v>
      </c>
      <c r="C12" s="39" t="s">
        <v>1081</v>
      </c>
      <c r="D12" s="39" t="s">
        <v>27</v>
      </c>
      <c r="E12" s="54" t="s">
        <v>1082</v>
      </c>
      <c r="F12" s="55">
        <v>42597.0</v>
      </c>
      <c r="G12" s="55">
        <v>42599.0</v>
      </c>
      <c r="H12" s="95" t="s">
        <v>1083</v>
      </c>
      <c r="I12" s="95" t="s">
        <v>1084</v>
      </c>
      <c r="J12" s="12" t="s">
        <v>30</v>
      </c>
      <c r="K12" s="81" t="s">
        <v>1085</v>
      </c>
      <c r="L12" s="12" t="s">
        <v>433</v>
      </c>
    </row>
    <row r="13">
      <c r="A13" s="39" t="s">
        <v>1086</v>
      </c>
      <c r="B13" s="39" t="s">
        <v>967</v>
      </c>
      <c r="C13" s="39" t="s">
        <v>1081</v>
      </c>
      <c r="D13" s="39" t="s">
        <v>27</v>
      </c>
      <c r="E13" s="39" t="s">
        <v>1087</v>
      </c>
      <c r="F13" s="55">
        <v>42597.0</v>
      </c>
      <c r="G13" s="55">
        <v>42599.0</v>
      </c>
      <c r="H13" s="95" t="s">
        <v>1088</v>
      </c>
      <c r="I13" s="81" t="s">
        <v>30</v>
      </c>
      <c r="J13" s="12" t="s">
        <v>30</v>
      </c>
      <c r="K13" s="81" t="s">
        <v>1085</v>
      </c>
      <c r="L13" s="12" t="s">
        <v>433</v>
      </c>
    </row>
    <row r="14">
      <c r="A14" s="39" t="s">
        <v>1089</v>
      </c>
      <c r="B14" s="39" t="s">
        <v>32</v>
      </c>
      <c r="C14" s="39" t="s">
        <v>79</v>
      </c>
      <c r="D14" s="39" t="s">
        <v>769</v>
      </c>
      <c r="E14" s="39" t="s">
        <v>1090</v>
      </c>
      <c r="F14" s="55">
        <v>42597.0</v>
      </c>
      <c r="G14" s="55">
        <v>42607.0</v>
      </c>
      <c r="H14" s="95" t="s">
        <v>1091</v>
      </c>
      <c r="I14" s="95" t="s">
        <v>1092</v>
      </c>
      <c r="J14" s="12" t="s">
        <v>30</v>
      </c>
      <c r="K14" s="81" t="s">
        <v>1093</v>
      </c>
      <c r="L14" s="12" t="s">
        <v>433</v>
      </c>
    </row>
    <row r="15">
      <c r="A15" s="75" t="s">
        <v>1094</v>
      </c>
      <c r="B15" s="39" t="s">
        <v>32</v>
      </c>
      <c r="C15" s="39" t="s">
        <v>79</v>
      </c>
      <c r="D15" s="39" t="s">
        <v>27</v>
      </c>
      <c r="E15" s="54" t="s">
        <v>1095</v>
      </c>
      <c r="F15" s="55">
        <v>42597.0</v>
      </c>
      <c r="G15" s="55">
        <v>42607.0</v>
      </c>
      <c r="H15" s="95" t="s">
        <v>1091</v>
      </c>
      <c r="I15" s="95" t="s">
        <v>1092</v>
      </c>
      <c r="J15" s="12" t="s">
        <v>30</v>
      </c>
      <c r="K15" s="81" t="s">
        <v>1093</v>
      </c>
      <c r="L15" s="12" t="s">
        <v>433</v>
      </c>
    </row>
    <row r="16">
      <c r="A16" s="39" t="s">
        <v>1096</v>
      </c>
      <c r="B16" s="39" t="s">
        <v>32</v>
      </c>
      <c r="C16" s="39" t="s">
        <v>33</v>
      </c>
      <c r="D16" s="39" t="s">
        <v>27</v>
      </c>
      <c r="E16" s="54" t="s">
        <v>1097</v>
      </c>
      <c r="F16" s="55">
        <v>42597.0</v>
      </c>
      <c r="G16" s="55">
        <v>42607.0</v>
      </c>
      <c r="H16" s="95" t="s">
        <v>1091</v>
      </c>
      <c r="I16" s="81" t="s">
        <v>30</v>
      </c>
      <c r="J16" s="12" t="s">
        <v>30</v>
      </c>
      <c r="K16" s="81" t="s">
        <v>1093</v>
      </c>
      <c r="L16" s="12" t="s">
        <v>433</v>
      </c>
    </row>
    <row r="17">
      <c r="A17" s="54" t="s">
        <v>1098</v>
      </c>
      <c r="B17" s="39" t="s">
        <v>37</v>
      </c>
      <c r="C17" s="39" t="s">
        <v>397</v>
      </c>
      <c r="D17" s="39" t="s">
        <v>769</v>
      </c>
      <c r="E17" s="39" t="s">
        <v>1099</v>
      </c>
      <c r="F17" s="39" t="s">
        <v>30</v>
      </c>
      <c r="G17" s="55">
        <v>42626.0</v>
      </c>
      <c r="H17" s="95" t="s">
        <v>1100</v>
      </c>
      <c r="I17" s="95" t="s">
        <v>1101</v>
      </c>
      <c r="J17" s="12" t="s">
        <v>30</v>
      </c>
      <c r="K17" s="81" t="s">
        <v>1102</v>
      </c>
      <c r="L17" s="12" t="s">
        <v>433</v>
      </c>
    </row>
    <row r="18">
      <c r="A18" s="54" t="s">
        <v>1103</v>
      </c>
      <c r="B18" s="39" t="s">
        <v>37</v>
      </c>
      <c r="C18" s="39" t="s">
        <v>397</v>
      </c>
      <c r="D18" s="39" t="s">
        <v>769</v>
      </c>
      <c r="E18" s="39" t="s">
        <v>1104</v>
      </c>
      <c r="F18" s="55">
        <v>42472.0</v>
      </c>
      <c r="G18" s="55">
        <v>42654.0</v>
      </c>
      <c r="H18" s="95" t="s">
        <v>1105</v>
      </c>
      <c r="I18" s="95" t="s">
        <v>1106</v>
      </c>
      <c r="J18" s="12" t="s">
        <v>30</v>
      </c>
      <c r="K18" s="12" t="s">
        <v>30</v>
      </c>
      <c r="L18" s="12" t="s">
        <v>433</v>
      </c>
    </row>
    <row r="19">
      <c r="A19" s="54" t="s">
        <v>1107</v>
      </c>
      <c r="B19" s="39" t="s">
        <v>37</v>
      </c>
      <c r="C19" s="39" t="s">
        <v>38</v>
      </c>
      <c r="D19" s="39" t="s">
        <v>27</v>
      </c>
      <c r="E19" s="39" t="s">
        <v>1108</v>
      </c>
      <c r="F19" s="39" t="s">
        <v>30</v>
      </c>
      <c r="G19" s="55">
        <v>42654.0</v>
      </c>
      <c r="H19" s="95" t="s">
        <v>1109</v>
      </c>
      <c r="I19" s="95" t="s">
        <v>1110</v>
      </c>
      <c r="J19" s="12" t="s">
        <v>30</v>
      </c>
      <c r="K19" s="12" t="s">
        <v>30</v>
      </c>
      <c r="L19" s="12" t="s">
        <v>433</v>
      </c>
    </row>
    <row r="20">
      <c r="A20" s="54" t="s">
        <v>1111</v>
      </c>
      <c r="B20" s="39" t="s">
        <v>37</v>
      </c>
      <c r="C20" s="39" t="s">
        <v>643</v>
      </c>
      <c r="D20" s="39" t="s">
        <v>27</v>
      </c>
      <c r="E20" s="39" t="s">
        <v>1112</v>
      </c>
      <c r="F20" s="97" t="s">
        <v>30</v>
      </c>
      <c r="G20" s="55">
        <v>42654.0</v>
      </c>
      <c r="H20" s="95" t="s">
        <v>1113</v>
      </c>
      <c r="I20" s="95" t="s">
        <v>1114</v>
      </c>
      <c r="J20" s="12" t="s">
        <v>30</v>
      </c>
      <c r="K20" s="12" t="s">
        <v>30</v>
      </c>
      <c r="L20" s="12" t="s">
        <v>433</v>
      </c>
    </row>
    <row r="21">
      <c r="A21" s="39" t="s">
        <v>1115</v>
      </c>
      <c r="B21" s="39" t="s">
        <v>1116</v>
      </c>
      <c r="C21" s="39" t="s">
        <v>1117</v>
      </c>
      <c r="D21" s="39" t="s">
        <v>27</v>
      </c>
      <c r="E21" s="39" t="s">
        <v>1118</v>
      </c>
      <c r="F21" s="97" t="s">
        <v>30</v>
      </c>
      <c r="G21" s="55">
        <v>42661.0</v>
      </c>
      <c r="H21" s="95" t="s">
        <v>1119</v>
      </c>
      <c r="I21" s="81" t="s">
        <v>30</v>
      </c>
      <c r="J21" s="12" t="s">
        <v>30</v>
      </c>
      <c r="K21" s="81" t="s">
        <v>1120</v>
      </c>
      <c r="L21" s="12" t="s">
        <v>433</v>
      </c>
    </row>
    <row r="22">
      <c r="A22" s="54" t="s">
        <v>1121</v>
      </c>
      <c r="B22" s="39" t="s">
        <v>184</v>
      </c>
      <c r="C22" s="39" t="s">
        <v>883</v>
      </c>
      <c r="D22" s="39" t="s">
        <v>27</v>
      </c>
      <c r="E22" s="54" t="s">
        <v>1122</v>
      </c>
      <c r="F22" s="55">
        <v>42664.0</v>
      </c>
      <c r="G22" s="55">
        <v>42669.0</v>
      </c>
      <c r="H22" s="95" t="s">
        <v>1123</v>
      </c>
      <c r="I22" s="95" t="s">
        <v>1124</v>
      </c>
      <c r="J22" s="12" t="s">
        <v>30</v>
      </c>
      <c r="K22" s="81" t="s">
        <v>1125</v>
      </c>
      <c r="L22" s="12" t="s">
        <v>433</v>
      </c>
    </row>
    <row r="23">
      <c r="A23" s="54" t="s">
        <v>1126</v>
      </c>
      <c r="B23" s="39" t="s">
        <v>37</v>
      </c>
      <c r="C23" s="39" t="s">
        <v>38</v>
      </c>
      <c r="D23" s="39" t="s">
        <v>27</v>
      </c>
      <c r="E23" s="54" t="s">
        <v>1127</v>
      </c>
      <c r="F23" s="97" t="s">
        <v>30</v>
      </c>
      <c r="G23" s="55">
        <v>42682.0</v>
      </c>
      <c r="H23" s="95" t="s">
        <v>1128</v>
      </c>
      <c r="I23" s="95" t="s">
        <v>1129</v>
      </c>
      <c r="J23" s="12" t="s">
        <v>30</v>
      </c>
      <c r="K23" s="81" t="s">
        <v>1130</v>
      </c>
      <c r="L23" s="12" t="s">
        <v>433</v>
      </c>
    </row>
    <row r="24">
      <c r="A24" s="54" t="s">
        <v>1131</v>
      </c>
      <c r="B24" s="39" t="s">
        <v>37</v>
      </c>
      <c r="C24" s="39" t="s">
        <v>1057</v>
      </c>
      <c r="D24" s="39" t="s">
        <v>27</v>
      </c>
      <c r="E24" s="54" t="s">
        <v>1132</v>
      </c>
      <c r="F24" s="55">
        <v>42664.0</v>
      </c>
      <c r="G24" s="55">
        <v>42682.0</v>
      </c>
      <c r="H24" s="95" t="s">
        <v>1133</v>
      </c>
      <c r="I24" s="95" t="s">
        <v>1134</v>
      </c>
      <c r="J24" s="12" t="s">
        <v>30</v>
      </c>
      <c r="K24" s="81" t="s">
        <v>1135</v>
      </c>
      <c r="L24" s="12" t="s">
        <v>433</v>
      </c>
    </row>
    <row r="25">
      <c r="A25" s="39" t="s">
        <v>1136</v>
      </c>
      <c r="B25" s="39" t="s">
        <v>286</v>
      </c>
      <c r="C25" s="39" t="s">
        <v>287</v>
      </c>
      <c r="D25" s="39" t="s">
        <v>27</v>
      </c>
      <c r="E25" s="39" t="s">
        <v>1137</v>
      </c>
      <c r="F25" s="55">
        <v>42703.0</v>
      </c>
      <c r="G25" s="55">
        <v>42704.0</v>
      </c>
      <c r="H25" s="95" t="s">
        <v>1138</v>
      </c>
      <c r="I25" s="95" t="s">
        <v>1139</v>
      </c>
      <c r="J25" s="12" t="s">
        <v>30</v>
      </c>
      <c r="K25" s="81" t="s">
        <v>1140</v>
      </c>
      <c r="L25" s="12" t="s">
        <v>433</v>
      </c>
    </row>
    <row r="26">
      <c r="A26" s="54" t="s">
        <v>1141</v>
      </c>
      <c r="B26" s="39" t="s">
        <v>184</v>
      </c>
      <c r="C26" s="39" t="s">
        <v>883</v>
      </c>
      <c r="D26" s="39" t="s">
        <v>27</v>
      </c>
      <c r="E26" s="54" t="s">
        <v>1122</v>
      </c>
      <c r="F26" s="97" t="s">
        <v>30</v>
      </c>
      <c r="G26" s="55">
        <v>42717.0</v>
      </c>
      <c r="H26" s="95" t="s">
        <v>1142</v>
      </c>
      <c r="I26" s="81" t="s">
        <v>30</v>
      </c>
      <c r="J26" s="12" t="s">
        <v>30</v>
      </c>
      <c r="K26" s="81" t="s">
        <v>1143</v>
      </c>
      <c r="L26" s="12" t="s">
        <v>433</v>
      </c>
    </row>
    <row r="27">
      <c r="A27" s="54"/>
      <c r="B27" s="39"/>
      <c r="C27" s="39"/>
      <c r="D27" s="39"/>
      <c r="E27" s="39"/>
      <c r="F27" s="39"/>
      <c r="G27" s="76"/>
      <c r="H27" s="57"/>
      <c r="I27" s="57"/>
      <c r="J27" s="57"/>
      <c r="K27" s="12" t="s">
        <v>433</v>
      </c>
      <c r="L27" s="12" t="s">
        <v>433</v>
      </c>
    </row>
    <row r="28">
      <c r="A28" s="54"/>
      <c r="B28" s="39"/>
      <c r="C28" s="39"/>
      <c r="D28" s="39"/>
      <c r="E28" s="39"/>
      <c r="F28" s="39"/>
      <c r="G28" s="76"/>
      <c r="H28" s="57"/>
      <c r="I28" s="57"/>
      <c r="J28" s="57"/>
      <c r="K28" s="12" t="s">
        <v>433</v>
      </c>
      <c r="L28" s="12" t="s">
        <v>433</v>
      </c>
    </row>
    <row r="29">
      <c r="A29" s="54"/>
      <c r="B29" s="39"/>
      <c r="C29" s="39"/>
      <c r="D29" s="39"/>
      <c r="E29" s="39"/>
      <c r="F29" s="39"/>
      <c r="G29" s="76"/>
      <c r="H29" s="57"/>
      <c r="I29" s="57"/>
      <c r="J29" s="57"/>
      <c r="K29" s="12" t="s">
        <v>433</v>
      </c>
    </row>
    <row r="30">
      <c r="A30" s="54"/>
      <c r="B30" s="39"/>
      <c r="C30" s="39"/>
      <c r="D30" s="39"/>
      <c r="E30" s="39"/>
      <c r="F30" s="39"/>
      <c r="G30" s="76"/>
      <c r="H30" s="57"/>
      <c r="I30" s="57"/>
      <c r="J30" s="57"/>
      <c r="K30" s="12" t="s">
        <v>433</v>
      </c>
    </row>
    <row r="31">
      <c r="A31" s="54"/>
      <c r="B31" s="39"/>
      <c r="C31" s="39"/>
      <c r="D31" s="39"/>
      <c r="E31" s="39"/>
      <c r="F31" s="39"/>
      <c r="G31" s="76"/>
      <c r="H31" s="57"/>
      <c r="I31" s="57"/>
      <c r="J31" s="57"/>
      <c r="K31" s="12" t="s">
        <v>433</v>
      </c>
    </row>
    <row r="32">
      <c r="A32" s="54"/>
      <c r="B32" s="39"/>
      <c r="C32" s="39"/>
      <c r="D32" s="39"/>
      <c r="E32" s="39"/>
      <c r="F32" s="39"/>
      <c r="G32" s="76"/>
      <c r="H32" s="57"/>
      <c r="I32" s="39"/>
      <c r="J32" s="39"/>
      <c r="K32" s="12" t="s">
        <v>433</v>
      </c>
    </row>
    <row r="33">
      <c r="A33" s="39"/>
      <c r="B33" s="39"/>
      <c r="C33" s="39"/>
      <c r="D33" s="39"/>
      <c r="E33" s="39"/>
      <c r="F33" s="39"/>
      <c r="G33" s="76"/>
      <c r="H33" s="57"/>
      <c r="I33" s="57"/>
      <c r="J33" s="57"/>
      <c r="K33" s="12" t="s">
        <v>433</v>
      </c>
    </row>
    <row r="34">
      <c r="A34" s="54"/>
      <c r="B34" s="39"/>
      <c r="C34" s="39"/>
      <c r="D34" s="39"/>
      <c r="E34" s="39"/>
      <c r="F34" s="39"/>
      <c r="G34" s="76"/>
      <c r="H34" s="57"/>
      <c r="I34" s="57"/>
      <c r="J34" s="57"/>
      <c r="K34" s="12" t="s">
        <v>433</v>
      </c>
    </row>
    <row r="35">
      <c r="A35" s="54"/>
      <c r="B35" s="39"/>
      <c r="C35" s="39"/>
      <c r="D35" s="39"/>
      <c r="E35" s="39"/>
      <c r="F35" s="39"/>
      <c r="G35" s="76"/>
      <c r="H35" s="57"/>
      <c r="I35" s="57"/>
      <c r="J35" s="57"/>
      <c r="K35" s="12" t="s">
        <v>433</v>
      </c>
    </row>
    <row r="36">
      <c r="A36" s="54"/>
      <c r="B36" s="39"/>
      <c r="C36" s="39"/>
      <c r="D36" s="39"/>
      <c r="E36" s="39"/>
      <c r="F36" s="39"/>
      <c r="G36" s="76"/>
      <c r="H36" s="57"/>
      <c r="I36" s="39"/>
      <c r="J36" s="39"/>
      <c r="K36" s="12" t="s">
        <v>433</v>
      </c>
    </row>
    <row r="37">
      <c r="A37" s="54"/>
      <c r="B37" s="39"/>
      <c r="C37" s="39"/>
      <c r="D37" s="39"/>
      <c r="E37" s="54"/>
      <c r="F37" s="39"/>
      <c r="G37" s="76"/>
      <c r="H37" s="57"/>
      <c r="I37" s="57"/>
      <c r="J37" s="57"/>
      <c r="K37" s="12" t="s">
        <v>433</v>
      </c>
    </row>
    <row r="38">
      <c r="A38" s="54"/>
      <c r="B38" s="39"/>
      <c r="C38" s="39"/>
      <c r="D38" s="39"/>
      <c r="E38" s="39"/>
      <c r="F38" s="39"/>
      <c r="G38" s="76"/>
      <c r="H38" s="57"/>
      <c r="I38" s="57"/>
      <c r="J38" s="57"/>
      <c r="K38" s="12" t="s">
        <v>433</v>
      </c>
    </row>
    <row r="39">
      <c r="A39" s="54"/>
      <c r="B39" s="39"/>
      <c r="C39" s="39"/>
      <c r="D39" s="39"/>
      <c r="E39" s="39"/>
      <c r="F39" s="39"/>
      <c r="G39" s="76"/>
      <c r="H39" s="57"/>
      <c r="I39" s="57"/>
      <c r="J39" s="57"/>
      <c r="K39" s="12" t="s">
        <v>433</v>
      </c>
    </row>
    <row r="40">
      <c r="A40" s="54"/>
      <c r="B40" s="39"/>
      <c r="C40" s="39"/>
      <c r="D40" s="39"/>
      <c r="E40" s="39"/>
      <c r="F40" s="39"/>
      <c r="G40" s="76"/>
      <c r="H40" s="57"/>
      <c r="I40" s="57"/>
      <c r="J40" s="57"/>
      <c r="K40" s="12" t="s">
        <v>433</v>
      </c>
    </row>
    <row r="41">
      <c r="A41" s="54"/>
      <c r="B41" s="39"/>
      <c r="C41" s="39"/>
      <c r="D41" s="39"/>
      <c r="E41" s="39"/>
      <c r="F41" s="39"/>
      <c r="G41" s="76"/>
      <c r="H41" s="57"/>
      <c r="I41" s="57"/>
      <c r="J41" s="57"/>
      <c r="K41" s="12" t="s">
        <v>433</v>
      </c>
    </row>
    <row r="42">
      <c r="A42" s="54"/>
      <c r="B42" s="39"/>
      <c r="C42" s="39"/>
      <c r="D42" s="39"/>
      <c r="E42" s="39"/>
      <c r="F42" s="39"/>
      <c r="G42" s="76"/>
      <c r="H42" s="57"/>
      <c r="I42" s="57"/>
      <c r="J42" s="57"/>
      <c r="K42" s="12" t="s">
        <v>433</v>
      </c>
    </row>
    <row r="43">
      <c r="A43" s="54"/>
      <c r="B43" s="39"/>
      <c r="C43" s="39"/>
      <c r="D43" s="39"/>
      <c r="E43" s="39"/>
      <c r="F43" s="39"/>
      <c r="G43" s="76"/>
      <c r="H43" s="57"/>
      <c r="I43" s="57"/>
      <c r="J43" s="57"/>
      <c r="K43" s="12" t="s">
        <v>433</v>
      </c>
    </row>
    <row r="44">
      <c r="A44" s="54"/>
      <c r="B44" s="39"/>
      <c r="C44" s="39"/>
      <c r="D44" s="39"/>
      <c r="E44" s="39"/>
      <c r="F44" s="39"/>
      <c r="G44" s="76"/>
      <c r="H44" s="57"/>
      <c r="I44" s="57"/>
      <c r="J44" s="57"/>
      <c r="K44" s="12" t="s">
        <v>433</v>
      </c>
    </row>
    <row r="45">
      <c r="A45" s="54"/>
      <c r="B45" s="39"/>
      <c r="C45" s="39"/>
      <c r="D45" s="39"/>
      <c r="E45" s="39"/>
      <c r="F45" s="39"/>
      <c r="G45" s="76"/>
      <c r="H45" s="57"/>
      <c r="I45" s="57"/>
      <c r="J45" s="57"/>
      <c r="K45" s="12" t="s">
        <v>433</v>
      </c>
    </row>
    <row r="46">
      <c r="A46" s="54"/>
      <c r="B46" s="39"/>
      <c r="C46" s="39"/>
      <c r="D46" s="39"/>
      <c r="E46" s="54"/>
      <c r="F46" s="39"/>
      <c r="G46" s="76"/>
      <c r="H46" s="57"/>
      <c r="I46" s="39"/>
      <c r="J46" s="39"/>
      <c r="K46" s="12" t="s">
        <v>433</v>
      </c>
    </row>
    <row r="47">
      <c r="A47" s="39"/>
      <c r="B47" s="39"/>
      <c r="C47" s="39"/>
      <c r="D47" s="39"/>
      <c r="E47" s="39"/>
      <c r="F47" s="76"/>
      <c r="G47" s="76"/>
      <c r="H47" s="57"/>
      <c r="I47" s="57"/>
      <c r="J47" s="57"/>
      <c r="K47" s="12" t="s">
        <v>433</v>
      </c>
    </row>
    <row r="48">
      <c r="A48" s="54"/>
      <c r="B48" s="39"/>
      <c r="C48" s="39"/>
      <c r="D48" s="39"/>
      <c r="E48" s="54"/>
      <c r="F48" s="39"/>
      <c r="G48" s="76"/>
      <c r="H48" s="57"/>
      <c r="I48" s="57"/>
      <c r="J48" s="57"/>
      <c r="K48" s="12" t="s">
        <v>433</v>
      </c>
    </row>
    <row r="49">
      <c r="A49" s="54"/>
      <c r="B49" s="39"/>
      <c r="C49" s="39"/>
      <c r="D49" s="39"/>
      <c r="E49" s="54"/>
      <c r="F49" s="76"/>
      <c r="G49" s="76"/>
      <c r="H49" s="57"/>
      <c r="I49" s="57"/>
      <c r="J49" s="57"/>
      <c r="K49" s="12" t="s">
        <v>433</v>
      </c>
    </row>
    <row r="50">
      <c r="A50" s="54"/>
      <c r="B50" s="39"/>
      <c r="C50" s="39"/>
      <c r="D50" s="39"/>
      <c r="E50" s="54"/>
      <c r="F50" s="76"/>
      <c r="G50" s="76"/>
      <c r="H50" s="57"/>
      <c r="I50" s="57"/>
      <c r="J50" s="57"/>
      <c r="K50" s="12" t="s">
        <v>433</v>
      </c>
    </row>
    <row r="51">
      <c r="A51" s="39"/>
      <c r="B51" s="39"/>
      <c r="C51" s="39"/>
      <c r="D51" s="39"/>
      <c r="E51" s="39"/>
      <c r="F51" s="39"/>
      <c r="G51" s="76"/>
      <c r="H51" s="57"/>
      <c r="I51" s="39"/>
      <c r="J51" s="39"/>
      <c r="K51" s="12" t="s">
        <v>433</v>
      </c>
    </row>
    <row r="52">
      <c r="A52" s="54"/>
      <c r="B52" s="39"/>
      <c r="C52" s="39"/>
      <c r="D52" s="39"/>
      <c r="E52" s="39"/>
      <c r="F52" s="39"/>
      <c r="G52" s="76"/>
      <c r="H52" s="57"/>
      <c r="I52" s="57"/>
      <c r="J52" s="57"/>
      <c r="K52" s="12" t="s">
        <v>433</v>
      </c>
    </row>
    <row r="53">
      <c r="A53" s="54"/>
      <c r="B53" s="39"/>
      <c r="C53" s="39"/>
      <c r="D53" s="39"/>
      <c r="E53" s="39"/>
      <c r="F53" s="39"/>
      <c r="G53" s="76"/>
      <c r="H53" s="57"/>
      <c r="I53" s="57"/>
      <c r="J53" s="57"/>
      <c r="K53" s="12" t="s">
        <v>433</v>
      </c>
    </row>
    <row r="54">
      <c r="A54" s="54"/>
      <c r="B54" s="39"/>
      <c r="C54" s="39"/>
      <c r="D54" s="39"/>
      <c r="E54" s="39"/>
      <c r="F54" s="39"/>
      <c r="G54" s="76"/>
      <c r="H54" s="57"/>
      <c r="I54" s="57"/>
      <c r="J54" s="57"/>
      <c r="K54" s="12" t="s">
        <v>433</v>
      </c>
    </row>
    <row r="55">
      <c r="A55" s="54"/>
      <c r="B55" s="39"/>
      <c r="C55" s="39"/>
      <c r="D55" s="39"/>
      <c r="E55" s="39"/>
      <c r="F55" s="39"/>
      <c r="G55" s="76"/>
      <c r="H55" s="57"/>
      <c r="I55" s="57"/>
      <c r="J55" s="57"/>
      <c r="K55" s="12" t="s">
        <v>433</v>
      </c>
    </row>
    <row r="56">
      <c r="A56" s="39"/>
      <c r="B56" s="39"/>
      <c r="C56" s="39"/>
      <c r="D56" s="39"/>
      <c r="E56" s="39"/>
      <c r="F56" s="76"/>
      <c r="G56" s="76"/>
      <c r="H56" s="57"/>
      <c r="I56" s="57"/>
      <c r="J56" s="57"/>
      <c r="K56" s="12" t="s">
        <v>433</v>
      </c>
    </row>
    <row r="57">
      <c r="A57" s="75"/>
      <c r="B57" s="39"/>
      <c r="C57" s="39"/>
      <c r="D57" s="39"/>
      <c r="E57" s="54"/>
      <c r="F57" s="76"/>
      <c r="G57" s="76"/>
      <c r="H57" s="57"/>
      <c r="I57" s="57"/>
      <c r="J57" s="57"/>
      <c r="K57" s="12" t="s">
        <v>433</v>
      </c>
    </row>
    <row r="58">
      <c r="A58" s="39"/>
      <c r="B58" s="39"/>
      <c r="C58" s="39"/>
      <c r="D58" s="39"/>
      <c r="E58" s="54"/>
      <c r="F58" s="76"/>
      <c r="G58" s="76"/>
      <c r="H58" s="57"/>
      <c r="I58" s="57"/>
      <c r="J58" s="57"/>
      <c r="K58" s="12" t="s">
        <v>433</v>
      </c>
    </row>
    <row r="59">
      <c r="A59" s="54"/>
      <c r="B59" s="39"/>
      <c r="C59" s="39"/>
      <c r="D59" s="39"/>
      <c r="E59" s="54"/>
      <c r="F59" s="76"/>
      <c r="G59" s="76"/>
      <c r="H59" s="57"/>
      <c r="I59" s="57"/>
      <c r="J59" s="57"/>
      <c r="K59" s="12" t="s">
        <v>433</v>
      </c>
    </row>
    <row r="60">
      <c r="A60" s="39"/>
      <c r="B60" s="39"/>
      <c r="C60" s="39"/>
      <c r="D60" s="39"/>
      <c r="E60" s="39"/>
      <c r="F60" s="76"/>
      <c r="G60" s="76"/>
      <c r="H60" s="57"/>
      <c r="I60" s="39"/>
      <c r="J60" s="39"/>
      <c r="K60" s="12" t="s">
        <v>433</v>
      </c>
    </row>
    <row r="61">
      <c r="A61" s="54"/>
      <c r="B61" s="39"/>
      <c r="C61" s="39"/>
      <c r="D61" s="79"/>
      <c r="E61" s="54"/>
      <c r="F61" s="39"/>
      <c r="G61" s="76"/>
      <c r="H61" s="57"/>
      <c r="I61" s="57"/>
      <c r="J61" s="57"/>
      <c r="K61" s="12" t="s">
        <v>433</v>
      </c>
    </row>
    <row r="62">
      <c r="A62" s="54"/>
      <c r="B62" s="39"/>
      <c r="C62" s="39"/>
      <c r="D62" s="39"/>
      <c r="E62" s="39"/>
      <c r="F62" s="76"/>
      <c r="G62" s="76"/>
      <c r="H62" s="57"/>
      <c r="I62" s="57"/>
      <c r="J62" s="57"/>
      <c r="K62" s="12" t="s">
        <v>433</v>
      </c>
    </row>
    <row r="63">
      <c r="A63" s="54"/>
      <c r="B63" s="39"/>
      <c r="C63" s="39"/>
      <c r="D63" s="39"/>
      <c r="E63" s="54"/>
      <c r="F63" s="39"/>
      <c r="G63" s="76"/>
      <c r="H63" s="57"/>
      <c r="I63" s="57"/>
      <c r="J63" s="57"/>
      <c r="K63" s="12" t="s">
        <v>433</v>
      </c>
    </row>
    <row r="64">
      <c r="A64" s="39"/>
      <c r="B64" s="39"/>
      <c r="C64" s="39"/>
      <c r="D64" s="39"/>
      <c r="E64" s="54"/>
      <c r="F64" s="39"/>
      <c r="G64" s="76"/>
      <c r="H64" s="57"/>
      <c r="I64" s="57"/>
      <c r="J64" s="57"/>
      <c r="K64" s="12" t="s">
        <v>433</v>
      </c>
    </row>
    <row r="65">
      <c r="A65" s="39"/>
      <c r="B65" s="39"/>
      <c r="C65" s="39"/>
      <c r="D65" s="39"/>
      <c r="E65" s="39"/>
      <c r="F65" s="39"/>
      <c r="G65" s="76"/>
      <c r="H65" s="57"/>
      <c r="I65" s="57"/>
      <c r="J65" s="57"/>
      <c r="K65" s="12" t="s">
        <v>433</v>
      </c>
    </row>
    <row r="66">
      <c r="A66" s="54"/>
      <c r="B66" s="39"/>
      <c r="C66" s="39"/>
      <c r="D66" s="39"/>
      <c r="E66" s="54"/>
      <c r="F66" s="77"/>
      <c r="G66" s="76"/>
      <c r="H66" s="57"/>
      <c r="I66" s="57"/>
      <c r="J66" s="57"/>
      <c r="K66" s="12" t="s">
        <v>433</v>
      </c>
    </row>
    <row r="67">
      <c r="A67" s="39"/>
      <c r="B67" s="39"/>
      <c r="C67" s="39"/>
      <c r="D67" s="39"/>
      <c r="E67" s="39"/>
      <c r="F67" s="76"/>
      <c r="G67" s="76"/>
      <c r="H67" s="57"/>
      <c r="I67" s="57"/>
      <c r="J67" s="57"/>
      <c r="K67" s="12" t="s">
        <v>433</v>
      </c>
    </row>
    <row r="68">
      <c r="A68" s="39"/>
      <c r="B68" s="39"/>
      <c r="C68" s="39"/>
      <c r="D68" s="39"/>
      <c r="E68" s="39"/>
      <c r="F68" s="39"/>
      <c r="G68" s="76"/>
      <c r="H68" s="57"/>
      <c r="I68" s="57"/>
      <c r="J68" s="57"/>
      <c r="K68" s="12" t="s">
        <v>433</v>
      </c>
    </row>
    <row r="69">
      <c r="A69" s="39"/>
      <c r="B69" s="39"/>
      <c r="C69" s="39"/>
      <c r="D69" s="39"/>
      <c r="E69" s="39"/>
      <c r="F69" s="76"/>
      <c r="G69" s="76"/>
      <c r="H69" s="57"/>
      <c r="I69" s="57"/>
      <c r="J69" s="57"/>
      <c r="K69" s="12" t="s">
        <v>433</v>
      </c>
    </row>
    <row r="70">
      <c r="A70" s="39"/>
      <c r="B70" s="39"/>
      <c r="C70" s="39"/>
      <c r="D70" s="78"/>
      <c r="E70" s="54"/>
      <c r="F70" s="76"/>
      <c r="G70" s="76"/>
      <c r="H70" s="62"/>
      <c r="I70" s="62"/>
      <c r="J70" s="62"/>
      <c r="K70" s="12" t="s">
        <v>433</v>
      </c>
    </row>
    <row r="71">
      <c r="A71" s="39"/>
      <c r="B71" s="39"/>
      <c r="C71" s="39"/>
      <c r="D71" s="39"/>
      <c r="E71" s="39"/>
      <c r="F71" s="39"/>
      <c r="G71" s="76"/>
      <c r="H71" s="57"/>
      <c r="I71" s="39"/>
      <c r="J71" s="39"/>
      <c r="K71" s="12" t="s">
        <v>433</v>
      </c>
    </row>
    <row r="72">
      <c r="A72" s="39"/>
      <c r="B72" s="39"/>
      <c r="C72" s="39"/>
      <c r="D72" s="39"/>
      <c r="E72" s="54"/>
      <c r="F72" s="39"/>
      <c r="G72" s="76"/>
      <c r="H72" s="57"/>
      <c r="I72" s="39"/>
      <c r="J72" s="39"/>
      <c r="K72" s="12" t="s">
        <v>433</v>
      </c>
    </row>
    <row r="73">
      <c r="A73" s="39"/>
      <c r="B73" s="39"/>
      <c r="C73" s="39"/>
      <c r="D73" s="39"/>
      <c r="E73" s="39"/>
      <c r="F73" s="39"/>
      <c r="G73" s="76"/>
      <c r="H73" s="57"/>
      <c r="I73" s="57"/>
      <c r="J73" s="57"/>
      <c r="K73" s="12" t="s">
        <v>433</v>
      </c>
    </row>
    <row r="74">
      <c r="A74" s="39"/>
      <c r="B74" s="39"/>
      <c r="C74" s="39"/>
      <c r="D74" s="39"/>
      <c r="E74" s="39"/>
      <c r="F74" s="76"/>
      <c r="G74" s="76"/>
      <c r="H74" s="57"/>
      <c r="I74" s="57"/>
      <c r="J74" s="57"/>
      <c r="K74" s="12" t="s">
        <v>433</v>
      </c>
    </row>
    <row r="75">
      <c r="A75" s="39"/>
      <c r="B75" s="39"/>
      <c r="C75" s="39"/>
      <c r="D75" s="39"/>
      <c r="E75" s="54"/>
      <c r="F75" s="39"/>
      <c r="G75" s="76"/>
      <c r="H75" s="57"/>
      <c r="I75" s="57"/>
      <c r="J75" s="57"/>
      <c r="K75" s="12" t="s">
        <v>433</v>
      </c>
    </row>
    <row r="76">
      <c r="A76" s="39"/>
      <c r="B76" s="39"/>
      <c r="C76" s="39"/>
      <c r="D76" s="39"/>
      <c r="E76" s="54"/>
      <c r="F76" s="39"/>
      <c r="G76" s="76"/>
      <c r="H76" s="57"/>
      <c r="I76" s="57"/>
      <c r="J76" s="57"/>
      <c r="K76" s="12" t="s">
        <v>433</v>
      </c>
    </row>
    <row r="77">
      <c r="A77" s="39"/>
      <c r="B77" s="39"/>
      <c r="C77" s="39"/>
      <c r="D77" s="39"/>
      <c r="E77" s="54"/>
      <c r="F77" s="39"/>
      <c r="G77" s="76"/>
      <c r="H77" s="57"/>
      <c r="I77" s="57"/>
      <c r="J77" s="57"/>
      <c r="K77" s="12" t="s">
        <v>433</v>
      </c>
    </row>
    <row r="78">
      <c r="A78" s="54"/>
      <c r="B78" s="39"/>
      <c r="C78" s="39"/>
      <c r="D78" s="39"/>
      <c r="E78" s="54"/>
      <c r="F78" s="76"/>
      <c r="G78" s="76"/>
      <c r="H78" s="57"/>
      <c r="I78" s="57"/>
      <c r="J78" s="57"/>
      <c r="K78" s="12" t="s">
        <v>433</v>
      </c>
    </row>
    <row r="79">
      <c r="A79" s="75"/>
      <c r="B79" s="39"/>
      <c r="C79" s="39"/>
      <c r="D79" s="39"/>
      <c r="E79" s="54"/>
      <c r="F79" s="39"/>
      <c r="G79" s="76"/>
      <c r="H79" s="57"/>
      <c r="I79" s="57"/>
      <c r="J79" s="57"/>
      <c r="K79" s="12" t="s">
        <v>433</v>
      </c>
    </row>
    <row r="80">
      <c r="A80" s="54"/>
      <c r="B80" s="39"/>
      <c r="C80" s="39"/>
      <c r="D80" s="39"/>
      <c r="E80" s="54"/>
      <c r="F80" s="76"/>
      <c r="G80" s="76"/>
      <c r="H80" s="57"/>
      <c r="I80" s="57"/>
      <c r="J80" s="57"/>
      <c r="K80" s="12" t="s">
        <v>433</v>
      </c>
    </row>
    <row r="81">
      <c r="A81" s="39"/>
      <c r="B81" s="39"/>
      <c r="C81" s="39"/>
      <c r="D81" s="39"/>
      <c r="E81" s="39"/>
      <c r="F81" s="76"/>
      <c r="G81" s="76"/>
      <c r="H81" s="57"/>
      <c r="I81" s="57"/>
      <c r="J81" s="57"/>
      <c r="K81" s="12" t="s">
        <v>433</v>
      </c>
    </row>
    <row r="82">
      <c r="A82" s="39"/>
      <c r="B82" s="39"/>
      <c r="C82" s="39"/>
      <c r="D82" s="39"/>
      <c r="E82" s="39"/>
      <c r="F82" s="76"/>
      <c r="G82" s="76"/>
      <c r="H82" s="57"/>
      <c r="I82" s="57"/>
      <c r="J82" s="57"/>
      <c r="K82" s="12" t="s">
        <v>433</v>
      </c>
    </row>
    <row r="83">
      <c r="A83" s="39"/>
      <c r="B83" s="39"/>
      <c r="C83" s="39"/>
      <c r="D83" s="39"/>
      <c r="E83" s="54"/>
      <c r="F83" s="76"/>
      <c r="G83" s="76"/>
      <c r="H83" s="57"/>
      <c r="I83" s="57"/>
      <c r="J83" s="57"/>
      <c r="K83" s="12" t="s">
        <v>433</v>
      </c>
    </row>
    <row r="84">
      <c r="A84" s="39"/>
      <c r="B84" s="39"/>
      <c r="C84" s="39"/>
      <c r="D84" s="39"/>
      <c r="E84" s="54"/>
      <c r="F84" s="76"/>
      <c r="G84" s="76"/>
      <c r="H84" s="57"/>
      <c r="I84" s="57"/>
      <c r="J84" s="57"/>
      <c r="K84" s="12" t="s">
        <v>433</v>
      </c>
    </row>
    <row r="85">
      <c r="A85" s="54"/>
      <c r="B85" s="39"/>
      <c r="C85" s="39"/>
      <c r="D85" s="39"/>
      <c r="E85" s="54"/>
      <c r="F85" s="77"/>
      <c r="G85" s="76"/>
      <c r="H85" s="57"/>
      <c r="I85" s="57"/>
      <c r="J85" s="57"/>
      <c r="K85" s="12" t="s">
        <v>433</v>
      </c>
    </row>
    <row r="86">
      <c r="A86" s="39"/>
      <c r="B86" s="39"/>
      <c r="C86" s="39"/>
      <c r="D86" s="39"/>
      <c r="E86" s="39"/>
      <c r="F86" s="39"/>
      <c r="G86" s="76"/>
      <c r="H86" s="57"/>
      <c r="I86" s="57"/>
      <c r="J86" s="57"/>
      <c r="K86" s="12" t="s">
        <v>433</v>
      </c>
    </row>
    <row r="87">
      <c r="A87" s="54"/>
      <c r="B87" s="39"/>
      <c r="C87" s="39"/>
      <c r="D87" s="39"/>
      <c r="E87" s="39"/>
      <c r="F87" s="76"/>
      <c r="G87" s="76"/>
      <c r="H87" s="57"/>
      <c r="I87" s="57"/>
      <c r="J87" s="57"/>
      <c r="K87" s="12" t="s">
        <v>433</v>
      </c>
    </row>
    <row r="88">
      <c r="A88" s="54"/>
      <c r="B88" s="39"/>
      <c r="C88" s="39"/>
      <c r="D88" s="39"/>
      <c r="E88" s="39"/>
      <c r="F88" s="39"/>
      <c r="G88" s="76"/>
      <c r="H88" s="57"/>
      <c r="I88" s="57"/>
      <c r="J88" s="57"/>
      <c r="K88" s="12" t="s">
        <v>433</v>
      </c>
    </row>
    <row r="89">
      <c r="A89" s="39"/>
      <c r="B89" s="39"/>
      <c r="C89" s="39"/>
      <c r="D89" s="39"/>
      <c r="E89" s="54"/>
      <c r="F89" s="54"/>
      <c r="G89" s="76"/>
      <c r="H89" s="57"/>
      <c r="I89" s="57"/>
      <c r="J89" s="57"/>
      <c r="K89" s="12" t="s">
        <v>433</v>
      </c>
    </row>
    <row r="90">
      <c r="A90" s="39"/>
      <c r="B90" s="39"/>
      <c r="C90" s="39"/>
      <c r="D90" s="39"/>
      <c r="E90" s="39"/>
      <c r="F90" s="76"/>
      <c r="G90" s="76"/>
      <c r="H90" s="57"/>
      <c r="I90" s="57"/>
      <c r="J90" s="57"/>
      <c r="K90" s="12" t="s">
        <v>433</v>
      </c>
    </row>
    <row r="91">
      <c r="A91" s="39"/>
      <c r="B91" s="39"/>
      <c r="C91" s="39"/>
      <c r="D91" s="39"/>
      <c r="E91" s="54"/>
      <c r="F91" s="77"/>
      <c r="G91" s="76"/>
      <c r="H91" s="57"/>
      <c r="I91" s="57"/>
      <c r="J91" s="57"/>
      <c r="K91" s="12" t="s">
        <v>433</v>
      </c>
    </row>
    <row r="92">
      <c r="A92" s="39"/>
      <c r="B92" s="39"/>
      <c r="C92" s="39"/>
      <c r="D92" s="39"/>
      <c r="E92" s="39"/>
      <c r="F92" s="76"/>
      <c r="G92" s="76"/>
      <c r="H92" s="57"/>
      <c r="I92" s="57"/>
      <c r="J92" s="57"/>
      <c r="K92" s="12" t="s">
        <v>433</v>
      </c>
    </row>
    <row r="93">
      <c r="A93" s="54"/>
      <c r="B93" s="39"/>
      <c r="C93" s="39"/>
      <c r="D93" s="39"/>
      <c r="E93" s="54"/>
      <c r="F93" s="39"/>
      <c r="G93" s="76"/>
      <c r="H93" s="57"/>
      <c r="I93" s="57"/>
      <c r="J93" s="57"/>
      <c r="K93" s="12" t="s">
        <v>433</v>
      </c>
    </row>
    <row r="94">
      <c r="A94" s="39"/>
      <c r="B94" s="39"/>
      <c r="C94" s="39"/>
      <c r="D94" s="39"/>
      <c r="E94" s="54"/>
      <c r="F94" s="54"/>
      <c r="G94" s="76"/>
      <c r="H94" s="57"/>
      <c r="I94" s="57"/>
      <c r="J94" s="57"/>
      <c r="K94" s="12" t="s">
        <v>433</v>
      </c>
    </row>
    <row r="95">
      <c r="A95" s="39"/>
      <c r="B95" s="39"/>
      <c r="C95" s="39"/>
      <c r="D95" s="39"/>
      <c r="E95" s="39"/>
      <c r="F95" s="76"/>
      <c r="G95" s="76"/>
      <c r="H95" s="57"/>
      <c r="I95" s="57"/>
      <c r="J95" s="57"/>
      <c r="K95" s="12" t="s">
        <v>433</v>
      </c>
    </row>
    <row r="96">
      <c r="A96" s="54"/>
      <c r="B96" s="39"/>
      <c r="C96" s="39"/>
      <c r="D96" s="39"/>
      <c r="E96" s="39"/>
      <c r="F96" s="76"/>
      <c r="G96" s="76"/>
      <c r="H96" s="57"/>
      <c r="I96" s="57"/>
      <c r="J96" s="57"/>
      <c r="K96" s="12" t="s">
        <v>433</v>
      </c>
    </row>
    <row r="97">
      <c r="A97" s="39"/>
      <c r="B97" s="39"/>
      <c r="C97" s="39"/>
      <c r="D97" s="39"/>
      <c r="E97" s="39"/>
      <c r="F97" s="76"/>
      <c r="G97" s="76"/>
      <c r="H97" s="57"/>
      <c r="I97" s="57"/>
      <c r="J97" s="57"/>
      <c r="K97" s="12" t="s">
        <v>433</v>
      </c>
    </row>
    <row r="98">
      <c r="A98" s="39"/>
      <c r="B98" s="39"/>
      <c r="C98" s="39"/>
      <c r="D98" s="39"/>
      <c r="E98" s="54"/>
      <c r="F98" s="54"/>
      <c r="G98" s="76"/>
      <c r="H98" s="57"/>
      <c r="I98" s="57"/>
      <c r="J98" s="57"/>
      <c r="K98" s="12" t="s">
        <v>433</v>
      </c>
    </row>
    <row r="99">
      <c r="A99" s="39"/>
      <c r="B99" s="39"/>
      <c r="C99" s="39"/>
      <c r="D99" s="39"/>
      <c r="E99" s="39"/>
      <c r="F99" s="54"/>
      <c r="G99" s="76"/>
      <c r="H99" s="57"/>
      <c r="I99" s="39"/>
      <c r="J99" s="39"/>
      <c r="K99" s="12" t="s">
        <v>433</v>
      </c>
    </row>
    <row r="100">
      <c r="A100" s="54"/>
      <c r="B100" s="39"/>
      <c r="C100" s="39"/>
      <c r="D100" s="39"/>
      <c r="E100" s="39"/>
      <c r="F100" s="54"/>
      <c r="G100" s="76"/>
      <c r="H100" s="57"/>
      <c r="I100" s="57"/>
      <c r="J100" s="57"/>
      <c r="K100" s="12" t="s">
        <v>433</v>
      </c>
    </row>
    <row r="101">
      <c r="A101" s="39"/>
      <c r="B101" s="39"/>
      <c r="C101" s="39"/>
      <c r="D101" s="39"/>
      <c r="E101" s="39"/>
      <c r="F101" s="54"/>
      <c r="G101" s="76"/>
      <c r="H101" s="57"/>
      <c r="I101" s="57"/>
      <c r="J101" s="57"/>
      <c r="K101" s="12" t="s">
        <v>433</v>
      </c>
    </row>
    <row r="102">
      <c r="A102" s="39"/>
      <c r="B102" s="39"/>
      <c r="C102" s="39"/>
      <c r="D102" s="39"/>
      <c r="E102" s="39"/>
      <c r="F102" s="54"/>
      <c r="G102" s="76"/>
      <c r="H102" s="57"/>
      <c r="I102" s="39"/>
      <c r="J102" s="39"/>
      <c r="K102" s="12" t="s">
        <v>433</v>
      </c>
    </row>
    <row r="103">
      <c r="A103" s="39"/>
      <c r="B103" s="39"/>
      <c r="C103" s="39"/>
      <c r="D103" s="39"/>
      <c r="E103" s="54"/>
      <c r="F103" s="54"/>
      <c r="G103" s="76"/>
      <c r="H103" s="57"/>
      <c r="I103" s="57"/>
      <c r="J103" s="57"/>
      <c r="K103" s="12" t="s">
        <v>433</v>
      </c>
    </row>
    <row r="104">
      <c r="A104" s="39"/>
      <c r="B104" s="39"/>
      <c r="C104" s="39"/>
      <c r="D104" s="39"/>
      <c r="E104" s="54"/>
      <c r="F104" s="54"/>
      <c r="G104" s="76"/>
      <c r="H104" s="57"/>
      <c r="I104" s="57"/>
      <c r="J104" s="57"/>
      <c r="K104" s="12" t="s">
        <v>433</v>
      </c>
    </row>
    <row r="105">
      <c r="A105" s="54"/>
      <c r="B105" s="39"/>
      <c r="C105" s="39"/>
      <c r="D105" s="39"/>
      <c r="E105" s="54"/>
      <c r="F105" s="54"/>
      <c r="G105" s="76"/>
      <c r="H105" s="57"/>
      <c r="I105" s="39"/>
      <c r="J105" s="39"/>
      <c r="K105" s="12" t="s">
        <v>433</v>
      </c>
    </row>
    <row r="106">
      <c r="A106" s="39"/>
      <c r="B106" s="39"/>
      <c r="C106" s="39"/>
      <c r="D106" s="39"/>
      <c r="E106" s="54"/>
      <c r="F106" s="54"/>
      <c r="G106" s="76"/>
      <c r="H106" s="57"/>
      <c r="I106" s="39"/>
      <c r="J106" s="39"/>
      <c r="K106" s="12" t="s">
        <v>433</v>
      </c>
    </row>
    <row r="107">
      <c r="A107" s="39"/>
      <c r="B107" s="39"/>
      <c r="C107" s="39"/>
      <c r="D107" s="39"/>
      <c r="E107" s="39"/>
      <c r="F107" s="54"/>
      <c r="G107" s="76"/>
      <c r="H107" s="57"/>
      <c r="I107" s="57"/>
      <c r="J107" s="57"/>
      <c r="K107" s="12" t="s">
        <v>433</v>
      </c>
    </row>
    <row r="108">
      <c r="A108" s="54"/>
      <c r="B108" s="39"/>
      <c r="C108" s="39"/>
      <c r="D108" s="39"/>
      <c r="E108" s="54"/>
      <c r="F108" s="54"/>
      <c r="G108" s="76"/>
      <c r="H108" s="57"/>
      <c r="I108" s="39"/>
      <c r="J108" s="39"/>
      <c r="K108" s="12" t="s">
        <v>433</v>
      </c>
    </row>
    <row r="109">
      <c r="A109" s="39"/>
      <c r="B109" s="39"/>
      <c r="C109" s="39"/>
      <c r="D109" s="39"/>
      <c r="E109" s="39"/>
      <c r="F109" s="54"/>
      <c r="G109" s="76"/>
      <c r="H109" s="57"/>
      <c r="I109" s="57"/>
      <c r="J109" s="57"/>
      <c r="K109" s="12" t="s">
        <v>433</v>
      </c>
    </row>
  </sheetData>
  <hyperlinks>
    <hyperlink r:id="rId1" ref="H2"/>
    <hyperlink r:id="rId2" ref="I2"/>
    <hyperlink r:id="rId3" ref="H3"/>
    <hyperlink r:id="rId4" ref="I3"/>
    <hyperlink r:id="rId5" ref="H4"/>
    <hyperlink r:id="rId6" ref="I4"/>
    <hyperlink r:id="rId7" ref="H5"/>
    <hyperlink r:id="rId8" ref="I5"/>
    <hyperlink r:id="rId9" ref="H6"/>
    <hyperlink r:id="rId10" ref="I6"/>
    <hyperlink r:id="rId11" ref="H7"/>
    <hyperlink r:id="rId12" ref="I7"/>
    <hyperlink r:id="rId13" ref="H8"/>
    <hyperlink r:id="rId14" ref="I8"/>
    <hyperlink r:id="rId15" ref="H9"/>
    <hyperlink r:id="rId16" ref="I9"/>
    <hyperlink r:id="rId17" ref="H10"/>
    <hyperlink r:id="rId18" ref="I10"/>
    <hyperlink r:id="rId19" ref="H11"/>
    <hyperlink r:id="rId20" ref="I11"/>
    <hyperlink r:id="rId21" ref="H12"/>
    <hyperlink r:id="rId22" ref="I12"/>
    <hyperlink r:id="rId23" ref="H13"/>
    <hyperlink r:id="rId24" ref="H14"/>
    <hyperlink r:id="rId25" ref="I14"/>
    <hyperlink r:id="rId26" ref="H15"/>
    <hyperlink r:id="rId27" ref="I15"/>
    <hyperlink r:id="rId28" ref="H16"/>
    <hyperlink r:id="rId29" ref="H17"/>
    <hyperlink r:id="rId30" ref="I17"/>
    <hyperlink r:id="rId31" ref="H18"/>
    <hyperlink r:id="rId32" ref="I18"/>
    <hyperlink r:id="rId33" ref="H19"/>
    <hyperlink r:id="rId34" ref="I19"/>
    <hyperlink r:id="rId35" ref="H20"/>
    <hyperlink r:id="rId36" ref="I20"/>
    <hyperlink r:id="rId37" ref="H21"/>
    <hyperlink r:id="rId38" ref="H22"/>
    <hyperlink r:id="rId39" ref="I22"/>
    <hyperlink r:id="rId40" ref="H23"/>
    <hyperlink r:id="rId41" ref="I23"/>
    <hyperlink r:id="rId42" ref="H24"/>
    <hyperlink r:id="rId43" ref="I24"/>
    <hyperlink r:id="rId44" ref="H25"/>
    <hyperlink r:id="rId45" ref="I25"/>
    <hyperlink r:id="rId46" ref="H26"/>
  </hyperlinks>
  <drawing r:id="rId47"/>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5"/>
    <col customWidth="1" min="2" max="2" width="9.25"/>
    <col customWidth="1" min="3" max="3" width="15.0"/>
    <col customWidth="1" min="4" max="4" width="14.88"/>
    <col customWidth="1" min="5" max="5" width="34.75"/>
    <col customWidth="1" min="6" max="6" width="13.75"/>
    <col customWidth="1" min="7" max="7" width="11.25"/>
    <col customWidth="1" min="10" max="10" width="17.63"/>
  </cols>
  <sheetData>
    <row r="1">
      <c r="A1" s="7" t="s">
        <v>13</v>
      </c>
      <c r="B1" s="7" t="s">
        <v>14</v>
      </c>
      <c r="C1" s="7" t="s">
        <v>15</v>
      </c>
      <c r="D1" s="7" t="s">
        <v>16</v>
      </c>
      <c r="E1" s="7" t="s">
        <v>17</v>
      </c>
      <c r="F1" s="7" t="s">
        <v>18</v>
      </c>
      <c r="G1" s="7" t="s">
        <v>19</v>
      </c>
      <c r="H1" s="7" t="s">
        <v>20</v>
      </c>
      <c r="I1" s="7" t="s">
        <v>21</v>
      </c>
      <c r="J1" s="7" t="s">
        <v>22</v>
      </c>
      <c r="K1" s="8" t="s">
        <v>23</v>
      </c>
    </row>
    <row r="2">
      <c r="A2" s="39" t="s">
        <v>1144</v>
      </c>
      <c r="B2" s="39" t="s">
        <v>37</v>
      </c>
      <c r="C2" s="39" t="s">
        <v>38</v>
      </c>
      <c r="D2" s="39" t="s">
        <v>54</v>
      </c>
      <c r="E2" s="54" t="s">
        <v>1145</v>
      </c>
      <c r="F2" s="94" t="s">
        <v>30</v>
      </c>
      <c r="G2" s="55">
        <v>42017.0</v>
      </c>
      <c r="H2" s="95" t="s">
        <v>1146</v>
      </c>
      <c r="I2" s="95" t="s">
        <v>1147</v>
      </c>
      <c r="J2" s="12" t="s">
        <v>30</v>
      </c>
      <c r="K2" s="81" t="s">
        <v>1148</v>
      </c>
      <c r="L2" s="12" t="s">
        <v>433</v>
      </c>
    </row>
    <row r="3">
      <c r="A3" s="39" t="s">
        <v>1149</v>
      </c>
      <c r="B3" s="39" t="s">
        <v>184</v>
      </c>
      <c r="C3" s="39" t="s">
        <v>883</v>
      </c>
      <c r="D3" s="39" t="s">
        <v>769</v>
      </c>
      <c r="E3" s="39" t="s">
        <v>1150</v>
      </c>
      <c r="F3" s="55">
        <v>42020.0</v>
      </c>
      <c r="G3" s="55">
        <v>42026.0</v>
      </c>
      <c r="H3" s="95" t="s">
        <v>1151</v>
      </c>
      <c r="I3" s="95" t="s">
        <v>1152</v>
      </c>
      <c r="J3" s="12" t="s">
        <v>30</v>
      </c>
      <c r="K3" s="81" t="s">
        <v>1153</v>
      </c>
      <c r="L3" s="12" t="s">
        <v>433</v>
      </c>
    </row>
    <row r="4">
      <c r="A4" s="54" t="s">
        <v>1154</v>
      </c>
      <c r="B4" s="39" t="s">
        <v>184</v>
      </c>
      <c r="C4" s="39" t="s">
        <v>883</v>
      </c>
      <c r="D4" s="39" t="s">
        <v>525</v>
      </c>
      <c r="E4" s="39" t="s">
        <v>1155</v>
      </c>
      <c r="F4" s="55">
        <v>42024.0</v>
      </c>
      <c r="G4" s="55">
        <v>42031.0</v>
      </c>
      <c r="H4" s="95" t="s">
        <v>1156</v>
      </c>
      <c r="I4" s="95" t="s">
        <v>1157</v>
      </c>
      <c r="J4" s="12" t="s">
        <v>30</v>
      </c>
      <c r="K4" s="81" t="s">
        <v>1158</v>
      </c>
      <c r="L4" s="12" t="s">
        <v>433</v>
      </c>
    </row>
    <row r="5">
      <c r="A5" s="39" t="s">
        <v>1159</v>
      </c>
      <c r="B5" s="39" t="s">
        <v>184</v>
      </c>
      <c r="C5" s="39" t="s">
        <v>883</v>
      </c>
      <c r="D5" s="39" t="s">
        <v>525</v>
      </c>
      <c r="E5" s="39" t="s">
        <v>1160</v>
      </c>
      <c r="F5" s="55">
        <v>42018.0</v>
      </c>
      <c r="G5" s="55">
        <v>42040.0</v>
      </c>
      <c r="H5" s="95" t="s">
        <v>1161</v>
      </c>
      <c r="I5" s="95" t="s">
        <v>1162</v>
      </c>
      <c r="J5" s="12" t="s">
        <v>30</v>
      </c>
      <c r="K5" s="81" t="s">
        <v>1163</v>
      </c>
      <c r="L5" s="12" t="s">
        <v>433</v>
      </c>
    </row>
    <row r="6">
      <c r="A6" s="39" t="s">
        <v>1164</v>
      </c>
      <c r="B6" s="39" t="s">
        <v>37</v>
      </c>
      <c r="C6" s="39" t="s">
        <v>397</v>
      </c>
      <c r="D6" s="39" t="s">
        <v>769</v>
      </c>
      <c r="E6" s="54" t="s">
        <v>1165</v>
      </c>
      <c r="F6" s="94" t="s">
        <v>30</v>
      </c>
      <c r="G6" s="55">
        <v>42045.0</v>
      </c>
      <c r="H6" s="95" t="s">
        <v>1166</v>
      </c>
      <c r="I6" s="95" t="s">
        <v>1167</v>
      </c>
      <c r="J6" s="12" t="s">
        <v>30</v>
      </c>
      <c r="K6" s="81" t="s">
        <v>1168</v>
      </c>
      <c r="L6" s="12" t="s">
        <v>433</v>
      </c>
    </row>
    <row r="7">
      <c r="A7" s="39" t="s">
        <v>1169</v>
      </c>
      <c r="B7" s="39" t="s">
        <v>184</v>
      </c>
      <c r="C7" s="39" t="s">
        <v>883</v>
      </c>
      <c r="D7" s="39" t="s">
        <v>27</v>
      </c>
      <c r="E7" s="39" t="s">
        <v>1170</v>
      </c>
      <c r="F7" s="55">
        <v>42107.0</v>
      </c>
      <c r="G7" s="55">
        <v>42108.0</v>
      </c>
      <c r="H7" s="95" t="s">
        <v>1171</v>
      </c>
      <c r="I7" s="95" t="s">
        <v>1172</v>
      </c>
      <c r="J7" s="12" t="s">
        <v>30</v>
      </c>
      <c r="K7" s="81" t="s">
        <v>1173</v>
      </c>
      <c r="L7" s="12" t="s">
        <v>433</v>
      </c>
    </row>
    <row r="8">
      <c r="A8" s="54" t="s">
        <v>1174</v>
      </c>
      <c r="B8" s="39" t="s">
        <v>37</v>
      </c>
      <c r="C8" s="39" t="s">
        <v>643</v>
      </c>
      <c r="D8" s="39" t="s">
        <v>27</v>
      </c>
      <c r="E8" s="54" t="s">
        <v>1175</v>
      </c>
      <c r="F8" s="97" t="s">
        <v>30</v>
      </c>
      <c r="G8" s="55">
        <v>42108.0</v>
      </c>
      <c r="H8" s="95" t="s">
        <v>1176</v>
      </c>
      <c r="I8" s="95" t="s">
        <v>1177</v>
      </c>
      <c r="J8" s="12" t="s">
        <v>30</v>
      </c>
      <c r="K8" s="81" t="s">
        <v>1178</v>
      </c>
      <c r="L8" s="12" t="s">
        <v>433</v>
      </c>
    </row>
    <row r="9">
      <c r="A9" s="39" t="s">
        <v>1179</v>
      </c>
      <c r="B9" s="39" t="s">
        <v>37</v>
      </c>
      <c r="C9" s="39" t="s">
        <v>1057</v>
      </c>
      <c r="D9" s="39" t="s">
        <v>54</v>
      </c>
      <c r="E9" s="54" t="s">
        <v>1180</v>
      </c>
      <c r="F9" s="104">
        <v>42112.0</v>
      </c>
      <c r="G9" s="55">
        <v>42136.0</v>
      </c>
      <c r="H9" s="95" t="s">
        <v>1181</v>
      </c>
      <c r="I9" s="95" t="s">
        <v>1172</v>
      </c>
      <c r="J9" s="12" t="s">
        <v>30</v>
      </c>
      <c r="K9" s="12" t="s">
        <v>30</v>
      </c>
      <c r="L9" s="12" t="s">
        <v>433</v>
      </c>
    </row>
    <row r="10">
      <c r="A10" s="39" t="s">
        <v>1182</v>
      </c>
      <c r="B10" s="39" t="s">
        <v>286</v>
      </c>
      <c r="C10" s="39" t="s">
        <v>287</v>
      </c>
      <c r="D10" s="39" t="s">
        <v>54</v>
      </c>
      <c r="E10" s="39" t="s">
        <v>1183</v>
      </c>
      <c r="F10" s="55">
        <v>42221.0</v>
      </c>
      <c r="G10" s="55">
        <v>42222.0</v>
      </c>
      <c r="H10" s="95" t="s">
        <v>1184</v>
      </c>
      <c r="I10" s="95" t="s">
        <v>1185</v>
      </c>
      <c r="J10" s="12" t="s">
        <v>30</v>
      </c>
      <c r="K10" s="81" t="s">
        <v>1186</v>
      </c>
      <c r="L10" s="12" t="s">
        <v>433</v>
      </c>
    </row>
    <row r="11">
      <c r="A11" s="39" t="s">
        <v>1187</v>
      </c>
      <c r="B11" s="39" t="s">
        <v>37</v>
      </c>
      <c r="C11" s="39" t="s">
        <v>1057</v>
      </c>
      <c r="D11" s="39" t="s">
        <v>27</v>
      </c>
      <c r="E11" s="54" t="s">
        <v>1188</v>
      </c>
      <c r="F11" s="94" t="s">
        <v>30</v>
      </c>
      <c r="G11" s="55">
        <v>42164.0</v>
      </c>
      <c r="H11" s="95" t="s">
        <v>1189</v>
      </c>
      <c r="I11" s="95" t="s">
        <v>1190</v>
      </c>
      <c r="J11" s="12" t="s">
        <v>30</v>
      </c>
      <c r="K11" s="81" t="s">
        <v>1191</v>
      </c>
      <c r="L11" s="12" t="s">
        <v>433</v>
      </c>
    </row>
    <row r="12">
      <c r="A12" s="54" t="s">
        <v>1192</v>
      </c>
      <c r="B12" s="39" t="s">
        <v>184</v>
      </c>
      <c r="C12" s="39" t="s">
        <v>883</v>
      </c>
      <c r="D12" s="39" t="s">
        <v>27</v>
      </c>
      <c r="E12" s="39" t="s">
        <v>1170</v>
      </c>
      <c r="F12" s="97" t="s">
        <v>30</v>
      </c>
      <c r="G12" s="55">
        <v>42178.0</v>
      </c>
      <c r="H12" s="95" t="s">
        <v>1193</v>
      </c>
      <c r="I12" s="95" t="s">
        <v>1194</v>
      </c>
      <c r="J12" s="12" t="s">
        <v>30</v>
      </c>
      <c r="K12" s="81" t="s">
        <v>1195</v>
      </c>
      <c r="L12" s="12" t="s">
        <v>433</v>
      </c>
    </row>
    <row r="13">
      <c r="A13" s="54" t="s">
        <v>1196</v>
      </c>
      <c r="B13" s="39" t="s">
        <v>184</v>
      </c>
      <c r="C13" s="39" t="s">
        <v>883</v>
      </c>
      <c r="D13" s="39" t="s">
        <v>525</v>
      </c>
      <c r="E13" s="39" t="s">
        <v>1197</v>
      </c>
      <c r="F13" s="55">
        <v>42190.0</v>
      </c>
      <c r="G13" s="55">
        <v>42193.0</v>
      </c>
      <c r="H13" s="95" t="s">
        <v>1198</v>
      </c>
      <c r="I13" s="95" t="s">
        <v>1199</v>
      </c>
      <c r="J13" s="12" t="s">
        <v>30</v>
      </c>
      <c r="K13" s="81" t="s">
        <v>1200</v>
      </c>
      <c r="L13" s="12" t="s">
        <v>433</v>
      </c>
    </row>
    <row r="14">
      <c r="A14" s="39" t="s">
        <v>1201</v>
      </c>
      <c r="B14" s="39" t="s">
        <v>184</v>
      </c>
      <c r="C14" s="39" t="s">
        <v>883</v>
      </c>
      <c r="D14" s="39" t="s">
        <v>525</v>
      </c>
      <c r="E14" s="39" t="s">
        <v>1202</v>
      </c>
      <c r="F14" s="55">
        <v>42190.0</v>
      </c>
      <c r="G14" s="55">
        <v>42199.0</v>
      </c>
      <c r="H14" s="95" t="s">
        <v>1203</v>
      </c>
      <c r="I14" s="95" t="s">
        <v>1204</v>
      </c>
      <c r="J14" s="12" t="s">
        <v>30</v>
      </c>
      <c r="K14" s="81" t="s">
        <v>1205</v>
      </c>
      <c r="L14" s="12" t="s">
        <v>433</v>
      </c>
    </row>
    <row r="15">
      <c r="A15" s="39" t="s">
        <v>1206</v>
      </c>
      <c r="B15" s="39" t="s">
        <v>184</v>
      </c>
      <c r="C15" s="39" t="s">
        <v>883</v>
      </c>
      <c r="D15" s="39" t="s">
        <v>525</v>
      </c>
      <c r="E15" s="39" t="s">
        <v>1207</v>
      </c>
      <c r="F15" s="55">
        <v>42190.0</v>
      </c>
      <c r="G15" s="55">
        <v>42199.0</v>
      </c>
      <c r="H15" s="95" t="s">
        <v>1203</v>
      </c>
      <c r="I15" s="95" t="s">
        <v>1208</v>
      </c>
      <c r="J15" s="12" t="s">
        <v>30</v>
      </c>
      <c r="K15" s="81" t="s">
        <v>1209</v>
      </c>
      <c r="L15" s="12" t="s">
        <v>433</v>
      </c>
    </row>
    <row r="16">
      <c r="A16" s="39" t="s">
        <v>1210</v>
      </c>
      <c r="B16" s="39" t="s">
        <v>37</v>
      </c>
      <c r="C16" s="39" t="s">
        <v>1057</v>
      </c>
      <c r="D16" s="39" t="s">
        <v>27</v>
      </c>
      <c r="E16" s="54" t="s">
        <v>1211</v>
      </c>
      <c r="F16" s="55">
        <v>42190.0</v>
      </c>
      <c r="G16" s="55">
        <v>42199.0</v>
      </c>
      <c r="H16" s="95" t="s">
        <v>1212</v>
      </c>
      <c r="I16" s="95" t="s">
        <v>1213</v>
      </c>
      <c r="J16" s="12" t="s">
        <v>30</v>
      </c>
      <c r="K16" s="81" t="s">
        <v>1200</v>
      </c>
      <c r="L16" s="12" t="s">
        <v>433</v>
      </c>
    </row>
    <row r="17">
      <c r="A17" s="39" t="s">
        <v>1214</v>
      </c>
      <c r="B17" s="39" t="s">
        <v>37</v>
      </c>
      <c r="C17" s="39" t="s">
        <v>397</v>
      </c>
      <c r="D17" s="39" t="s">
        <v>525</v>
      </c>
      <c r="E17" s="54" t="s">
        <v>1215</v>
      </c>
      <c r="F17" s="55">
        <v>42190.0</v>
      </c>
      <c r="G17" s="55">
        <v>42199.0</v>
      </c>
      <c r="H17" s="95" t="s">
        <v>1216</v>
      </c>
      <c r="I17" s="95" t="s">
        <v>1217</v>
      </c>
      <c r="J17" s="12" t="s">
        <v>30</v>
      </c>
      <c r="K17" s="81" t="s">
        <v>1218</v>
      </c>
      <c r="L17" s="12" t="s">
        <v>433</v>
      </c>
    </row>
    <row r="18">
      <c r="A18" s="54" t="s">
        <v>1219</v>
      </c>
      <c r="B18" s="39" t="s">
        <v>37</v>
      </c>
      <c r="C18" s="39" t="s">
        <v>643</v>
      </c>
      <c r="D18" s="39" t="s">
        <v>27</v>
      </c>
      <c r="E18" s="54" t="s">
        <v>1220</v>
      </c>
      <c r="F18" s="104">
        <v>42185.0</v>
      </c>
      <c r="G18" s="55">
        <v>42199.0</v>
      </c>
      <c r="H18" s="95" t="s">
        <v>1221</v>
      </c>
      <c r="I18" s="95" t="s">
        <v>1222</v>
      </c>
      <c r="J18" s="12" t="s">
        <v>30</v>
      </c>
      <c r="K18" s="81" t="s">
        <v>1223</v>
      </c>
      <c r="L18" s="12" t="s">
        <v>433</v>
      </c>
    </row>
    <row r="19">
      <c r="A19" s="39" t="s">
        <v>1224</v>
      </c>
      <c r="B19" s="39" t="s">
        <v>1225</v>
      </c>
      <c r="C19" s="39" t="s">
        <v>1226</v>
      </c>
      <c r="D19" s="39" t="s">
        <v>1227</v>
      </c>
      <c r="E19" s="39" t="s">
        <v>1228</v>
      </c>
      <c r="F19" s="97" t="s">
        <v>30</v>
      </c>
      <c r="G19" s="55">
        <v>42199.0</v>
      </c>
      <c r="H19" s="95" t="s">
        <v>1229</v>
      </c>
      <c r="I19" s="95" t="s">
        <v>1230</v>
      </c>
      <c r="J19" s="12" t="s">
        <v>30</v>
      </c>
      <c r="K19" s="81" t="s">
        <v>318</v>
      </c>
      <c r="L19" s="12" t="s">
        <v>433</v>
      </c>
    </row>
    <row r="20">
      <c r="A20" s="54" t="s">
        <v>1231</v>
      </c>
      <c r="B20" s="39" t="s">
        <v>37</v>
      </c>
      <c r="C20" s="39" t="s">
        <v>38</v>
      </c>
      <c r="D20" s="39" t="s">
        <v>27</v>
      </c>
      <c r="E20" s="54" t="s">
        <v>1232</v>
      </c>
      <c r="F20" s="55">
        <v>42190.0</v>
      </c>
      <c r="G20" s="55">
        <v>42205.0</v>
      </c>
      <c r="H20" s="95" t="s">
        <v>1233</v>
      </c>
      <c r="I20" s="95" t="s">
        <v>1234</v>
      </c>
      <c r="J20" s="12" t="s">
        <v>30</v>
      </c>
      <c r="K20" s="81" t="s">
        <v>1235</v>
      </c>
      <c r="L20" s="12" t="s">
        <v>433</v>
      </c>
    </row>
    <row r="21">
      <c r="A21" s="54" t="s">
        <v>1236</v>
      </c>
      <c r="B21" s="39" t="s">
        <v>37</v>
      </c>
      <c r="C21" s="39" t="s">
        <v>643</v>
      </c>
      <c r="D21" s="39" t="s">
        <v>27</v>
      </c>
      <c r="E21" s="54" t="s">
        <v>1237</v>
      </c>
      <c r="F21" s="55">
        <v>42062.0</v>
      </c>
      <c r="G21" s="55">
        <v>42227.0</v>
      </c>
      <c r="H21" s="95" t="s">
        <v>1238</v>
      </c>
      <c r="I21" s="95" t="s">
        <v>1239</v>
      </c>
      <c r="J21" s="12" t="s">
        <v>30</v>
      </c>
      <c r="K21" s="81" t="s">
        <v>1240</v>
      </c>
      <c r="L21" s="12" t="s">
        <v>433</v>
      </c>
    </row>
    <row r="22">
      <c r="A22" s="75" t="s">
        <v>1241</v>
      </c>
      <c r="B22" s="39" t="s">
        <v>37</v>
      </c>
      <c r="C22" s="39" t="s">
        <v>38</v>
      </c>
      <c r="D22" s="39" t="s">
        <v>54</v>
      </c>
      <c r="E22" s="54" t="s">
        <v>1242</v>
      </c>
      <c r="F22" s="97" t="s">
        <v>30</v>
      </c>
      <c r="G22" s="55">
        <v>42227.0</v>
      </c>
      <c r="H22" s="95" t="s">
        <v>1243</v>
      </c>
      <c r="I22" s="95" t="s">
        <v>1244</v>
      </c>
      <c r="J22" s="12" t="s">
        <v>30</v>
      </c>
      <c r="K22" s="12" t="s">
        <v>30</v>
      </c>
      <c r="L22" s="12" t="s">
        <v>433</v>
      </c>
    </row>
    <row r="23">
      <c r="A23" s="39" t="s">
        <v>1245</v>
      </c>
      <c r="B23" s="39" t="s">
        <v>37</v>
      </c>
      <c r="C23" s="39" t="s">
        <v>397</v>
      </c>
      <c r="D23" s="39" t="s">
        <v>27</v>
      </c>
      <c r="E23" s="54" t="s">
        <v>1246</v>
      </c>
      <c r="F23" s="97" t="s">
        <v>30</v>
      </c>
      <c r="G23" s="55">
        <v>42234.0</v>
      </c>
      <c r="H23" s="95" t="s">
        <v>1247</v>
      </c>
      <c r="I23" s="95" t="s">
        <v>1248</v>
      </c>
      <c r="J23" s="12" t="s">
        <v>30</v>
      </c>
      <c r="K23" s="81" t="s">
        <v>1249</v>
      </c>
      <c r="L23" s="12" t="s">
        <v>433</v>
      </c>
    </row>
    <row r="24">
      <c r="A24" s="39" t="s">
        <v>1250</v>
      </c>
      <c r="B24" s="39" t="s">
        <v>37</v>
      </c>
      <c r="C24" s="39" t="s">
        <v>1057</v>
      </c>
      <c r="D24" s="39" t="s">
        <v>27</v>
      </c>
      <c r="E24" s="54" t="s">
        <v>1251</v>
      </c>
      <c r="F24" s="97" t="s">
        <v>30</v>
      </c>
      <c r="G24" s="55">
        <v>42255.0</v>
      </c>
      <c r="H24" s="95" t="s">
        <v>1252</v>
      </c>
      <c r="I24" s="95" t="s">
        <v>1253</v>
      </c>
      <c r="J24" s="12" t="s">
        <v>30</v>
      </c>
      <c r="K24" s="81" t="s">
        <v>1254</v>
      </c>
      <c r="L24" s="12" t="s">
        <v>433</v>
      </c>
    </row>
    <row r="25">
      <c r="A25" s="39" t="s">
        <v>1255</v>
      </c>
      <c r="B25" s="39" t="s">
        <v>37</v>
      </c>
      <c r="C25" s="39" t="s">
        <v>643</v>
      </c>
      <c r="D25" s="39" t="s">
        <v>27</v>
      </c>
      <c r="E25" s="54" t="s">
        <v>1256</v>
      </c>
      <c r="F25" s="97" t="s">
        <v>30</v>
      </c>
      <c r="G25" s="55">
        <v>42255.0</v>
      </c>
      <c r="H25" s="95" t="s">
        <v>1257</v>
      </c>
      <c r="I25" s="95" t="s">
        <v>1253</v>
      </c>
      <c r="J25" s="12" t="s">
        <v>30</v>
      </c>
      <c r="K25" s="81" t="s">
        <v>1258</v>
      </c>
      <c r="L25" s="12" t="s">
        <v>433</v>
      </c>
    </row>
    <row r="26">
      <c r="A26" s="39" t="s">
        <v>1259</v>
      </c>
      <c r="B26" s="39" t="s">
        <v>184</v>
      </c>
      <c r="C26" s="39" t="s">
        <v>883</v>
      </c>
      <c r="D26" s="39" t="s">
        <v>1260</v>
      </c>
      <c r="E26" s="39" t="s">
        <v>1261</v>
      </c>
      <c r="F26" s="55">
        <v>42290.0</v>
      </c>
      <c r="G26" s="55">
        <v>42293.0</v>
      </c>
      <c r="H26" s="95" t="s">
        <v>1262</v>
      </c>
      <c r="I26" s="95" t="s">
        <v>1263</v>
      </c>
      <c r="J26" s="12" t="s">
        <v>30</v>
      </c>
      <c r="K26" s="81" t="s">
        <v>1264</v>
      </c>
      <c r="L26" s="12" t="s">
        <v>433</v>
      </c>
    </row>
    <row r="27">
      <c r="A27" s="39" t="s">
        <v>1265</v>
      </c>
      <c r="B27" s="39" t="s">
        <v>1225</v>
      </c>
      <c r="C27" s="39" t="s">
        <v>1226</v>
      </c>
      <c r="D27" s="39" t="s">
        <v>54</v>
      </c>
      <c r="E27" s="39" t="s">
        <v>1266</v>
      </c>
      <c r="F27" s="97" t="s">
        <v>30</v>
      </c>
      <c r="G27" s="55">
        <v>42297.0</v>
      </c>
      <c r="H27" s="95" t="s">
        <v>1267</v>
      </c>
      <c r="I27" s="95" t="s">
        <v>1268</v>
      </c>
      <c r="J27" s="12" t="s">
        <v>30</v>
      </c>
      <c r="K27" s="81" t="s">
        <v>318</v>
      </c>
      <c r="L27" s="12" t="s">
        <v>433</v>
      </c>
    </row>
    <row r="28">
      <c r="A28" s="39" t="s">
        <v>1269</v>
      </c>
      <c r="B28" s="39" t="s">
        <v>37</v>
      </c>
      <c r="C28" s="39" t="s">
        <v>1057</v>
      </c>
      <c r="D28" s="39" t="s">
        <v>27</v>
      </c>
      <c r="E28" s="54" t="s">
        <v>1270</v>
      </c>
      <c r="F28" s="97" t="s">
        <v>30</v>
      </c>
      <c r="G28" s="55">
        <v>42346.0</v>
      </c>
      <c r="H28" s="95" t="s">
        <v>1271</v>
      </c>
      <c r="I28" s="81" t="s">
        <v>30</v>
      </c>
      <c r="J28" s="12" t="s">
        <v>30</v>
      </c>
      <c r="K28" s="81" t="s">
        <v>1272</v>
      </c>
      <c r="L28" s="12" t="s">
        <v>433</v>
      </c>
    </row>
    <row r="29">
      <c r="A29" s="39" t="s">
        <v>1273</v>
      </c>
      <c r="B29" s="39" t="s">
        <v>184</v>
      </c>
      <c r="C29" s="39" t="s">
        <v>883</v>
      </c>
      <c r="D29" s="39" t="s">
        <v>27</v>
      </c>
      <c r="E29" s="39" t="s">
        <v>1274</v>
      </c>
      <c r="F29" s="97" t="s">
        <v>30</v>
      </c>
      <c r="G29" s="55">
        <v>42366.0</v>
      </c>
      <c r="H29" s="95" t="s">
        <v>1275</v>
      </c>
      <c r="I29" s="81" t="s">
        <v>30</v>
      </c>
      <c r="J29" s="12" t="s">
        <v>30</v>
      </c>
      <c r="K29" s="12" t="s">
        <v>30</v>
      </c>
      <c r="L29" s="12" t="s">
        <v>433</v>
      </c>
    </row>
    <row r="30">
      <c r="A30" s="54"/>
      <c r="B30" s="39"/>
      <c r="C30" s="39"/>
      <c r="D30" s="39"/>
      <c r="E30" s="39"/>
      <c r="F30" s="39"/>
      <c r="G30" s="76"/>
      <c r="H30" s="57"/>
      <c r="I30" s="57"/>
      <c r="J30" s="57"/>
      <c r="K30" s="12" t="s">
        <v>433</v>
      </c>
    </row>
    <row r="31">
      <c r="A31" s="54"/>
      <c r="B31" s="39"/>
      <c r="C31" s="39"/>
      <c r="D31" s="39"/>
      <c r="E31" s="39"/>
      <c r="F31" s="39"/>
      <c r="G31" s="76"/>
      <c r="H31" s="57"/>
      <c r="I31" s="57"/>
      <c r="J31" s="57"/>
      <c r="K31" s="12" t="s">
        <v>433</v>
      </c>
    </row>
    <row r="32">
      <c r="A32" s="54"/>
      <c r="B32" s="39"/>
      <c r="C32" s="39"/>
      <c r="D32" s="39"/>
      <c r="E32" s="39"/>
      <c r="F32" s="39"/>
      <c r="G32" s="76"/>
      <c r="H32" s="57"/>
      <c r="I32" s="39"/>
      <c r="J32" s="39"/>
      <c r="K32" s="12" t="s">
        <v>433</v>
      </c>
    </row>
    <row r="33">
      <c r="A33" s="39"/>
      <c r="B33" s="39"/>
      <c r="C33" s="39"/>
      <c r="D33" s="39"/>
      <c r="E33" s="39"/>
      <c r="F33" s="39"/>
      <c r="G33" s="76"/>
      <c r="H33" s="57"/>
      <c r="I33" s="57"/>
      <c r="J33" s="57"/>
      <c r="K33" s="12" t="s">
        <v>433</v>
      </c>
    </row>
    <row r="34">
      <c r="A34" s="54"/>
      <c r="B34" s="39"/>
      <c r="C34" s="39"/>
      <c r="D34" s="39"/>
      <c r="E34" s="39"/>
      <c r="F34" s="39"/>
      <c r="G34" s="76"/>
      <c r="H34" s="57"/>
      <c r="I34" s="57"/>
      <c r="J34" s="57"/>
      <c r="K34" s="12" t="s">
        <v>433</v>
      </c>
    </row>
    <row r="35">
      <c r="A35" s="54"/>
      <c r="B35" s="39"/>
      <c r="C35" s="39"/>
      <c r="D35" s="39"/>
      <c r="E35" s="39"/>
      <c r="F35" s="39"/>
      <c r="G35" s="76"/>
      <c r="H35" s="57"/>
      <c r="I35" s="57"/>
      <c r="J35" s="57"/>
      <c r="K35" s="12" t="s">
        <v>433</v>
      </c>
    </row>
    <row r="36">
      <c r="A36" s="54"/>
      <c r="B36" s="39"/>
      <c r="C36" s="39"/>
      <c r="D36" s="39"/>
      <c r="E36" s="39"/>
      <c r="F36" s="39"/>
      <c r="G36" s="76"/>
      <c r="H36" s="57"/>
      <c r="I36" s="39"/>
      <c r="J36" s="39"/>
      <c r="K36" s="12" t="s">
        <v>433</v>
      </c>
    </row>
    <row r="37">
      <c r="A37" s="54"/>
      <c r="B37" s="39"/>
      <c r="C37" s="39"/>
      <c r="D37" s="39"/>
      <c r="E37" s="54"/>
      <c r="F37" s="39"/>
      <c r="G37" s="76"/>
      <c r="H37" s="57"/>
      <c r="I37" s="57"/>
      <c r="J37" s="57"/>
      <c r="K37" s="12" t="s">
        <v>433</v>
      </c>
    </row>
    <row r="38">
      <c r="A38" s="54"/>
      <c r="B38" s="39"/>
      <c r="C38" s="39"/>
      <c r="D38" s="39"/>
      <c r="E38" s="39"/>
      <c r="F38" s="39"/>
      <c r="G38" s="76"/>
      <c r="H38" s="57"/>
      <c r="I38" s="57"/>
      <c r="J38" s="57"/>
      <c r="K38" s="12" t="s">
        <v>433</v>
      </c>
    </row>
    <row r="39">
      <c r="A39" s="54"/>
      <c r="B39" s="39"/>
      <c r="C39" s="39"/>
      <c r="D39" s="39"/>
      <c r="E39" s="39"/>
      <c r="F39" s="39"/>
      <c r="G39" s="76"/>
      <c r="H39" s="57"/>
      <c r="I39" s="57"/>
      <c r="J39" s="57"/>
      <c r="K39" s="12" t="s">
        <v>433</v>
      </c>
    </row>
    <row r="40">
      <c r="A40" s="54"/>
      <c r="B40" s="39"/>
      <c r="C40" s="39"/>
      <c r="D40" s="39"/>
      <c r="E40" s="39"/>
      <c r="F40" s="39"/>
      <c r="G40" s="76"/>
      <c r="H40" s="57"/>
      <c r="I40" s="57"/>
      <c r="J40" s="57"/>
      <c r="K40" s="12" t="s">
        <v>433</v>
      </c>
    </row>
    <row r="41">
      <c r="A41" s="54"/>
      <c r="B41" s="39"/>
      <c r="C41" s="39"/>
      <c r="D41" s="39"/>
      <c r="E41" s="39"/>
      <c r="F41" s="39"/>
      <c r="G41" s="76"/>
      <c r="H41" s="57"/>
      <c r="I41" s="57"/>
      <c r="J41" s="57"/>
      <c r="K41" s="12" t="s">
        <v>433</v>
      </c>
    </row>
    <row r="42">
      <c r="A42" s="54"/>
      <c r="B42" s="39"/>
      <c r="C42" s="39"/>
      <c r="D42" s="39"/>
      <c r="E42" s="39"/>
      <c r="F42" s="39"/>
      <c r="G42" s="76"/>
      <c r="H42" s="57"/>
      <c r="I42" s="57"/>
      <c r="J42" s="57"/>
      <c r="K42" s="12" t="s">
        <v>433</v>
      </c>
    </row>
    <row r="43">
      <c r="A43" s="54"/>
      <c r="B43" s="39"/>
      <c r="C43" s="39"/>
      <c r="D43" s="39"/>
      <c r="E43" s="39"/>
      <c r="F43" s="39"/>
      <c r="G43" s="76"/>
      <c r="H43" s="57"/>
      <c r="I43" s="57"/>
      <c r="J43" s="57"/>
      <c r="K43" s="12" t="s">
        <v>433</v>
      </c>
    </row>
    <row r="44">
      <c r="A44" s="54"/>
      <c r="B44" s="39"/>
      <c r="C44" s="39"/>
      <c r="D44" s="39"/>
      <c r="E44" s="39"/>
      <c r="F44" s="39"/>
      <c r="G44" s="76"/>
      <c r="H44" s="57"/>
      <c r="I44" s="57"/>
      <c r="J44" s="57"/>
      <c r="K44" s="12" t="s">
        <v>433</v>
      </c>
    </row>
    <row r="45">
      <c r="A45" s="54"/>
      <c r="B45" s="39"/>
      <c r="C45" s="39"/>
      <c r="D45" s="39"/>
      <c r="E45" s="39"/>
      <c r="F45" s="39"/>
      <c r="G45" s="76"/>
      <c r="H45" s="57"/>
      <c r="I45" s="57"/>
      <c r="J45" s="57"/>
      <c r="K45" s="12" t="s">
        <v>433</v>
      </c>
    </row>
    <row r="46">
      <c r="A46" s="54"/>
      <c r="B46" s="39"/>
      <c r="C46" s="39"/>
      <c r="D46" s="39"/>
      <c r="E46" s="54"/>
      <c r="F46" s="39"/>
      <c r="G46" s="76"/>
      <c r="H46" s="57"/>
      <c r="I46" s="39"/>
      <c r="J46" s="39"/>
      <c r="K46" s="12" t="s">
        <v>433</v>
      </c>
    </row>
    <row r="47">
      <c r="A47" s="39"/>
      <c r="B47" s="39"/>
      <c r="C47" s="39"/>
      <c r="D47" s="39"/>
      <c r="E47" s="39"/>
      <c r="F47" s="76"/>
      <c r="G47" s="76"/>
      <c r="H47" s="57"/>
      <c r="I47" s="57"/>
      <c r="J47" s="57"/>
      <c r="K47" s="12" t="s">
        <v>433</v>
      </c>
    </row>
    <row r="48">
      <c r="A48" s="54"/>
      <c r="B48" s="39"/>
      <c r="C48" s="39"/>
      <c r="D48" s="39"/>
      <c r="E48" s="54"/>
      <c r="F48" s="39"/>
      <c r="G48" s="76"/>
      <c r="H48" s="57"/>
      <c r="I48" s="57"/>
      <c r="J48" s="57"/>
      <c r="K48" s="12" t="s">
        <v>433</v>
      </c>
    </row>
    <row r="49">
      <c r="A49" s="54"/>
      <c r="B49" s="39"/>
      <c r="C49" s="39"/>
      <c r="D49" s="39"/>
      <c r="E49" s="54"/>
      <c r="F49" s="76"/>
      <c r="G49" s="76"/>
      <c r="H49" s="57"/>
      <c r="I49" s="57"/>
      <c r="J49" s="57"/>
      <c r="K49" s="12" t="s">
        <v>433</v>
      </c>
    </row>
    <row r="50">
      <c r="A50" s="54"/>
      <c r="B50" s="39"/>
      <c r="C50" s="39"/>
      <c r="D50" s="39"/>
      <c r="E50" s="54"/>
      <c r="F50" s="76"/>
      <c r="G50" s="76"/>
      <c r="H50" s="57"/>
      <c r="I50" s="57"/>
      <c r="J50" s="57"/>
      <c r="K50" s="12" t="s">
        <v>433</v>
      </c>
    </row>
    <row r="51">
      <c r="A51" s="39"/>
      <c r="B51" s="39"/>
      <c r="C51" s="39"/>
      <c r="D51" s="39"/>
      <c r="E51" s="39"/>
      <c r="F51" s="39"/>
      <c r="G51" s="76"/>
      <c r="H51" s="57"/>
      <c r="I51" s="39"/>
      <c r="J51" s="39"/>
      <c r="K51" s="12" t="s">
        <v>433</v>
      </c>
    </row>
    <row r="52">
      <c r="A52" s="54"/>
      <c r="B52" s="39"/>
      <c r="C52" s="39"/>
      <c r="D52" s="39"/>
      <c r="E52" s="39"/>
      <c r="F52" s="39"/>
      <c r="G52" s="76"/>
      <c r="H52" s="57"/>
      <c r="I52" s="57"/>
      <c r="J52" s="57"/>
      <c r="K52" s="12" t="s">
        <v>433</v>
      </c>
    </row>
    <row r="53">
      <c r="A53" s="54"/>
      <c r="B53" s="39"/>
      <c r="C53" s="39"/>
      <c r="D53" s="39"/>
      <c r="E53" s="39"/>
      <c r="F53" s="39"/>
      <c r="G53" s="76"/>
      <c r="H53" s="57"/>
      <c r="I53" s="57"/>
      <c r="J53" s="57"/>
      <c r="K53" s="12" t="s">
        <v>433</v>
      </c>
    </row>
    <row r="54">
      <c r="A54" s="54"/>
      <c r="B54" s="39"/>
      <c r="C54" s="39"/>
      <c r="D54" s="39"/>
      <c r="E54" s="39"/>
      <c r="F54" s="39"/>
      <c r="G54" s="76"/>
      <c r="H54" s="57"/>
      <c r="I54" s="57"/>
      <c r="J54" s="57"/>
      <c r="K54" s="12" t="s">
        <v>433</v>
      </c>
    </row>
    <row r="55">
      <c r="A55" s="54"/>
      <c r="B55" s="39"/>
      <c r="C55" s="39"/>
      <c r="D55" s="39"/>
      <c r="E55" s="39"/>
      <c r="F55" s="39"/>
      <c r="G55" s="76"/>
      <c r="H55" s="57"/>
      <c r="I55" s="57"/>
      <c r="J55" s="57"/>
      <c r="K55" s="12" t="s">
        <v>433</v>
      </c>
    </row>
    <row r="56">
      <c r="A56" s="39"/>
      <c r="B56" s="39"/>
      <c r="C56" s="39"/>
      <c r="D56" s="39"/>
      <c r="E56" s="39"/>
      <c r="F56" s="76"/>
      <c r="G56" s="76"/>
      <c r="H56" s="57"/>
      <c r="I56" s="57"/>
      <c r="J56" s="57"/>
      <c r="K56" s="12" t="s">
        <v>433</v>
      </c>
    </row>
    <row r="57">
      <c r="A57" s="75"/>
      <c r="B57" s="39"/>
      <c r="C57" s="39"/>
      <c r="D57" s="39"/>
      <c r="E57" s="54"/>
      <c r="F57" s="76"/>
      <c r="G57" s="76"/>
      <c r="H57" s="57"/>
      <c r="I57" s="57"/>
      <c r="J57" s="57"/>
      <c r="K57" s="12" t="s">
        <v>433</v>
      </c>
    </row>
    <row r="58">
      <c r="A58" s="39"/>
      <c r="B58" s="39"/>
      <c r="C58" s="39"/>
      <c r="D58" s="39"/>
      <c r="E58" s="54"/>
      <c r="F58" s="76"/>
      <c r="G58" s="76"/>
      <c r="H58" s="57"/>
      <c r="I58" s="57"/>
      <c r="J58" s="57"/>
      <c r="K58" s="12" t="s">
        <v>433</v>
      </c>
    </row>
    <row r="59">
      <c r="A59" s="54"/>
      <c r="B59" s="39"/>
      <c r="C59" s="39"/>
      <c r="D59" s="39"/>
      <c r="E59" s="54"/>
      <c r="F59" s="76"/>
      <c r="G59" s="76"/>
      <c r="H59" s="57"/>
      <c r="I59" s="57"/>
      <c r="J59" s="57"/>
      <c r="K59" s="12" t="s">
        <v>433</v>
      </c>
    </row>
    <row r="60">
      <c r="A60" s="39"/>
      <c r="B60" s="39"/>
      <c r="C60" s="39"/>
      <c r="D60" s="39"/>
      <c r="E60" s="39"/>
      <c r="F60" s="76"/>
      <c r="G60" s="76"/>
      <c r="H60" s="57"/>
      <c r="I60" s="39"/>
      <c r="J60" s="39"/>
      <c r="K60" s="12" t="s">
        <v>433</v>
      </c>
    </row>
    <row r="61">
      <c r="A61" s="54"/>
      <c r="B61" s="39"/>
      <c r="C61" s="39"/>
      <c r="D61" s="79"/>
      <c r="E61" s="54"/>
      <c r="F61" s="39"/>
      <c r="G61" s="76"/>
      <c r="H61" s="57"/>
      <c r="I61" s="57"/>
      <c r="J61" s="57"/>
      <c r="K61" s="12" t="s">
        <v>433</v>
      </c>
    </row>
    <row r="62">
      <c r="A62" s="54"/>
      <c r="B62" s="39"/>
      <c r="C62" s="39"/>
      <c r="D62" s="39"/>
      <c r="E62" s="39"/>
      <c r="F62" s="76"/>
      <c r="G62" s="76"/>
      <c r="H62" s="57"/>
      <c r="I62" s="57"/>
      <c r="J62" s="57"/>
      <c r="K62" s="12" t="s">
        <v>433</v>
      </c>
    </row>
    <row r="63">
      <c r="A63" s="54"/>
      <c r="B63" s="39"/>
      <c r="C63" s="39"/>
      <c r="D63" s="39"/>
      <c r="E63" s="54"/>
      <c r="F63" s="39"/>
      <c r="G63" s="76"/>
      <c r="H63" s="57"/>
      <c r="I63" s="57"/>
      <c r="J63" s="57"/>
      <c r="K63" s="12" t="s">
        <v>433</v>
      </c>
    </row>
    <row r="64">
      <c r="A64" s="39"/>
      <c r="B64" s="39"/>
      <c r="C64" s="39"/>
      <c r="D64" s="39"/>
      <c r="E64" s="54"/>
      <c r="F64" s="39"/>
      <c r="G64" s="76"/>
      <c r="H64" s="57"/>
      <c r="I64" s="57"/>
      <c r="J64" s="57"/>
      <c r="K64" s="12" t="s">
        <v>433</v>
      </c>
    </row>
    <row r="65">
      <c r="A65" s="39"/>
      <c r="B65" s="39"/>
      <c r="C65" s="39"/>
      <c r="D65" s="39"/>
      <c r="E65" s="39"/>
      <c r="F65" s="39"/>
      <c r="G65" s="76"/>
      <c r="H65" s="57"/>
      <c r="I65" s="57"/>
      <c r="J65" s="57"/>
      <c r="K65" s="12" t="s">
        <v>433</v>
      </c>
    </row>
    <row r="66">
      <c r="A66" s="54"/>
      <c r="B66" s="39"/>
      <c r="C66" s="39"/>
      <c r="D66" s="39"/>
      <c r="E66" s="54"/>
      <c r="F66" s="77"/>
      <c r="G66" s="76"/>
      <c r="H66" s="57"/>
      <c r="I66" s="57"/>
      <c r="J66" s="57"/>
      <c r="K66" s="12" t="s">
        <v>433</v>
      </c>
    </row>
    <row r="67">
      <c r="A67" s="39"/>
      <c r="B67" s="39"/>
      <c r="C67" s="39"/>
      <c r="D67" s="39"/>
      <c r="E67" s="39"/>
      <c r="F67" s="76"/>
      <c r="G67" s="76"/>
      <c r="H67" s="57"/>
      <c r="I67" s="57"/>
      <c r="J67" s="57"/>
      <c r="K67" s="12" t="s">
        <v>433</v>
      </c>
    </row>
    <row r="68">
      <c r="A68" s="39"/>
      <c r="B68" s="39"/>
      <c r="C68" s="39"/>
      <c r="D68" s="39"/>
      <c r="E68" s="39"/>
      <c r="F68" s="39"/>
      <c r="G68" s="76"/>
      <c r="H68" s="57"/>
      <c r="I68" s="57"/>
      <c r="J68" s="57"/>
      <c r="K68" s="12" t="s">
        <v>433</v>
      </c>
    </row>
    <row r="69">
      <c r="A69" s="39"/>
      <c r="B69" s="39"/>
      <c r="C69" s="39"/>
      <c r="D69" s="39"/>
      <c r="E69" s="39"/>
      <c r="F69" s="76"/>
      <c r="G69" s="76"/>
      <c r="H69" s="57"/>
      <c r="I69" s="57"/>
      <c r="J69" s="57"/>
      <c r="K69" s="12" t="s">
        <v>433</v>
      </c>
    </row>
    <row r="70">
      <c r="A70" s="39"/>
      <c r="B70" s="39"/>
      <c r="C70" s="39"/>
      <c r="D70" s="78"/>
      <c r="E70" s="54"/>
      <c r="F70" s="76"/>
      <c r="G70" s="76"/>
      <c r="H70" s="62"/>
      <c r="I70" s="62"/>
      <c r="J70" s="62"/>
      <c r="K70" s="12" t="s">
        <v>433</v>
      </c>
    </row>
    <row r="71">
      <c r="A71" s="39"/>
      <c r="B71" s="39"/>
      <c r="C71" s="39"/>
      <c r="D71" s="39"/>
      <c r="E71" s="39"/>
      <c r="F71" s="39"/>
      <c r="G71" s="76"/>
      <c r="H71" s="57"/>
      <c r="I71" s="39"/>
      <c r="J71" s="39"/>
      <c r="K71" s="12" t="s">
        <v>433</v>
      </c>
    </row>
    <row r="72">
      <c r="A72" s="39"/>
      <c r="B72" s="39"/>
      <c r="C72" s="39"/>
      <c r="D72" s="39"/>
      <c r="E72" s="54"/>
      <c r="F72" s="39"/>
      <c r="G72" s="76"/>
      <c r="H72" s="57"/>
      <c r="I72" s="39"/>
      <c r="J72" s="39"/>
      <c r="K72" s="12" t="s">
        <v>433</v>
      </c>
    </row>
    <row r="73">
      <c r="A73" s="39"/>
      <c r="B73" s="39"/>
      <c r="C73" s="39"/>
      <c r="D73" s="39"/>
      <c r="E73" s="39"/>
      <c r="F73" s="39"/>
      <c r="G73" s="76"/>
      <c r="H73" s="57"/>
      <c r="I73" s="57"/>
      <c r="J73" s="57"/>
      <c r="K73" s="12" t="s">
        <v>433</v>
      </c>
    </row>
    <row r="74">
      <c r="A74" s="39"/>
      <c r="B74" s="39"/>
      <c r="C74" s="39"/>
      <c r="D74" s="39"/>
      <c r="E74" s="39"/>
      <c r="F74" s="76"/>
      <c r="G74" s="76"/>
      <c r="H74" s="57"/>
      <c r="I74" s="57"/>
      <c r="J74" s="57"/>
      <c r="K74" s="12" t="s">
        <v>433</v>
      </c>
    </row>
    <row r="75">
      <c r="A75" s="39"/>
      <c r="B75" s="39"/>
      <c r="C75" s="39"/>
      <c r="D75" s="39"/>
      <c r="E75" s="54"/>
      <c r="F75" s="39"/>
      <c r="G75" s="76"/>
      <c r="H75" s="57"/>
      <c r="I75" s="57"/>
      <c r="J75" s="57"/>
      <c r="K75" s="12" t="s">
        <v>433</v>
      </c>
    </row>
    <row r="76">
      <c r="A76" s="39"/>
      <c r="B76" s="39"/>
      <c r="C76" s="39"/>
      <c r="D76" s="39"/>
      <c r="E76" s="54"/>
      <c r="F76" s="39"/>
      <c r="G76" s="76"/>
      <c r="H76" s="57"/>
      <c r="I76" s="57"/>
      <c r="J76" s="57"/>
      <c r="K76" s="12" t="s">
        <v>433</v>
      </c>
    </row>
    <row r="77">
      <c r="A77" s="39"/>
      <c r="B77" s="39"/>
      <c r="C77" s="39"/>
      <c r="D77" s="39"/>
      <c r="E77" s="54"/>
      <c r="F77" s="39"/>
      <c r="G77" s="76"/>
      <c r="H77" s="57"/>
      <c r="I77" s="57"/>
      <c r="J77" s="57"/>
      <c r="K77" s="12" t="s">
        <v>433</v>
      </c>
    </row>
    <row r="78">
      <c r="A78" s="54"/>
      <c r="B78" s="39"/>
      <c r="C78" s="39"/>
      <c r="D78" s="39"/>
      <c r="E78" s="54"/>
      <c r="F78" s="76"/>
      <c r="G78" s="76"/>
      <c r="H78" s="57"/>
      <c r="I78" s="57"/>
      <c r="J78" s="57"/>
      <c r="K78" s="12" t="s">
        <v>433</v>
      </c>
    </row>
    <row r="79">
      <c r="A79" s="75"/>
      <c r="B79" s="39"/>
      <c r="C79" s="39"/>
      <c r="D79" s="39"/>
      <c r="E79" s="54"/>
      <c r="F79" s="39"/>
      <c r="G79" s="76"/>
      <c r="H79" s="57"/>
      <c r="I79" s="57"/>
      <c r="J79" s="57"/>
      <c r="K79" s="12" t="s">
        <v>433</v>
      </c>
    </row>
    <row r="80">
      <c r="A80" s="54"/>
      <c r="B80" s="39"/>
      <c r="C80" s="39"/>
      <c r="D80" s="39"/>
      <c r="E80" s="54"/>
      <c r="F80" s="76"/>
      <c r="G80" s="76"/>
      <c r="H80" s="57"/>
      <c r="I80" s="57"/>
      <c r="J80" s="57"/>
      <c r="K80" s="12" t="s">
        <v>433</v>
      </c>
    </row>
    <row r="81">
      <c r="A81" s="39"/>
      <c r="B81" s="39"/>
      <c r="C81" s="39"/>
      <c r="D81" s="39"/>
      <c r="E81" s="39"/>
      <c r="F81" s="76"/>
      <c r="G81" s="76"/>
      <c r="H81" s="57"/>
      <c r="I81" s="57"/>
      <c r="J81" s="57"/>
      <c r="K81" s="12" t="s">
        <v>433</v>
      </c>
    </row>
    <row r="82">
      <c r="A82" s="39"/>
      <c r="B82" s="39"/>
      <c r="C82" s="39"/>
      <c r="D82" s="39"/>
      <c r="E82" s="39"/>
      <c r="F82" s="76"/>
      <c r="G82" s="76"/>
      <c r="H82" s="57"/>
      <c r="I82" s="57"/>
      <c r="J82" s="57"/>
      <c r="K82" s="12" t="s">
        <v>433</v>
      </c>
    </row>
    <row r="83">
      <c r="A83" s="39"/>
      <c r="B83" s="39"/>
      <c r="C83" s="39"/>
      <c r="D83" s="39"/>
      <c r="E83" s="54"/>
      <c r="F83" s="76"/>
      <c r="G83" s="76"/>
      <c r="H83" s="57"/>
      <c r="I83" s="57"/>
      <c r="J83" s="57"/>
      <c r="K83" s="12" t="s">
        <v>433</v>
      </c>
    </row>
    <row r="84">
      <c r="A84" s="39"/>
      <c r="B84" s="39"/>
      <c r="C84" s="39"/>
      <c r="D84" s="39"/>
      <c r="E84" s="54"/>
      <c r="F84" s="76"/>
      <c r="G84" s="76"/>
      <c r="H84" s="57"/>
      <c r="I84" s="57"/>
      <c r="J84" s="57"/>
      <c r="K84" s="12" t="s">
        <v>433</v>
      </c>
    </row>
    <row r="85">
      <c r="A85" s="54"/>
      <c r="B85" s="39"/>
      <c r="C85" s="39"/>
      <c r="D85" s="39"/>
      <c r="E85" s="54"/>
      <c r="F85" s="77"/>
      <c r="G85" s="76"/>
      <c r="H85" s="57"/>
      <c r="I85" s="57"/>
      <c r="J85" s="57"/>
      <c r="K85" s="12" t="s">
        <v>433</v>
      </c>
    </row>
    <row r="86">
      <c r="A86" s="39"/>
      <c r="B86" s="39"/>
      <c r="C86" s="39"/>
      <c r="D86" s="39"/>
      <c r="E86" s="39"/>
      <c r="F86" s="39"/>
      <c r="G86" s="76"/>
      <c r="H86" s="57"/>
      <c r="I86" s="57"/>
      <c r="J86" s="57"/>
      <c r="K86" s="12" t="s">
        <v>433</v>
      </c>
    </row>
    <row r="87">
      <c r="A87" s="54"/>
      <c r="B87" s="39"/>
      <c r="C87" s="39"/>
      <c r="D87" s="39"/>
      <c r="E87" s="39"/>
      <c r="F87" s="76"/>
      <c r="G87" s="76"/>
      <c r="H87" s="57"/>
      <c r="I87" s="57"/>
      <c r="J87" s="57"/>
      <c r="K87" s="12" t="s">
        <v>433</v>
      </c>
    </row>
    <row r="88">
      <c r="A88" s="54"/>
      <c r="B88" s="39"/>
      <c r="C88" s="39"/>
      <c r="D88" s="39"/>
      <c r="E88" s="39"/>
      <c r="F88" s="39"/>
      <c r="G88" s="76"/>
      <c r="H88" s="57"/>
      <c r="I88" s="57"/>
      <c r="J88" s="57"/>
      <c r="K88" s="12" t="s">
        <v>433</v>
      </c>
    </row>
    <row r="89">
      <c r="A89" s="39"/>
      <c r="B89" s="39"/>
      <c r="C89" s="39"/>
      <c r="D89" s="39"/>
      <c r="E89" s="54"/>
      <c r="F89" s="54"/>
      <c r="G89" s="76"/>
      <c r="H89" s="57"/>
      <c r="I89" s="57"/>
      <c r="J89" s="57"/>
      <c r="K89" s="12" t="s">
        <v>433</v>
      </c>
    </row>
    <row r="90">
      <c r="A90" s="39"/>
      <c r="B90" s="39"/>
      <c r="C90" s="39"/>
      <c r="D90" s="39"/>
      <c r="E90" s="39"/>
      <c r="F90" s="76"/>
      <c r="G90" s="76"/>
      <c r="H90" s="57"/>
      <c r="I90" s="57"/>
      <c r="J90" s="57"/>
      <c r="K90" s="12" t="s">
        <v>433</v>
      </c>
    </row>
    <row r="91">
      <c r="A91" s="39"/>
      <c r="B91" s="39"/>
      <c r="C91" s="39"/>
      <c r="D91" s="39"/>
      <c r="E91" s="54"/>
      <c r="F91" s="77"/>
      <c r="G91" s="76"/>
      <c r="H91" s="57"/>
      <c r="I91" s="57"/>
      <c r="J91" s="57"/>
      <c r="K91" s="12" t="s">
        <v>433</v>
      </c>
    </row>
    <row r="92">
      <c r="A92" s="39"/>
      <c r="B92" s="39"/>
      <c r="C92" s="39"/>
      <c r="D92" s="39"/>
      <c r="E92" s="39"/>
      <c r="F92" s="76"/>
      <c r="G92" s="76"/>
      <c r="H92" s="57"/>
      <c r="I92" s="57"/>
      <c r="J92" s="57"/>
      <c r="K92" s="12" t="s">
        <v>433</v>
      </c>
    </row>
    <row r="93">
      <c r="A93" s="54"/>
      <c r="B93" s="39"/>
      <c r="C93" s="39"/>
      <c r="D93" s="39"/>
      <c r="E93" s="54"/>
      <c r="F93" s="39"/>
      <c r="G93" s="76"/>
      <c r="H93" s="57"/>
      <c r="I93" s="57"/>
      <c r="J93" s="57"/>
      <c r="K93" s="12" t="s">
        <v>433</v>
      </c>
    </row>
    <row r="94">
      <c r="A94" s="39"/>
      <c r="B94" s="39"/>
      <c r="C94" s="39"/>
      <c r="D94" s="39"/>
      <c r="E94" s="54"/>
      <c r="F94" s="54"/>
      <c r="G94" s="76"/>
      <c r="H94" s="57"/>
      <c r="I94" s="57"/>
      <c r="J94" s="57"/>
      <c r="K94" s="12" t="s">
        <v>433</v>
      </c>
    </row>
    <row r="95">
      <c r="A95" s="39"/>
      <c r="B95" s="39"/>
      <c r="C95" s="39"/>
      <c r="D95" s="39"/>
      <c r="E95" s="39"/>
      <c r="F95" s="76"/>
      <c r="G95" s="76"/>
      <c r="H95" s="57"/>
      <c r="I95" s="57"/>
      <c r="J95" s="57"/>
      <c r="K95" s="12" t="s">
        <v>433</v>
      </c>
    </row>
    <row r="96">
      <c r="A96" s="54"/>
      <c r="B96" s="39"/>
      <c r="C96" s="39"/>
      <c r="D96" s="39"/>
      <c r="E96" s="39"/>
      <c r="F96" s="76"/>
      <c r="G96" s="76"/>
      <c r="H96" s="57"/>
      <c r="I96" s="57"/>
      <c r="J96" s="57"/>
      <c r="K96" s="12" t="s">
        <v>433</v>
      </c>
    </row>
    <row r="97">
      <c r="A97" s="39"/>
      <c r="B97" s="39"/>
      <c r="C97" s="39"/>
      <c r="D97" s="39"/>
      <c r="E97" s="39"/>
      <c r="F97" s="76"/>
      <c r="G97" s="76"/>
      <c r="H97" s="57"/>
      <c r="I97" s="57"/>
      <c r="J97" s="57"/>
      <c r="K97" s="12" t="s">
        <v>433</v>
      </c>
    </row>
    <row r="98">
      <c r="A98" s="39"/>
      <c r="B98" s="39"/>
      <c r="C98" s="39"/>
      <c r="D98" s="39"/>
      <c r="E98" s="54"/>
      <c r="F98" s="54"/>
      <c r="G98" s="76"/>
      <c r="H98" s="57"/>
      <c r="I98" s="57"/>
      <c r="J98" s="57"/>
      <c r="K98" s="12" t="s">
        <v>433</v>
      </c>
    </row>
    <row r="99">
      <c r="A99" s="39"/>
      <c r="B99" s="39"/>
      <c r="C99" s="39"/>
      <c r="D99" s="39"/>
      <c r="E99" s="39"/>
      <c r="F99" s="54"/>
      <c r="G99" s="76"/>
      <c r="H99" s="57"/>
      <c r="I99" s="39"/>
      <c r="J99" s="39"/>
      <c r="K99" s="12" t="s">
        <v>433</v>
      </c>
    </row>
    <row r="100">
      <c r="A100" s="54"/>
      <c r="B100" s="39"/>
      <c r="C100" s="39"/>
      <c r="D100" s="39"/>
      <c r="E100" s="39"/>
      <c r="F100" s="54"/>
      <c r="G100" s="76"/>
      <c r="H100" s="57"/>
      <c r="I100" s="57"/>
      <c r="J100" s="57"/>
      <c r="K100" s="12" t="s">
        <v>433</v>
      </c>
    </row>
    <row r="101">
      <c r="A101" s="39"/>
      <c r="B101" s="39"/>
      <c r="C101" s="39"/>
      <c r="D101" s="39"/>
      <c r="E101" s="39"/>
      <c r="F101" s="54"/>
      <c r="G101" s="76"/>
      <c r="H101" s="57"/>
      <c r="I101" s="57"/>
      <c r="J101" s="57"/>
      <c r="K101" s="12" t="s">
        <v>433</v>
      </c>
    </row>
    <row r="102">
      <c r="A102" s="39"/>
      <c r="B102" s="39"/>
      <c r="C102" s="39"/>
      <c r="D102" s="39"/>
      <c r="E102" s="39"/>
      <c r="F102" s="54"/>
      <c r="G102" s="76"/>
      <c r="H102" s="57"/>
      <c r="I102" s="39"/>
      <c r="J102" s="39"/>
      <c r="K102" s="12" t="s">
        <v>433</v>
      </c>
    </row>
    <row r="103">
      <c r="A103" s="39"/>
      <c r="B103" s="39"/>
      <c r="C103" s="39"/>
      <c r="D103" s="39"/>
      <c r="E103" s="54"/>
      <c r="F103" s="54"/>
      <c r="G103" s="76"/>
      <c r="H103" s="57"/>
      <c r="I103" s="57"/>
      <c r="J103" s="57"/>
      <c r="K103" s="12" t="s">
        <v>433</v>
      </c>
    </row>
    <row r="104">
      <c r="A104" s="39"/>
      <c r="B104" s="39"/>
      <c r="C104" s="39"/>
      <c r="D104" s="39"/>
      <c r="E104" s="54"/>
      <c r="F104" s="54"/>
      <c r="G104" s="76"/>
      <c r="H104" s="57"/>
      <c r="I104" s="57"/>
      <c r="J104" s="57"/>
      <c r="K104" s="12" t="s">
        <v>433</v>
      </c>
    </row>
    <row r="105">
      <c r="A105" s="54"/>
      <c r="B105" s="39"/>
      <c r="C105" s="39"/>
      <c r="D105" s="39"/>
      <c r="E105" s="54"/>
      <c r="F105" s="54"/>
      <c r="G105" s="76"/>
      <c r="H105" s="57"/>
      <c r="I105" s="39"/>
      <c r="J105" s="39"/>
      <c r="K105" s="12" t="s">
        <v>433</v>
      </c>
    </row>
    <row r="106">
      <c r="A106" s="39"/>
      <c r="B106" s="39"/>
      <c r="C106" s="39"/>
      <c r="D106" s="39"/>
      <c r="E106" s="54"/>
      <c r="F106" s="54"/>
      <c r="G106" s="76"/>
      <c r="H106" s="57"/>
      <c r="I106" s="39"/>
      <c r="J106" s="39"/>
      <c r="K106" s="12" t="s">
        <v>433</v>
      </c>
    </row>
    <row r="107">
      <c r="A107" s="39"/>
      <c r="B107" s="39"/>
      <c r="C107" s="39"/>
      <c r="D107" s="39"/>
      <c r="E107" s="39"/>
      <c r="F107" s="54"/>
      <c r="G107" s="76"/>
      <c r="H107" s="57"/>
      <c r="I107" s="57"/>
      <c r="J107" s="57"/>
      <c r="K107" s="12" t="s">
        <v>433</v>
      </c>
    </row>
    <row r="108">
      <c r="A108" s="54"/>
      <c r="B108" s="39"/>
      <c r="C108" s="39"/>
      <c r="D108" s="39"/>
      <c r="E108" s="54"/>
      <c r="F108" s="54"/>
      <c r="G108" s="76"/>
      <c r="H108" s="57"/>
      <c r="I108" s="39"/>
      <c r="J108" s="39"/>
      <c r="K108" s="12" t="s">
        <v>433</v>
      </c>
    </row>
    <row r="109">
      <c r="A109" s="39"/>
      <c r="B109" s="39"/>
      <c r="C109" s="39"/>
      <c r="D109" s="39"/>
      <c r="E109" s="39"/>
      <c r="F109" s="54"/>
      <c r="G109" s="76"/>
      <c r="H109" s="57"/>
      <c r="I109" s="57"/>
      <c r="J109" s="57"/>
      <c r="K109" s="12" t="s">
        <v>433</v>
      </c>
    </row>
  </sheetData>
  <hyperlinks>
    <hyperlink r:id="rId1" ref="H2"/>
    <hyperlink r:id="rId2" ref="I2"/>
    <hyperlink r:id="rId3" ref="H3"/>
    <hyperlink r:id="rId4" ref="I3"/>
    <hyperlink r:id="rId5" ref="H4"/>
    <hyperlink r:id="rId6" ref="I4"/>
    <hyperlink r:id="rId7" ref="H5"/>
    <hyperlink r:id="rId8" ref="I5"/>
    <hyperlink r:id="rId9" ref="H6"/>
    <hyperlink r:id="rId10" ref="I6"/>
    <hyperlink r:id="rId11" ref="H7"/>
    <hyperlink r:id="rId12" ref="I7"/>
    <hyperlink r:id="rId13" ref="H8"/>
    <hyperlink r:id="rId14" ref="I8"/>
    <hyperlink r:id="rId15" ref="H9"/>
    <hyperlink r:id="rId16" ref="I9"/>
    <hyperlink r:id="rId17" ref="H10"/>
    <hyperlink r:id="rId18" ref="I10"/>
    <hyperlink r:id="rId19" ref="H11"/>
    <hyperlink r:id="rId20" ref="I11"/>
    <hyperlink r:id="rId21" ref="H12"/>
    <hyperlink r:id="rId22" ref="I12"/>
    <hyperlink r:id="rId23" ref="H13"/>
    <hyperlink r:id="rId24" ref="I13"/>
    <hyperlink r:id="rId25" ref="H14"/>
    <hyperlink r:id="rId26" ref="I14"/>
    <hyperlink r:id="rId27" ref="H15"/>
    <hyperlink r:id="rId28" ref="I15"/>
    <hyperlink r:id="rId29" ref="H16"/>
    <hyperlink r:id="rId30" ref="I16"/>
    <hyperlink r:id="rId31" ref="H17"/>
    <hyperlink r:id="rId32" ref="I17"/>
    <hyperlink r:id="rId33" ref="H18"/>
    <hyperlink r:id="rId34" ref="I18"/>
    <hyperlink r:id="rId35" ref="H19"/>
    <hyperlink r:id="rId36" ref="I19"/>
    <hyperlink r:id="rId37" ref="H20"/>
    <hyperlink r:id="rId38" ref="I20"/>
    <hyperlink r:id="rId39" ref="H21"/>
    <hyperlink r:id="rId40" ref="I21"/>
    <hyperlink r:id="rId41" ref="H22"/>
    <hyperlink r:id="rId42" ref="I22"/>
    <hyperlink r:id="rId43" ref="H23"/>
    <hyperlink r:id="rId44" ref="I23"/>
    <hyperlink r:id="rId45" ref="H24"/>
    <hyperlink r:id="rId46" ref="I24"/>
    <hyperlink r:id="rId47" ref="H25"/>
    <hyperlink r:id="rId48" ref="I25"/>
    <hyperlink r:id="rId49" ref="H26"/>
    <hyperlink r:id="rId50" ref="I26"/>
    <hyperlink r:id="rId51" ref="H27"/>
    <hyperlink r:id="rId52" ref="I27"/>
    <hyperlink r:id="rId53" ref="H28"/>
    <hyperlink r:id="rId54" ref="H29"/>
  </hyperlinks>
  <drawing r:id="rId55"/>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5"/>
    <col customWidth="1" min="2" max="2" width="9.25"/>
    <col customWidth="1" min="3" max="3" width="15.0"/>
    <col customWidth="1" min="4" max="4" width="14.88"/>
    <col customWidth="1" min="5" max="5" width="34.75"/>
    <col customWidth="1" min="6" max="6" width="13.75"/>
    <col customWidth="1" min="7" max="7" width="11.25"/>
    <col customWidth="1" min="10" max="10" width="17.63"/>
  </cols>
  <sheetData>
    <row r="1">
      <c r="A1" s="7" t="s">
        <v>13</v>
      </c>
      <c r="B1" s="7" t="s">
        <v>14</v>
      </c>
      <c r="C1" s="7" t="s">
        <v>15</v>
      </c>
      <c r="D1" s="7" t="s">
        <v>16</v>
      </c>
      <c r="E1" s="7" t="s">
        <v>17</v>
      </c>
      <c r="F1" s="7" t="s">
        <v>18</v>
      </c>
      <c r="G1" s="7" t="s">
        <v>19</v>
      </c>
      <c r="H1" s="7" t="s">
        <v>20</v>
      </c>
      <c r="I1" s="7" t="s">
        <v>21</v>
      </c>
      <c r="J1" s="7" t="s">
        <v>22</v>
      </c>
      <c r="K1" s="8" t="s">
        <v>23</v>
      </c>
    </row>
    <row r="2">
      <c r="A2" s="54" t="s">
        <v>1276</v>
      </c>
      <c r="B2" s="39" t="s">
        <v>184</v>
      </c>
      <c r="C2" s="39" t="s">
        <v>185</v>
      </c>
      <c r="D2" s="39" t="s">
        <v>54</v>
      </c>
      <c r="E2" s="54" t="s">
        <v>1277</v>
      </c>
      <c r="F2" s="54" t="s">
        <v>30</v>
      </c>
      <c r="G2" s="56">
        <v>41863.0</v>
      </c>
      <c r="H2" s="95" t="s">
        <v>1278</v>
      </c>
      <c r="I2" s="81" t="s">
        <v>30</v>
      </c>
      <c r="J2" s="12" t="s">
        <v>30</v>
      </c>
      <c r="K2" s="81" t="s">
        <v>1279</v>
      </c>
      <c r="L2" s="12" t="s">
        <v>433</v>
      </c>
    </row>
    <row r="3">
      <c r="A3" s="39" t="s">
        <v>1280</v>
      </c>
      <c r="B3" s="39" t="s">
        <v>37</v>
      </c>
      <c r="C3" s="39" t="s">
        <v>397</v>
      </c>
      <c r="D3" s="39" t="s">
        <v>54</v>
      </c>
      <c r="E3" s="39" t="s">
        <v>1281</v>
      </c>
      <c r="F3" s="54" t="s">
        <v>30</v>
      </c>
      <c r="G3" s="56">
        <v>41863.0</v>
      </c>
      <c r="H3" s="95" t="s">
        <v>1282</v>
      </c>
      <c r="I3" s="95" t="s">
        <v>1283</v>
      </c>
      <c r="J3" s="12" t="s">
        <v>30</v>
      </c>
      <c r="K3" s="81" t="s">
        <v>1284</v>
      </c>
      <c r="L3" s="12" t="s">
        <v>433</v>
      </c>
    </row>
    <row r="4">
      <c r="A4" s="39" t="s">
        <v>1285</v>
      </c>
      <c r="B4" s="39" t="s">
        <v>37</v>
      </c>
      <c r="C4" s="39" t="s">
        <v>38</v>
      </c>
      <c r="D4" s="39" t="s">
        <v>27</v>
      </c>
      <c r="E4" s="54" t="s">
        <v>1286</v>
      </c>
      <c r="F4" s="54" t="s">
        <v>30</v>
      </c>
      <c r="G4" s="56">
        <v>41926.0</v>
      </c>
      <c r="H4" s="95" t="s">
        <v>1287</v>
      </c>
      <c r="I4" s="95" t="s">
        <v>1288</v>
      </c>
      <c r="J4" s="12" t="s">
        <v>30</v>
      </c>
      <c r="K4" s="81" t="s">
        <v>1289</v>
      </c>
      <c r="L4" s="12" t="s">
        <v>433</v>
      </c>
    </row>
    <row r="5">
      <c r="A5" s="39" t="s">
        <v>1290</v>
      </c>
      <c r="B5" s="39" t="s">
        <v>37</v>
      </c>
      <c r="C5" s="39" t="s">
        <v>643</v>
      </c>
      <c r="D5" s="39" t="s">
        <v>54</v>
      </c>
      <c r="E5" s="39" t="s">
        <v>1291</v>
      </c>
      <c r="F5" s="54" t="s">
        <v>30</v>
      </c>
      <c r="G5" s="56">
        <v>41926.0</v>
      </c>
      <c r="H5" s="95" t="s">
        <v>1292</v>
      </c>
      <c r="I5" s="95" t="s">
        <v>1293</v>
      </c>
      <c r="J5" s="12" t="s">
        <v>30</v>
      </c>
      <c r="K5" s="81" t="s">
        <v>1294</v>
      </c>
      <c r="L5" s="12" t="s">
        <v>433</v>
      </c>
    </row>
    <row r="6">
      <c r="A6" s="39" t="s">
        <v>1295</v>
      </c>
      <c r="B6" s="39" t="s">
        <v>37</v>
      </c>
      <c r="C6" s="39" t="s">
        <v>38</v>
      </c>
      <c r="D6" s="39" t="s">
        <v>27</v>
      </c>
      <c r="E6" s="54" t="s">
        <v>1296</v>
      </c>
      <c r="F6" s="54" t="s">
        <v>30</v>
      </c>
      <c r="G6" s="56">
        <v>41926.0</v>
      </c>
      <c r="H6" s="95" t="s">
        <v>1287</v>
      </c>
      <c r="I6" s="95" t="s">
        <v>1288</v>
      </c>
      <c r="J6" s="12" t="s">
        <v>30</v>
      </c>
      <c r="K6" s="81" t="s">
        <v>1297</v>
      </c>
    </row>
    <row r="7">
      <c r="A7" s="54" t="s">
        <v>1298</v>
      </c>
      <c r="B7" s="39" t="s">
        <v>184</v>
      </c>
      <c r="C7" s="39" t="s">
        <v>883</v>
      </c>
      <c r="D7" s="39" t="s">
        <v>27</v>
      </c>
      <c r="E7" s="54" t="s">
        <v>1299</v>
      </c>
      <c r="F7" s="54" t="s">
        <v>30</v>
      </c>
      <c r="G7" s="56">
        <v>41926.0</v>
      </c>
      <c r="H7" s="95" t="s">
        <v>1300</v>
      </c>
      <c r="I7" s="81" t="s">
        <v>30</v>
      </c>
      <c r="J7" s="12" t="s">
        <v>30</v>
      </c>
      <c r="K7" s="12" t="s">
        <v>30</v>
      </c>
    </row>
    <row r="8">
      <c r="A8" s="39" t="s">
        <v>1301</v>
      </c>
      <c r="B8" s="39" t="s">
        <v>37</v>
      </c>
      <c r="C8" s="39" t="s">
        <v>397</v>
      </c>
      <c r="D8" s="39" t="s">
        <v>27</v>
      </c>
      <c r="E8" s="54" t="s">
        <v>1277</v>
      </c>
      <c r="F8" s="54" t="s">
        <v>30</v>
      </c>
      <c r="G8" s="56">
        <v>41926.0</v>
      </c>
      <c r="H8" s="95" t="s">
        <v>1302</v>
      </c>
      <c r="I8" s="81" t="s">
        <v>30</v>
      </c>
      <c r="J8" s="12" t="s">
        <v>30</v>
      </c>
      <c r="K8" s="81" t="s">
        <v>1284</v>
      </c>
      <c r="L8" s="12" t="s">
        <v>433</v>
      </c>
    </row>
    <row r="9">
      <c r="A9" s="39" t="s">
        <v>1303</v>
      </c>
      <c r="B9" s="39" t="s">
        <v>37</v>
      </c>
      <c r="C9" s="39" t="s">
        <v>643</v>
      </c>
      <c r="D9" s="39" t="s">
        <v>54</v>
      </c>
      <c r="E9" s="39" t="s">
        <v>1291</v>
      </c>
      <c r="F9" s="54" t="s">
        <v>30</v>
      </c>
      <c r="G9" s="56">
        <v>41954.0</v>
      </c>
      <c r="H9" s="95" t="s">
        <v>1304</v>
      </c>
      <c r="I9" s="95" t="s">
        <v>1305</v>
      </c>
      <c r="J9" s="12" t="s">
        <v>30</v>
      </c>
      <c r="K9" s="81" t="s">
        <v>1306</v>
      </c>
      <c r="L9" s="12" t="s">
        <v>433</v>
      </c>
    </row>
    <row r="10">
      <c r="A10" s="39" t="s">
        <v>1307</v>
      </c>
      <c r="B10" s="39" t="s">
        <v>37</v>
      </c>
      <c r="C10" s="39" t="s">
        <v>38</v>
      </c>
      <c r="D10" s="39" t="s">
        <v>54</v>
      </c>
      <c r="E10" s="39" t="s">
        <v>1308</v>
      </c>
      <c r="F10" s="54" t="s">
        <v>30</v>
      </c>
      <c r="G10" s="56">
        <v>41954.0</v>
      </c>
      <c r="H10" s="95" t="s">
        <v>1309</v>
      </c>
      <c r="I10" s="81" t="s">
        <v>30</v>
      </c>
      <c r="J10" s="12" t="s">
        <v>30</v>
      </c>
      <c r="K10" s="81" t="s">
        <v>1310</v>
      </c>
      <c r="L10" s="12" t="s">
        <v>433</v>
      </c>
    </row>
    <row r="11">
      <c r="A11" s="54" t="s">
        <v>1311</v>
      </c>
      <c r="B11" s="39" t="s">
        <v>37</v>
      </c>
      <c r="C11" s="39" t="s">
        <v>38</v>
      </c>
      <c r="D11" s="39" t="s">
        <v>54</v>
      </c>
      <c r="E11" s="39" t="s">
        <v>1312</v>
      </c>
      <c r="F11" s="54" t="s">
        <v>30</v>
      </c>
      <c r="G11" s="56">
        <v>41961.0</v>
      </c>
      <c r="H11" s="95" t="s">
        <v>1313</v>
      </c>
      <c r="I11" s="95" t="s">
        <v>1314</v>
      </c>
      <c r="J11" s="12" t="s">
        <v>30</v>
      </c>
      <c r="K11" s="81" t="s">
        <v>1315</v>
      </c>
      <c r="L11" s="12" t="s">
        <v>433</v>
      </c>
    </row>
    <row r="12">
      <c r="A12" s="39" t="s">
        <v>1316</v>
      </c>
      <c r="B12" s="39" t="s">
        <v>184</v>
      </c>
      <c r="C12" s="39" t="s">
        <v>883</v>
      </c>
      <c r="D12" s="39" t="s">
        <v>27</v>
      </c>
      <c r="E12" s="39" t="s">
        <v>1317</v>
      </c>
      <c r="F12" s="54" t="s">
        <v>30</v>
      </c>
      <c r="G12" s="56">
        <v>41982.0</v>
      </c>
      <c r="H12" s="95" t="s">
        <v>1318</v>
      </c>
      <c r="I12" s="81" t="s">
        <v>30</v>
      </c>
      <c r="J12" s="12" t="s">
        <v>30</v>
      </c>
      <c r="K12" s="81" t="s">
        <v>1319</v>
      </c>
      <c r="L12" s="12" t="s">
        <v>433</v>
      </c>
    </row>
    <row r="13">
      <c r="A13" s="54"/>
      <c r="B13" s="39"/>
      <c r="C13" s="39"/>
      <c r="D13" s="39"/>
      <c r="E13" s="39"/>
      <c r="F13" s="76"/>
      <c r="G13" s="76"/>
      <c r="H13" s="57"/>
      <c r="I13" s="57"/>
      <c r="J13" s="57"/>
      <c r="K13" s="12" t="s">
        <v>433</v>
      </c>
    </row>
    <row r="14">
      <c r="A14" s="54"/>
      <c r="B14" s="39"/>
      <c r="C14" s="39"/>
      <c r="D14" s="39"/>
      <c r="E14" s="39"/>
      <c r="F14" s="76"/>
      <c r="G14" s="76"/>
      <c r="H14" s="57"/>
      <c r="I14" s="57"/>
      <c r="J14" s="57"/>
      <c r="K14" s="12" t="s">
        <v>433</v>
      </c>
    </row>
    <row r="15">
      <c r="A15" s="54"/>
      <c r="B15" s="39"/>
      <c r="C15" s="39"/>
      <c r="D15" s="39"/>
      <c r="E15" s="39"/>
      <c r="F15" s="76"/>
      <c r="G15" s="76"/>
      <c r="H15" s="57"/>
      <c r="I15" s="57"/>
      <c r="J15" s="57"/>
      <c r="K15" s="12" t="s">
        <v>433</v>
      </c>
    </row>
    <row r="16">
      <c r="A16" s="54"/>
      <c r="B16" s="39"/>
      <c r="C16" s="39"/>
      <c r="D16" s="39"/>
      <c r="E16" s="39"/>
      <c r="F16" s="76"/>
      <c r="G16" s="76"/>
      <c r="H16" s="57"/>
      <c r="I16" s="57"/>
      <c r="J16" s="57"/>
      <c r="K16" s="12" t="s">
        <v>433</v>
      </c>
    </row>
    <row r="17">
      <c r="A17" s="54"/>
      <c r="B17" s="39"/>
      <c r="C17" s="39"/>
      <c r="D17" s="39"/>
      <c r="E17" s="39"/>
      <c r="F17" s="76"/>
      <c r="G17" s="76"/>
      <c r="H17" s="57"/>
      <c r="I17" s="57"/>
      <c r="J17" s="57"/>
      <c r="K17" s="12" t="s">
        <v>433</v>
      </c>
    </row>
    <row r="18">
      <c r="A18" s="54"/>
      <c r="B18" s="39"/>
      <c r="C18" s="39"/>
      <c r="D18" s="39"/>
      <c r="E18" s="39"/>
      <c r="F18" s="39"/>
      <c r="G18" s="76"/>
      <c r="H18" s="57"/>
      <c r="I18" s="57"/>
      <c r="J18" s="57"/>
      <c r="K18" s="12" t="s">
        <v>433</v>
      </c>
    </row>
    <row r="19">
      <c r="A19" s="54"/>
      <c r="B19" s="39"/>
      <c r="C19" s="39"/>
      <c r="D19" s="39"/>
      <c r="E19" s="39"/>
      <c r="F19" s="39"/>
      <c r="G19" s="76"/>
      <c r="H19" s="57"/>
      <c r="I19" s="57"/>
      <c r="J19" s="57"/>
      <c r="K19" s="12" t="s">
        <v>433</v>
      </c>
    </row>
    <row r="20">
      <c r="A20" s="54"/>
      <c r="B20" s="39"/>
      <c r="C20" s="39"/>
      <c r="D20" s="39"/>
      <c r="E20" s="39"/>
      <c r="F20" s="39"/>
      <c r="G20" s="76"/>
      <c r="H20" s="57"/>
      <c r="I20" s="57"/>
      <c r="J20" s="57"/>
      <c r="K20" s="12" t="s">
        <v>433</v>
      </c>
    </row>
    <row r="21">
      <c r="A21" s="54"/>
      <c r="B21" s="39"/>
      <c r="C21" s="39"/>
      <c r="D21" s="39"/>
      <c r="E21" s="39"/>
      <c r="F21" s="39"/>
      <c r="G21" s="76"/>
      <c r="H21" s="57"/>
      <c r="I21" s="57"/>
      <c r="J21" s="57"/>
      <c r="K21" s="12" t="s">
        <v>433</v>
      </c>
    </row>
    <row r="22">
      <c r="A22" s="54"/>
      <c r="B22" s="39"/>
      <c r="C22" s="39"/>
      <c r="D22" s="39"/>
      <c r="E22" s="39"/>
      <c r="F22" s="39"/>
      <c r="G22" s="76"/>
      <c r="H22" s="57"/>
      <c r="I22" s="57"/>
      <c r="J22" s="57"/>
      <c r="K22" s="12" t="s">
        <v>433</v>
      </c>
    </row>
    <row r="23">
      <c r="A23" s="54"/>
      <c r="B23" s="39"/>
      <c r="C23" s="39"/>
      <c r="D23" s="39"/>
      <c r="E23" s="39"/>
      <c r="F23" s="39"/>
      <c r="G23" s="76"/>
      <c r="H23" s="57"/>
      <c r="I23" s="57"/>
      <c r="J23" s="57"/>
      <c r="K23" s="12" t="s">
        <v>433</v>
      </c>
    </row>
    <row r="24">
      <c r="A24" s="54"/>
      <c r="B24" s="39"/>
      <c r="C24" s="39"/>
      <c r="D24" s="39"/>
      <c r="E24" s="39"/>
      <c r="F24" s="76"/>
      <c r="G24" s="76"/>
      <c r="H24" s="57"/>
      <c r="I24" s="57"/>
      <c r="J24" s="57"/>
      <c r="K24" s="12" t="s">
        <v>433</v>
      </c>
    </row>
    <row r="25">
      <c r="A25" s="54"/>
      <c r="B25" s="39"/>
      <c r="C25" s="39"/>
      <c r="D25" s="39"/>
      <c r="E25" s="39"/>
      <c r="F25" s="76"/>
      <c r="G25" s="76"/>
      <c r="H25" s="57"/>
      <c r="I25" s="57"/>
      <c r="J25" s="57"/>
      <c r="K25" s="12" t="s">
        <v>433</v>
      </c>
    </row>
    <row r="26">
      <c r="A26" s="54"/>
      <c r="B26" s="39"/>
      <c r="C26" s="39"/>
      <c r="D26" s="39"/>
      <c r="E26" s="39"/>
      <c r="F26" s="39"/>
      <c r="G26" s="76"/>
      <c r="H26" s="57"/>
      <c r="I26" s="57"/>
      <c r="J26" s="57"/>
      <c r="K26" s="12" t="s">
        <v>433</v>
      </c>
    </row>
    <row r="27">
      <c r="A27" s="54"/>
      <c r="B27" s="39"/>
      <c r="C27" s="39"/>
      <c r="D27" s="39"/>
      <c r="E27" s="39"/>
      <c r="F27" s="39"/>
      <c r="G27" s="76"/>
      <c r="H27" s="57"/>
      <c r="I27" s="57"/>
      <c r="J27" s="57"/>
      <c r="K27" s="12" t="s">
        <v>433</v>
      </c>
    </row>
    <row r="28">
      <c r="A28" s="54"/>
      <c r="B28" s="39"/>
      <c r="C28" s="39"/>
      <c r="D28" s="39"/>
      <c r="E28" s="39"/>
      <c r="F28" s="39"/>
      <c r="G28" s="76"/>
      <c r="H28" s="57"/>
      <c r="I28" s="57"/>
      <c r="J28" s="57"/>
      <c r="K28" s="12" t="s">
        <v>433</v>
      </c>
    </row>
    <row r="29">
      <c r="A29" s="54"/>
      <c r="B29" s="39"/>
      <c r="C29" s="39"/>
      <c r="D29" s="39"/>
      <c r="E29" s="39"/>
      <c r="F29" s="39"/>
      <c r="G29" s="76"/>
      <c r="H29" s="57"/>
      <c r="I29" s="57"/>
      <c r="J29" s="57"/>
      <c r="K29" s="12" t="s">
        <v>433</v>
      </c>
    </row>
    <row r="30">
      <c r="A30" s="54"/>
      <c r="B30" s="39"/>
      <c r="C30" s="39"/>
      <c r="D30" s="39"/>
      <c r="E30" s="39"/>
      <c r="F30" s="39"/>
      <c r="G30" s="76"/>
      <c r="H30" s="57"/>
      <c r="I30" s="57"/>
      <c r="J30" s="57"/>
      <c r="K30" s="12" t="s">
        <v>433</v>
      </c>
    </row>
    <row r="31">
      <c r="A31" s="54"/>
      <c r="B31" s="39"/>
      <c r="C31" s="39"/>
      <c r="D31" s="39"/>
      <c r="E31" s="39"/>
      <c r="F31" s="39"/>
      <c r="G31" s="76"/>
      <c r="H31" s="57"/>
      <c r="I31" s="57"/>
      <c r="J31" s="57"/>
      <c r="K31" s="12" t="s">
        <v>433</v>
      </c>
    </row>
    <row r="32">
      <c r="A32" s="54"/>
      <c r="B32" s="39"/>
      <c r="C32" s="39"/>
      <c r="D32" s="39"/>
      <c r="E32" s="39"/>
      <c r="F32" s="39"/>
      <c r="G32" s="76"/>
      <c r="H32" s="57"/>
      <c r="I32" s="39"/>
      <c r="J32" s="39"/>
      <c r="K32" s="12" t="s">
        <v>433</v>
      </c>
    </row>
    <row r="33">
      <c r="A33" s="39"/>
      <c r="B33" s="39"/>
      <c r="C33" s="39"/>
      <c r="D33" s="39"/>
      <c r="E33" s="39"/>
      <c r="F33" s="39"/>
      <c r="G33" s="76"/>
      <c r="H33" s="57"/>
      <c r="I33" s="57"/>
      <c r="J33" s="57"/>
      <c r="K33" s="12" t="s">
        <v>433</v>
      </c>
    </row>
    <row r="34">
      <c r="A34" s="54"/>
      <c r="B34" s="39"/>
      <c r="C34" s="39"/>
      <c r="D34" s="39"/>
      <c r="E34" s="39"/>
      <c r="F34" s="39"/>
      <c r="G34" s="76"/>
      <c r="H34" s="57"/>
      <c r="I34" s="57"/>
      <c r="J34" s="57"/>
      <c r="K34" s="12" t="s">
        <v>433</v>
      </c>
    </row>
    <row r="35">
      <c r="A35" s="54"/>
      <c r="B35" s="39"/>
      <c r="C35" s="39"/>
      <c r="D35" s="39"/>
      <c r="E35" s="39"/>
      <c r="F35" s="39"/>
      <c r="G35" s="76"/>
      <c r="H35" s="57"/>
      <c r="I35" s="57"/>
      <c r="J35" s="57"/>
      <c r="K35" s="12" t="s">
        <v>433</v>
      </c>
    </row>
    <row r="36">
      <c r="A36" s="54"/>
      <c r="B36" s="39"/>
      <c r="C36" s="39"/>
      <c r="D36" s="39"/>
      <c r="E36" s="39"/>
      <c r="F36" s="39"/>
      <c r="G36" s="76"/>
      <c r="H36" s="57"/>
      <c r="I36" s="39"/>
      <c r="J36" s="39"/>
      <c r="K36" s="12" t="s">
        <v>433</v>
      </c>
    </row>
    <row r="37">
      <c r="A37" s="54"/>
      <c r="B37" s="39"/>
      <c r="C37" s="39"/>
      <c r="D37" s="39"/>
      <c r="E37" s="54"/>
      <c r="F37" s="39"/>
      <c r="G37" s="76"/>
      <c r="H37" s="57"/>
      <c r="I37" s="57"/>
      <c r="J37" s="57"/>
      <c r="K37" s="12" t="s">
        <v>433</v>
      </c>
    </row>
    <row r="38">
      <c r="A38" s="54"/>
      <c r="B38" s="39"/>
      <c r="C38" s="39"/>
      <c r="D38" s="39"/>
      <c r="E38" s="39"/>
      <c r="F38" s="39"/>
      <c r="G38" s="76"/>
      <c r="H38" s="57"/>
      <c r="I38" s="57"/>
      <c r="J38" s="57"/>
      <c r="K38" s="12" t="s">
        <v>433</v>
      </c>
    </row>
    <row r="39">
      <c r="A39" s="54"/>
      <c r="B39" s="39"/>
      <c r="C39" s="39"/>
      <c r="D39" s="39"/>
      <c r="E39" s="39"/>
      <c r="F39" s="39"/>
      <c r="G39" s="76"/>
      <c r="H39" s="57"/>
      <c r="I39" s="57"/>
      <c r="J39" s="57"/>
      <c r="K39" s="12" t="s">
        <v>433</v>
      </c>
    </row>
    <row r="40">
      <c r="A40" s="54"/>
      <c r="B40" s="39"/>
      <c r="C40" s="39"/>
      <c r="D40" s="39"/>
      <c r="E40" s="39"/>
      <c r="F40" s="39"/>
      <c r="G40" s="76"/>
      <c r="H40" s="57"/>
      <c r="I40" s="57"/>
      <c r="J40" s="57"/>
      <c r="K40" s="12" t="s">
        <v>433</v>
      </c>
    </row>
    <row r="41">
      <c r="A41" s="54"/>
      <c r="B41" s="39"/>
      <c r="C41" s="39"/>
      <c r="D41" s="39"/>
      <c r="E41" s="39"/>
      <c r="F41" s="39"/>
      <c r="G41" s="76"/>
      <c r="H41" s="57"/>
      <c r="I41" s="57"/>
      <c r="J41" s="57"/>
      <c r="K41" s="12" t="s">
        <v>433</v>
      </c>
    </row>
    <row r="42">
      <c r="A42" s="54"/>
      <c r="B42" s="39"/>
      <c r="C42" s="39"/>
      <c r="D42" s="39"/>
      <c r="E42" s="39"/>
      <c r="F42" s="39"/>
      <c r="G42" s="76"/>
      <c r="H42" s="57"/>
      <c r="I42" s="57"/>
      <c r="J42" s="57"/>
      <c r="K42" s="12" t="s">
        <v>433</v>
      </c>
    </row>
    <row r="43">
      <c r="A43" s="54"/>
      <c r="B43" s="39"/>
      <c r="C43" s="39"/>
      <c r="D43" s="39"/>
      <c r="E43" s="39"/>
      <c r="F43" s="39"/>
      <c r="G43" s="76"/>
      <c r="H43" s="57"/>
      <c r="I43" s="57"/>
      <c r="J43" s="57"/>
      <c r="K43" s="12" t="s">
        <v>433</v>
      </c>
    </row>
    <row r="44">
      <c r="A44" s="54"/>
      <c r="B44" s="39"/>
      <c r="C44" s="39"/>
      <c r="D44" s="39"/>
      <c r="E44" s="39"/>
      <c r="F44" s="39"/>
      <c r="G44" s="76"/>
      <c r="H44" s="57"/>
      <c r="I44" s="57"/>
      <c r="J44" s="57"/>
      <c r="K44" s="12" t="s">
        <v>433</v>
      </c>
    </row>
    <row r="45">
      <c r="A45" s="54"/>
      <c r="B45" s="39"/>
      <c r="C45" s="39"/>
      <c r="D45" s="39"/>
      <c r="E45" s="39"/>
      <c r="F45" s="39"/>
      <c r="G45" s="76"/>
      <c r="H45" s="57"/>
      <c r="I45" s="57"/>
      <c r="J45" s="57"/>
      <c r="K45" s="12" t="s">
        <v>433</v>
      </c>
    </row>
    <row r="46">
      <c r="A46" s="54"/>
      <c r="B46" s="39"/>
      <c r="C46" s="39"/>
      <c r="D46" s="39"/>
      <c r="E46" s="54"/>
      <c r="F46" s="39"/>
      <c r="G46" s="76"/>
      <c r="H46" s="57"/>
      <c r="I46" s="39"/>
      <c r="J46" s="39"/>
      <c r="K46" s="12" t="s">
        <v>433</v>
      </c>
    </row>
    <row r="47">
      <c r="A47" s="39"/>
      <c r="B47" s="39"/>
      <c r="C47" s="39"/>
      <c r="D47" s="39"/>
      <c r="E47" s="39"/>
      <c r="F47" s="76"/>
      <c r="G47" s="76"/>
      <c r="H47" s="57"/>
      <c r="I47" s="57"/>
      <c r="J47" s="57"/>
      <c r="K47" s="12" t="s">
        <v>433</v>
      </c>
    </row>
    <row r="48">
      <c r="A48" s="54"/>
      <c r="B48" s="39"/>
      <c r="C48" s="39"/>
      <c r="D48" s="39"/>
      <c r="E48" s="54"/>
      <c r="F48" s="39"/>
      <c r="G48" s="76"/>
      <c r="H48" s="57"/>
      <c r="I48" s="57"/>
      <c r="J48" s="57"/>
      <c r="K48" s="12" t="s">
        <v>433</v>
      </c>
    </row>
    <row r="49">
      <c r="A49" s="54"/>
      <c r="B49" s="39"/>
      <c r="C49" s="39"/>
      <c r="D49" s="39"/>
      <c r="E49" s="54"/>
      <c r="F49" s="76"/>
      <c r="G49" s="76"/>
      <c r="H49" s="57"/>
      <c r="I49" s="57"/>
      <c r="J49" s="57"/>
      <c r="K49" s="12" t="s">
        <v>433</v>
      </c>
    </row>
    <row r="50">
      <c r="A50" s="54"/>
      <c r="B50" s="39"/>
      <c r="C50" s="39"/>
      <c r="D50" s="39"/>
      <c r="E50" s="54"/>
      <c r="F50" s="76"/>
      <c r="G50" s="76"/>
      <c r="H50" s="57"/>
      <c r="I50" s="57"/>
      <c r="J50" s="57"/>
      <c r="K50" s="12" t="s">
        <v>433</v>
      </c>
    </row>
    <row r="51">
      <c r="A51" s="39"/>
      <c r="B51" s="39"/>
      <c r="C51" s="39"/>
      <c r="D51" s="39"/>
      <c r="E51" s="39"/>
      <c r="F51" s="39"/>
      <c r="G51" s="76"/>
      <c r="H51" s="57"/>
      <c r="I51" s="39"/>
      <c r="J51" s="39"/>
      <c r="K51" s="12" t="s">
        <v>433</v>
      </c>
    </row>
    <row r="52">
      <c r="A52" s="54"/>
      <c r="B52" s="39"/>
      <c r="C52" s="39"/>
      <c r="D52" s="39"/>
      <c r="E52" s="39"/>
      <c r="F52" s="39"/>
      <c r="G52" s="76"/>
      <c r="H52" s="57"/>
      <c r="I52" s="57"/>
      <c r="J52" s="57"/>
      <c r="K52" s="12" t="s">
        <v>433</v>
      </c>
    </row>
    <row r="53">
      <c r="A53" s="54"/>
      <c r="B53" s="39"/>
      <c r="C53" s="39"/>
      <c r="D53" s="39"/>
      <c r="E53" s="39"/>
      <c r="F53" s="39"/>
      <c r="G53" s="76"/>
      <c r="H53" s="57"/>
      <c r="I53" s="57"/>
      <c r="J53" s="57"/>
      <c r="K53" s="12" t="s">
        <v>433</v>
      </c>
    </row>
    <row r="54">
      <c r="A54" s="54"/>
      <c r="B54" s="39"/>
      <c r="C54" s="39"/>
      <c r="D54" s="39"/>
      <c r="E54" s="39"/>
      <c r="F54" s="39"/>
      <c r="G54" s="76"/>
      <c r="H54" s="57"/>
      <c r="I54" s="57"/>
      <c r="J54" s="57"/>
      <c r="K54" s="12" t="s">
        <v>433</v>
      </c>
    </row>
    <row r="55">
      <c r="A55" s="54"/>
      <c r="B55" s="39"/>
      <c r="C55" s="39"/>
      <c r="D55" s="39"/>
      <c r="E55" s="39"/>
      <c r="F55" s="39"/>
      <c r="G55" s="76"/>
      <c r="H55" s="57"/>
      <c r="I55" s="57"/>
      <c r="J55" s="57"/>
      <c r="K55" s="12" t="s">
        <v>433</v>
      </c>
    </row>
    <row r="56">
      <c r="A56" s="39"/>
      <c r="B56" s="39"/>
      <c r="C56" s="39"/>
      <c r="D56" s="39"/>
      <c r="E56" s="39"/>
      <c r="F56" s="76"/>
      <c r="G56" s="76"/>
      <c r="H56" s="57"/>
      <c r="I56" s="57"/>
      <c r="J56" s="57"/>
      <c r="K56" s="12" t="s">
        <v>433</v>
      </c>
    </row>
    <row r="57">
      <c r="A57" s="75"/>
      <c r="B57" s="39"/>
      <c r="C57" s="39"/>
      <c r="D57" s="39"/>
      <c r="E57" s="54"/>
      <c r="F57" s="76"/>
      <c r="G57" s="76"/>
      <c r="H57" s="57"/>
      <c r="I57" s="57"/>
      <c r="J57" s="57"/>
      <c r="K57" s="12" t="s">
        <v>433</v>
      </c>
    </row>
    <row r="58">
      <c r="A58" s="39"/>
      <c r="B58" s="39"/>
      <c r="C58" s="39"/>
      <c r="D58" s="39"/>
      <c r="E58" s="54"/>
      <c r="F58" s="76"/>
      <c r="G58" s="76"/>
      <c r="H58" s="57"/>
      <c r="I58" s="57"/>
      <c r="J58" s="57"/>
      <c r="K58" s="12" t="s">
        <v>433</v>
      </c>
    </row>
    <row r="59">
      <c r="A59" s="54"/>
      <c r="B59" s="39"/>
      <c r="C59" s="39"/>
      <c r="D59" s="39"/>
      <c r="E59" s="54"/>
      <c r="F59" s="76"/>
      <c r="G59" s="76"/>
      <c r="H59" s="57"/>
      <c r="I59" s="57"/>
      <c r="J59" s="57"/>
      <c r="K59" s="12" t="s">
        <v>433</v>
      </c>
    </row>
    <row r="60">
      <c r="A60" s="39"/>
      <c r="B60" s="39"/>
      <c r="C60" s="39"/>
      <c r="D60" s="39"/>
      <c r="E60" s="39"/>
      <c r="F60" s="76"/>
      <c r="G60" s="76"/>
      <c r="H60" s="57"/>
      <c r="I60" s="39"/>
      <c r="J60" s="39"/>
      <c r="K60" s="12" t="s">
        <v>433</v>
      </c>
    </row>
    <row r="61">
      <c r="A61" s="54"/>
      <c r="B61" s="39"/>
      <c r="C61" s="39"/>
      <c r="D61" s="79"/>
      <c r="E61" s="54"/>
      <c r="F61" s="39"/>
      <c r="G61" s="76"/>
      <c r="H61" s="57"/>
      <c r="I61" s="57"/>
      <c r="J61" s="57"/>
      <c r="K61" s="12" t="s">
        <v>433</v>
      </c>
    </row>
    <row r="62">
      <c r="A62" s="54"/>
      <c r="B62" s="39"/>
      <c r="C62" s="39"/>
      <c r="D62" s="39"/>
      <c r="E62" s="39"/>
      <c r="F62" s="76"/>
      <c r="G62" s="76"/>
      <c r="H62" s="57"/>
      <c r="I62" s="57"/>
      <c r="J62" s="57"/>
      <c r="K62" s="12" t="s">
        <v>433</v>
      </c>
    </row>
    <row r="63">
      <c r="A63" s="54"/>
      <c r="B63" s="39"/>
      <c r="C63" s="39"/>
      <c r="D63" s="39"/>
      <c r="E63" s="54"/>
      <c r="F63" s="39"/>
      <c r="G63" s="76"/>
      <c r="H63" s="57"/>
      <c r="I63" s="57"/>
      <c r="J63" s="57"/>
      <c r="K63" s="12" t="s">
        <v>433</v>
      </c>
    </row>
    <row r="64">
      <c r="A64" s="39"/>
      <c r="B64" s="39"/>
      <c r="C64" s="39"/>
      <c r="D64" s="39"/>
      <c r="E64" s="54"/>
      <c r="F64" s="39"/>
      <c r="G64" s="76"/>
      <c r="H64" s="57"/>
      <c r="I64" s="57"/>
      <c r="J64" s="57"/>
      <c r="K64" s="12" t="s">
        <v>433</v>
      </c>
    </row>
    <row r="65">
      <c r="A65" s="39"/>
      <c r="B65" s="39"/>
      <c r="C65" s="39"/>
      <c r="D65" s="39"/>
      <c r="E65" s="39"/>
      <c r="F65" s="39"/>
      <c r="G65" s="76"/>
      <c r="H65" s="57"/>
      <c r="I65" s="57"/>
      <c r="J65" s="57"/>
      <c r="K65" s="12" t="s">
        <v>433</v>
      </c>
    </row>
    <row r="66">
      <c r="A66" s="54"/>
      <c r="B66" s="39"/>
      <c r="C66" s="39"/>
      <c r="D66" s="39"/>
      <c r="E66" s="54"/>
      <c r="F66" s="77"/>
      <c r="G66" s="76"/>
      <c r="H66" s="57"/>
      <c r="I66" s="57"/>
      <c r="J66" s="57"/>
      <c r="K66" s="12" t="s">
        <v>433</v>
      </c>
    </row>
    <row r="67">
      <c r="A67" s="39"/>
      <c r="B67" s="39"/>
      <c r="C67" s="39"/>
      <c r="D67" s="39"/>
      <c r="E67" s="39"/>
      <c r="F67" s="76"/>
      <c r="G67" s="76"/>
      <c r="H67" s="57"/>
      <c r="I67" s="57"/>
      <c r="J67" s="57"/>
      <c r="K67" s="12" t="s">
        <v>433</v>
      </c>
    </row>
    <row r="68">
      <c r="A68" s="39"/>
      <c r="B68" s="39"/>
      <c r="C68" s="39"/>
      <c r="D68" s="39"/>
      <c r="E68" s="39"/>
      <c r="F68" s="39"/>
      <c r="G68" s="76"/>
      <c r="H68" s="57"/>
      <c r="I68" s="57"/>
      <c r="J68" s="57"/>
      <c r="K68" s="12" t="s">
        <v>433</v>
      </c>
    </row>
    <row r="69">
      <c r="A69" s="39"/>
      <c r="B69" s="39"/>
      <c r="C69" s="39"/>
      <c r="D69" s="39"/>
      <c r="E69" s="39"/>
      <c r="F69" s="76"/>
      <c r="G69" s="76"/>
      <c r="H69" s="57"/>
      <c r="I69" s="57"/>
      <c r="J69" s="57"/>
      <c r="K69" s="12" t="s">
        <v>433</v>
      </c>
    </row>
    <row r="70">
      <c r="A70" s="39"/>
      <c r="B70" s="39"/>
      <c r="C70" s="39"/>
      <c r="D70" s="78"/>
      <c r="E70" s="54"/>
      <c r="F70" s="76"/>
      <c r="G70" s="76"/>
      <c r="H70" s="62"/>
      <c r="I70" s="62"/>
      <c r="J70" s="62"/>
      <c r="K70" s="12" t="s">
        <v>433</v>
      </c>
    </row>
    <row r="71">
      <c r="A71" s="39"/>
      <c r="B71" s="39"/>
      <c r="C71" s="39"/>
      <c r="D71" s="39"/>
      <c r="E71" s="39"/>
      <c r="F71" s="39"/>
      <c r="G71" s="76"/>
      <c r="H71" s="57"/>
      <c r="I71" s="39"/>
      <c r="J71" s="39"/>
      <c r="K71" s="12" t="s">
        <v>433</v>
      </c>
    </row>
    <row r="72">
      <c r="A72" s="39"/>
      <c r="B72" s="39"/>
      <c r="C72" s="39"/>
      <c r="D72" s="39"/>
      <c r="E72" s="54"/>
      <c r="F72" s="39"/>
      <c r="G72" s="76"/>
      <c r="H72" s="57"/>
      <c r="I72" s="39"/>
      <c r="J72" s="39"/>
      <c r="K72" s="12" t="s">
        <v>433</v>
      </c>
    </row>
    <row r="73">
      <c r="A73" s="39"/>
      <c r="B73" s="39"/>
      <c r="C73" s="39"/>
      <c r="D73" s="39"/>
      <c r="E73" s="39"/>
      <c r="F73" s="39"/>
      <c r="G73" s="76"/>
      <c r="H73" s="57"/>
      <c r="I73" s="57"/>
      <c r="J73" s="57"/>
      <c r="K73" s="12" t="s">
        <v>433</v>
      </c>
    </row>
    <row r="74">
      <c r="A74" s="39"/>
      <c r="B74" s="39"/>
      <c r="C74" s="39"/>
      <c r="D74" s="39"/>
      <c r="E74" s="39"/>
      <c r="F74" s="76"/>
      <c r="G74" s="76"/>
      <c r="H74" s="57"/>
      <c r="I74" s="57"/>
      <c r="J74" s="57"/>
      <c r="K74" s="12" t="s">
        <v>433</v>
      </c>
    </row>
    <row r="75">
      <c r="A75" s="39"/>
      <c r="B75" s="39"/>
      <c r="C75" s="39"/>
      <c r="D75" s="39"/>
      <c r="E75" s="54"/>
      <c r="F75" s="39"/>
      <c r="G75" s="76"/>
      <c r="H75" s="57"/>
      <c r="I75" s="57"/>
      <c r="J75" s="57"/>
      <c r="K75" s="12" t="s">
        <v>433</v>
      </c>
    </row>
    <row r="76">
      <c r="A76" s="39"/>
      <c r="B76" s="39"/>
      <c r="C76" s="39"/>
      <c r="D76" s="39"/>
      <c r="E76" s="54"/>
      <c r="F76" s="39"/>
      <c r="G76" s="76"/>
      <c r="H76" s="57"/>
      <c r="I76" s="57"/>
      <c r="J76" s="57"/>
      <c r="K76" s="12" t="s">
        <v>433</v>
      </c>
    </row>
    <row r="77">
      <c r="A77" s="39"/>
      <c r="B77" s="39"/>
      <c r="C77" s="39"/>
      <c r="D77" s="39"/>
      <c r="E77" s="54"/>
      <c r="F77" s="39"/>
      <c r="G77" s="76"/>
      <c r="H77" s="57"/>
      <c r="I77" s="57"/>
      <c r="J77" s="57"/>
      <c r="K77" s="12" t="s">
        <v>433</v>
      </c>
    </row>
    <row r="78">
      <c r="A78" s="54"/>
      <c r="B78" s="39"/>
      <c r="C78" s="39"/>
      <c r="D78" s="39"/>
      <c r="E78" s="54"/>
      <c r="F78" s="76"/>
      <c r="G78" s="76"/>
      <c r="H78" s="57"/>
      <c r="I78" s="57"/>
      <c r="J78" s="57"/>
      <c r="K78" s="12" t="s">
        <v>433</v>
      </c>
    </row>
    <row r="79">
      <c r="A79" s="75"/>
      <c r="B79" s="39"/>
      <c r="C79" s="39"/>
      <c r="D79" s="39"/>
      <c r="E79" s="54"/>
      <c r="F79" s="39"/>
      <c r="G79" s="76"/>
      <c r="H79" s="57"/>
      <c r="I79" s="57"/>
      <c r="J79" s="57"/>
      <c r="K79" s="12" t="s">
        <v>433</v>
      </c>
    </row>
    <row r="80">
      <c r="A80" s="54"/>
      <c r="B80" s="39"/>
      <c r="C80" s="39"/>
      <c r="D80" s="39"/>
      <c r="E80" s="54"/>
      <c r="F80" s="76"/>
      <c r="G80" s="76"/>
      <c r="H80" s="57"/>
      <c r="I80" s="57"/>
      <c r="J80" s="57"/>
      <c r="K80" s="12" t="s">
        <v>433</v>
      </c>
    </row>
    <row r="81">
      <c r="A81" s="39"/>
      <c r="B81" s="39"/>
      <c r="C81" s="39"/>
      <c r="D81" s="39"/>
      <c r="E81" s="39"/>
      <c r="F81" s="76"/>
      <c r="G81" s="76"/>
      <c r="H81" s="57"/>
      <c r="I81" s="57"/>
      <c r="J81" s="57"/>
      <c r="K81" s="12" t="s">
        <v>433</v>
      </c>
    </row>
    <row r="82">
      <c r="A82" s="39"/>
      <c r="B82" s="39"/>
      <c r="C82" s="39"/>
      <c r="D82" s="39"/>
      <c r="E82" s="39"/>
      <c r="F82" s="76"/>
      <c r="G82" s="76"/>
      <c r="H82" s="57"/>
      <c r="I82" s="57"/>
      <c r="J82" s="57"/>
      <c r="K82" s="12" t="s">
        <v>433</v>
      </c>
    </row>
    <row r="83">
      <c r="A83" s="39"/>
      <c r="B83" s="39"/>
      <c r="C83" s="39"/>
      <c r="D83" s="39"/>
      <c r="E83" s="54"/>
      <c r="F83" s="76"/>
      <c r="G83" s="76"/>
      <c r="H83" s="57"/>
      <c r="I83" s="57"/>
      <c r="J83" s="57"/>
      <c r="K83" s="12" t="s">
        <v>433</v>
      </c>
    </row>
    <row r="84">
      <c r="A84" s="39"/>
      <c r="B84" s="39"/>
      <c r="C84" s="39"/>
      <c r="D84" s="39"/>
      <c r="E84" s="54"/>
      <c r="F84" s="76"/>
      <c r="G84" s="76"/>
      <c r="H84" s="57"/>
      <c r="I84" s="57"/>
      <c r="J84" s="57"/>
      <c r="K84" s="12" t="s">
        <v>433</v>
      </c>
    </row>
    <row r="85">
      <c r="A85" s="54"/>
      <c r="B85" s="39"/>
      <c r="C85" s="39"/>
      <c r="D85" s="39"/>
      <c r="E85" s="54"/>
      <c r="F85" s="77"/>
      <c r="G85" s="76"/>
      <c r="H85" s="57"/>
      <c r="I85" s="57"/>
      <c r="J85" s="57"/>
      <c r="K85" s="12" t="s">
        <v>433</v>
      </c>
    </row>
    <row r="86">
      <c r="A86" s="39"/>
      <c r="B86" s="39"/>
      <c r="C86" s="39"/>
      <c r="D86" s="39"/>
      <c r="E86" s="39"/>
      <c r="F86" s="39"/>
      <c r="G86" s="76"/>
      <c r="H86" s="57"/>
      <c r="I86" s="57"/>
      <c r="J86" s="57"/>
      <c r="K86" s="12" t="s">
        <v>433</v>
      </c>
    </row>
    <row r="87">
      <c r="A87" s="54"/>
      <c r="B87" s="39"/>
      <c r="C87" s="39"/>
      <c r="D87" s="39"/>
      <c r="E87" s="39"/>
      <c r="F87" s="76"/>
      <c r="G87" s="76"/>
      <c r="H87" s="57"/>
      <c r="I87" s="57"/>
      <c r="J87" s="57"/>
      <c r="K87" s="12" t="s">
        <v>433</v>
      </c>
    </row>
    <row r="88">
      <c r="A88" s="54"/>
      <c r="B88" s="39"/>
      <c r="C88" s="39"/>
      <c r="D88" s="39"/>
      <c r="E88" s="39"/>
      <c r="F88" s="39"/>
      <c r="G88" s="76"/>
      <c r="H88" s="57"/>
      <c r="I88" s="57"/>
      <c r="J88" s="57"/>
      <c r="K88" s="12" t="s">
        <v>433</v>
      </c>
    </row>
    <row r="89">
      <c r="A89" s="39"/>
      <c r="B89" s="39"/>
      <c r="C89" s="39"/>
      <c r="D89" s="39"/>
      <c r="E89" s="54"/>
      <c r="F89" s="54"/>
      <c r="G89" s="76"/>
      <c r="H89" s="57"/>
      <c r="I89" s="57"/>
      <c r="J89" s="57"/>
      <c r="K89" s="12" t="s">
        <v>433</v>
      </c>
    </row>
    <row r="90">
      <c r="A90" s="39"/>
      <c r="B90" s="39"/>
      <c r="C90" s="39"/>
      <c r="D90" s="39"/>
      <c r="E90" s="39"/>
      <c r="F90" s="76"/>
      <c r="G90" s="76"/>
      <c r="H90" s="57"/>
      <c r="I90" s="57"/>
      <c r="J90" s="57"/>
      <c r="K90" s="12" t="s">
        <v>433</v>
      </c>
    </row>
    <row r="91">
      <c r="A91" s="39"/>
      <c r="B91" s="39"/>
      <c r="C91" s="39"/>
      <c r="D91" s="39"/>
      <c r="E91" s="54"/>
      <c r="F91" s="77"/>
      <c r="G91" s="76"/>
      <c r="H91" s="57"/>
      <c r="I91" s="57"/>
      <c r="J91" s="57"/>
      <c r="K91" s="12" t="s">
        <v>433</v>
      </c>
    </row>
    <row r="92">
      <c r="A92" s="39"/>
      <c r="B92" s="39"/>
      <c r="C92" s="39"/>
      <c r="D92" s="39"/>
      <c r="E92" s="39"/>
      <c r="F92" s="76"/>
      <c r="G92" s="76"/>
      <c r="H92" s="57"/>
      <c r="I92" s="57"/>
      <c r="J92" s="57"/>
      <c r="K92" s="12" t="s">
        <v>433</v>
      </c>
    </row>
    <row r="93">
      <c r="A93" s="54"/>
      <c r="B93" s="39"/>
      <c r="C93" s="39"/>
      <c r="D93" s="39"/>
      <c r="E93" s="54"/>
      <c r="F93" s="39"/>
      <c r="G93" s="76"/>
      <c r="H93" s="57"/>
      <c r="I93" s="57"/>
      <c r="J93" s="57"/>
      <c r="K93" s="12" t="s">
        <v>433</v>
      </c>
    </row>
    <row r="94">
      <c r="A94" s="39"/>
      <c r="B94" s="39"/>
      <c r="C94" s="39"/>
      <c r="D94" s="39"/>
      <c r="E94" s="54"/>
      <c r="F94" s="54"/>
      <c r="G94" s="76"/>
      <c r="H94" s="57"/>
      <c r="I94" s="57"/>
      <c r="J94" s="57"/>
      <c r="K94" s="12" t="s">
        <v>433</v>
      </c>
    </row>
    <row r="95">
      <c r="A95" s="39"/>
      <c r="B95" s="39"/>
      <c r="C95" s="39"/>
      <c r="D95" s="39"/>
      <c r="E95" s="39"/>
      <c r="F95" s="76"/>
      <c r="G95" s="76"/>
      <c r="H95" s="57"/>
      <c r="I95" s="57"/>
      <c r="J95" s="57"/>
      <c r="K95" s="12" t="s">
        <v>433</v>
      </c>
    </row>
    <row r="96">
      <c r="A96" s="54"/>
      <c r="B96" s="39"/>
      <c r="C96" s="39"/>
      <c r="D96" s="39"/>
      <c r="E96" s="39"/>
      <c r="F96" s="76"/>
      <c r="G96" s="76"/>
      <c r="H96" s="57"/>
      <c r="I96" s="57"/>
      <c r="J96" s="57"/>
      <c r="K96" s="12" t="s">
        <v>433</v>
      </c>
    </row>
    <row r="97">
      <c r="A97" s="39"/>
      <c r="B97" s="39"/>
      <c r="C97" s="39"/>
      <c r="D97" s="39"/>
      <c r="E97" s="39"/>
      <c r="F97" s="76"/>
      <c r="G97" s="76"/>
      <c r="H97" s="57"/>
      <c r="I97" s="57"/>
      <c r="J97" s="57"/>
      <c r="K97" s="12" t="s">
        <v>433</v>
      </c>
    </row>
    <row r="98">
      <c r="A98" s="39"/>
      <c r="B98" s="39"/>
      <c r="C98" s="39"/>
      <c r="D98" s="39"/>
      <c r="E98" s="54"/>
      <c r="F98" s="54"/>
      <c r="G98" s="76"/>
      <c r="H98" s="57"/>
      <c r="I98" s="57"/>
      <c r="J98" s="57"/>
      <c r="K98" s="12" t="s">
        <v>433</v>
      </c>
    </row>
    <row r="99">
      <c r="A99" s="39"/>
      <c r="B99" s="39"/>
      <c r="C99" s="39"/>
      <c r="D99" s="39"/>
      <c r="E99" s="39"/>
      <c r="F99" s="54"/>
      <c r="G99" s="76"/>
      <c r="H99" s="57"/>
      <c r="I99" s="39"/>
      <c r="J99" s="39"/>
      <c r="K99" s="12" t="s">
        <v>433</v>
      </c>
    </row>
    <row r="100">
      <c r="A100" s="54"/>
      <c r="B100" s="39"/>
      <c r="C100" s="39"/>
      <c r="D100" s="39"/>
      <c r="E100" s="39"/>
      <c r="F100" s="54"/>
      <c r="G100" s="76"/>
      <c r="H100" s="57"/>
      <c r="I100" s="57"/>
      <c r="J100" s="57"/>
      <c r="K100" s="12" t="s">
        <v>433</v>
      </c>
    </row>
    <row r="101">
      <c r="A101" s="39"/>
      <c r="B101" s="39"/>
      <c r="C101" s="39"/>
      <c r="D101" s="39"/>
      <c r="E101" s="39"/>
      <c r="F101" s="54"/>
      <c r="G101" s="76"/>
      <c r="H101" s="57"/>
      <c r="I101" s="57"/>
      <c r="J101" s="57"/>
      <c r="K101" s="12" t="s">
        <v>433</v>
      </c>
    </row>
    <row r="102">
      <c r="A102" s="39"/>
      <c r="B102" s="39"/>
      <c r="C102" s="39"/>
      <c r="D102" s="39"/>
      <c r="E102" s="39"/>
      <c r="F102" s="54"/>
      <c r="G102" s="76"/>
      <c r="H102" s="57"/>
      <c r="I102" s="39"/>
      <c r="J102" s="39"/>
      <c r="K102" s="12" t="s">
        <v>433</v>
      </c>
    </row>
    <row r="103">
      <c r="A103" s="39"/>
      <c r="B103" s="39"/>
      <c r="C103" s="39"/>
      <c r="D103" s="39"/>
      <c r="E103" s="54"/>
      <c r="F103" s="54"/>
      <c r="G103" s="76"/>
      <c r="H103" s="57"/>
      <c r="I103" s="57"/>
      <c r="J103" s="57"/>
      <c r="K103" s="12" t="s">
        <v>433</v>
      </c>
    </row>
    <row r="104">
      <c r="A104" s="39"/>
      <c r="B104" s="39"/>
      <c r="C104" s="39"/>
      <c r="D104" s="39"/>
      <c r="E104" s="54"/>
      <c r="F104" s="54"/>
      <c r="G104" s="76"/>
      <c r="H104" s="57"/>
      <c r="I104" s="57"/>
      <c r="J104" s="57"/>
      <c r="K104" s="12" t="s">
        <v>433</v>
      </c>
    </row>
    <row r="105">
      <c r="A105" s="54"/>
      <c r="B105" s="39"/>
      <c r="C105" s="39"/>
      <c r="D105" s="39"/>
      <c r="E105" s="54"/>
      <c r="F105" s="54"/>
      <c r="G105" s="76"/>
      <c r="H105" s="57"/>
      <c r="I105" s="39"/>
      <c r="J105" s="39"/>
      <c r="K105" s="12" t="s">
        <v>433</v>
      </c>
    </row>
    <row r="106">
      <c r="A106" s="39"/>
      <c r="B106" s="39"/>
      <c r="C106" s="39"/>
      <c r="D106" s="39"/>
      <c r="E106" s="54"/>
      <c r="F106" s="54"/>
      <c r="G106" s="76"/>
      <c r="H106" s="57"/>
      <c r="I106" s="39"/>
      <c r="J106" s="39"/>
      <c r="K106" s="12" t="s">
        <v>433</v>
      </c>
    </row>
    <row r="107">
      <c r="A107" s="39"/>
      <c r="B107" s="39"/>
      <c r="C107" s="39"/>
      <c r="D107" s="39"/>
      <c r="E107" s="39"/>
      <c r="F107" s="54"/>
      <c r="G107" s="76"/>
      <c r="H107" s="57"/>
      <c r="I107" s="57"/>
      <c r="J107" s="57"/>
      <c r="K107" s="12" t="s">
        <v>433</v>
      </c>
    </row>
    <row r="108">
      <c r="A108" s="54"/>
      <c r="B108" s="39"/>
      <c r="C108" s="39"/>
      <c r="D108" s="39"/>
      <c r="E108" s="54"/>
      <c r="F108" s="54"/>
      <c r="G108" s="76"/>
      <c r="H108" s="57"/>
      <c r="I108" s="39"/>
      <c r="J108" s="39"/>
      <c r="K108" s="12" t="s">
        <v>433</v>
      </c>
    </row>
    <row r="109">
      <c r="A109" s="39"/>
      <c r="B109" s="39"/>
      <c r="C109" s="39"/>
      <c r="D109" s="39"/>
      <c r="E109" s="39"/>
      <c r="F109" s="54"/>
      <c r="G109" s="76"/>
      <c r="H109" s="57"/>
      <c r="I109" s="57"/>
      <c r="J109" s="57"/>
      <c r="K109" s="12" t="s">
        <v>433</v>
      </c>
    </row>
  </sheetData>
  <hyperlinks>
    <hyperlink r:id="rId1" ref="H2"/>
    <hyperlink r:id="rId2" ref="H3"/>
    <hyperlink r:id="rId3" ref="I3"/>
    <hyperlink r:id="rId4" ref="H4"/>
    <hyperlink r:id="rId5" ref="I4"/>
    <hyperlink r:id="rId6" ref="H5"/>
    <hyperlink r:id="rId7" ref="I5"/>
    <hyperlink r:id="rId8" ref="H6"/>
    <hyperlink r:id="rId9" ref="I6"/>
    <hyperlink r:id="rId10" ref="H7"/>
    <hyperlink r:id="rId11" ref="H8"/>
    <hyperlink r:id="rId12" ref="H9"/>
    <hyperlink r:id="rId13" ref="I9"/>
    <hyperlink r:id="rId14" ref="H10"/>
    <hyperlink r:id="rId15" ref="H11"/>
    <hyperlink r:id="rId16" ref="I11"/>
    <hyperlink r:id="rId17" ref="H12"/>
  </hyperlinks>
  <drawing r:id="rId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s>
  <sheetData>
    <row r="1">
      <c r="A1" s="7" t="s">
        <v>13</v>
      </c>
      <c r="B1" s="7" t="s">
        <v>14</v>
      </c>
      <c r="C1" s="7" t="s">
        <v>15</v>
      </c>
      <c r="D1" s="7" t="s">
        <v>16</v>
      </c>
      <c r="E1" s="7" t="s">
        <v>17</v>
      </c>
      <c r="F1" s="7" t="s">
        <v>18</v>
      </c>
      <c r="G1" s="7" t="s">
        <v>19</v>
      </c>
      <c r="H1" s="7" t="s">
        <v>20</v>
      </c>
      <c r="I1" s="7" t="s">
        <v>21</v>
      </c>
      <c r="J1" s="7" t="s">
        <v>22</v>
      </c>
      <c r="K1" s="8" t="s">
        <v>23</v>
      </c>
      <c r="L1" s="8"/>
    </row>
    <row r="2">
      <c r="A2" t="str">
        <f>IFERROR(__xludf.DUMMYFUNCTION("QUERY({'2024'!A2:K10624;'2023'!A2:K10624;'2022'!A3:K10624;'2021'!A2:K10624;'2020'!A2:K10624;'2019'!A2:K10624;'2018'!A2:K10624;'2017'!A2:K10624;'2016'!A2:K10624;'2015'!A2:K10624;'2014'!A2:K10624}, ""select * order by Col7 desc"")"),"CVE-2024-23222")</f>
        <v>CVE-2024-23222</v>
      </c>
      <c r="B2" t="str">
        <f>IFERROR(__xludf.DUMMYFUNCTION("""COMPUTED_VALUE"""),"Apple")</f>
        <v>Apple</v>
      </c>
      <c r="C2" t="str">
        <f>IFERROR(__xludf.DUMMYFUNCTION("""COMPUTED_VALUE"""),"WebKit")</f>
        <v>WebKit</v>
      </c>
      <c r="D2" t="str">
        <f>IFERROR(__xludf.DUMMYFUNCTION("""COMPUTED_VALUE"""),"Memory Corruption")</f>
        <v>Memory Corruption</v>
      </c>
      <c r="E2" t="str">
        <f>IFERROR(__xludf.DUMMYFUNCTION("""COMPUTED_VALUE"""),"Type confusion")</f>
        <v>Type confusion</v>
      </c>
      <c r="F2" t="str">
        <f>IFERROR(__xludf.DUMMYFUNCTION("""COMPUTED_VALUE"""),"???")</f>
        <v>???</v>
      </c>
      <c r="G2" s="9">
        <f>IFERROR(__xludf.DUMMYFUNCTION("""COMPUTED_VALUE"""),45313.0)</f>
        <v>45313</v>
      </c>
      <c r="H2" s="10" t="str">
        <f>IFERROR(__xludf.DUMMYFUNCTION("""COMPUTED_VALUE"""),"https://support.apple.com/en-us/HT214059")</f>
        <v>https://support.apple.com/en-us/HT214059</v>
      </c>
      <c r="I2" t="str">
        <f>IFERROR(__xludf.DUMMYFUNCTION("""COMPUTED_VALUE"""),"???")</f>
        <v>???</v>
      </c>
      <c r="J2" t="str">
        <f>IFERROR(__xludf.DUMMYFUNCTION("""COMPUTED_VALUE"""),"???")</f>
        <v>???</v>
      </c>
      <c r="K2" t="str">
        <f>IFERROR(__xludf.DUMMYFUNCTION("""COMPUTED_VALUE"""),"???")</f>
        <v>???</v>
      </c>
    </row>
    <row r="3">
      <c r="A3" t="str">
        <f>IFERROR(__xludf.DUMMYFUNCTION("""COMPUTED_VALUE"""),"CVE-2024-0519")</f>
        <v>CVE-2024-0519</v>
      </c>
      <c r="B3" t="str">
        <f>IFERROR(__xludf.DUMMYFUNCTION("""COMPUTED_VALUE"""),"Google")</f>
        <v>Google</v>
      </c>
      <c r="C3" t="str">
        <f>IFERROR(__xludf.DUMMYFUNCTION("""COMPUTED_VALUE"""),"Chrome")</f>
        <v>Chrome</v>
      </c>
      <c r="D3" t="str">
        <f>IFERROR(__xludf.DUMMYFUNCTION("""COMPUTED_VALUE"""),"Memory Corruption")</f>
        <v>Memory Corruption</v>
      </c>
      <c r="E3" t="str">
        <f>IFERROR(__xludf.DUMMYFUNCTION("""COMPUTED_VALUE"""),"Out-of-bounds memory access")</f>
        <v>Out-of-bounds memory access</v>
      </c>
      <c r="F3" t="str">
        <f>IFERROR(__xludf.DUMMYFUNCTION("""COMPUTED_VALUE"""),"2024-01-11")</f>
        <v>2024-01-11</v>
      </c>
      <c r="G3" s="9">
        <f>IFERROR(__xludf.DUMMYFUNCTION("""COMPUTED_VALUE"""),45307.0)</f>
        <v>45307</v>
      </c>
      <c r="H3" s="10" t="str">
        <f>IFERROR(__xludf.DUMMYFUNCTION("""COMPUTED_VALUE"""),"https://chromereleases.googleblog.com/2024/01/stable-channel-update-for-desktop_16.html")</f>
        <v>https://chromereleases.googleblog.com/2024/01/stable-channel-update-for-desktop_16.html</v>
      </c>
      <c r="I3" t="str">
        <f>IFERROR(__xludf.DUMMYFUNCTION("""COMPUTED_VALUE"""),"???")</f>
        <v>???</v>
      </c>
      <c r="J3" t="str">
        <f>IFERROR(__xludf.DUMMYFUNCTION("""COMPUTED_VALUE"""),"???")</f>
        <v>???</v>
      </c>
      <c r="K3" t="str">
        <f>IFERROR(__xludf.DUMMYFUNCTION("""COMPUTED_VALUE"""),"???")</f>
        <v>???</v>
      </c>
    </row>
    <row r="4">
      <c r="A4" t="str">
        <f>IFERROR(__xludf.DUMMYFUNCTION("""COMPUTED_VALUE"""),"CVE-2023-7024")</f>
        <v>CVE-2023-7024</v>
      </c>
      <c r="B4" t="str">
        <f>IFERROR(__xludf.DUMMYFUNCTION("""COMPUTED_VALUE"""),"Google")</f>
        <v>Google</v>
      </c>
      <c r="C4" t="str">
        <f>IFERROR(__xludf.DUMMYFUNCTION("""COMPUTED_VALUE"""),"Chrome")</f>
        <v>Chrome</v>
      </c>
      <c r="D4" t="str">
        <f>IFERROR(__xludf.DUMMYFUNCTION("""COMPUTED_VALUE"""),"Memory Corruption")</f>
        <v>Memory Corruption</v>
      </c>
      <c r="E4" t="str">
        <f>IFERROR(__xludf.DUMMYFUNCTION("""COMPUTED_VALUE"""),"Heap overflow in WebRTC")</f>
        <v>Heap overflow in WebRTC</v>
      </c>
      <c r="F4" t="str">
        <f>IFERROR(__xludf.DUMMYFUNCTION("""COMPUTED_VALUE"""),"2023-12-19")</f>
        <v>2023-12-19</v>
      </c>
      <c r="G4" s="9">
        <f>IFERROR(__xludf.DUMMYFUNCTION("""COMPUTED_VALUE"""),45280.0)</f>
        <v>45280</v>
      </c>
      <c r="H4" s="10" t="str">
        <f>IFERROR(__xludf.DUMMYFUNCTION("""COMPUTED_VALUE"""),"https://chromereleases.googleblog.com/2023/12/stable-channel-update-for-desktop_20.html")</f>
        <v>https://chromereleases.googleblog.com/2023/12/stable-channel-update-for-desktop_20.html</v>
      </c>
      <c r="I4" t="str">
        <f>IFERROR(__xludf.DUMMYFUNCTION("""COMPUTED_VALUE"""),"???")</f>
        <v>???</v>
      </c>
      <c r="J4" t="str">
        <f>IFERROR(__xludf.DUMMYFUNCTION("""COMPUTED_VALUE"""),"???")</f>
        <v>???</v>
      </c>
      <c r="K4" t="str">
        <f>IFERROR(__xludf.DUMMYFUNCTION("""COMPUTED_VALUE"""),"Clément Lecigne and Vlad Stolyarov of Google's Threat Analysis Group")</f>
        <v>Clément Lecigne and Vlad Stolyarov of Google's Threat Analysis Group</v>
      </c>
    </row>
    <row r="5">
      <c r="A5" t="str">
        <f>IFERROR(__xludf.DUMMYFUNCTION("""COMPUTED_VALUE"""),"CVE-2023-33106")</f>
        <v>CVE-2023-33106</v>
      </c>
      <c r="B5" t="str">
        <f>IFERROR(__xludf.DUMMYFUNCTION("""COMPUTED_VALUE"""),"Qualcomm")</f>
        <v>Qualcomm</v>
      </c>
      <c r="C5" t="str">
        <f>IFERROR(__xludf.DUMMYFUNCTION("""COMPUTED_VALUE"""),"Android")</f>
        <v>Android</v>
      </c>
      <c r="D5" t="str">
        <f>IFERROR(__xludf.DUMMYFUNCTION("""COMPUTED_VALUE"""),"Memory Corruption")</f>
        <v>Memory Corruption</v>
      </c>
      <c r="E5" t="str">
        <f>IFERROR(__xludf.DUMMYFUNCTION("""COMPUTED_VALUE"""),"Vulnerability in Adreno GPU driver")</f>
        <v>Vulnerability in Adreno GPU driver</v>
      </c>
      <c r="F5" t="str">
        <f>IFERROR(__xludf.DUMMYFUNCTION("""COMPUTED_VALUE"""),"???")</f>
        <v>???</v>
      </c>
      <c r="G5" s="9">
        <f>IFERROR(__xludf.DUMMYFUNCTION("""COMPUTED_VALUE"""),45264.0)</f>
        <v>45264</v>
      </c>
      <c r="H5" s="10" t="str">
        <f>IFERROR(__xludf.DUMMYFUNCTION("""COMPUTED_VALUE"""),"https://docs.qualcomm.com/product/publicresources/securitybulletin/october-2023-bulletin.html")</f>
        <v>https://docs.qualcomm.com/product/publicresources/securitybulletin/october-2023-bulletin.html</v>
      </c>
      <c r="I5" t="str">
        <f>IFERROR(__xludf.DUMMYFUNCTION("""COMPUTED_VALUE"""),"???")</f>
        <v>???</v>
      </c>
      <c r="J5" s="10" t="str">
        <f>IFERROR(__xludf.DUMMYFUNCTION("""COMPUTED_VALUE"""),"https://googleprojectzero.github.io/0days-in-the-wild//0day-RCAs/2023/CVE-2023-33106.html")</f>
        <v>https://googleprojectzero.github.io/0days-in-the-wild//0day-RCAs/2023/CVE-2023-33106.html</v>
      </c>
      <c r="K5" t="str">
        <f>IFERROR(__xludf.DUMMYFUNCTION("""COMPUTED_VALUE"""),"Clément Lecigne of Google's Threat Analysis Group")</f>
        <v>Clément Lecigne of Google's Threat Analysis Group</v>
      </c>
    </row>
    <row r="6">
      <c r="A6" t="str">
        <f>IFERROR(__xludf.DUMMYFUNCTION("""COMPUTED_VALUE"""),"CVE-2023-33107")</f>
        <v>CVE-2023-33107</v>
      </c>
      <c r="B6" t="str">
        <f>IFERROR(__xludf.DUMMYFUNCTION("""COMPUTED_VALUE"""),"Qualcomm")</f>
        <v>Qualcomm</v>
      </c>
      <c r="C6" t="str">
        <f>IFERROR(__xludf.DUMMYFUNCTION("""COMPUTED_VALUE"""),"Android")</f>
        <v>Android</v>
      </c>
      <c r="D6" t="str">
        <f>IFERROR(__xludf.DUMMYFUNCTION("""COMPUTED_VALUE"""),"Memory Corruption")</f>
        <v>Memory Corruption</v>
      </c>
      <c r="E6" t="str">
        <f>IFERROR(__xludf.DUMMYFUNCTION("""COMPUTED_VALUE"""),"Vulnerability in Adreno GPU driver")</f>
        <v>Vulnerability in Adreno GPU driver</v>
      </c>
      <c r="F6" t="str">
        <f>IFERROR(__xludf.DUMMYFUNCTION("""COMPUTED_VALUE"""),"???")</f>
        <v>???</v>
      </c>
      <c r="G6" s="9">
        <f>IFERROR(__xludf.DUMMYFUNCTION("""COMPUTED_VALUE"""),45264.0)</f>
        <v>45264</v>
      </c>
      <c r="H6" s="10" t="str">
        <f>IFERROR(__xludf.DUMMYFUNCTION("""COMPUTED_VALUE"""),"https://docs.qualcomm.com/product/publicresources/securitybulletin/october-2023-bulletin.html")</f>
        <v>https://docs.qualcomm.com/product/publicresources/securitybulletin/october-2023-bulletin.html</v>
      </c>
      <c r="I6" t="str">
        <f>IFERROR(__xludf.DUMMYFUNCTION("""COMPUTED_VALUE"""),"???")</f>
        <v>???</v>
      </c>
      <c r="J6" s="10" t="str">
        <f>IFERROR(__xludf.DUMMYFUNCTION("""COMPUTED_VALUE"""),"https://googleprojectzero.github.io/0days-in-the-wild//0day-RCAs/2023/CVE-2023-33107.html")</f>
        <v>https://googleprojectzero.github.io/0days-in-the-wild//0day-RCAs/2023/CVE-2023-33107.html</v>
      </c>
      <c r="K6" t="str">
        <f>IFERROR(__xludf.DUMMYFUNCTION("""COMPUTED_VALUE"""),"Benoît Sevens of Google's Threat Analysis Group and Jann Horn of Google Project Zero")</f>
        <v>Benoît Sevens of Google's Threat Analysis Group and Jann Horn of Google Project Zero</v>
      </c>
    </row>
    <row r="7">
      <c r="A7" t="str">
        <f>IFERROR(__xludf.DUMMYFUNCTION("""COMPUTED_VALUE"""),"CVE-2023-33063")</f>
        <v>CVE-2023-33063</v>
      </c>
      <c r="B7" t="str">
        <f>IFERROR(__xludf.DUMMYFUNCTION("""COMPUTED_VALUE"""),"Qualcomm")</f>
        <v>Qualcomm</v>
      </c>
      <c r="C7" t="str">
        <f>IFERROR(__xludf.DUMMYFUNCTION("""COMPUTED_VALUE"""),"Android")</f>
        <v>Android</v>
      </c>
      <c r="D7" t="str">
        <f>IFERROR(__xludf.DUMMYFUNCTION("""COMPUTED_VALUE"""),"Memory Corruption")</f>
        <v>Memory Corruption</v>
      </c>
      <c r="E7" t="str">
        <f>IFERROR(__xludf.DUMMYFUNCTION("""COMPUTED_VALUE"""),"Vulnerability in Adreno GPU driver")</f>
        <v>Vulnerability in Adreno GPU driver</v>
      </c>
      <c r="F7" t="str">
        <f>IFERROR(__xludf.DUMMYFUNCTION("""COMPUTED_VALUE"""),"???")</f>
        <v>???</v>
      </c>
      <c r="G7" s="9">
        <f>IFERROR(__xludf.DUMMYFUNCTION("""COMPUTED_VALUE"""),45264.0)</f>
        <v>45264</v>
      </c>
      <c r="H7" s="10" t="str">
        <f>IFERROR(__xludf.DUMMYFUNCTION("""COMPUTED_VALUE"""),"https://docs.qualcomm.com/product/publicresources/securitybulletin/october-2023-bulletin.html")</f>
        <v>https://docs.qualcomm.com/product/publicresources/securitybulletin/october-2023-bulletin.html</v>
      </c>
      <c r="I7" t="str">
        <f>IFERROR(__xludf.DUMMYFUNCTION("""COMPUTED_VALUE"""),"???")</f>
        <v>???</v>
      </c>
      <c r="J7" t="str">
        <f>IFERROR(__xludf.DUMMYFUNCTION("""COMPUTED_VALUE"""),"???")</f>
        <v>???</v>
      </c>
      <c r="K7" t="str">
        <f>IFERROR(__xludf.DUMMYFUNCTION("""COMPUTED_VALUE"""),"???")</f>
        <v>???</v>
      </c>
    </row>
    <row r="8">
      <c r="A8" t="str">
        <f>IFERROR(__xludf.DUMMYFUNCTION("""COMPUTED_VALUE"""),"CVE-2023-42916")</f>
        <v>CVE-2023-42916</v>
      </c>
      <c r="B8" t="str">
        <f>IFERROR(__xludf.DUMMYFUNCTION("""COMPUTED_VALUE"""),"Apple")</f>
        <v>Apple</v>
      </c>
      <c r="C8" t="str">
        <f>IFERROR(__xludf.DUMMYFUNCTION("""COMPUTED_VALUE"""),"WebKit")</f>
        <v>WebKit</v>
      </c>
      <c r="D8" t="str">
        <f>IFERROR(__xludf.DUMMYFUNCTION("""COMPUTED_VALUE"""),"Info disclosure")</f>
        <v>Info disclosure</v>
      </c>
      <c r="E8" t="str">
        <f>IFERROR(__xludf.DUMMYFUNCTION("""COMPUTED_VALUE"""),"Out of bounds read")</f>
        <v>Out of bounds read</v>
      </c>
      <c r="F8" t="str">
        <f>IFERROR(__xludf.DUMMYFUNCTION("""COMPUTED_VALUE"""),"???")</f>
        <v>???</v>
      </c>
      <c r="G8" s="9">
        <f>IFERROR(__xludf.DUMMYFUNCTION("""COMPUTED_VALUE"""),45260.0)</f>
        <v>45260</v>
      </c>
      <c r="H8" s="10" t="str">
        <f>IFERROR(__xludf.DUMMYFUNCTION("""COMPUTED_VALUE"""),"https://support.apple.com/en-us/HT214031")</f>
        <v>https://support.apple.com/en-us/HT214031</v>
      </c>
      <c r="I8" t="str">
        <f>IFERROR(__xludf.DUMMYFUNCTION("""COMPUTED_VALUE"""),"???")</f>
        <v>???</v>
      </c>
      <c r="J8" t="str">
        <f>IFERROR(__xludf.DUMMYFUNCTION("""COMPUTED_VALUE"""),"???")</f>
        <v>???</v>
      </c>
      <c r="K8" t="str">
        <f>IFERROR(__xludf.DUMMYFUNCTION("""COMPUTED_VALUE"""),"Clément Lecigne of Google's Threat Analysis Group")</f>
        <v>Clément Lecigne of Google's Threat Analysis Group</v>
      </c>
    </row>
    <row r="9">
      <c r="A9" t="str">
        <f>IFERROR(__xludf.DUMMYFUNCTION("""COMPUTED_VALUE"""),"CVE-2023-42917")</f>
        <v>CVE-2023-42917</v>
      </c>
      <c r="B9" t="str">
        <f>IFERROR(__xludf.DUMMYFUNCTION("""COMPUTED_VALUE"""),"Apple")</f>
        <v>Apple</v>
      </c>
      <c r="C9" t="str">
        <f>IFERROR(__xludf.DUMMYFUNCTION("""COMPUTED_VALUE"""),"WebKit")</f>
        <v>WebKit</v>
      </c>
      <c r="D9" t="str">
        <f>IFERROR(__xludf.DUMMYFUNCTION("""COMPUTED_VALUE"""),"Memory Corruption")</f>
        <v>Memory Corruption</v>
      </c>
      <c r="E9" t="str">
        <f>IFERROR(__xludf.DUMMYFUNCTION("""COMPUTED_VALUE"""),"Unspecified memory corruption")</f>
        <v>Unspecified memory corruption</v>
      </c>
      <c r="F9" t="str">
        <f>IFERROR(__xludf.DUMMYFUNCTION("""COMPUTED_VALUE"""),"???")</f>
        <v>???</v>
      </c>
      <c r="G9" s="9">
        <f>IFERROR(__xludf.DUMMYFUNCTION("""COMPUTED_VALUE"""),45260.0)</f>
        <v>45260</v>
      </c>
      <c r="H9" s="10" t="str">
        <f>IFERROR(__xludf.DUMMYFUNCTION("""COMPUTED_VALUE"""),"https://support.apple.com/en-us/HT214031")</f>
        <v>https://support.apple.com/en-us/HT214031</v>
      </c>
      <c r="I9" t="str">
        <f>IFERROR(__xludf.DUMMYFUNCTION("""COMPUTED_VALUE"""),"???")</f>
        <v>???</v>
      </c>
      <c r="J9" t="str">
        <f>IFERROR(__xludf.DUMMYFUNCTION("""COMPUTED_VALUE"""),"???")</f>
        <v>???</v>
      </c>
      <c r="K9" t="str">
        <f>IFERROR(__xludf.DUMMYFUNCTION("""COMPUTED_VALUE"""),"Clément Lecigne of Google's Threat Analysis Group")</f>
        <v>Clément Lecigne of Google's Threat Analysis Group</v>
      </c>
    </row>
    <row r="10">
      <c r="A10" t="str">
        <f>IFERROR(__xludf.DUMMYFUNCTION("""COMPUTED_VALUE"""),"CVE-2023-6345")</f>
        <v>CVE-2023-6345</v>
      </c>
      <c r="B10" t="str">
        <f>IFERROR(__xludf.DUMMYFUNCTION("""COMPUTED_VALUE"""),"Google")</f>
        <v>Google</v>
      </c>
      <c r="C10" t="str">
        <f>IFERROR(__xludf.DUMMYFUNCTION("""COMPUTED_VALUE"""),"Chrome")</f>
        <v>Chrome</v>
      </c>
      <c r="D10" t="str">
        <f>IFERROR(__xludf.DUMMYFUNCTION("""COMPUTED_VALUE"""),"Memory Corruption")</f>
        <v>Memory Corruption</v>
      </c>
      <c r="E10" t="str">
        <f>IFERROR(__xludf.DUMMYFUNCTION("""COMPUTED_VALUE"""),"Integer Overflow in Skia")</f>
        <v>Integer Overflow in Skia</v>
      </c>
      <c r="F10" t="str">
        <f>IFERROR(__xludf.DUMMYFUNCTION("""COMPUTED_VALUE"""),"2023-11-24")</f>
        <v>2023-11-24</v>
      </c>
      <c r="G10" s="9">
        <f>IFERROR(__xludf.DUMMYFUNCTION("""COMPUTED_VALUE"""),45258.0)</f>
        <v>45258</v>
      </c>
      <c r="H10" s="10" t="str">
        <f>IFERROR(__xludf.DUMMYFUNCTION("""COMPUTED_VALUE"""),"https://chromereleases.googleblog.com/2023/11/stable-channel-update-for-desktop_28.html")</f>
        <v>https://chromereleases.googleblog.com/2023/11/stable-channel-update-for-desktop_28.html</v>
      </c>
      <c r="I10" t="str">
        <f>IFERROR(__xludf.DUMMYFUNCTION("""COMPUTED_VALUE"""),"???")</f>
        <v>???</v>
      </c>
      <c r="J10" t="str">
        <f>IFERROR(__xludf.DUMMYFUNCTION("""COMPUTED_VALUE"""),"???")</f>
        <v>???</v>
      </c>
      <c r="K10" t="str">
        <f>IFERROR(__xludf.DUMMYFUNCTION("""COMPUTED_VALUE"""),"Benoît Sevens and Clément Lecigne of Google's Threat Analysis Group")</f>
        <v>Benoît Sevens and Clément Lecigne of Google's Threat Analysis Group</v>
      </c>
    </row>
    <row r="11">
      <c r="A11" t="str">
        <f>IFERROR(__xludf.DUMMYFUNCTION("""COMPUTED_VALUE"""),"CVE-2023-36036")</f>
        <v>CVE-2023-36036</v>
      </c>
      <c r="B11" t="str">
        <f>IFERROR(__xludf.DUMMYFUNCTION("""COMPUTED_VALUE"""),"Microsoft")</f>
        <v>Microsoft</v>
      </c>
      <c r="C11" t="str">
        <f>IFERROR(__xludf.DUMMYFUNCTION("""COMPUTED_VALUE"""),"Windows")</f>
        <v>Windows</v>
      </c>
      <c r="D11" t="str">
        <f>IFERROR(__xludf.DUMMYFUNCTION("""COMPUTED_VALUE"""),"Memory Corruption")</f>
        <v>Memory Corruption</v>
      </c>
      <c r="E11" t="str">
        <f>IFERROR(__xludf.DUMMYFUNCTION("""COMPUTED_VALUE"""),"Cloud Files Mini Filter Driver Elevation of Privilege")</f>
        <v>Cloud Files Mini Filter Driver Elevation of Privilege</v>
      </c>
      <c r="F11" t="str">
        <f>IFERROR(__xludf.DUMMYFUNCTION("""COMPUTED_VALUE"""),"???")</f>
        <v>???</v>
      </c>
      <c r="G11" s="9">
        <f>IFERROR(__xludf.DUMMYFUNCTION("""COMPUTED_VALUE"""),45244.0)</f>
        <v>45244</v>
      </c>
      <c r="H11" s="10" t="str">
        <f>IFERROR(__xludf.DUMMYFUNCTION("""COMPUTED_VALUE"""),"https://msrc.microsoft.com/update-guide/en-US/advisory/CVE-2023-36036")</f>
        <v>https://msrc.microsoft.com/update-guide/en-US/advisory/CVE-2023-36036</v>
      </c>
      <c r="I11" t="str">
        <f>IFERROR(__xludf.DUMMYFUNCTION("""COMPUTED_VALUE"""),"???")</f>
        <v>???</v>
      </c>
      <c r="J11" t="str">
        <f>IFERROR(__xludf.DUMMYFUNCTION("""COMPUTED_VALUE"""),"???")</f>
        <v>???</v>
      </c>
      <c r="K11" t="str">
        <f>IFERROR(__xludf.DUMMYFUNCTION("""COMPUTED_VALUE"""),"Microsoft Threat Intelligence Microsoft Security Response Center")</f>
        <v>Microsoft Threat Intelligence Microsoft Security Response Center</v>
      </c>
    </row>
    <row r="12">
      <c r="A12" t="str">
        <f>IFERROR(__xludf.DUMMYFUNCTION("""COMPUTED_VALUE"""),"CVE-2023-36033")</f>
        <v>CVE-2023-36033</v>
      </c>
      <c r="B12" t="str">
        <f>IFERROR(__xludf.DUMMYFUNCTION("""COMPUTED_VALUE"""),"Microsoft")</f>
        <v>Microsoft</v>
      </c>
      <c r="C12" t="str">
        <f>IFERROR(__xludf.DUMMYFUNCTION("""COMPUTED_VALUE"""),"Windows")</f>
        <v>Windows</v>
      </c>
      <c r="D12" t="str">
        <f>IFERROR(__xludf.DUMMYFUNCTION("""COMPUTED_VALUE"""),"Memory Corruption")</f>
        <v>Memory Corruption</v>
      </c>
      <c r="E12" t="str">
        <f>IFERROR(__xludf.DUMMYFUNCTION("""COMPUTED_VALUE"""),"DWM Core Library Elevation of Privilege")</f>
        <v>DWM Core Library Elevation of Privilege</v>
      </c>
      <c r="F12" t="str">
        <f>IFERROR(__xludf.DUMMYFUNCTION("""COMPUTED_VALUE"""),"???")</f>
        <v>???</v>
      </c>
      <c r="G12" s="9">
        <f>IFERROR(__xludf.DUMMYFUNCTION("""COMPUTED_VALUE"""),45244.0)</f>
        <v>45244</v>
      </c>
      <c r="H12" s="10" t="str">
        <f>IFERROR(__xludf.DUMMYFUNCTION("""COMPUTED_VALUE"""),"https://msrc.microsoft.com/update-guide/en-US/advisory/CVE-2023-36033")</f>
        <v>https://msrc.microsoft.com/update-guide/en-US/advisory/CVE-2023-36033</v>
      </c>
      <c r="I12" t="str">
        <f>IFERROR(__xludf.DUMMYFUNCTION("""COMPUTED_VALUE"""),"???")</f>
        <v>???</v>
      </c>
      <c r="J12" s="10" t="str">
        <f>IFERROR(__xludf.DUMMYFUNCTION("""COMPUTED_VALUE"""),"https://googleprojectzero.github.io/0days-in-the-wild//0day-RCAs/2023/CVE-2023-36033.html")</f>
        <v>https://googleprojectzero.github.io/0days-in-the-wild//0day-RCAs/2023/CVE-2023-36033.html</v>
      </c>
      <c r="K12" t="str">
        <f>IFERROR(__xludf.DUMMYFUNCTION("""COMPUTED_VALUE"""),"Quan Jin(@jq0904) with DBAPPSecurity WeBin Lab")</f>
        <v>Quan Jin(@jq0904) with DBAPPSecurity WeBin Lab</v>
      </c>
    </row>
    <row r="13">
      <c r="A13" t="str">
        <f>IFERROR(__xludf.DUMMYFUNCTION("""COMPUTED_VALUE"""),"CVE-2023-42824")</f>
        <v>CVE-2023-42824</v>
      </c>
      <c r="B13" t="str">
        <f>IFERROR(__xludf.DUMMYFUNCTION("""COMPUTED_VALUE"""),"Apple")</f>
        <v>Apple</v>
      </c>
      <c r="C13" t="str">
        <f>IFERROR(__xludf.DUMMYFUNCTION("""COMPUTED_VALUE"""),"iOS")</f>
        <v>iOS</v>
      </c>
      <c r="D13" t="str">
        <f>IFERROR(__xludf.DUMMYFUNCTION("""COMPUTED_VALUE"""),"Memory Corruption")</f>
        <v>Memory Corruption</v>
      </c>
      <c r="E13" t="str">
        <f>IFERROR(__xludf.DUMMYFUNCTION("""COMPUTED_VALUE"""),"Privilege escalation in Kernel")</f>
        <v>Privilege escalation in Kernel</v>
      </c>
      <c r="F13" t="str">
        <f>IFERROR(__xludf.DUMMYFUNCTION("""COMPUTED_VALUE"""),"???")</f>
        <v>???</v>
      </c>
      <c r="G13" s="9">
        <f>IFERROR(__xludf.DUMMYFUNCTION("""COMPUTED_VALUE"""),45203.0)</f>
        <v>45203</v>
      </c>
      <c r="H13" s="10" t="str">
        <f>IFERROR(__xludf.DUMMYFUNCTION("""COMPUTED_VALUE"""),"https://support.apple.com/en-us/HT213961")</f>
        <v>https://support.apple.com/en-us/HT213961</v>
      </c>
      <c r="I13" t="str">
        <f>IFERROR(__xludf.DUMMYFUNCTION("""COMPUTED_VALUE"""),"???")</f>
        <v>???</v>
      </c>
      <c r="J13" t="str">
        <f>IFERROR(__xludf.DUMMYFUNCTION("""COMPUTED_VALUE"""),"???")</f>
        <v>???</v>
      </c>
      <c r="K13" t="str">
        <f>IFERROR(__xludf.DUMMYFUNCTION("""COMPUTED_VALUE"""),"???")</f>
        <v>???</v>
      </c>
    </row>
    <row r="14">
      <c r="A14" t="str">
        <f>IFERROR(__xludf.DUMMYFUNCTION("""COMPUTED_VALUE"""),"CVE-2023-22515")</f>
        <v>CVE-2023-22515</v>
      </c>
      <c r="B14" t="str">
        <f>IFERROR(__xludf.DUMMYFUNCTION("""COMPUTED_VALUE"""),"Atlassian")</f>
        <v>Atlassian</v>
      </c>
      <c r="C14" t="str">
        <f>IFERROR(__xludf.DUMMYFUNCTION("""COMPUTED_VALUE"""),"Confluence")</f>
        <v>Confluence</v>
      </c>
      <c r="D14" t="str">
        <f>IFERROR(__xludf.DUMMYFUNCTION("""COMPUTED_VALUE"""),"Logic/Design Flaw")</f>
        <v>Logic/Design Flaw</v>
      </c>
      <c r="E14" t="str">
        <f>IFERROR(__xludf.DUMMYFUNCTION("""COMPUTED_VALUE"""),"Broken access control vulnerability")</f>
        <v>Broken access control vulnerability</v>
      </c>
      <c r="F14" t="str">
        <f>IFERROR(__xludf.DUMMYFUNCTION("""COMPUTED_VALUE"""),"???")</f>
        <v>???</v>
      </c>
      <c r="G14" s="9">
        <f>IFERROR(__xludf.DUMMYFUNCTION("""COMPUTED_VALUE"""),45203.0)</f>
        <v>45203</v>
      </c>
      <c r="H14" s="10" t="str">
        <f>IFERROR(__xludf.DUMMYFUNCTION("""COMPUTED_VALUE"""),"https://confluence.atlassian.com/security/cve-2023-22515-privilege-escalation-vulnerability-in-confluence-data-center-and-server-1295682276.html")</f>
        <v>https://confluence.atlassian.com/security/cve-2023-22515-privilege-escalation-vulnerability-in-confluence-data-center-and-server-1295682276.html</v>
      </c>
      <c r="I14" t="str">
        <f>IFERROR(__xludf.DUMMYFUNCTION("""COMPUTED_VALUE"""),"???")</f>
        <v>???</v>
      </c>
      <c r="J14" t="str">
        <f>IFERROR(__xludf.DUMMYFUNCTION("""COMPUTED_VALUE"""),"???")</f>
        <v>???</v>
      </c>
      <c r="K14" t="str">
        <f>IFERROR(__xludf.DUMMYFUNCTION("""COMPUTED_VALUE"""),"???")</f>
        <v>???</v>
      </c>
    </row>
    <row r="15">
      <c r="A15" t="str">
        <f>IFERROR(__xludf.DUMMYFUNCTION("""COMPUTED_VALUE"""),"CVE-2023-4211")</f>
        <v>CVE-2023-4211</v>
      </c>
      <c r="B15" t="str">
        <f>IFERROR(__xludf.DUMMYFUNCTION("""COMPUTED_VALUE"""),"ARM")</f>
        <v>ARM</v>
      </c>
      <c r="C15" t="str">
        <f>IFERROR(__xludf.DUMMYFUNCTION("""COMPUTED_VALUE"""),"Android")</f>
        <v>Android</v>
      </c>
      <c r="D15" t="str">
        <f>IFERROR(__xludf.DUMMYFUNCTION("""COMPUTED_VALUE"""),"Memory Corruption")</f>
        <v>Memory Corruption</v>
      </c>
      <c r="E15" t="str">
        <f>IFERROR(__xludf.DUMMYFUNCTION("""COMPUTED_VALUE"""),"Use-after-free in Mali GPU driver")</f>
        <v>Use-after-free in Mali GPU driver</v>
      </c>
      <c r="F15" t="str">
        <f>IFERROR(__xludf.DUMMYFUNCTION("""COMPUTED_VALUE"""),"???")</f>
        <v>???</v>
      </c>
      <c r="G15" s="9">
        <f>IFERROR(__xludf.DUMMYFUNCTION("""COMPUTED_VALUE"""),45201.0)</f>
        <v>45201</v>
      </c>
      <c r="H15" s="10" t="str">
        <f>IFERROR(__xludf.DUMMYFUNCTION("""COMPUTED_VALUE"""),"https://developer.arm.com/Arm%20Security%20Center/Mali%20GPU%20Driver%20Vulnerabilities")</f>
        <v>https://developer.arm.com/Arm%20Security%20Center/Mali%20GPU%20Driver%20Vulnerabilities</v>
      </c>
      <c r="I15" t="str">
        <f>IFERROR(__xludf.DUMMYFUNCTION("""COMPUTED_VALUE"""),"???")</f>
        <v>???</v>
      </c>
      <c r="J15" s="10" t="str">
        <f>IFERROR(__xludf.DUMMYFUNCTION("""COMPUTED_VALUE"""),"https://googleprojectzero.github.io/0days-in-the-wild//0day-RCAs/2023/CVE-2023-4211.html")</f>
        <v>https://googleprojectzero.github.io/0days-in-the-wild//0day-RCAs/2023/CVE-2023-4211.html</v>
      </c>
      <c r="K15" t="str">
        <f>IFERROR(__xludf.DUMMYFUNCTION("""COMPUTED_VALUE"""),"Maddie Stone of Google's Threat Analysis Group and Jann Horn of Google Project Zero")</f>
        <v>Maddie Stone of Google's Threat Analysis Group and Jann Horn of Google Project Zero</v>
      </c>
    </row>
    <row r="16">
      <c r="A16" t="str">
        <f>IFERROR(__xludf.DUMMYFUNCTION("""COMPUTED_VALUE"""),"CVE-2023-5217")</f>
        <v>CVE-2023-5217</v>
      </c>
      <c r="B16" t="str">
        <f>IFERROR(__xludf.DUMMYFUNCTION("""COMPUTED_VALUE"""),"Google")</f>
        <v>Google</v>
      </c>
      <c r="C16" t="str">
        <f>IFERROR(__xludf.DUMMYFUNCTION("""COMPUTED_VALUE"""),"Chrome")</f>
        <v>Chrome</v>
      </c>
      <c r="D16" t="str">
        <f>IFERROR(__xludf.DUMMYFUNCTION("""COMPUTED_VALUE"""),"Memory Corruption")</f>
        <v>Memory Corruption</v>
      </c>
      <c r="E16" t="str">
        <f>IFERROR(__xludf.DUMMYFUNCTION("""COMPUTED_VALUE"""),"Heap buffer overflow in vp8 encoding in libvpx")</f>
        <v>Heap buffer overflow in vp8 encoding in libvpx</v>
      </c>
      <c r="F16" t="str">
        <f>IFERROR(__xludf.DUMMYFUNCTION("""COMPUTED_VALUE"""),"2023-09-25")</f>
        <v>2023-09-25</v>
      </c>
      <c r="G16" s="9">
        <f>IFERROR(__xludf.DUMMYFUNCTION("""COMPUTED_VALUE"""),45196.0)</f>
        <v>45196</v>
      </c>
      <c r="H16" s="10" t="str">
        <f>IFERROR(__xludf.DUMMYFUNCTION("""COMPUTED_VALUE"""),"https://chromereleases.googleblog.com/2023/09/stable-channel-update-for-desktop_27.html")</f>
        <v>https://chromereleases.googleblog.com/2023/09/stable-channel-update-for-desktop_27.html</v>
      </c>
      <c r="I16" t="str">
        <f>IFERROR(__xludf.DUMMYFUNCTION("""COMPUTED_VALUE"""),"???")</f>
        <v>???</v>
      </c>
      <c r="J16" t="str">
        <f>IFERROR(__xludf.DUMMYFUNCTION("""COMPUTED_VALUE"""),"???")</f>
        <v>???</v>
      </c>
      <c r="K16" t="str">
        <f>IFERROR(__xludf.DUMMYFUNCTION("""COMPUTED_VALUE"""),"Clément Lecigne of Google's Threat Analysis Group")</f>
        <v>Clément Lecigne of Google's Threat Analysis Group</v>
      </c>
    </row>
    <row r="17">
      <c r="A17" t="str">
        <f>IFERROR(__xludf.DUMMYFUNCTION("""COMPUTED_VALUE"""),"CVE-2023-41992")</f>
        <v>CVE-2023-41992</v>
      </c>
      <c r="B17" t="str">
        <f>IFERROR(__xludf.DUMMYFUNCTION("""COMPUTED_VALUE"""),"Apple")</f>
        <v>Apple</v>
      </c>
      <c r="C17" t="str">
        <f>IFERROR(__xludf.DUMMYFUNCTION("""COMPUTED_VALUE"""),"iOS")</f>
        <v>iOS</v>
      </c>
      <c r="D17" t="str">
        <f>IFERROR(__xludf.DUMMYFUNCTION("""COMPUTED_VALUE"""),"Memory Corruption")</f>
        <v>Memory Corruption</v>
      </c>
      <c r="E17" t="str">
        <f>IFERROR(__xludf.DUMMYFUNCTION("""COMPUTED_VALUE"""),"Vulnerability in the XNU Kernel")</f>
        <v>Vulnerability in the XNU Kernel</v>
      </c>
      <c r="F17" t="str">
        <f>IFERROR(__xludf.DUMMYFUNCTION("""COMPUTED_VALUE"""),"2023-09-12")</f>
        <v>2023-09-12</v>
      </c>
      <c r="G17" s="9">
        <f>IFERROR(__xludf.DUMMYFUNCTION("""COMPUTED_VALUE"""),45190.0)</f>
        <v>45190</v>
      </c>
      <c r="H17" s="10" t="str">
        <f>IFERROR(__xludf.DUMMYFUNCTION("""COMPUTED_VALUE"""),"https://support.apple.com/en-us/HT213926")</f>
        <v>https://support.apple.com/en-us/HT213926</v>
      </c>
      <c r="I17" s="10" t="str">
        <f>IFERROR(__xludf.DUMMYFUNCTION("""COMPUTED_VALUE"""),"https://blog.google/threat-analysis-group/0-days-exploited-by-commercial-surveillance-vendor-in-egypt/")</f>
        <v>https://blog.google/threat-analysis-group/0-days-exploited-by-commercial-surveillance-vendor-in-egypt/</v>
      </c>
      <c r="J17" t="str">
        <f>IFERROR(__xludf.DUMMYFUNCTION("""COMPUTED_VALUE"""),"???")</f>
        <v>???</v>
      </c>
      <c r="K17" t="str">
        <f>IFERROR(__xludf.DUMMYFUNCTION("""COMPUTED_VALUE"""),"Bill Marczak of The Citizen Lab at The University of Toronto's Munk School and Maddie Stone of Google's Threat Analysis Group")</f>
        <v>Bill Marczak of The Citizen Lab at The University of Toronto's Munk School and Maddie Stone of Google's Threat Analysis Group</v>
      </c>
    </row>
    <row r="18">
      <c r="A18" t="str">
        <f>IFERROR(__xludf.DUMMYFUNCTION("""COMPUTED_VALUE"""),"CVE-2023-41991")</f>
        <v>CVE-2023-41991</v>
      </c>
      <c r="B18" t="str">
        <f>IFERROR(__xludf.DUMMYFUNCTION("""COMPUTED_VALUE"""),"Apple")</f>
        <v>Apple</v>
      </c>
      <c r="C18" t="str">
        <f>IFERROR(__xludf.DUMMYFUNCTION("""COMPUTED_VALUE"""),"iOS")</f>
        <v>iOS</v>
      </c>
      <c r="D18" t="str">
        <f>IFERROR(__xludf.DUMMYFUNCTION("""COMPUTED_VALUE"""),"Logic/Design Flaw")</f>
        <v>Logic/Design Flaw</v>
      </c>
      <c r="E18" t="str">
        <f>IFERROR(__xludf.DUMMYFUNCTION("""COMPUTED_VALUE"""),"Singature validation bypass")</f>
        <v>Singature validation bypass</v>
      </c>
      <c r="F18" t="str">
        <f>IFERROR(__xludf.DUMMYFUNCTION("""COMPUTED_VALUE"""),"2023-09-12")</f>
        <v>2023-09-12</v>
      </c>
      <c r="G18" s="9">
        <f>IFERROR(__xludf.DUMMYFUNCTION("""COMPUTED_VALUE"""),45190.0)</f>
        <v>45190</v>
      </c>
      <c r="H18" s="10" t="str">
        <f>IFERROR(__xludf.DUMMYFUNCTION("""COMPUTED_VALUE"""),"https://support.apple.com/en-us/HT213926")</f>
        <v>https://support.apple.com/en-us/HT213926</v>
      </c>
      <c r="I18" s="10" t="str">
        <f>IFERROR(__xludf.DUMMYFUNCTION("""COMPUTED_VALUE"""),"https://blog.google/threat-analysis-group/0-days-exploited-by-commercial-surveillance-vendor-in-egypt/")</f>
        <v>https://blog.google/threat-analysis-group/0-days-exploited-by-commercial-surveillance-vendor-in-egypt/</v>
      </c>
      <c r="J18" t="str">
        <f>IFERROR(__xludf.DUMMYFUNCTION("""COMPUTED_VALUE"""),"???")</f>
        <v>???</v>
      </c>
      <c r="K18" t="str">
        <f>IFERROR(__xludf.DUMMYFUNCTION("""COMPUTED_VALUE"""),"Bill Marczak of The Citizen Lab at The University of Toronto's Munk School and Maddie Stone of Google's Threat Analysis Group")</f>
        <v>Bill Marczak of The Citizen Lab at The University of Toronto's Munk School and Maddie Stone of Google's Threat Analysis Group</v>
      </c>
    </row>
    <row r="19">
      <c r="A19" t="str">
        <f>IFERROR(__xludf.DUMMYFUNCTION("""COMPUTED_VALUE"""),"CVE-2023-41993")</f>
        <v>CVE-2023-41993</v>
      </c>
      <c r="B19" t="str">
        <f>IFERROR(__xludf.DUMMYFUNCTION("""COMPUTED_VALUE"""),"Apple")</f>
        <v>Apple</v>
      </c>
      <c r="C19" t="str">
        <f>IFERROR(__xludf.DUMMYFUNCTION("""COMPUTED_VALUE"""),"WebKit")</f>
        <v>WebKit</v>
      </c>
      <c r="D19" t="str">
        <f>IFERROR(__xludf.DUMMYFUNCTION("""COMPUTED_VALUE"""),"Memory Corruption")</f>
        <v>Memory Corruption</v>
      </c>
      <c r="E19" t="str">
        <f>IFERROR(__xludf.DUMMYFUNCTION("""COMPUTED_VALUE"""),"Unspecified memory corruption")</f>
        <v>Unspecified memory corruption</v>
      </c>
      <c r="F19" t="str">
        <f>IFERROR(__xludf.DUMMYFUNCTION("""COMPUTED_VALUE"""),"2023-09-12")</f>
        <v>2023-09-12</v>
      </c>
      <c r="G19" s="9">
        <f>IFERROR(__xludf.DUMMYFUNCTION("""COMPUTED_VALUE"""),45190.0)</f>
        <v>45190</v>
      </c>
      <c r="H19" s="10" t="str">
        <f>IFERROR(__xludf.DUMMYFUNCTION("""COMPUTED_VALUE"""),"https://support.apple.com/en-us/HT213926")</f>
        <v>https://support.apple.com/en-us/HT213926</v>
      </c>
      <c r="I19" s="10" t="str">
        <f>IFERROR(__xludf.DUMMYFUNCTION("""COMPUTED_VALUE"""),"https://blog.google/threat-analysis-group/0-days-exploited-by-commercial-surveillance-vendor-in-egypt/")</f>
        <v>https://blog.google/threat-analysis-group/0-days-exploited-by-commercial-surveillance-vendor-in-egypt/</v>
      </c>
      <c r="J19" t="str">
        <f>IFERROR(__xludf.DUMMYFUNCTION("""COMPUTED_VALUE"""),"???")</f>
        <v>???</v>
      </c>
      <c r="K19" t="str">
        <f>IFERROR(__xludf.DUMMYFUNCTION("""COMPUTED_VALUE"""),"Bill Marczak of The Citizen Lab at The University of Toronto's Munk School and Maddie Stone of Google's Threat Analysis Group")</f>
        <v>Bill Marczak of The Citizen Lab at The University of Toronto's Munk School and Maddie Stone of Google's Threat Analysis Group</v>
      </c>
    </row>
    <row r="20">
      <c r="A20" t="str">
        <f>IFERROR(__xludf.DUMMYFUNCTION("""COMPUTED_VALUE"""),"CVE-2023-4863")</f>
        <v>CVE-2023-4863</v>
      </c>
      <c r="B20" t="str">
        <f>IFERROR(__xludf.DUMMYFUNCTION("""COMPUTED_VALUE"""),"Google")</f>
        <v>Google</v>
      </c>
      <c r="C20" t="str">
        <f>IFERROR(__xludf.DUMMYFUNCTION("""COMPUTED_VALUE"""),"Chrome")</f>
        <v>Chrome</v>
      </c>
      <c r="D20" t="str">
        <f>IFERROR(__xludf.DUMMYFUNCTION("""COMPUTED_VALUE"""),"Memory Corruption")</f>
        <v>Memory Corruption</v>
      </c>
      <c r="E20" t="str">
        <f>IFERROR(__xludf.DUMMYFUNCTION("""COMPUTED_VALUE"""),"Heap buffer overflow in WebP")</f>
        <v>Heap buffer overflow in WebP</v>
      </c>
      <c r="F20" t="str">
        <f>IFERROR(__xludf.DUMMYFUNCTION("""COMPUTED_VALUE"""),"2023-09-06")</f>
        <v>2023-09-06</v>
      </c>
      <c r="G20" s="9">
        <f>IFERROR(__xludf.DUMMYFUNCTION("""COMPUTED_VALUE"""),45181.0)</f>
        <v>45181</v>
      </c>
      <c r="H20" s="10" t="str">
        <f>IFERROR(__xludf.DUMMYFUNCTION("""COMPUTED_VALUE"""),"https://chromereleases.googleblog.com/2023/09/stable-channel-update-for-desktop_12.html")</f>
        <v>https://chromereleases.googleblog.com/2023/09/stable-channel-update-for-desktop_12.html</v>
      </c>
      <c r="I20" s="10" t="str">
        <f>IFERROR(__xludf.DUMMYFUNCTION("""COMPUTED_VALUE"""),"https://blog.isosceles.com/the-webp-0day/")</f>
        <v>https://blog.isosceles.com/the-webp-0day/</v>
      </c>
      <c r="J20" t="str">
        <f>IFERROR(__xludf.DUMMYFUNCTION("""COMPUTED_VALUE"""),"???")</f>
        <v>???</v>
      </c>
      <c r="K20" t="str">
        <f>IFERROR(__xludf.DUMMYFUNCTION("""COMPUTED_VALUE"""),"Apple Security Engineering and Architecture (SEAR) and The Citizen Lab at The University of Torontoʼs Munk School")</f>
        <v>Apple Security Engineering and Architecture (SEAR) and The Citizen Lab at The University of Torontoʼs Munk School</v>
      </c>
    </row>
    <row r="21">
      <c r="A21" t="str">
        <f>IFERROR(__xludf.DUMMYFUNCTION("""COMPUTED_VALUE"""),"CVE-2023-26369")</f>
        <v>CVE-2023-26369</v>
      </c>
      <c r="B21" t="str">
        <f>IFERROR(__xludf.DUMMYFUNCTION("""COMPUTED_VALUE"""),"Adobe")</f>
        <v>Adobe</v>
      </c>
      <c r="C21" t="str">
        <f>IFERROR(__xludf.DUMMYFUNCTION("""COMPUTED_VALUE"""),"Reader")</f>
        <v>Reader</v>
      </c>
      <c r="D21" t="str">
        <f>IFERROR(__xludf.DUMMYFUNCTION("""COMPUTED_VALUE"""),"Memory Corruption")</f>
        <v>Memory Corruption</v>
      </c>
      <c r="E21" t="str">
        <f>IFERROR(__xludf.DUMMYFUNCTION("""COMPUTED_VALUE"""),"Out-of-bounds write")</f>
        <v>Out-of-bounds write</v>
      </c>
      <c r="F21" t="str">
        <f>IFERROR(__xludf.DUMMYFUNCTION("""COMPUTED_VALUE"""),"???")</f>
        <v>???</v>
      </c>
      <c r="G21" s="9">
        <f>IFERROR(__xludf.DUMMYFUNCTION("""COMPUTED_VALUE"""),45181.0)</f>
        <v>45181</v>
      </c>
      <c r="H21" s="10" t="str">
        <f>IFERROR(__xludf.DUMMYFUNCTION("""COMPUTED_VALUE"""),"https://helpx.adobe.com/security/products/acrobat/apsb23-34.html")</f>
        <v>https://helpx.adobe.com/security/products/acrobat/apsb23-34.html</v>
      </c>
      <c r="I21" s="10" t="str">
        <f>IFERROR(__xludf.DUMMYFUNCTION("""COMPUTED_VALUE"""),"https://blog.google/threat-analysis-group/active-north-korean-campaign-targeting-security-researchers/")</f>
        <v>https://blog.google/threat-analysis-group/active-north-korean-campaign-targeting-security-researchers/</v>
      </c>
      <c r="J21" s="10" t="str">
        <f>IFERROR(__xludf.DUMMYFUNCTION("""COMPUTED_VALUE"""),"https://googleprojectzero.github.io/0days-in-the-wild//0day-RCAs/2023/CVE-2023-26369.html")</f>
        <v>https://googleprojectzero.github.io/0days-in-the-wild//0day-RCAs/2023/CVE-2023-26369.html</v>
      </c>
      <c r="K21" t="str">
        <f>IFERROR(__xludf.DUMMYFUNCTION("""COMPUTED_VALUE"""),"???")</f>
        <v>???</v>
      </c>
    </row>
    <row r="22">
      <c r="A22" t="str">
        <f>IFERROR(__xludf.DUMMYFUNCTION("""COMPUTED_VALUE"""),"CVE-2023-36802")</f>
        <v>CVE-2023-36802</v>
      </c>
      <c r="B22" t="str">
        <f>IFERROR(__xludf.DUMMYFUNCTION("""COMPUTED_VALUE"""),"Microsoft")</f>
        <v>Microsoft</v>
      </c>
      <c r="C22" t="str">
        <f>IFERROR(__xludf.DUMMYFUNCTION("""COMPUTED_VALUE"""),"Windows")</f>
        <v>Windows</v>
      </c>
      <c r="D22" t="str">
        <f>IFERROR(__xludf.DUMMYFUNCTION("""COMPUTED_VALUE"""),"Logic/Design Flaw")</f>
        <v>Logic/Design Flaw</v>
      </c>
      <c r="E22" t="str">
        <f>IFERROR(__xludf.DUMMYFUNCTION("""COMPUTED_VALUE"""),"Streaming service proxy elevation of privilege")</f>
        <v>Streaming service proxy elevation of privilege</v>
      </c>
      <c r="F22" t="str">
        <f>IFERROR(__xludf.DUMMYFUNCTION("""COMPUTED_VALUE"""),"???")</f>
        <v>???</v>
      </c>
      <c r="G22" s="9">
        <f>IFERROR(__xludf.DUMMYFUNCTION("""COMPUTED_VALUE"""),45181.0)</f>
        <v>45181</v>
      </c>
      <c r="H22" s="10" t="str">
        <f>IFERROR(__xludf.DUMMYFUNCTION("""COMPUTED_VALUE"""),"https://msrc.microsoft.com/update-guide/en-US/advisory/CVE-2023-36802")</f>
        <v>https://msrc.microsoft.com/update-guide/en-US/advisory/CVE-2023-36802</v>
      </c>
      <c r="I22" s="10" t="str">
        <f>IFERROR(__xludf.DUMMYFUNCTION("""COMPUTED_VALUE"""),"https://securityintelligence.com/x-force/critically-close-to-zero-day-exploiting-microsoft-kernel-streaming-service/")</f>
        <v>https://securityintelligence.com/x-force/critically-close-to-zero-day-exploiting-microsoft-kernel-streaming-service/</v>
      </c>
      <c r="J22" s="10" t="str">
        <f>IFERROR(__xludf.DUMMYFUNCTION("""COMPUTED_VALUE"""),"https://googleprojectzero.github.io/0days-in-the-wild//0day-RCAs/2023/CVE-2023-36802.html")</f>
        <v>https://googleprojectzero.github.io/0days-in-the-wild//0day-RCAs/2023/CVE-2023-36802.html</v>
      </c>
      <c r="K22" t="str">
        <f>IFERROR(__xludf.DUMMYFUNCTION("""COMPUTED_VALUE"""),"Quan Jin(@jq0904) &amp; ze0r with DBAPPSecurity WeBin Lab, Valentina Palmiotti with IBM X-Force, Microsoft Threat Intelligence, Microsoft Security Response Center")</f>
        <v>Quan Jin(@jq0904) &amp; ze0r with DBAPPSecurity WeBin Lab, Valentina Palmiotti with IBM X-Force, Microsoft Threat Intelligence, Microsoft Security Response Center</v>
      </c>
    </row>
    <row r="23">
      <c r="A23" t="str">
        <f>IFERROR(__xludf.DUMMYFUNCTION("""COMPUTED_VALUE"""),"CVE-2023-36761")</f>
        <v>CVE-2023-36761</v>
      </c>
      <c r="B23" t="str">
        <f>IFERROR(__xludf.DUMMYFUNCTION("""COMPUTED_VALUE"""),"Microsoft")</f>
        <v>Microsoft</v>
      </c>
      <c r="C23" t="str">
        <f>IFERROR(__xludf.DUMMYFUNCTION("""COMPUTED_VALUE"""),"Word")</f>
        <v>Word</v>
      </c>
      <c r="D23" t="str">
        <f>IFERROR(__xludf.DUMMYFUNCTION("""COMPUTED_VALUE"""),"???")</f>
        <v>???</v>
      </c>
      <c r="E23" t="str">
        <f>IFERROR(__xludf.DUMMYFUNCTION("""COMPUTED_VALUE"""),"Information disclosure vulnerability")</f>
        <v>Information disclosure vulnerability</v>
      </c>
      <c r="F23" t="str">
        <f>IFERROR(__xludf.DUMMYFUNCTION("""COMPUTED_VALUE"""),"???")</f>
        <v>???</v>
      </c>
      <c r="G23" s="9">
        <f>IFERROR(__xludf.DUMMYFUNCTION("""COMPUTED_VALUE"""),45181.0)</f>
        <v>45181</v>
      </c>
      <c r="H23" s="10" t="str">
        <f>IFERROR(__xludf.DUMMYFUNCTION("""COMPUTED_VALUE"""),"https://msrc.microsoft.com/update-guide/en-US/advisory/CVE-2023-36761")</f>
        <v>https://msrc.microsoft.com/update-guide/en-US/advisory/CVE-2023-36761</v>
      </c>
      <c r="I23" t="str">
        <f>IFERROR(__xludf.DUMMYFUNCTION("""COMPUTED_VALUE"""),"???")</f>
        <v>???</v>
      </c>
      <c r="J23" t="str">
        <f>IFERROR(__xludf.DUMMYFUNCTION("""COMPUTED_VALUE"""),"???")</f>
        <v>???</v>
      </c>
      <c r="K23" t="str">
        <f>IFERROR(__xludf.DUMMYFUNCTION("""COMPUTED_VALUE"""),"Microsoft Threat Intelligence")</f>
        <v>Microsoft Threat Intelligence</v>
      </c>
    </row>
    <row r="24">
      <c r="A24" t="str">
        <f>IFERROR(__xludf.DUMMYFUNCTION("""COMPUTED_VALUE"""),"CVE-2023-41064")</f>
        <v>CVE-2023-41064</v>
      </c>
      <c r="B24" t="str">
        <f>IFERROR(__xludf.DUMMYFUNCTION("""COMPUTED_VALUE"""),"Apple")</f>
        <v>Apple</v>
      </c>
      <c r="C24" t="str">
        <f>IFERROR(__xludf.DUMMYFUNCTION("""COMPUTED_VALUE"""),"iOS")</f>
        <v>iOS</v>
      </c>
      <c r="D24" t="str">
        <f>IFERROR(__xludf.DUMMYFUNCTION("""COMPUTED_VALUE"""),"Memory Corruption")</f>
        <v>Memory Corruption</v>
      </c>
      <c r="E24" t="str">
        <f>IFERROR(__xludf.DUMMYFUNCTION("""COMPUTED_VALUE"""),"Buffer overflow in ImageIO")</f>
        <v>Buffer overflow in ImageIO</v>
      </c>
      <c r="F24" t="str">
        <f>IFERROR(__xludf.DUMMYFUNCTION("""COMPUTED_VALUE"""),"???")</f>
        <v>???</v>
      </c>
      <c r="G24" s="9">
        <f>IFERROR(__xludf.DUMMYFUNCTION("""COMPUTED_VALUE"""),45176.0)</f>
        <v>45176</v>
      </c>
      <c r="H24" s="10" t="str">
        <f>IFERROR(__xludf.DUMMYFUNCTION("""COMPUTED_VALUE"""),"https://support.apple.com/en-us/HT213905")</f>
        <v>https://support.apple.com/en-us/HT213905</v>
      </c>
      <c r="I24" t="str">
        <f>IFERROR(__xludf.DUMMYFUNCTION("""COMPUTED_VALUE"""),"???")</f>
        <v>???</v>
      </c>
      <c r="J24" t="str">
        <f>IFERROR(__xludf.DUMMYFUNCTION("""COMPUTED_VALUE"""),"???")</f>
        <v>???</v>
      </c>
      <c r="K24" t="str">
        <f>IFERROR(__xludf.DUMMYFUNCTION("""COMPUTED_VALUE"""),"The Citizen Lab at The University of Toronto's Munk School")</f>
        <v>The Citizen Lab at The University of Toronto's Munk School</v>
      </c>
    </row>
    <row r="25">
      <c r="A25" t="str">
        <f>IFERROR(__xludf.DUMMYFUNCTION("""COMPUTED_VALUE"""),"CVE-2023-41061")</f>
        <v>CVE-2023-41061</v>
      </c>
      <c r="B25" t="str">
        <f>IFERROR(__xludf.DUMMYFUNCTION("""COMPUTED_VALUE"""),"Apple")</f>
        <v>Apple</v>
      </c>
      <c r="C25" t="str">
        <f>IFERROR(__xludf.DUMMYFUNCTION("""COMPUTED_VALUE"""),"iOS")</f>
        <v>iOS</v>
      </c>
      <c r="D25" t="str">
        <f>IFERROR(__xludf.DUMMYFUNCTION("""COMPUTED_VALUE"""),"Memory Corruption")</f>
        <v>Memory Corruption</v>
      </c>
      <c r="E25" t="str">
        <f>IFERROR(__xludf.DUMMYFUNCTION("""COMPUTED_VALUE"""),"A validation issue in Wallet")</f>
        <v>A validation issue in Wallet</v>
      </c>
      <c r="F25" t="str">
        <f>IFERROR(__xludf.DUMMYFUNCTION("""COMPUTED_VALUE"""),"???")</f>
        <v>???</v>
      </c>
      <c r="G25" s="9">
        <f>IFERROR(__xludf.DUMMYFUNCTION("""COMPUTED_VALUE"""),45176.0)</f>
        <v>45176</v>
      </c>
      <c r="H25" s="10" t="str">
        <f>IFERROR(__xludf.DUMMYFUNCTION("""COMPUTED_VALUE"""),"https://support.apple.com/en-us/HT213905")</f>
        <v>https://support.apple.com/en-us/HT213905</v>
      </c>
      <c r="I25" t="str">
        <f>IFERROR(__xludf.DUMMYFUNCTION("""COMPUTED_VALUE"""),"???")</f>
        <v>???</v>
      </c>
      <c r="J25" t="str">
        <f>IFERROR(__xludf.DUMMYFUNCTION("""COMPUTED_VALUE"""),"???")</f>
        <v>???</v>
      </c>
      <c r="K25" t="str">
        <f>IFERROR(__xludf.DUMMYFUNCTION("""COMPUTED_VALUE"""),"Apple")</f>
        <v>Apple</v>
      </c>
    </row>
    <row r="26">
      <c r="A26" t="str">
        <f>IFERROR(__xludf.DUMMYFUNCTION("""COMPUTED_VALUE"""),"CVE-2023-35674")</f>
        <v>CVE-2023-35674</v>
      </c>
      <c r="B26" t="str">
        <f>IFERROR(__xludf.DUMMYFUNCTION("""COMPUTED_VALUE"""),"Google")</f>
        <v>Google</v>
      </c>
      <c r="C26" t="str">
        <f>IFERROR(__xludf.DUMMYFUNCTION("""COMPUTED_VALUE"""),"Android")</f>
        <v>Android</v>
      </c>
      <c r="D26" t="str">
        <f>IFERROR(__xludf.DUMMYFUNCTION("""COMPUTED_VALUE"""),"Logic/Design Flaw")</f>
        <v>Logic/Design Flaw</v>
      </c>
      <c r="E26" t="str">
        <f>IFERROR(__xludf.DUMMYFUNCTION("""COMPUTED_VALUE"""),"Ability to launch background activities due to logic error")</f>
        <v>Ability to launch background activities due to logic error</v>
      </c>
      <c r="F26" t="str">
        <f>IFERROR(__xludf.DUMMYFUNCTION("""COMPUTED_VALUE"""),"???")</f>
        <v>???</v>
      </c>
      <c r="G26" s="9">
        <f>IFERROR(__xludf.DUMMYFUNCTION("""COMPUTED_VALUE"""),45174.0)</f>
        <v>45174</v>
      </c>
      <c r="H26" s="10" t="str">
        <f>IFERROR(__xludf.DUMMYFUNCTION("""COMPUTED_VALUE"""),"https://source.android.com/docs/security/bulletin/2023-09-01")</f>
        <v>https://source.android.com/docs/security/bulletin/2023-09-01</v>
      </c>
      <c r="I26" t="str">
        <f>IFERROR(__xludf.DUMMYFUNCTION("""COMPUTED_VALUE"""),"???")</f>
        <v>???</v>
      </c>
      <c r="J26" t="str">
        <f>IFERROR(__xludf.DUMMYFUNCTION("""COMPUTED_VALUE"""),"???")</f>
        <v>???</v>
      </c>
      <c r="K26" t="str">
        <f>IFERROR(__xludf.DUMMYFUNCTION("""COMPUTED_VALUE"""),"???")</f>
        <v>???</v>
      </c>
    </row>
    <row r="27">
      <c r="A27" t="str">
        <f>IFERROR(__xludf.DUMMYFUNCTION("""COMPUTED_VALUE"""),"CVE-2023-4762")</f>
        <v>CVE-2023-4762</v>
      </c>
      <c r="B27" t="str">
        <f>IFERROR(__xludf.DUMMYFUNCTION("""COMPUTED_VALUE"""),"Google")</f>
        <v>Google</v>
      </c>
      <c r="C27" t="str">
        <f>IFERROR(__xludf.DUMMYFUNCTION("""COMPUTED_VALUE"""),"Chrome")</f>
        <v>Chrome</v>
      </c>
      <c r="D27" t="str">
        <f>IFERROR(__xludf.DUMMYFUNCTION("""COMPUTED_VALUE"""),"Memory Corruption")</f>
        <v>Memory Corruption</v>
      </c>
      <c r="E27" t="str">
        <f>IFERROR(__xludf.DUMMYFUNCTION("""COMPUTED_VALUE"""),"Type confusion in V8")</f>
        <v>Type confusion in V8</v>
      </c>
      <c r="F27" t="str">
        <f>IFERROR(__xludf.DUMMYFUNCTION("""COMPUTED_VALUE"""),"2023-08-16")</f>
        <v>2023-08-16</v>
      </c>
      <c r="G27" s="9">
        <f>IFERROR(__xludf.DUMMYFUNCTION("""COMPUTED_VALUE"""),45174.0)</f>
        <v>45174</v>
      </c>
      <c r="H27" s="10" t="str">
        <f>IFERROR(__xludf.DUMMYFUNCTION("""COMPUTED_VALUE"""),"https://chromereleases.googleblog.com/2023/09/stable-channel-update-for-desktop.html")</f>
        <v>https://chromereleases.googleblog.com/2023/09/stable-channel-update-for-desktop.html</v>
      </c>
      <c r="I27" s="10" t="str">
        <f>IFERROR(__xludf.DUMMYFUNCTION("""COMPUTED_VALUE"""),"https://blog.google/threat-analysis-group/0-days-exploited-by-commercial-surveillance-vendor-in-egypt/")</f>
        <v>https://blog.google/threat-analysis-group/0-days-exploited-by-commercial-surveillance-vendor-in-egypt/</v>
      </c>
      <c r="J27" t="str">
        <f>IFERROR(__xludf.DUMMYFUNCTION("""COMPUTED_VALUE"""),"???")</f>
        <v>???</v>
      </c>
      <c r="K27" t="str">
        <f>IFERROR(__xludf.DUMMYFUNCTION("""COMPUTED_VALUE"""),"???")</f>
        <v>???</v>
      </c>
    </row>
    <row r="28">
      <c r="A28" t="str">
        <f>IFERROR(__xludf.DUMMYFUNCTION("""COMPUTED_VALUE"""),"CVE-2023-36884")</f>
        <v>CVE-2023-36884</v>
      </c>
      <c r="B28" t="str">
        <f>IFERROR(__xludf.DUMMYFUNCTION("""COMPUTED_VALUE"""),"Microsoft")</f>
        <v>Microsoft</v>
      </c>
      <c r="C28" t="str">
        <f>IFERROR(__xludf.DUMMYFUNCTION("""COMPUTED_VALUE"""),"Windows")</f>
        <v>Windows</v>
      </c>
      <c r="D28" t="str">
        <f>IFERROR(__xludf.DUMMYFUNCTION("""COMPUTED_VALUE"""),"Logic/Design Flaw")</f>
        <v>Logic/Design Flaw</v>
      </c>
      <c r="E28" t="str">
        <f>IFERROR(__xludf.DUMMYFUNCTION("""COMPUTED_VALUE"""),"Office and Windows HTML Remote Code Execution")</f>
        <v>Office and Windows HTML Remote Code Execution</v>
      </c>
      <c r="F28" t="str">
        <f>IFERROR(__xludf.DUMMYFUNCTION("""COMPUTED_VALUE"""),"2023-07-05")</f>
        <v>2023-07-05</v>
      </c>
      <c r="G28" s="9">
        <f>IFERROR(__xludf.DUMMYFUNCTION("""COMPUTED_VALUE"""),45146.0)</f>
        <v>45146</v>
      </c>
      <c r="H28" s="10" t="str">
        <f>IFERROR(__xludf.DUMMYFUNCTION("""COMPUTED_VALUE"""),"https://msrc.microsoft.com/update-guide/vulnerability/CVE-2023-36884")</f>
        <v>https://msrc.microsoft.com/update-guide/vulnerability/CVE-2023-36884</v>
      </c>
      <c r="I28" t="str">
        <f>IFERROR(__xludf.DUMMYFUNCTION("""COMPUTED_VALUE"""),"???")</f>
        <v>???</v>
      </c>
      <c r="J28" t="str">
        <f>IFERROR(__xludf.DUMMYFUNCTION("""COMPUTED_VALUE"""),"???")</f>
        <v>???</v>
      </c>
      <c r="K28" t="str">
        <f>IFERROR(__xludf.DUMMYFUNCTION("""COMPUTED_VALUE"""),"Vlad Stolyarov, Clement Lecigne and Bahare Sabouri of Google’s Threat Analysis Group (TAG), Paul Rascagneres &amp; Tom Lancaster with Volexity, Microsoft Office Product Group Security Team")</f>
        <v>Vlad Stolyarov, Clement Lecigne and Bahare Sabouri of Google’s Threat Analysis Group (TAG), Paul Rascagneres &amp; Tom Lancaster with Volexity, Microsoft Office Product Group Security Team</v>
      </c>
    </row>
    <row r="29">
      <c r="A29" t="str">
        <f>IFERROR(__xludf.DUMMYFUNCTION("""COMPUTED_VALUE"""),"CVE-2023-38831")</f>
        <v>CVE-2023-38831</v>
      </c>
      <c r="B29" t="str">
        <f>IFERROR(__xludf.DUMMYFUNCTION("""COMPUTED_VALUE"""),"WinRAR")</f>
        <v>WinRAR</v>
      </c>
      <c r="C29" t="str">
        <f>IFERROR(__xludf.DUMMYFUNCTION("""COMPUTED_VALUE"""),"WinRAR")</f>
        <v>WinRAR</v>
      </c>
      <c r="D29" t="str">
        <f>IFERROR(__xludf.DUMMYFUNCTION("""COMPUTED_VALUE"""),"Logic/Design Flaw")</f>
        <v>Logic/Design Flaw</v>
      </c>
      <c r="E29" t="str">
        <f>IFERROR(__xludf.DUMMYFUNCTION("""COMPUTED_VALUE"""),"Issue in the processing of the ZIP format")</f>
        <v>Issue in the processing of the ZIP format</v>
      </c>
      <c r="F29" t="str">
        <f>IFERROR(__xludf.DUMMYFUNCTION("""COMPUTED_VALUE"""),"2023-07-10")</f>
        <v>2023-07-10</v>
      </c>
      <c r="G29" s="9">
        <f>IFERROR(__xludf.DUMMYFUNCTION("""COMPUTED_VALUE"""),45140.0)</f>
        <v>45140</v>
      </c>
      <c r="H29" s="10" t="str">
        <f>IFERROR(__xludf.DUMMYFUNCTION("""COMPUTED_VALUE"""),"https://www.win-rar.com/singlenewsview.html?&amp;L=0&amp;tx_ttnews%5Btt_news%5D=232&amp;cHash=c5bf79590657e32554c6683296a8e8aa")</f>
        <v>https://www.win-rar.com/singlenewsview.html?&amp;L=0&amp;tx_ttnews%5Btt_news%5D=232&amp;cHash=c5bf79590657e32554c6683296a8e8aa</v>
      </c>
      <c r="I29" s="10" t="str">
        <f>IFERROR(__xludf.DUMMYFUNCTION("""COMPUTED_VALUE"""),"https://www.group-ib.com/blog/cve-2023-38831-winrar-zero-day/")</f>
        <v>https://www.group-ib.com/blog/cve-2023-38831-winrar-zero-day/</v>
      </c>
      <c r="J29" s="10" t="str">
        <f>IFERROR(__xludf.DUMMYFUNCTION("""COMPUTED_VALUE"""),"https://googleprojectzero.github.io/0days-in-the-wild//0day-RCAs/2023/CVE-2023-38831.html")</f>
        <v>https://googleprojectzero.github.io/0days-in-the-wild//0day-RCAs/2023/CVE-2023-38831.html</v>
      </c>
      <c r="K29" t="str">
        <f>IFERROR(__xludf.DUMMYFUNCTION("""COMPUTED_VALUE"""),"Andrey Polovinkin of Group-IB Threat Intelligence")</f>
        <v>Andrey Polovinkin of Group-IB Threat Intelligence</v>
      </c>
    </row>
    <row r="30">
      <c r="A30" t="str">
        <f>IFERROR(__xludf.DUMMYFUNCTION("""COMPUTED_VALUE"""),"CVE-2023-37580")</f>
        <v>CVE-2023-37580</v>
      </c>
      <c r="B30" t="str">
        <f>IFERROR(__xludf.DUMMYFUNCTION("""COMPUTED_VALUE"""),"Synacor")</f>
        <v>Synacor</v>
      </c>
      <c r="C30" t="str">
        <f>IFERROR(__xludf.DUMMYFUNCTION("""COMPUTED_VALUE"""),"Zimbra")</f>
        <v>Zimbra</v>
      </c>
      <c r="D30" t="str">
        <f>IFERROR(__xludf.DUMMYFUNCTION("""COMPUTED_VALUE"""),"XSS")</f>
        <v>XSS</v>
      </c>
      <c r="E30" t="str">
        <f>IFERROR(__xludf.DUMMYFUNCTION("""COMPUTED_VALUE"""),"Reflected XSS in /m/moveto")</f>
        <v>Reflected XSS in /m/moveto</v>
      </c>
      <c r="F30" t="str">
        <f>IFERROR(__xludf.DUMMYFUNCTION("""COMPUTED_VALUE"""),"2023-06-29")</f>
        <v>2023-06-29</v>
      </c>
      <c r="G30" s="9">
        <f>IFERROR(__xludf.DUMMYFUNCTION("""COMPUTED_VALUE"""),45133.0)</f>
        <v>45133</v>
      </c>
      <c r="H30" s="10" t="str">
        <f>IFERROR(__xludf.DUMMYFUNCTION("""COMPUTED_VALUE"""),"https://wiki.zimbra.com/wiki/Zimbra_Releases/8.8.15/P41")</f>
        <v>https://wiki.zimbra.com/wiki/Zimbra_Releases/8.8.15/P41</v>
      </c>
      <c r="I30" s="10" t="str">
        <f>IFERROR(__xludf.DUMMYFUNCTION("""COMPUTED_VALUE"""),"https://blog.google/threat-analysis-group/zimbra-0-day-used-to-target-international-government-organizations/")</f>
        <v>https://blog.google/threat-analysis-group/zimbra-0-day-used-to-target-international-government-organizations/</v>
      </c>
      <c r="J30" t="str">
        <f>IFERROR(__xludf.DUMMYFUNCTION("""COMPUTED_VALUE"""),"???")</f>
        <v>???</v>
      </c>
      <c r="K30" t="str">
        <f>IFERROR(__xludf.DUMMYFUNCTION("""COMPUTED_VALUE"""),"Clement Lecigne of the Google Threat Analysis Group")</f>
        <v>Clement Lecigne of the Google Threat Analysis Group</v>
      </c>
    </row>
    <row r="31">
      <c r="A31" t="str">
        <f>IFERROR(__xludf.DUMMYFUNCTION("""COMPUTED_VALUE"""),"CVE-2023-38606")</f>
        <v>CVE-2023-38606</v>
      </c>
      <c r="B31" t="str">
        <f>IFERROR(__xludf.DUMMYFUNCTION("""COMPUTED_VALUE"""),"Apple")</f>
        <v>Apple</v>
      </c>
      <c r="C31" t="str">
        <f>IFERROR(__xludf.DUMMYFUNCTION("""COMPUTED_VALUE"""),"iOS")</f>
        <v>iOS</v>
      </c>
      <c r="D31" t="str">
        <f>IFERROR(__xludf.DUMMYFUNCTION("""COMPUTED_VALUE"""),"Memory Corruption")</f>
        <v>Memory Corruption</v>
      </c>
      <c r="E31" t="str">
        <f>IFERROR(__xludf.DUMMYFUNCTION("""COMPUTED_VALUE"""),"Unspecified kernel vulnerability against pre-iOS 15.7.1")</f>
        <v>Unspecified kernel vulnerability against pre-iOS 15.7.1</v>
      </c>
      <c r="F31" t="str">
        <f>IFERROR(__xludf.DUMMYFUNCTION("""COMPUTED_VALUE"""),"???")</f>
        <v>???</v>
      </c>
      <c r="G31" s="9">
        <f>IFERROR(__xludf.DUMMYFUNCTION("""COMPUTED_VALUE"""),45131.0)</f>
        <v>45131</v>
      </c>
      <c r="H31" s="10" t="str">
        <f>IFERROR(__xludf.DUMMYFUNCTION("""COMPUTED_VALUE"""),"https://support.apple.com/en-us/HT213841")</f>
        <v>https://support.apple.com/en-us/HT213841</v>
      </c>
      <c r="I31" t="str">
        <f>IFERROR(__xludf.DUMMYFUNCTION("""COMPUTED_VALUE"""),"???")</f>
        <v>???</v>
      </c>
      <c r="J31" t="str">
        <f>IFERROR(__xludf.DUMMYFUNCTION("""COMPUTED_VALUE"""),"???")</f>
        <v>???</v>
      </c>
      <c r="K31" t="str">
        <f>IFERROR(__xludf.DUMMYFUNCTION("""COMPUTED_VALUE"""),"Valentin Pashkov, Mikhail Vinogradov, Georgy Kucherin (@kucher1n), Leonid Bezvershenko (@bzvr_), and Boris Larin (@oct0xor) of Kaspersky")</f>
        <v>Valentin Pashkov, Mikhail Vinogradov, Georgy Kucherin (@kucher1n), Leonid Bezvershenko (@bzvr_), and Boris Larin (@oct0xor) of Kaspersky</v>
      </c>
    </row>
    <row r="32">
      <c r="A32" t="str">
        <f>IFERROR(__xludf.DUMMYFUNCTION("""COMPUTED_VALUE"""),"CVE-2023-41990")</f>
        <v>CVE-2023-41990</v>
      </c>
      <c r="B32" t="str">
        <f>IFERROR(__xludf.DUMMYFUNCTION("""COMPUTED_VALUE"""),"Apple")</f>
        <v>Apple</v>
      </c>
      <c r="C32" t="str">
        <f>IFERROR(__xludf.DUMMYFUNCTION("""COMPUTED_VALUE"""),"iOS")</f>
        <v>iOS</v>
      </c>
      <c r="D32" t="str">
        <f>IFERROR(__xludf.DUMMYFUNCTION("""COMPUTED_VALUE"""),"Memory Corruption")</f>
        <v>Memory Corruption</v>
      </c>
      <c r="E32" t="str">
        <f>IFERROR(__xludf.DUMMYFUNCTION("""COMPUTED_VALUE"""),"TrueType font remote code execution in iOS 15.7")</f>
        <v>TrueType font remote code execution in iOS 15.7</v>
      </c>
      <c r="F32" t="str">
        <f>IFERROR(__xludf.DUMMYFUNCTION("""COMPUTED_VALUE"""),"???")</f>
        <v>???</v>
      </c>
      <c r="G32" s="9">
        <f>IFERROR(__xludf.DUMMYFUNCTION("""COMPUTED_VALUE"""),45131.0)</f>
        <v>45131</v>
      </c>
      <c r="H32" s="10" t="str">
        <f>IFERROR(__xludf.DUMMYFUNCTION("""COMPUTED_VALUE"""),"https://support.apple.com/en-us/HT213842")</f>
        <v>https://support.apple.com/en-us/HT213842</v>
      </c>
      <c r="I32" t="str">
        <f>IFERROR(__xludf.DUMMYFUNCTION("""COMPUTED_VALUE"""),"???")</f>
        <v>???</v>
      </c>
      <c r="J32" t="str">
        <f>IFERROR(__xludf.DUMMYFUNCTION("""COMPUTED_VALUE"""),"???")</f>
        <v>???</v>
      </c>
      <c r="K32" t="str">
        <f>IFERROR(__xludf.DUMMYFUNCTION("""COMPUTED_VALUE"""),"Apple, Valentin Pashkov, Mikhail Vinogradov, Georgy Kucherin (@kucher1n), Leonid Bezvershenko (@bzvr_), and Boris Larin (@oct0xor) of Kaspersky")</f>
        <v>Apple, Valentin Pashkov, Mikhail Vinogradov, Georgy Kucherin (@kucher1n), Leonid Bezvershenko (@bzvr_), and Boris Larin (@oct0xor) of Kaspersky</v>
      </c>
    </row>
    <row r="33">
      <c r="A33" t="str">
        <f>IFERROR(__xludf.DUMMYFUNCTION("""COMPUTED_VALUE"""),"CVE-2023-32046")</f>
        <v>CVE-2023-32046</v>
      </c>
      <c r="B33" t="str">
        <f>IFERROR(__xludf.DUMMYFUNCTION("""COMPUTED_VALUE"""),"Microsoft")</f>
        <v>Microsoft</v>
      </c>
      <c r="C33" t="str">
        <f>IFERROR(__xludf.DUMMYFUNCTION("""COMPUTED_VALUE"""),"Windows")</f>
        <v>Windows</v>
      </c>
      <c r="D33" t="str">
        <f>IFERROR(__xludf.DUMMYFUNCTION("""COMPUTED_VALUE"""),"Memory Corruption")</f>
        <v>Memory Corruption</v>
      </c>
      <c r="E33" t="str">
        <f>IFERROR(__xludf.DUMMYFUNCTION("""COMPUTED_VALUE"""),"MSHTML Platform Elevation of Privilege")</f>
        <v>MSHTML Platform Elevation of Privilege</v>
      </c>
      <c r="F33" t="str">
        <f>IFERROR(__xludf.DUMMYFUNCTION("""COMPUTED_VALUE"""),"???")</f>
        <v>???</v>
      </c>
      <c r="G33" s="9">
        <f>IFERROR(__xludf.DUMMYFUNCTION("""COMPUTED_VALUE"""),45118.0)</f>
        <v>45118</v>
      </c>
      <c r="H33" s="10" t="str">
        <f>IFERROR(__xludf.DUMMYFUNCTION("""COMPUTED_VALUE"""),"https://msrc.microsoft.com/update-guide/vulnerability/CVE-2023-32046")</f>
        <v>https://msrc.microsoft.com/update-guide/vulnerability/CVE-2023-32046</v>
      </c>
      <c r="I33" t="str">
        <f>IFERROR(__xludf.DUMMYFUNCTION("""COMPUTED_VALUE"""),"???")</f>
        <v>???</v>
      </c>
      <c r="J33" t="str">
        <f>IFERROR(__xludf.DUMMYFUNCTION("""COMPUTED_VALUE"""),"???")</f>
        <v>???</v>
      </c>
      <c r="K33" t="str">
        <f>IFERROR(__xludf.DUMMYFUNCTION("""COMPUTED_VALUE"""),"Microsoft Threat Intelligence Center (MSTIC)")</f>
        <v>Microsoft Threat Intelligence Center (MSTIC)</v>
      </c>
    </row>
    <row r="34">
      <c r="A34" t="str">
        <f>IFERROR(__xludf.DUMMYFUNCTION("""COMPUTED_VALUE"""),"CVE-2023-36874")</f>
        <v>CVE-2023-36874</v>
      </c>
      <c r="B34" t="str">
        <f>IFERROR(__xludf.DUMMYFUNCTION("""COMPUTED_VALUE"""),"Microsoft")</f>
        <v>Microsoft</v>
      </c>
      <c r="C34" t="str">
        <f>IFERROR(__xludf.DUMMYFUNCTION("""COMPUTED_VALUE"""),"Windows")</f>
        <v>Windows</v>
      </c>
      <c r="D34" t="str">
        <f>IFERROR(__xludf.DUMMYFUNCTION("""COMPUTED_VALUE"""),"Logic/Design Flaw")</f>
        <v>Logic/Design Flaw</v>
      </c>
      <c r="E34" t="str">
        <f>IFERROR(__xludf.DUMMYFUNCTION("""COMPUTED_VALUE"""),"Windows Error Reporting Service Elevation of Privilege")</f>
        <v>Windows Error Reporting Service Elevation of Privilege</v>
      </c>
      <c r="F34" t="str">
        <f>IFERROR(__xludf.DUMMYFUNCTION("""COMPUTED_VALUE"""),"2023-06-30")</f>
        <v>2023-06-30</v>
      </c>
      <c r="G34" s="9">
        <f>IFERROR(__xludf.DUMMYFUNCTION("""COMPUTED_VALUE"""),45118.0)</f>
        <v>45118</v>
      </c>
      <c r="H34" s="10" t="str">
        <f>IFERROR(__xludf.DUMMYFUNCTION("""COMPUTED_VALUE"""),"https://msrc.microsoft.com/update-guide/vulnerability/CVE-2023-36874")</f>
        <v>https://msrc.microsoft.com/update-guide/vulnerability/CVE-2023-36874</v>
      </c>
      <c r="I34" t="str">
        <f>IFERROR(__xludf.DUMMYFUNCTION("""COMPUTED_VALUE"""),"???")</f>
        <v>???</v>
      </c>
      <c r="J34" t="str">
        <f>IFERROR(__xludf.DUMMYFUNCTION("""COMPUTED_VALUE"""),"???")</f>
        <v>???</v>
      </c>
      <c r="K34" t="str">
        <f>IFERROR(__xludf.DUMMYFUNCTION("""COMPUTED_VALUE"""),"Vlad Stolyarov and Maddie Stone of Google's Threat Analysis Group (TAG)")</f>
        <v>Vlad Stolyarov and Maddie Stone of Google's Threat Analysis Group (TAG)</v>
      </c>
    </row>
    <row r="35">
      <c r="A35" t="str">
        <f>IFERROR(__xludf.DUMMYFUNCTION("""COMPUTED_VALUE"""),"CVE-2023-37450")</f>
        <v>CVE-2023-37450</v>
      </c>
      <c r="B35" t="str">
        <f>IFERROR(__xludf.DUMMYFUNCTION("""COMPUTED_VALUE"""),"Apple")</f>
        <v>Apple</v>
      </c>
      <c r="C35" t="str">
        <f>IFERROR(__xludf.DUMMYFUNCTION("""COMPUTED_VALUE"""),"WebKit")</f>
        <v>WebKit</v>
      </c>
      <c r="D35" t="str">
        <f>IFERROR(__xludf.DUMMYFUNCTION("""COMPUTED_VALUE"""),"Memory Corruption")</f>
        <v>Memory Corruption</v>
      </c>
      <c r="E35" t="str">
        <f>IFERROR(__xludf.DUMMYFUNCTION("""COMPUTED_VALUE"""),"Unspecified memory corruption ")</f>
        <v>Unspecified memory corruption </v>
      </c>
      <c r="F35" t="str">
        <f>IFERROR(__xludf.DUMMYFUNCTION("""COMPUTED_VALUE"""),"???")</f>
        <v>???</v>
      </c>
      <c r="G35" s="9">
        <f>IFERROR(__xludf.DUMMYFUNCTION("""COMPUTED_VALUE"""),45117.0)</f>
        <v>45117</v>
      </c>
      <c r="H35" s="10" t="str">
        <f>IFERROR(__xludf.DUMMYFUNCTION("""COMPUTED_VALUE"""),"https://support.apple.com/en-us/HT213823")</f>
        <v>https://support.apple.com/en-us/HT213823</v>
      </c>
      <c r="I35" t="str">
        <f>IFERROR(__xludf.DUMMYFUNCTION("""COMPUTED_VALUE"""),"???")</f>
        <v>???</v>
      </c>
      <c r="J35" t="str">
        <f>IFERROR(__xludf.DUMMYFUNCTION("""COMPUTED_VALUE"""),"???")</f>
        <v>???</v>
      </c>
      <c r="K35" t="str">
        <f>IFERROR(__xludf.DUMMYFUNCTION("""COMPUTED_VALUE"""),"???")</f>
        <v>???</v>
      </c>
    </row>
    <row r="36">
      <c r="A36" t="str">
        <f>IFERROR(__xludf.DUMMYFUNCTION("""COMPUTED_VALUE"""),"CVE-2023-32434")</f>
        <v>CVE-2023-32434</v>
      </c>
      <c r="B36" t="str">
        <f>IFERROR(__xludf.DUMMYFUNCTION("""COMPUTED_VALUE"""),"Apple")</f>
        <v>Apple</v>
      </c>
      <c r="C36" t="str">
        <f>IFERROR(__xludf.DUMMYFUNCTION("""COMPUTED_VALUE"""),"iOS")</f>
        <v>iOS</v>
      </c>
      <c r="D36" t="str">
        <f>IFERROR(__xludf.DUMMYFUNCTION("""COMPUTED_VALUE"""),"Memory Corruption")</f>
        <v>Memory Corruption</v>
      </c>
      <c r="E36" t="str">
        <f>IFERROR(__xludf.DUMMYFUNCTION("""COMPUTED_VALUE"""),"Integer overflow in the XNU kernel")</f>
        <v>Integer overflow in the XNU kernel</v>
      </c>
      <c r="F36" t="str">
        <f>IFERROR(__xludf.DUMMYFUNCTION("""COMPUTED_VALUE"""),"???")</f>
        <v>???</v>
      </c>
      <c r="G36" s="9">
        <f>IFERROR(__xludf.DUMMYFUNCTION("""COMPUTED_VALUE"""),45098.0)</f>
        <v>45098</v>
      </c>
      <c r="H36" s="10" t="str">
        <f>IFERROR(__xludf.DUMMYFUNCTION("""COMPUTED_VALUE"""),"https://support.apple.com/en-us/HT213814")</f>
        <v>https://support.apple.com/en-us/HT213814</v>
      </c>
      <c r="I36" s="10" t="str">
        <f>IFERROR(__xludf.DUMMYFUNCTION("""COMPUTED_VALUE"""),"https://securelist.com/operation-triangulation/109842/")</f>
        <v>https://securelist.com/operation-triangulation/109842/</v>
      </c>
      <c r="J36" t="str">
        <f>IFERROR(__xludf.DUMMYFUNCTION("""COMPUTED_VALUE"""),"???")</f>
        <v>???</v>
      </c>
      <c r="K36" t="str">
        <f>IFERROR(__xludf.DUMMYFUNCTION("""COMPUTED_VALUE"""),"Georgy Kucherin (@kucher1n), Leonid Bezvershenko (@bzvr_), and Boris Larin (@oct0xor) of Kaspersky")</f>
        <v>Georgy Kucherin (@kucher1n), Leonid Bezvershenko (@bzvr_), and Boris Larin (@oct0xor) of Kaspersky</v>
      </c>
    </row>
    <row r="37">
      <c r="A37" t="str">
        <f>IFERROR(__xludf.DUMMYFUNCTION("""COMPUTED_VALUE"""),"CVE-2023-32435")</f>
        <v>CVE-2023-32435</v>
      </c>
      <c r="B37" t="str">
        <f>IFERROR(__xludf.DUMMYFUNCTION("""COMPUTED_VALUE"""),"Apple")</f>
        <v>Apple</v>
      </c>
      <c r="C37" t="str">
        <f>IFERROR(__xludf.DUMMYFUNCTION("""COMPUTED_VALUE"""),"WebKit")</f>
        <v>WebKit</v>
      </c>
      <c r="D37" t="str">
        <f>IFERROR(__xludf.DUMMYFUNCTION("""COMPUTED_VALUE"""),"Memory Corruption")</f>
        <v>Memory Corruption</v>
      </c>
      <c r="E37" t="str">
        <f>IFERROR(__xludf.DUMMYFUNCTION("""COMPUTED_VALUE"""),"Unspecified memory corruption affecting iOS 15.7.6")</f>
        <v>Unspecified memory corruption affecting iOS 15.7.6</v>
      </c>
      <c r="F37" t="str">
        <f>IFERROR(__xludf.DUMMYFUNCTION("""COMPUTED_VALUE"""),"???")</f>
        <v>???</v>
      </c>
      <c r="G37" s="9">
        <f>IFERROR(__xludf.DUMMYFUNCTION("""COMPUTED_VALUE"""),45098.0)</f>
        <v>45098</v>
      </c>
      <c r="H37" s="10" t="str">
        <f>IFERROR(__xludf.DUMMYFUNCTION("""COMPUTED_VALUE"""),"https://support.apple.com/en-us/HT213811")</f>
        <v>https://support.apple.com/en-us/HT213811</v>
      </c>
      <c r="I37" s="10" t="str">
        <f>IFERROR(__xludf.DUMMYFUNCTION("""COMPUTED_VALUE"""),"https://securelist.com/operation-triangulation/109842/")</f>
        <v>https://securelist.com/operation-triangulation/109842/</v>
      </c>
      <c r="J37" t="str">
        <f>IFERROR(__xludf.DUMMYFUNCTION("""COMPUTED_VALUE"""),"???")</f>
        <v>???</v>
      </c>
      <c r="K37" t="str">
        <f>IFERROR(__xludf.DUMMYFUNCTION("""COMPUTED_VALUE"""),"Georgy Kucherin (@kucher1n), Leonid Bezvershenko (@bzvr_), and Boris Larin (@oct0xor) of Kaspersky")</f>
        <v>Georgy Kucherin (@kucher1n), Leonid Bezvershenko (@bzvr_), and Boris Larin (@oct0xor) of Kaspersky</v>
      </c>
    </row>
    <row r="38">
      <c r="A38" t="str">
        <f>IFERROR(__xludf.DUMMYFUNCTION("""COMPUTED_VALUE"""),"CVE-2023-32439")</f>
        <v>CVE-2023-32439</v>
      </c>
      <c r="B38" t="str">
        <f>IFERROR(__xludf.DUMMYFUNCTION("""COMPUTED_VALUE"""),"Apple")</f>
        <v>Apple</v>
      </c>
      <c r="C38" t="str">
        <f>IFERROR(__xludf.DUMMYFUNCTION("""COMPUTED_VALUE"""),"WebKit")</f>
        <v>WebKit</v>
      </c>
      <c r="D38" t="str">
        <f>IFERROR(__xludf.DUMMYFUNCTION("""COMPUTED_VALUE"""),"Memory Corruption")</f>
        <v>Memory Corruption</v>
      </c>
      <c r="E38" t="str">
        <f>IFERROR(__xludf.DUMMYFUNCTION("""COMPUTED_VALUE"""),"Type confusion ")</f>
        <v>Type confusion </v>
      </c>
      <c r="F38" t="str">
        <f>IFERROR(__xludf.DUMMYFUNCTION("""COMPUTED_VALUE"""),"???")</f>
        <v>???</v>
      </c>
      <c r="G38" s="9">
        <f>IFERROR(__xludf.DUMMYFUNCTION("""COMPUTED_VALUE"""),45098.0)</f>
        <v>45098</v>
      </c>
      <c r="H38" s="10" t="str">
        <f>IFERROR(__xludf.DUMMYFUNCTION("""COMPUTED_VALUE"""),"https://support.apple.com/en-us/HT213814")</f>
        <v>https://support.apple.com/en-us/HT213814</v>
      </c>
      <c r="I38" t="str">
        <f>IFERROR(__xludf.DUMMYFUNCTION("""COMPUTED_VALUE"""),"???")</f>
        <v>???</v>
      </c>
      <c r="J38" t="str">
        <f>IFERROR(__xludf.DUMMYFUNCTION("""COMPUTED_VALUE"""),"???")</f>
        <v>???</v>
      </c>
      <c r="K38" t="str">
        <f>IFERROR(__xludf.DUMMYFUNCTION("""COMPUTED_VALUE"""),"???")</f>
        <v>???</v>
      </c>
    </row>
    <row r="39">
      <c r="A39" t="str">
        <f>IFERROR(__xludf.DUMMYFUNCTION("""COMPUTED_VALUE"""),"CVE-2023-3079")</f>
        <v>CVE-2023-3079</v>
      </c>
      <c r="B39" t="str">
        <f>IFERROR(__xludf.DUMMYFUNCTION("""COMPUTED_VALUE"""),"Google")</f>
        <v>Google</v>
      </c>
      <c r="C39" t="str">
        <f>IFERROR(__xludf.DUMMYFUNCTION("""COMPUTED_VALUE"""),"Chrome")</f>
        <v>Chrome</v>
      </c>
      <c r="D39" t="str">
        <f>IFERROR(__xludf.DUMMYFUNCTION("""COMPUTED_VALUE"""),"Memory Corruption")</f>
        <v>Memory Corruption</v>
      </c>
      <c r="E39" t="str">
        <f>IFERROR(__xludf.DUMMYFUNCTION("""COMPUTED_VALUE"""),"Type confusion in V8")</f>
        <v>Type confusion in V8</v>
      </c>
      <c r="F39" t="str">
        <f>IFERROR(__xludf.DUMMYFUNCTION("""COMPUTED_VALUE"""),"2023-06-01")</f>
        <v>2023-06-01</v>
      </c>
      <c r="G39" s="9">
        <f>IFERROR(__xludf.DUMMYFUNCTION("""COMPUTED_VALUE"""),45082.0)</f>
        <v>45082</v>
      </c>
      <c r="H39" s="10" t="str">
        <f>IFERROR(__xludf.DUMMYFUNCTION("""COMPUTED_VALUE"""),"https://chromereleases.googleblog.com/2023/06/stable-channel-update-for-desktop.html")</f>
        <v>https://chromereleases.googleblog.com/2023/06/stable-channel-update-for-desktop.html</v>
      </c>
      <c r="I39" t="str">
        <f>IFERROR(__xludf.DUMMYFUNCTION("""COMPUTED_VALUE"""),"???")</f>
        <v>???</v>
      </c>
      <c r="J39" t="str">
        <f>IFERROR(__xludf.DUMMYFUNCTION("""COMPUTED_VALUE"""),"???")</f>
        <v>???</v>
      </c>
      <c r="K39" t="str">
        <f>IFERROR(__xludf.DUMMYFUNCTION("""COMPUTED_VALUE"""),"Clément Lecigne of Google's Threat Analysis Group")</f>
        <v>Clément Lecigne of Google's Threat Analysis Group</v>
      </c>
    </row>
    <row r="40">
      <c r="A40" t="str">
        <f>IFERROR(__xludf.DUMMYFUNCTION("""COMPUTED_VALUE"""),"CVE-2023-2868")</f>
        <v>CVE-2023-2868</v>
      </c>
      <c r="B40" t="str">
        <f>IFERROR(__xludf.DUMMYFUNCTION("""COMPUTED_VALUE"""),"Barracuda")</f>
        <v>Barracuda</v>
      </c>
      <c r="C40" t="str">
        <f>IFERROR(__xludf.DUMMYFUNCTION("""COMPUTED_VALUE"""),"Email Security Gateway")</f>
        <v>Email Security Gateway</v>
      </c>
      <c r="D40" t="str">
        <f>IFERROR(__xludf.DUMMYFUNCTION("""COMPUTED_VALUE"""),"Logic/Design Flaw")</f>
        <v>Logic/Design Flaw</v>
      </c>
      <c r="E40" t="str">
        <f>IFERROR(__xludf.DUMMYFUNCTION("""COMPUTED_VALUE"""),"Remote command injection due to incomplete input validation")</f>
        <v>Remote command injection due to incomplete input validation</v>
      </c>
      <c r="F40" t="str">
        <f>IFERROR(__xludf.DUMMYFUNCTION("""COMPUTED_VALUE"""),"2023-05-18")</f>
        <v>2023-05-18</v>
      </c>
      <c r="G40" s="9">
        <f>IFERROR(__xludf.DUMMYFUNCTION("""COMPUTED_VALUE"""),45076.0)</f>
        <v>45076</v>
      </c>
      <c r="H40" s="10" t="str">
        <f>IFERROR(__xludf.DUMMYFUNCTION("""COMPUTED_VALUE"""),"https://www.barracuda.com/company/legal/esg-vulnerability")</f>
        <v>https://www.barracuda.com/company/legal/esg-vulnerability</v>
      </c>
      <c r="I40" t="str">
        <f>IFERROR(__xludf.DUMMYFUNCTION("""COMPUTED_VALUE"""),"???")</f>
        <v>???</v>
      </c>
      <c r="J40" t="str">
        <f>IFERROR(__xludf.DUMMYFUNCTION("""COMPUTED_VALUE"""),"???")</f>
        <v>???</v>
      </c>
      <c r="K40" t="str">
        <f>IFERROR(__xludf.DUMMYFUNCTION("""COMPUTED_VALUE"""),"???")</f>
        <v>???</v>
      </c>
    </row>
    <row r="41">
      <c r="A41" t="str">
        <f>IFERROR(__xludf.DUMMYFUNCTION("""COMPUTED_VALUE"""),"CVE-2023-32409")</f>
        <v>CVE-2023-32409</v>
      </c>
      <c r="B41" t="str">
        <f>IFERROR(__xludf.DUMMYFUNCTION("""COMPUTED_VALUE"""),"Apple")</f>
        <v>Apple</v>
      </c>
      <c r="C41" t="str">
        <f>IFERROR(__xludf.DUMMYFUNCTION("""COMPUTED_VALUE"""),"WebKit")</f>
        <v>WebKit</v>
      </c>
      <c r="D41" t="str">
        <f>IFERROR(__xludf.DUMMYFUNCTION("""COMPUTED_VALUE"""),"Memory Corruption")</f>
        <v>Memory Corruption</v>
      </c>
      <c r="E41" t="str">
        <f>IFERROR(__xludf.DUMMYFUNCTION("""COMPUTED_VALUE"""),"WebContext sandbox escape")</f>
        <v>WebContext sandbox escape</v>
      </c>
      <c r="F41" t="str">
        <f>IFERROR(__xludf.DUMMYFUNCTION("""COMPUTED_VALUE"""),"???")</f>
        <v>???</v>
      </c>
      <c r="G41" s="9">
        <f>IFERROR(__xludf.DUMMYFUNCTION("""COMPUTED_VALUE"""),45064.0)</f>
        <v>45064</v>
      </c>
      <c r="H41" s="10" t="str">
        <f>IFERROR(__xludf.DUMMYFUNCTION("""COMPUTED_VALUE"""),"https://support.apple.com/en-us/HT213757")</f>
        <v>https://support.apple.com/en-us/HT213757</v>
      </c>
      <c r="I41" t="str">
        <f>IFERROR(__xludf.DUMMYFUNCTION("""COMPUTED_VALUE"""),"???")</f>
        <v>???</v>
      </c>
      <c r="J41" t="str">
        <f>IFERROR(__xludf.DUMMYFUNCTION("""COMPUTED_VALUE"""),"???")</f>
        <v>???</v>
      </c>
      <c r="K41" t="str">
        <f>IFERROR(__xludf.DUMMYFUNCTION("""COMPUTED_VALUE"""),"Clément Lecigne of Google's Threat Analysis Group and Donncha Ó Cearbhaill of Amnesty International’s Security Lab")</f>
        <v>Clément Lecigne of Google's Threat Analysis Group and Donncha Ó Cearbhaill of Amnesty International’s Security Lab</v>
      </c>
    </row>
    <row r="42">
      <c r="A42" t="str">
        <f>IFERROR(__xludf.DUMMYFUNCTION("""COMPUTED_VALUE"""),"CVE-2023-29336")</f>
        <v>CVE-2023-29336</v>
      </c>
      <c r="B42" t="str">
        <f>IFERROR(__xludf.DUMMYFUNCTION("""COMPUTED_VALUE"""),"Microsoft")</f>
        <v>Microsoft</v>
      </c>
      <c r="C42" t="str">
        <f>IFERROR(__xludf.DUMMYFUNCTION("""COMPUTED_VALUE"""),"Windows")</f>
        <v>Windows</v>
      </c>
      <c r="D42" t="str">
        <f>IFERROR(__xludf.DUMMYFUNCTION("""COMPUTED_VALUE"""),"Memory Corruption")</f>
        <v>Memory Corruption</v>
      </c>
      <c r="E42" t="str">
        <f>IFERROR(__xludf.DUMMYFUNCTION("""COMPUTED_VALUE"""),"Win32k Elevation of Privilege")</f>
        <v>Win32k Elevation of Privilege</v>
      </c>
      <c r="F42" t="str">
        <f>IFERROR(__xludf.DUMMYFUNCTION("""COMPUTED_VALUE"""),"???")</f>
        <v>???</v>
      </c>
      <c r="G42" s="9">
        <f>IFERROR(__xludf.DUMMYFUNCTION("""COMPUTED_VALUE"""),45055.0)</f>
        <v>45055</v>
      </c>
      <c r="H42" s="10" t="str">
        <f>IFERROR(__xludf.DUMMYFUNCTION("""COMPUTED_VALUE"""),"https://msrc.microsoft.com/update-guide/vulnerability/CVE-2023-29336")</f>
        <v>https://msrc.microsoft.com/update-guide/vulnerability/CVE-2023-29336</v>
      </c>
      <c r="I42" t="str">
        <f>IFERROR(__xludf.DUMMYFUNCTION("""COMPUTED_VALUE"""),"???")</f>
        <v>???</v>
      </c>
      <c r="J42" t="str">
        <f>IFERROR(__xludf.DUMMYFUNCTION("""COMPUTED_VALUE"""),"???")</f>
        <v>???</v>
      </c>
      <c r="K42" t="str">
        <f>IFERROR(__xludf.DUMMYFUNCTION("""COMPUTED_VALUE"""),"Jan Vojtěšek, Milánek, and Luigino Camastra with Avast")</f>
        <v>Jan Vojtěšek, Milánek, and Luigino Camastra with Avast</v>
      </c>
    </row>
    <row r="43">
      <c r="A43" t="str">
        <f>IFERROR(__xludf.DUMMYFUNCTION("""COMPUTED_VALUE"""),"CVE-2023-0266")</f>
        <v>CVE-2023-0266</v>
      </c>
      <c r="B43" t="str">
        <f>IFERROR(__xludf.DUMMYFUNCTION("""COMPUTED_VALUE"""),"Google")</f>
        <v>Google</v>
      </c>
      <c r="C43" t="str">
        <f>IFERROR(__xludf.DUMMYFUNCTION("""COMPUTED_VALUE"""),"Android")</f>
        <v>Android</v>
      </c>
      <c r="D43" t="str">
        <f>IFERROR(__xludf.DUMMYFUNCTION("""COMPUTED_VALUE"""),"Memory Corruption")</f>
        <v>Memory Corruption</v>
      </c>
      <c r="E43" t="str">
        <f>IFERROR(__xludf.DUMMYFUNCTION("""COMPUTED_VALUE"""),"Race condition in the Linux kernel sound subsystem")</f>
        <v>Race condition in the Linux kernel sound subsystem</v>
      </c>
      <c r="F43" t="str">
        <f>IFERROR(__xludf.DUMMYFUNCTION("""COMPUTED_VALUE"""),"2023-01-12")</f>
        <v>2023-01-12</v>
      </c>
      <c r="G43" s="9">
        <f>IFERROR(__xludf.DUMMYFUNCTION("""COMPUTED_VALUE"""),45047.0)</f>
        <v>45047</v>
      </c>
      <c r="H43" s="10" t="str">
        <f>IFERROR(__xludf.DUMMYFUNCTION("""COMPUTED_VALUE"""),"https://source.android.com/docs/security/bulletin/2023-05-01#2023-05-05-security-patch-level-vulnerability-details")</f>
        <v>https://source.android.com/docs/security/bulletin/2023-05-01#2023-05-05-security-patch-level-vulnerability-details</v>
      </c>
      <c r="I43" s="10" t="str">
        <f>IFERROR(__xludf.DUMMYFUNCTION("""COMPUTED_VALUE"""),"https://blog.google/threat-analysis-group/spyware-vendors-use-0-days-and-n-days-against-popular-platforms/")</f>
        <v>https://blog.google/threat-analysis-group/spyware-vendors-use-0-days-and-n-days-against-popular-platforms/</v>
      </c>
      <c r="J43" t="str">
        <f>IFERROR(__xludf.DUMMYFUNCTION("""COMPUTED_VALUE"""),"???")</f>
        <v>???</v>
      </c>
      <c r="K43" t="str">
        <f>IFERROR(__xludf.DUMMYFUNCTION("""COMPUTED_VALUE"""),"Clement Lecigne of the Google Threat Analysis Group")</f>
        <v>Clement Lecigne of the Google Threat Analysis Group</v>
      </c>
    </row>
    <row r="44">
      <c r="A44" t="str">
        <f>IFERROR(__xludf.DUMMYFUNCTION("""COMPUTED_VALUE"""),"CVE-2023-21492")</f>
        <v>CVE-2023-21492</v>
      </c>
      <c r="B44" t="str">
        <f>IFERROR(__xludf.DUMMYFUNCTION("""COMPUTED_VALUE"""),"Samsung")</f>
        <v>Samsung</v>
      </c>
      <c r="C44" t="str">
        <f>IFERROR(__xludf.DUMMYFUNCTION("""COMPUTED_VALUE"""),"Android")</f>
        <v>Android</v>
      </c>
      <c r="D44" t="str">
        <f>IFERROR(__xludf.DUMMYFUNCTION("""COMPUTED_VALUE"""),"Logic/Design Flaw")</f>
        <v>Logic/Design Flaw</v>
      </c>
      <c r="E44" t="str">
        <f>IFERROR(__xludf.DUMMYFUNCTION("""COMPUTED_VALUE"""),"Kernel pointers exposure in log file")</f>
        <v>Kernel pointers exposure in log file</v>
      </c>
      <c r="F44" t="str">
        <f>IFERROR(__xludf.DUMMYFUNCTION("""COMPUTED_VALUE"""),"2021-01-17")</f>
        <v>2021-01-17</v>
      </c>
      <c r="G44" s="9">
        <f>IFERROR(__xludf.DUMMYFUNCTION("""COMPUTED_VALUE"""),45047.0)</f>
        <v>45047</v>
      </c>
      <c r="H44" s="10" t="str">
        <f>IFERROR(__xludf.DUMMYFUNCTION("""COMPUTED_VALUE"""),"https://security.samsungmobile.com/securityUpdate.smsb")</f>
        <v>https://security.samsungmobile.com/securityUpdate.smsb</v>
      </c>
      <c r="I44" t="str">
        <f>IFERROR(__xludf.DUMMYFUNCTION("""COMPUTED_VALUE"""),"???")</f>
        <v>???</v>
      </c>
      <c r="J44" t="str">
        <f>IFERROR(__xludf.DUMMYFUNCTION("""COMPUTED_VALUE"""),"???")</f>
        <v>???</v>
      </c>
      <c r="K44" t="str">
        <f>IFERROR(__xludf.DUMMYFUNCTION("""COMPUTED_VALUE"""),"Clement Lecigne of the Google Threat Analysis Group")</f>
        <v>Clement Lecigne of the Google Threat Analysis Group</v>
      </c>
    </row>
    <row r="45">
      <c r="A45" t="str">
        <f>IFERROR(__xludf.DUMMYFUNCTION("""COMPUTED_VALUE"""),"CVE-2023-28204")</f>
        <v>CVE-2023-28204</v>
      </c>
      <c r="B45" t="str">
        <f>IFERROR(__xludf.DUMMYFUNCTION("""COMPUTED_VALUE"""),"Apple")</f>
        <v>Apple</v>
      </c>
      <c r="C45" t="str">
        <f>IFERROR(__xludf.DUMMYFUNCTION("""COMPUTED_VALUE"""),"WebKit")</f>
        <v>WebKit</v>
      </c>
      <c r="D45" t="str">
        <f>IFERROR(__xludf.DUMMYFUNCTION("""COMPUTED_VALUE"""),"Memory Corruption")</f>
        <v>Memory Corruption</v>
      </c>
      <c r="E45" t="str">
        <f>IFERROR(__xludf.DUMMYFUNCTION("""COMPUTED_VALUE"""),"Out-of-bounds read")</f>
        <v>Out-of-bounds read</v>
      </c>
      <c r="F45" t="str">
        <f>IFERROR(__xludf.DUMMYFUNCTION("""COMPUTED_VALUE"""),"???")</f>
        <v>???</v>
      </c>
      <c r="G45" s="9">
        <f>IFERROR(__xludf.DUMMYFUNCTION("""COMPUTED_VALUE"""),45047.0)</f>
        <v>45047</v>
      </c>
      <c r="H45" s="10" t="str">
        <f>IFERROR(__xludf.DUMMYFUNCTION("""COMPUTED_VALUE"""),"https://support.apple.com/en-us/HT213757")</f>
        <v>https://support.apple.com/en-us/HT213757</v>
      </c>
      <c r="I45" t="str">
        <f>IFERROR(__xludf.DUMMYFUNCTION("""COMPUTED_VALUE"""),"???")</f>
        <v>???</v>
      </c>
      <c r="J45" t="str">
        <f>IFERROR(__xludf.DUMMYFUNCTION("""COMPUTED_VALUE"""),"???")</f>
        <v>???</v>
      </c>
      <c r="K45" t="str">
        <f>IFERROR(__xludf.DUMMYFUNCTION("""COMPUTED_VALUE"""),"???")</f>
        <v>???</v>
      </c>
    </row>
    <row r="46">
      <c r="A46" t="str">
        <f>IFERROR(__xludf.DUMMYFUNCTION("""COMPUTED_VALUE"""),"CVE-2023-32373")</f>
        <v>CVE-2023-32373</v>
      </c>
      <c r="B46" t="str">
        <f>IFERROR(__xludf.DUMMYFUNCTION("""COMPUTED_VALUE"""),"Apple")</f>
        <v>Apple</v>
      </c>
      <c r="C46" t="str">
        <f>IFERROR(__xludf.DUMMYFUNCTION("""COMPUTED_VALUE"""),"WebKit")</f>
        <v>WebKit</v>
      </c>
      <c r="D46" t="str">
        <f>IFERROR(__xludf.DUMMYFUNCTION("""COMPUTED_VALUE"""),"Memory Corruption")</f>
        <v>Memory Corruption</v>
      </c>
      <c r="E46" t="str">
        <f>IFERROR(__xludf.DUMMYFUNCTION("""COMPUTED_VALUE"""),"Use-after-free in WebKit")</f>
        <v>Use-after-free in WebKit</v>
      </c>
      <c r="F46" t="str">
        <f>IFERROR(__xludf.DUMMYFUNCTION("""COMPUTED_VALUE"""),"???")</f>
        <v>???</v>
      </c>
      <c r="G46" s="9">
        <f>IFERROR(__xludf.DUMMYFUNCTION("""COMPUTED_VALUE"""),45047.0)</f>
        <v>45047</v>
      </c>
      <c r="H46" s="10" t="str">
        <f>IFERROR(__xludf.DUMMYFUNCTION("""COMPUTED_VALUE"""),"https://support.apple.com/en-us/HT213757")</f>
        <v>https://support.apple.com/en-us/HT213757</v>
      </c>
      <c r="I46" t="str">
        <f>IFERROR(__xludf.DUMMYFUNCTION("""COMPUTED_VALUE"""),"???")</f>
        <v>???</v>
      </c>
      <c r="J46" t="str">
        <f>IFERROR(__xludf.DUMMYFUNCTION("""COMPUTED_VALUE"""),"???")</f>
        <v>???</v>
      </c>
      <c r="K46" t="str">
        <f>IFERROR(__xludf.DUMMYFUNCTION("""COMPUTED_VALUE"""),"???")</f>
        <v>???</v>
      </c>
    </row>
    <row r="47">
      <c r="A47" t="str">
        <f>IFERROR(__xludf.DUMMYFUNCTION("""COMPUTED_VALUE"""),"CVE-2023-2136")</f>
        <v>CVE-2023-2136</v>
      </c>
      <c r="B47" t="str">
        <f>IFERROR(__xludf.DUMMYFUNCTION("""COMPUTED_VALUE"""),"Google")</f>
        <v>Google</v>
      </c>
      <c r="C47" t="str">
        <f>IFERROR(__xludf.DUMMYFUNCTION("""COMPUTED_VALUE"""),"Chrome")</f>
        <v>Chrome</v>
      </c>
      <c r="D47" t="str">
        <f>IFERROR(__xludf.DUMMYFUNCTION("""COMPUTED_VALUE"""),"Memory Corruption")</f>
        <v>Memory Corruption</v>
      </c>
      <c r="E47" t="str">
        <f>IFERROR(__xludf.DUMMYFUNCTION("""COMPUTED_VALUE"""),"Integer overflow in Skia")</f>
        <v>Integer overflow in Skia</v>
      </c>
      <c r="F47" t="str">
        <f>IFERROR(__xludf.DUMMYFUNCTION("""COMPUTED_VALUE"""),"2023-04-12")</f>
        <v>2023-04-12</v>
      </c>
      <c r="G47" s="9">
        <f>IFERROR(__xludf.DUMMYFUNCTION("""COMPUTED_VALUE"""),45034.0)</f>
        <v>45034</v>
      </c>
      <c r="H47" s="10" t="str">
        <f>IFERROR(__xludf.DUMMYFUNCTION("""COMPUTED_VALUE"""),"https://chromereleases.googleblog.com/2023/04/stable-channel-update-for-desktop_18.html")</f>
        <v>https://chromereleases.googleblog.com/2023/04/stable-channel-update-for-desktop_18.html</v>
      </c>
      <c r="I47" t="str">
        <f>IFERROR(__xludf.DUMMYFUNCTION("""COMPUTED_VALUE"""),"???")</f>
        <v>???</v>
      </c>
      <c r="J47" t="str">
        <f>IFERROR(__xludf.DUMMYFUNCTION("""COMPUTED_VALUE"""),"???")</f>
        <v>???</v>
      </c>
      <c r="K47" t="str">
        <f>IFERROR(__xludf.DUMMYFUNCTION("""COMPUTED_VALUE"""),"Clement Lecigne of the Google Threat Analysis Group")</f>
        <v>Clement Lecigne of the Google Threat Analysis Group</v>
      </c>
    </row>
    <row r="48">
      <c r="A48" t="str">
        <f>IFERROR(__xludf.DUMMYFUNCTION("""COMPUTED_VALUE"""),"CVE-2023-2033")</f>
        <v>CVE-2023-2033</v>
      </c>
      <c r="B48" t="str">
        <f>IFERROR(__xludf.DUMMYFUNCTION("""COMPUTED_VALUE"""),"Google")</f>
        <v>Google</v>
      </c>
      <c r="C48" t="str">
        <f>IFERROR(__xludf.DUMMYFUNCTION("""COMPUTED_VALUE"""),"Chrome")</f>
        <v>Chrome</v>
      </c>
      <c r="D48" t="str">
        <f>IFERROR(__xludf.DUMMYFUNCTION("""COMPUTED_VALUE"""),"Memory Corruption")</f>
        <v>Memory Corruption</v>
      </c>
      <c r="E48" t="str">
        <f>IFERROR(__xludf.DUMMYFUNCTION("""COMPUTED_VALUE"""),"Type confusion in V8")</f>
        <v>Type confusion in V8</v>
      </c>
      <c r="F48" t="str">
        <f>IFERROR(__xludf.DUMMYFUNCTION("""COMPUTED_VALUE"""),"2023-04-11")</f>
        <v>2023-04-11</v>
      </c>
      <c r="G48" s="9">
        <f>IFERROR(__xludf.DUMMYFUNCTION("""COMPUTED_VALUE"""),45030.0)</f>
        <v>45030</v>
      </c>
      <c r="H48" s="10" t="str">
        <f>IFERROR(__xludf.DUMMYFUNCTION("""COMPUTED_VALUE"""),"https://chromereleases.googleblog.com/2023/04/stable-channel-update-for-desktop_14.html")</f>
        <v>https://chromereleases.googleblog.com/2023/04/stable-channel-update-for-desktop_14.html</v>
      </c>
      <c r="I48" t="str">
        <f>IFERROR(__xludf.DUMMYFUNCTION("""COMPUTED_VALUE"""),"???")</f>
        <v>???</v>
      </c>
      <c r="J48" t="str">
        <f>IFERROR(__xludf.DUMMYFUNCTION("""COMPUTED_VALUE"""),"???")</f>
        <v>???</v>
      </c>
      <c r="K48" t="str">
        <f>IFERROR(__xludf.DUMMYFUNCTION("""COMPUTED_VALUE"""),"Clement Lecigne of the Google Threat Analysis Group")</f>
        <v>Clement Lecigne of the Google Threat Analysis Group</v>
      </c>
    </row>
    <row r="49">
      <c r="A49" t="str">
        <f>IFERROR(__xludf.DUMMYFUNCTION("""COMPUTED_VALUE"""),"CVE-2023-28252")</f>
        <v>CVE-2023-28252</v>
      </c>
      <c r="B49" t="str">
        <f>IFERROR(__xludf.DUMMYFUNCTION("""COMPUTED_VALUE"""),"Microsoft")</f>
        <v>Microsoft</v>
      </c>
      <c r="C49" t="str">
        <f>IFERROR(__xludf.DUMMYFUNCTION("""COMPUTED_VALUE"""),"Windows")</f>
        <v>Windows</v>
      </c>
      <c r="D49" t="str">
        <f>IFERROR(__xludf.DUMMYFUNCTION("""COMPUTED_VALUE"""),"Memory Corruption")</f>
        <v>Memory Corruption</v>
      </c>
      <c r="E49" t="str">
        <f>IFERROR(__xludf.DUMMYFUNCTION("""COMPUTED_VALUE"""),"Common Log File System Driver Elevation of Privilege")</f>
        <v>Common Log File System Driver Elevation of Privilege</v>
      </c>
      <c r="F49" t="str">
        <f>IFERROR(__xludf.DUMMYFUNCTION("""COMPUTED_VALUE"""),"???")</f>
        <v>???</v>
      </c>
      <c r="G49" s="9">
        <f>IFERROR(__xludf.DUMMYFUNCTION("""COMPUTED_VALUE"""),45027.0)</f>
        <v>45027</v>
      </c>
      <c r="H49" s="10" t="str">
        <f>IFERROR(__xludf.DUMMYFUNCTION("""COMPUTED_VALUE"""),"https://msrc.microsoft.com/update-guide/vulnerability/CVE-2023-28252")</f>
        <v>https://msrc.microsoft.com/update-guide/vulnerability/CVE-2023-28252</v>
      </c>
      <c r="I49" s="10" t="str">
        <f>IFERROR(__xludf.DUMMYFUNCTION("""COMPUTED_VALUE"""),"https://securelist.com/nokoyawa-ransomware-attacks-with-windows-zero-day/109483/")</f>
        <v>https://securelist.com/nokoyawa-ransomware-attacks-with-windows-zero-day/109483/</v>
      </c>
      <c r="J49" s="10" t="str">
        <f>IFERROR(__xludf.DUMMYFUNCTION("""COMPUTED_VALUE"""),"https://googleprojectzero.github.io/0days-in-the-wild//0day-RCAs/2023/CVE-2023-28252.html")</f>
        <v>https://googleprojectzero.github.io/0days-in-the-wild//0day-RCAs/2023/CVE-2023-28252.html</v>
      </c>
      <c r="K49" t="str">
        <f>IFERROR(__xludf.DUMMYFUNCTION("""COMPUTED_VALUE"""),"Boris Larin (oct0xor), Genwei Jiang with Mandiant, Quan Jin with DBApp Security WeBin Lab")</f>
        <v>Boris Larin (oct0xor), Genwei Jiang with Mandiant, Quan Jin with DBApp Security WeBin Lab</v>
      </c>
    </row>
    <row r="50">
      <c r="A50" t="str">
        <f>IFERROR(__xludf.DUMMYFUNCTION("""COMPUTED_VALUE"""),"CVE-2023-28206")</f>
        <v>CVE-2023-28206</v>
      </c>
      <c r="B50" t="str">
        <f>IFERROR(__xludf.DUMMYFUNCTION("""COMPUTED_VALUE"""),"Apple ")</f>
        <v>Apple </v>
      </c>
      <c r="C50" t="str">
        <f>IFERROR(__xludf.DUMMYFUNCTION("""COMPUTED_VALUE"""),"iOS")</f>
        <v>iOS</v>
      </c>
      <c r="D50" t="str">
        <f>IFERROR(__xludf.DUMMYFUNCTION("""COMPUTED_VALUE"""),"Memory Corruption")</f>
        <v>Memory Corruption</v>
      </c>
      <c r="E50" t="str">
        <f>IFERROR(__xludf.DUMMYFUNCTION("""COMPUTED_VALUE"""),"Out-of-bounds write in IOSurfaceAccelerator")</f>
        <v>Out-of-bounds write in IOSurfaceAccelerator</v>
      </c>
      <c r="F50" t="str">
        <f>IFERROR(__xludf.DUMMYFUNCTION("""COMPUTED_VALUE"""),"???")</f>
        <v>???</v>
      </c>
      <c r="G50" s="9">
        <f>IFERROR(__xludf.DUMMYFUNCTION("""COMPUTED_VALUE"""),45023.0)</f>
        <v>45023</v>
      </c>
      <c r="H50" s="10" t="str">
        <f>IFERROR(__xludf.DUMMYFUNCTION("""COMPUTED_VALUE"""),"https://support.apple.com/en-us/102795")</f>
        <v>https://support.apple.com/en-us/102795</v>
      </c>
      <c r="I50" t="str">
        <f>IFERROR(__xludf.DUMMYFUNCTION("""COMPUTED_VALUE"""),"???")</f>
        <v>???</v>
      </c>
      <c r="J50" t="str">
        <f>IFERROR(__xludf.DUMMYFUNCTION("""COMPUTED_VALUE"""),"???")</f>
        <v>???</v>
      </c>
      <c r="K50" t="str">
        <f>IFERROR(__xludf.DUMMYFUNCTION("""COMPUTED_VALUE"""),"Clément Lecigne of Google's Threat Analysis Group and Donncha Ó Cearbhaill of Amnesty International’s Security Lab")</f>
        <v>Clément Lecigne of Google's Threat Analysis Group and Donncha Ó Cearbhaill of Amnesty International’s Security Lab</v>
      </c>
    </row>
    <row r="51">
      <c r="A51" t="str">
        <f>IFERROR(__xludf.DUMMYFUNCTION("""COMPUTED_VALUE"""),"CVE-2023-28205")</f>
        <v>CVE-2023-28205</v>
      </c>
      <c r="B51" t="str">
        <f>IFERROR(__xludf.DUMMYFUNCTION("""COMPUTED_VALUE"""),"Apple")</f>
        <v>Apple</v>
      </c>
      <c r="C51" t="str">
        <f>IFERROR(__xludf.DUMMYFUNCTION("""COMPUTED_VALUE"""),"WebKit")</f>
        <v>WebKit</v>
      </c>
      <c r="D51" t="str">
        <f>IFERROR(__xludf.DUMMYFUNCTION("""COMPUTED_VALUE"""),"Memory Corruption")</f>
        <v>Memory Corruption</v>
      </c>
      <c r="E51" t="str">
        <f>IFERROR(__xludf.DUMMYFUNCTION("""COMPUTED_VALUE"""),"Use-after-free in WebKit")</f>
        <v>Use-after-free in WebKit</v>
      </c>
      <c r="F51" t="str">
        <f>IFERROR(__xludf.DUMMYFUNCTION("""COMPUTED_VALUE"""),"???")</f>
        <v>???</v>
      </c>
      <c r="G51" s="9">
        <f>IFERROR(__xludf.DUMMYFUNCTION("""COMPUTED_VALUE"""),45023.0)</f>
        <v>45023</v>
      </c>
      <c r="H51" s="10" t="str">
        <f>IFERROR(__xludf.DUMMYFUNCTION("""COMPUTED_VALUE"""),"https://support.apple.com/en-us/102795")</f>
        <v>https://support.apple.com/en-us/102795</v>
      </c>
      <c r="I51" t="str">
        <f>IFERROR(__xludf.DUMMYFUNCTION("""COMPUTED_VALUE"""),"???")</f>
        <v>???</v>
      </c>
      <c r="J51" t="str">
        <f>IFERROR(__xludf.DUMMYFUNCTION("""COMPUTED_VALUE"""),"???")</f>
        <v>???</v>
      </c>
      <c r="K51" t="str">
        <f>IFERROR(__xludf.DUMMYFUNCTION("""COMPUTED_VALUE"""),"Clément Lecigne of Google's Threat Analysis Group and Donncha Ó Cearbhaill of Amnesty International’s Security Lab")</f>
        <v>Clément Lecigne of Google's Threat Analysis Group and Donncha Ó Cearbhaill of Amnesty International’s Security Lab</v>
      </c>
    </row>
    <row r="52">
      <c r="A52" t="str">
        <f>IFERROR(__xludf.DUMMYFUNCTION("""COMPUTED_VALUE"""),"CVE-2023-26083")</f>
        <v>CVE-2023-26083</v>
      </c>
      <c r="B52" t="str">
        <f>IFERROR(__xludf.DUMMYFUNCTION("""COMPUTED_VALUE"""),"ARM")</f>
        <v>ARM</v>
      </c>
      <c r="C52" t="str">
        <f>IFERROR(__xludf.DUMMYFUNCTION("""COMPUTED_VALUE"""),"Android")</f>
        <v>Android</v>
      </c>
      <c r="D52" t="str">
        <f>IFERROR(__xludf.DUMMYFUNCTION("""COMPUTED_VALUE"""),"Memory Corruption")</f>
        <v>Memory Corruption</v>
      </c>
      <c r="E52" t="str">
        <f>IFERROR(__xludf.DUMMYFUNCTION("""COMPUTED_VALUE"""),"Information leak in Mali GPU")</f>
        <v>Information leak in Mali GPU</v>
      </c>
      <c r="F52" t="str">
        <f>IFERROR(__xludf.DUMMYFUNCTION("""COMPUTED_VALUE"""),"2023-01-12")</f>
        <v>2023-01-12</v>
      </c>
      <c r="G52" s="9">
        <f>IFERROR(__xludf.DUMMYFUNCTION("""COMPUTED_VALUE"""),45016.0)</f>
        <v>45016</v>
      </c>
      <c r="H52" s="10" t="str">
        <f>IFERROR(__xludf.DUMMYFUNCTION("""COMPUTED_VALUE"""),"https://developer.arm.com/Arm%20Security%20Center/Mali%20GPU%20Driver%20Vulnerabilities")</f>
        <v>https://developer.arm.com/Arm%20Security%20Center/Mali%20GPU%20Driver%20Vulnerabilities</v>
      </c>
      <c r="I52" s="10" t="str">
        <f>IFERROR(__xludf.DUMMYFUNCTION("""COMPUTED_VALUE"""),"https://blog.google/threat-analysis-group/spyware-vendors-use-0-days-and-n-days-against-popular-platforms/")</f>
        <v>https://blog.google/threat-analysis-group/spyware-vendors-use-0-days-and-n-days-against-popular-platforms/</v>
      </c>
      <c r="J52" t="str">
        <f>IFERROR(__xludf.DUMMYFUNCTION("""COMPUTED_VALUE"""),"???")</f>
        <v>???</v>
      </c>
      <c r="K52" t="str">
        <f>IFERROR(__xludf.DUMMYFUNCTION("""COMPUTED_VALUE"""),"Clement Lecigne of the Google Threat Analysis Group")</f>
        <v>Clement Lecigne of the Google Threat Analysis Group</v>
      </c>
    </row>
    <row r="53">
      <c r="A53" t="str">
        <f>IFERROR(__xludf.DUMMYFUNCTION("""COMPUTED_VALUE"""),"CVE-2023-23397")</f>
        <v>CVE-2023-23397</v>
      </c>
      <c r="B53" t="str">
        <f>IFERROR(__xludf.DUMMYFUNCTION("""COMPUTED_VALUE"""),"Microsoft")</f>
        <v>Microsoft</v>
      </c>
      <c r="C53" t="str">
        <f>IFERROR(__xludf.DUMMYFUNCTION("""COMPUTED_VALUE"""),"Outlook")</f>
        <v>Outlook</v>
      </c>
      <c r="D53" t="str">
        <f>IFERROR(__xludf.DUMMYFUNCTION("""COMPUTED_VALUE"""),"Logic/Design Flaw")</f>
        <v>Logic/Design Flaw</v>
      </c>
      <c r="E53" t="str">
        <f>IFERROR(__xludf.DUMMYFUNCTION("""COMPUTED_VALUE"""),"Outlook Elevation of Privilege")</f>
        <v>Outlook Elevation of Privilege</v>
      </c>
      <c r="F53" t="str">
        <f>IFERROR(__xludf.DUMMYFUNCTION("""COMPUTED_VALUE"""),"???")</f>
        <v>???</v>
      </c>
      <c r="G53" s="9">
        <f>IFERROR(__xludf.DUMMYFUNCTION("""COMPUTED_VALUE"""),44999.0)</f>
        <v>44999</v>
      </c>
      <c r="H53" s="10" t="str">
        <f>IFERROR(__xludf.DUMMYFUNCTION("""COMPUTED_VALUE"""),"https://msrc.microsoft.com/update-guide/vulnerability/CVE-2023-23397")</f>
        <v>https://msrc.microsoft.com/update-guide/vulnerability/CVE-2023-23397</v>
      </c>
      <c r="I53" t="str">
        <f>IFERROR(__xludf.DUMMYFUNCTION("""COMPUTED_VALUE"""),"???")</f>
        <v>???</v>
      </c>
      <c r="J53" t="str">
        <f>IFERROR(__xludf.DUMMYFUNCTION("""COMPUTED_VALUE"""),"???")</f>
        <v>???</v>
      </c>
      <c r="K53" t="str">
        <f>IFERROR(__xludf.DUMMYFUNCTION("""COMPUTED_VALUE"""),"CERT-UA, Microsoft Incident, Microsoft Threat Intelligence (MSTI)")</f>
        <v>CERT-UA, Microsoft Incident, Microsoft Threat Intelligence (MSTI)</v>
      </c>
    </row>
    <row r="54">
      <c r="A54" t="str">
        <f>IFERROR(__xludf.DUMMYFUNCTION("""COMPUTED_VALUE"""),"CVE-2023-21768")</f>
        <v>CVE-2023-21768</v>
      </c>
      <c r="B54" t="str">
        <f>IFERROR(__xludf.DUMMYFUNCTION("""COMPUTED_VALUE"""),"Microsoft")</f>
        <v>Microsoft</v>
      </c>
      <c r="C54" t="str">
        <f>IFERROR(__xludf.DUMMYFUNCTION("""COMPUTED_VALUE"""),"Windows")</f>
        <v>Windows</v>
      </c>
      <c r="D54" t="str">
        <f>IFERROR(__xludf.DUMMYFUNCTION("""COMPUTED_VALUE"""),"Memory Corruption")</f>
        <v>Memory Corruption</v>
      </c>
      <c r="E54" t="str">
        <f>IFERROR(__xludf.DUMMYFUNCTION("""COMPUTED_VALUE"""),"AFD for WinSock Elevation of Privilege")</f>
        <v>AFD for WinSock Elevation of Privilege</v>
      </c>
      <c r="F54" t="str">
        <f>IFERROR(__xludf.DUMMYFUNCTION("""COMPUTED_VALUE"""),"???")</f>
        <v>???</v>
      </c>
      <c r="G54" s="9">
        <f>IFERROR(__xludf.DUMMYFUNCTION("""COMPUTED_VALUE"""),44999.0)</f>
        <v>44999</v>
      </c>
      <c r="H54" s="10" t="str">
        <f>IFERROR(__xludf.DUMMYFUNCTION("""COMPUTED_VALUE"""),"https://msrc.microsoft.com/update-guide/vulnerability/CVE-2023-21768")</f>
        <v>https://msrc.microsoft.com/update-guide/vulnerability/CVE-2023-21768</v>
      </c>
      <c r="I54" s="10" t="str">
        <f>IFERROR(__xludf.DUMMYFUNCTION("""COMPUTED_VALUE"""),"https://securityintelligence.com/posts/patch-tuesday-exploit-wednesday-pwning-windows-ancillary-function-driver-winsock/")</f>
        <v>https://securityintelligence.com/posts/patch-tuesday-exploit-wednesday-pwning-windows-ancillary-function-driver-winsock/</v>
      </c>
      <c r="J54" t="str">
        <f>IFERROR(__xludf.DUMMYFUNCTION("""COMPUTED_VALUE"""),"???")</f>
        <v>???</v>
      </c>
      <c r="K54" t="str">
        <f>IFERROR(__xludf.DUMMYFUNCTION("""COMPUTED_VALUE"""),"???")</f>
        <v>???</v>
      </c>
    </row>
    <row r="55">
      <c r="A55" t="str">
        <f>IFERROR(__xludf.DUMMYFUNCTION("""COMPUTED_VALUE"""),"CVE-2023-20963")</f>
        <v>CVE-2023-20963</v>
      </c>
      <c r="B55" t="str">
        <f>IFERROR(__xludf.DUMMYFUNCTION("""COMPUTED_VALUE"""),"Google")</f>
        <v>Google</v>
      </c>
      <c r="C55" t="str">
        <f>IFERROR(__xludf.DUMMYFUNCTION("""COMPUTED_VALUE"""),"Android")</f>
        <v>Android</v>
      </c>
      <c r="D55" t="str">
        <f>IFERROR(__xludf.DUMMYFUNCTION("""COMPUTED_VALUE"""),"Logic/Design Flaw")</f>
        <v>Logic/Design Flaw</v>
      </c>
      <c r="E55" t="str">
        <f>IFERROR(__xludf.DUMMYFUNCTION("""COMPUTED_VALUE"""),"Framework vulnerability in Parcels")</f>
        <v>Framework vulnerability in Parcels</v>
      </c>
      <c r="F55" t="str">
        <f>IFERROR(__xludf.DUMMYFUNCTION("""COMPUTED_VALUE"""),"???")</f>
        <v>???</v>
      </c>
      <c r="G55" s="9">
        <f>IFERROR(__xludf.DUMMYFUNCTION("""COMPUTED_VALUE"""),44991.0)</f>
        <v>44991</v>
      </c>
      <c r="H55" s="10" t="str">
        <f>IFERROR(__xludf.DUMMYFUNCTION("""COMPUTED_VALUE"""),"https://source.android.com/docs/security/bulletin/2023-03-01")</f>
        <v>https://source.android.com/docs/security/bulletin/2023-03-01</v>
      </c>
      <c r="I55" t="str">
        <f>IFERROR(__xludf.DUMMYFUNCTION("""COMPUTED_VALUE"""),"???")</f>
        <v>???</v>
      </c>
      <c r="J55" s="10" t="str">
        <f>IFERROR(__xludf.DUMMYFUNCTION("""COMPUTED_VALUE"""),"https://googleprojectzero.github.io/0days-in-the-wild//0day-RCAs/2023/CVE-2023-20963.html")</f>
        <v>https://googleprojectzero.github.io/0days-in-the-wild//0day-RCAs/2023/CVE-2023-20963.html</v>
      </c>
      <c r="K55" t="str">
        <f>IFERROR(__xludf.DUMMYFUNCTION("""COMPUTED_VALUE"""),"Sergey Toshin (@bagipro) from Oversecured Inc. (https://oversecured.com/)")</f>
        <v>Sergey Toshin (@bagipro) from Oversecured Inc. (https://oversecured.com/)</v>
      </c>
    </row>
    <row r="56">
      <c r="A56" t="str">
        <f>IFERROR(__xludf.DUMMYFUNCTION("""COMPUTED_VALUE"""),"CVE-2023-21823")</f>
        <v>CVE-2023-21823</v>
      </c>
      <c r="B56" t="str">
        <f>IFERROR(__xludf.DUMMYFUNCTION("""COMPUTED_VALUE"""),"Microsoft")</f>
        <v>Microsoft</v>
      </c>
      <c r="C56" t="str">
        <f>IFERROR(__xludf.DUMMYFUNCTION("""COMPUTED_VALUE"""),"Windows")</f>
        <v>Windows</v>
      </c>
      <c r="D56" t="str">
        <f>IFERROR(__xludf.DUMMYFUNCTION("""COMPUTED_VALUE"""),"Memory Corruption")</f>
        <v>Memory Corruption</v>
      </c>
      <c r="E56" t="str">
        <f>IFERROR(__xludf.DUMMYFUNCTION("""COMPUTED_VALUE"""),"Windows Graphics Component RCE")</f>
        <v>Windows Graphics Component RCE</v>
      </c>
      <c r="F56" t="str">
        <f>IFERROR(__xludf.DUMMYFUNCTION("""COMPUTED_VALUE"""),"???")</f>
        <v>???</v>
      </c>
      <c r="G56" s="9">
        <f>IFERROR(__xludf.DUMMYFUNCTION("""COMPUTED_VALUE"""),44971.0)</f>
        <v>44971</v>
      </c>
      <c r="H56" s="10" t="str">
        <f>IFERROR(__xludf.DUMMYFUNCTION("""COMPUTED_VALUE"""),"https://msrc.microsoft.com/update-guide/en-US/vulnerability/CVE-2023-21823")</f>
        <v>https://msrc.microsoft.com/update-guide/en-US/vulnerability/CVE-2023-21823</v>
      </c>
      <c r="I56" t="str">
        <f>IFERROR(__xludf.DUMMYFUNCTION("""COMPUTED_VALUE"""),"???")</f>
        <v>???</v>
      </c>
      <c r="J56" t="str">
        <f>IFERROR(__xludf.DUMMYFUNCTION("""COMPUTED_VALUE"""),"???")</f>
        <v>???</v>
      </c>
      <c r="K56" t="str">
        <f>IFERROR(__xludf.DUMMYFUNCTION("""COMPUTED_VALUE"""),"Genwei Jiang &amp; Dhanesh Kizhakkinan of Mandiant")</f>
        <v>Genwei Jiang &amp; Dhanesh Kizhakkinan of Mandiant</v>
      </c>
    </row>
    <row r="57">
      <c r="A57" t="str">
        <f>IFERROR(__xludf.DUMMYFUNCTION("""COMPUTED_VALUE"""),"CVE-2023-23376")</f>
        <v>CVE-2023-23376</v>
      </c>
      <c r="B57" t="str">
        <f>IFERROR(__xludf.DUMMYFUNCTION("""COMPUTED_VALUE"""),"Microsoft")</f>
        <v>Microsoft</v>
      </c>
      <c r="C57" t="str">
        <f>IFERROR(__xludf.DUMMYFUNCTION("""COMPUTED_VALUE"""),"Windows")</f>
        <v>Windows</v>
      </c>
      <c r="D57" t="str">
        <f>IFERROR(__xludf.DUMMYFUNCTION("""COMPUTED_VALUE"""),"Memory Corruption")</f>
        <v>Memory Corruption</v>
      </c>
      <c r="E57" t="str">
        <f>IFERROR(__xludf.DUMMYFUNCTION("""COMPUTED_VALUE"""),"Common Log File System Driver EoP")</f>
        <v>Common Log File System Driver EoP</v>
      </c>
      <c r="F57" t="str">
        <f>IFERROR(__xludf.DUMMYFUNCTION("""COMPUTED_VALUE"""),"???")</f>
        <v>???</v>
      </c>
      <c r="G57" s="9">
        <f>IFERROR(__xludf.DUMMYFUNCTION("""COMPUTED_VALUE"""),44971.0)</f>
        <v>44971</v>
      </c>
      <c r="H57" s="10" t="str">
        <f>IFERROR(__xludf.DUMMYFUNCTION("""COMPUTED_VALUE"""),"https://msrc.microsoft.com/update-guide/en-US/vulnerability/CVE-2023-23376")</f>
        <v>https://msrc.microsoft.com/update-guide/en-US/vulnerability/CVE-2023-23376</v>
      </c>
      <c r="I57" t="str">
        <f>IFERROR(__xludf.DUMMYFUNCTION("""COMPUTED_VALUE"""),"???")</f>
        <v>???</v>
      </c>
      <c r="J57" t="str">
        <f>IFERROR(__xludf.DUMMYFUNCTION("""COMPUTED_VALUE"""),"???")</f>
        <v>???</v>
      </c>
      <c r="K57" t="str">
        <f>IFERROR(__xludf.DUMMYFUNCTION("""COMPUTED_VALUE"""),"Microsoft Threat Intelligence Center (MSTIC) &amp; Microsoft Security Response Center (MSRC)")</f>
        <v>Microsoft Threat Intelligence Center (MSTIC) &amp; Microsoft Security Response Center (MSRC)</v>
      </c>
    </row>
    <row r="58">
      <c r="A58" t="str">
        <f>IFERROR(__xludf.DUMMYFUNCTION("""COMPUTED_VALUE"""),"CVE-2023-23529")</f>
        <v>CVE-2023-23529</v>
      </c>
      <c r="B58" t="str">
        <f>IFERROR(__xludf.DUMMYFUNCTION("""COMPUTED_VALUE"""),"Apple")</f>
        <v>Apple</v>
      </c>
      <c r="C58" t="str">
        <f>IFERROR(__xludf.DUMMYFUNCTION("""COMPUTED_VALUE"""),"WebKit")</f>
        <v>WebKit</v>
      </c>
      <c r="D58" t="str">
        <f>IFERROR(__xludf.DUMMYFUNCTION("""COMPUTED_VALUE"""),"Memory Corruption")</f>
        <v>Memory Corruption</v>
      </c>
      <c r="E58" t="str">
        <f>IFERROR(__xludf.DUMMYFUNCTION("""COMPUTED_VALUE"""),"Type confusion")</f>
        <v>Type confusion</v>
      </c>
      <c r="F58" t="str">
        <f>IFERROR(__xludf.DUMMYFUNCTION("""COMPUTED_VALUE"""),"???")</f>
        <v>???</v>
      </c>
      <c r="G58" s="9">
        <f>IFERROR(__xludf.DUMMYFUNCTION("""COMPUTED_VALUE"""),44970.0)</f>
        <v>44970</v>
      </c>
      <c r="H58" s="10" t="str">
        <f>IFERROR(__xludf.DUMMYFUNCTION("""COMPUTED_VALUE"""),"https://support.apple.com/en-us/HT213638")</f>
        <v>https://support.apple.com/en-us/HT213638</v>
      </c>
      <c r="I58" t="str">
        <f>IFERROR(__xludf.DUMMYFUNCTION("""COMPUTED_VALUE"""),"???")</f>
        <v>???</v>
      </c>
      <c r="J58" t="str">
        <f>IFERROR(__xludf.DUMMYFUNCTION("""COMPUTED_VALUE"""),"???")</f>
        <v>???</v>
      </c>
      <c r="K58" t="str">
        <f>IFERROR(__xludf.DUMMYFUNCTION("""COMPUTED_VALUE"""),"???")</f>
        <v>???</v>
      </c>
    </row>
    <row r="59">
      <c r="A59" t="str">
        <f>IFERROR(__xludf.DUMMYFUNCTION("""COMPUTED_VALUE"""),"CVE-2023-21674")</f>
        <v>CVE-2023-21674</v>
      </c>
      <c r="B59" t="str">
        <f>IFERROR(__xludf.DUMMYFUNCTION("""COMPUTED_VALUE"""),"Microsoft")</f>
        <v>Microsoft</v>
      </c>
      <c r="C59" t="str">
        <f>IFERROR(__xludf.DUMMYFUNCTION("""COMPUTED_VALUE"""),"Windows")</f>
        <v>Windows</v>
      </c>
      <c r="D59" t="str">
        <f>IFERROR(__xludf.DUMMYFUNCTION("""COMPUTED_VALUE"""),"Memory Corruption")</f>
        <v>Memory Corruption</v>
      </c>
      <c r="E59" t="str">
        <f>IFERROR(__xludf.DUMMYFUNCTION("""COMPUTED_VALUE"""),"ALPC elevation of privilege")</f>
        <v>ALPC elevation of privilege</v>
      </c>
      <c r="F59" t="str">
        <f>IFERROR(__xludf.DUMMYFUNCTION("""COMPUTED_VALUE"""),"???")</f>
        <v>???</v>
      </c>
      <c r="G59" s="9">
        <f>IFERROR(__xludf.DUMMYFUNCTION("""COMPUTED_VALUE"""),44936.0)</f>
        <v>44936</v>
      </c>
      <c r="H59" s="10" t="str">
        <f>IFERROR(__xludf.DUMMYFUNCTION("""COMPUTED_VALUE"""),"https://msrc.microsoft.com/update-guide/en-US/vulnerability/CVE-2023-21674")</f>
        <v>https://msrc.microsoft.com/update-guide/en-US/vulnerability/CVE-2023-21674</v>
      </c>
      <c r="I59" t="str">
        <f>IFERROR(__xludf.DUMMYFUNCTION("""COMPUTED_VALUE"""),"???")</f>
        <v>???</v>
      </c>
      <c r="J59" t="str">
        <f>IFERROR(__xludf.DUMMYFUNCTION("""COMPUTED_VALUE"""),"???")</f>
        <v>???</v>
      </c>
      <c r="K59" t="str">
        <f>IFERROR(__xludf.DUMMYFUNCTION("""COMPUTED_VALUE"""),"Jan Vojtěšek, Milánek, and Przemek Gmerek with Avast")</f>
        <v>Jan Vojtěšek, Milánek, and Przemek Gmerek with Avast</v>
      </c>
    </row>
    <row r="60">
      <c r="A60" t="str">
        <f>IFERROR(__xludf.DUMMYFUNCTION("""COMPUTED_VALUE"""),"CVE-2022-27518")</f>
        <v>CVE-2022-27518</v>
      </c>
      <c r="B60" t="str">
        <f>IFERROR(__xludf.DUMMYFUNCTION("""COMPUTED_VALUE"""),"Citrix")</f>
        <v>Citrix</v>
      </c>
      <c r="C60" t="str">
        <f>IFERROR(__xludf.DUMMYFUNCTION("""COMPUTED_VALUE"""),"ADC/Gateway")</f>
        <v>ADC/Gateway</v>
      </c>
      <c r="D60" t="str">
        <f>IFERROR(__xludf.DUMMYFUNCTION("""COMPUTED_VALUE"""),"Logic/Design Flaw")</f>
        <v>Logic/Design Flaw</v>
      </c>
      <c r="E60" t="str">
        <f>IFERROR(__xludf.DUMMYFUNCTION("""COMPUTED_VALUE"""),"Improper access restrictions in SAML SP &amp; IdP systems")</f>
        <v>Improper access restrictions in SAML SP &amp; IdP systems</v>
      </c>
      <c r="F60" t="str">
        <f>IFERROR(__xludf.DUMMYFUNCTION("""COMPUTED_VALUE"""),"???")</f>
        <v>???</v>
      </c>
      <c r="G60" s="9">
        <f>IFERROR(__xludf.DUMMYFUNCTION("""COMPUTED_VALUE"""),44908.0)</f>
        <v>44908</v>
      </c>
      <c r="H60" s="10" t="str">
        <f>IFERROR(__xludf.DUMMYFUNCTION("""COMPUTED_VALUE"""),"https://support.citrix.com/article/CTX474995/citrix-adc-and-citrix-gateway-security-bulletin-for-cve202227518")</f>
        <v>https://support.citrix.com/article/CTX474995/citrix-adc-and-citrix-gateway-security-bulletin-for-cve202227518</v>
      </c>
      <c r="I60" t="str">
        <f>IFERROR(__xludf.DUMMYFUNCTION("""COMPUTED_VALUE"""),"???")</f>
        <v>???</v>
      </c>
      <c r="J60" t="str">
        <f>IFERROR(__xludf.DUMMYFUNCTION("""COMPUTED_VALUE"""),"???")</f>
        <v>???</v>
      </c>
      <c r="K60" t="str">
        <f>IFERROR(__xludf.DUMMYFUNCTION("""COMPUTED_VALUE"""),"???")</f>
        <v>???</v>
      </c>
    </row>
    <row r="61">
      <c r="A61" t="str">
        <f>IFERROR(__xludf.DUMMYFUNCTION("""COMPUTED_VALUE"""),"CVE-2022-42475")</f>
        <v>CVE-2022-42475</v>
      </c>
      <c r="B61" t="str">
        <f>IFERROR(__xludf.DUMMYFUNCTION("""COMPUTED_VALUE"""),"Fortinet")</f>
        <v>Fortinet</v>
      </c>
      <c r="C61" t="str">
        <f>IFERROR(__xludf.DUMMYFUNCTION("""COMPUTED_VALUE"""),"FortiOS")</f>
        <v>FortiOS</v>
      </c>
      <c r="D61" t="str">
        <f>IFERROR(__xludf.DUMMYFUNCTION("""COMPUTED_VALUE"""),"Memory Corruption")</f>
        <v>Memory Corruption</v>
      </c>
      <c r="E61" t="str">
        <f>IFERROR(__xludf.DUMMYFUNCTION("""COMPUTED_VALUE"""),"Heap buffer overflow in sslvpnd")</f>
        <v>Heap buffer overflow in sslvpnd</v>
      </c>
      <c r="F61" t="str">
        <f>IFERROR(__xludf.DUMMYFUNCTION("""COMPUTED_VALUE"""),"???")</f>
        <v>???</v>
      </c>
      <c r="G61" s="9">
        <f>IFERROR(__xludf.DUMMYFUNCTION("""COMPUTED_VALUE"""),44907.0)</f>
        <v>44907</v>
      </c>
      <c r="H61" s="10" t="str">
        <f>IFERROR(__xludf.DUMMYFUNCTION("""COMPUTED_VALUE"""),"https://fortiguard.fortinet.com/psirt/FG-IR-22-398")</f>
        <v>https://fortiguard.fortinet.com/psirt/FG-IR-22-398</v>
      </c>
      <c r="I61" t="str">
        <f>IFERROR(__xludf.DUMMYFUNCTION("""COMPUTED_VALUE"""),"???")</f>
        <v>???</v>
      </c>
      <c r="J61" t="str">
        <f>IFERROR(__xludf.DUMMYFUNCTION("""COMPUTED_VALUE"""),"???")</f>
        <v>???</v>
      </c>
      <c r="K61" t="str">
        <f>IFERROR(__xludf.DUMMYFUNCTION("""COMPUTED_VALUE"""),"???")</f>
        <v>???</v>
      </c>
    </row>
    <row r="62">
      <c r="A62" t="str">
        <f>IFERROR(__xludf.DUMMYFUNCTION("""COMPUTED_VALUE"""),"CVE-2022-4262")</f>
        <v>CVE-2022-4262</v>
      </c>
      <c r="B62" t="str">
        <f>IFERROR(__xludf.DUMMYFUNCTION("""COMPUTED_VALUE"""),"Google")</f>
        <v>Google</v>
      </c>
      <c r="C62" t="str">
        <f>IFERROR(__xludf.DUMMYFUNCTION("""COMPUTED_VALUE"""),"Chrome")</f>
        <v>Chrome</v>
      </c>
      <c r="D62" t="str">
        <f>IFERROR(__xludf.DUMMYFUNCTION("""COMPUTED_VALUE"""),"Memory Corruption")</f>
        <v>Memory Corruption</v>
      </c>
      <c r="E62" t="str">
        <f>IFERROR(__xludf.DUMMYFUNCTION("""COMPUTED_VALUE"""),"Type confusion in V8")</f>
        <v>Type confusion in V8</v>
      </c>
      <c r="F62" t="str">
        <f>IFERROR(__xludf.DUMMYFUNCTION("""COMPUTED_VALUE"""),"2022-11-29")</f>
        <v>2022-11-29</v>
      </c>
      <c r="G62" s="9">
        <f>IFERROR(__xludf.DUMMYFUNCTION("""COMPUTED_VALUE"""),44897.0)</f>
        <v>44897</v>
      </c>
      <c r="H62" s="10" t="str">
        <f>IFERROR(__xludf.DUMMYFUNCTION("""COMPUTED_VALUE"""),"https://chromereleases.googleblog.com/2022/12/stable-channel-update-for-desktop.html")</f>
        <v>https://chromereleases.googleblog.com/2022/12/stable-channel-update-for-desktop.html</v>
      </c>
      <c r="I62" s="10" t="str">
        <f>IFERROR(__xludf.DUMMYFUNCTION("""COMPUTED_VALUE"""),"https://blog.google/threat-analysis-group/spyware-vendors-use-0-days-and-n-days-against-popular-platforms/")</f>
        <v>https://blog.google/threat-analysis-group/spyware-vendors-use-0-days-and-n-days-against-popular-platforms/</v>
      </c>
      <c r="J62" s="10" t="str">
        <f>IFERROR(__xludf.DUMMYFUNCTION("""COMPUTED_VALUE"""),"https://googleprojectzero.github.io/0days-in-the-wild//0day-RCAs/2022/CVE-2022-4262.html")</f>
        <v>https://googleprojectzero.github.io/0days-in-the-wild//0day-RCAs/2022/CVE-2022-4262.html</v>
      </c>
      <c r="K62" t="str">
        <f>IFERROR(__xludf.DUMMYFUNCTION("""COMPUTED_VALUE"""),"Clement Lecigne of Google's Threat Analysis Group")</f>
        <v>Clement Lecigne of Google's Threat Analysis Group</v>
      </c>
    </row>
    <row r="63">
      <c r="A63" t="str">
        <f>IFERROR(__xludf.DUMMYFUNCTION("""COMPUTED_VALUE"""),"CVE-2022-42856")</f>
        <v>CVE-2022-42856</v>
      </c>
      <c r="B63" t="str">
        <f>IFERROR(__xludf.DUMMYFUNCTION("""COMPUTED_VALUE"""),"Apple")</f>
        <v>Apple</v>
      </c>
      <c r="C63" t="str">
        <f>IFERROR(__xludf.DUMMYFUNCTION("""COMPUTED_VALUE"""),"WebKit")</f>
        <v>WebKit</v>
      </c>
      <c r="D63" t="str">
        <f>IFERROR(__xludf.DUMMYFUNCTION("""COMPUTED_VALUE"""),"Memory Corruption")</f>
        <v>Memory Corruption</v>
      </c>
      <c r="E63" t="str">
        <f>IFERROR(__xludf.DUMMYFUNCTION("""COMPUTED_VALUE"""),"Type confusion ")</f>
        <v>Type confusion </v>
      </c>
      <c r="F63" t="str">
        <f>IFERROR(__xludf.DUMMYFUNCTION("""COMPUTED_VALUE"""),"???")</f>
        <v>???</v>
      </c>
      <c r="G63" s="9">
        <f>IFERROR(__xludf.DUMMYFUNCTION("""COMPUTED_VALUE"""),44895.0)</f>
        <v>44895</v>
      </c>
      <c r="H63" s="10" t="str">
        <f>IFERROR(__xludf.DUMMYFUNCTION("""COMPUTED_VALUE"""),"https://support.apple.com/en-us/HT213516")</f>
        <v>https://support.apple.com/en-us/HT213516</v>
      </c>
      <c r="I63" s="10" t="str">
        <f>IFERROR(__xludf.DUMMYFUNCTION("""COMPUTED_VALUE"""),"https://blog.google/threat-analysis-group/spyware-vendors-use-0-days-and-n-days-against-popular-platforms/")</f>
        <v>https://blog.google/threat-analysis-group/spyware-vendors-use-0-days-and-n-days-against-popular-platforms/</v>
      </c>
      <c r="J63" t="str">
        <f>IFERROR(__xludf.DUMMYFUNCTION("""COMPUTED_VALUE"""),"???")</f>
        <v>???</v>
      </c>
      <c r="K63" t="str">
        <f>IFERROR(__xludf.DUMMYFUNCTION("""COMPUTED_VALUE"""),"Clément Lecigne of Google's Threat Analysis Group")</f>
        <v>Clément Lecigne of Google's Threat Analysis Group</v>
      </c>
    </row>
    <row r="64">
      <c r="A64" t="str">
        <f>IFERROR(__xludf.DUMMYFUNCTION("""COMPUTED_VALUE"""),"CVE-2022-4135")</f>
        <v>CVE-2022-4135</v>
      </c>
      <c r="B64" t="str">
        <f>IFERROR(__xludf.DUMMYFUNCTION("""COMPUTED_VALUE"""),"Google")</f>
        <v>Google</v>
      </c>
      <c r="C64" t="str">
        <f>IFERROR(__xludf.DUMMYFUNCTION("""COMPUTED_VALUE"""),"Chrome")</f>
        <v>Chrome</v>
      </c>
      <c r="D64" t="str">
        <f>IFERROR(__xludf.DUMMYFUNCTION("""COMPUTED_VALUE"""),"Memory Corruption")</f>
        <v>Memory Corruption</v>
      </c>
      <c r="E64" t="str">
        <f>IFERROR(__xludf.DUMMYFUNCTION("""COMPUTED_VALUE"""),"Heap buffer overflow in GPU")</f>
        <v>Heap buffer overflow in GPU</v>
      </c>
      <c r="F64" t="str">
        <f>IFERROR(__xludf.DUMMYFUNCTION("""COMPUTED_VALUE"""),"2022-11-22")</f>
        <v>2022-11-22</v>
      </c>
      <c r="G64" s="9">
        <f>IFERROR(__xludf.DUMMYFUNCTION("""COMPUTED_VALUE"""),44889.0)</f>
        <v>44889</v>
      </c>
      <c r="H64" s="10" t="str">
        <f>IFERROR(__xludf.DUMMYFUNCTION("""COMPUTED_VALUE"""),"https://chromereleases.googleblog.com/2022/11/stable-channel-update-for-desktop_24.html")</f>
        <v>https://chromereleases.googleblog.com/2022/11/stable-channel-update-for-desktop_24.html</v>
      </c>
      <c r="I64" s="10" t="str">
        <f>IFERROR(__xludf.DUMMYFUNCTION("""COMPUTED_VALUE"""),"https://blog.google/threat-analysis-group/spyware-vendors-use-0-days-and-n-days-against-popular-platforms/")</f>
        <v>https://blog.google/threat-analysis-group/spyware-vendors-use-0-days-and-n-days-against-popular-platforms/</v>
      </c>
      <c r="J64" s="10" t="str">
        <f>IFERROR(__xludf.DUMMYFUNCTION("""COMPUTED_VALUE"""),"https://googleprojectzero.github.io/0days-in-the-wild//0day-RCAs/2022/CVE-2022-4135.html")</f>
        <v>https://googleprojectzero.github.io/0days-in-the-wild//0day-RCAs/2022/CVE-2022-4135.html</v>
      </c>
      <c r="K64" t="str">
        <f>IFERROR(__xludf.DUMMYFUNCTION("""COMPUTED_VALUE"""),"Clement Lecigne of Google's Threat Analysis Group")</f>
        <v>Clement Lecigne of Google's Threat Analysis Group</v>
      </c>
    </row>
    <row r="65">
      <c r="A65" t="str">
        <f>IFERROR(__xludf.DUMMYFUNCTION("""COMPUTED_VALUE"""),"CVE-2022-41040")</f>
        <v>CVE-2022-41040</v>
      </c>
      <c r="B65" t="str">
        <f>IFERROR(__xludf.DUMMYFUNCTION("""COMPUTED_VALUE"""),"Microsoft")</f>
        <v>Microsoft</v>
      </c>
      <c r="C65" t="str">
        <f>IFERROR(__xludf.DUMMYFUNCTION("""COMPUTED_VALUE"""),"Exchange Server")</f>
        <v>Exchange Server</v>
      </c>
      <c r="D65" t="str">
        <f>IFERROR(__xludf.DUMMYFUNCTION("""COMPUTED_VALUE"""),"Logic/Design Flaw")</f>
        <v>Logic/Design Flaw</v>
      </c>
      <c r="E65" t="str">
        <f>IFERROR(__xludf.DUMMYFUNCTION("""COMPUTED_VALUE"""),"Server-side request forgery")</f>
        <v>Server-side request forgery</v>
      </c>
      <c r="F65" t="str">
        <f>IFERROR(__xludf.DUMMYFUNCTION("""COMPUTED_VALUE"""),"???")</f>
        <v>???</v>
      </c>
      <c r="G65" s="9">
        <f>IFERROR(__xludf.DUMMYFUNCTION("""COMPUTED_VALUE"""),44873.0)</f>
        <v>44873</v>
      </c>
      <c r="H65" s="10" t="str">
        <f>IFERROR(__xludf.DUMMYFUNCTION("""COMPUTED_VALUE"""),"https://msrc.microsoft.com/update-guide/vulnerability/CVE-2022-41040")</f>
        <v>https://msrc.microsoft.com/update-guide/vulnerability/CVE-2022-41040</v>
      </c>
      <c r="I65" t="str">
        <f>IFERROR(__xludf.DUMMYFUNCTION("""COMPUTED_VALUE"""),"???")</f>
        <v>???</v>
      </c>
      <c r="J65" t="str">
        <f>IFERROR(__xludf.DUMMYFUNCTION("""COMPUTED_VALUE"""),"???")</f>
        <v>???</v>
      </c>
      <c r="K65" t="str">
        <f>IFERROR(__xludf.DUMMYFUNCTION("""COMPUTED_VALUE"""),"DA-0x43-Dx4-DA-Hx2-Tx2-TP-S-Q from GTSC working with Trend Micro Zero Day Initiative")</f>
        <v>DA-0x43-Dx4-DA-Hx2-Tx2-TP-S-Q from GTSC working with Trend Micro Zero Day Initiative</v>
      </c>
    </row>
    <row r="66">
      <c r="A66" t="str">
        <f>IFERROR(__xludf.DUMMYFUNCTION("""COMPUTED_VALUE"""),"CVE-2022-41082")</f>
        <v>CVE-2022-41082</v>
      </c>
      <c r="B66" t="str">
        <f>IFERROR(__xludf.DUMMYFUNCTION("""COMPUTED_VALUE"""),"Microsoft")</f>
        <v>Microsoft</v>
      </c>
      <c r="C66" t="str">
        <f>IFERROR(__xludf.DUMMYFUNCTION("""COMPUTED_VALUE"""),"Exchange Server")</f>
        <v>Exchange Server</v>
      </c>
      <c r="D66" t="str">
        <f>IFERROR(__xludf.DUMMYFUNCTION("""COMPUTED_VALUE"""),"Logic/Design Flaw")</f>
        <v>Logic/Design Flaw</v>
      </c>
      <c r="E66" t="str">
        <f>IFERROR(__xludf.DUMMYFUNCTION("""COMPUTED_VALUE"""),"Remote code execution")</f>
        <v>Remote code execution</v>
      </c>
      <c r="F66" t="str">
        <f>IFERROR(__xludf.DUMMYFUNCTION("""COMPUTED_VALUE"""),"???")</f>
        <v>???</v>
      </c>
      <c r="G66" s="9">
        <f>IFERROR(__xludf.DUMMYFUNCTION("""COMPUTED_VALUE"""),44873.0)</f>
        <v>44873</v>
      </c>
      <c r="H66" s="10" t="str">
        <f>IFERROR(__xludf.DUMMYFUNCTION("""COMPUTED_VALUE"""),"https://msrc.microsoft.com/update-guide/vulnerability/CVE-2022-41082")</f>
        <v>https://msrc.microsoft.com/update-guide/vulnerability/CVE-2022-41082</v>
      </c>
      <c r="I66" t="str">
        <f>IFERROR(__xludf.DUMMYFUNCTION("""COMPUTED_VALUE"""),"???")</f>
        <v>???</v>
      </c>
      <c r="J66" t="str">
        <f>IFERROR(__xludf.DUMMYFUNCTION("""COMPUTED_VALUE"""),"???")</f>
        <v>???</v>
      </c>
      <c r="K66" t="str">
        <f>IFERROR(__xludf.DUMMYFUNCTION("""COMPUTED_VALUE"""),"Piotr Bazydlo (@chudypb) and DA-0x43-Dx4-DA-Hx2-Tx2-TP-S-Q from GTSC working with Trend Micro Zero Day Initiative")</f>
        <v>Piotr Bazydlo (@chudypb) and DA-0x43-Dx4-DA-Hx2-Tx2-TP-S-Q from GTSC working with Trend Micro Zero Day Initiative</v>
      </c>
    </row>
    <row r="67">
      <c r="A67" t="str">
        <f>IFERROR(__xludf.DUMMYFUNCTION("""COMPUTED_VALUE"""),"CVE-2022-41128")</f>
        <v>CVE-2022-41128</v>
      </c>
      <c r="B67" t="str">
        <f>IFERROR(__xludf.DUMMYFUNCTION("""COMPUTED_VALUE"""),"Microsoft")</f>
        <v>Microsoft</v>
      </c>
      <c r="C67" t="str">
        <f>IFERROR(__xludf.DUMMYFUNCTION("""COMPUTED_VALUE"""),"Internet Explorer")</f>
        <v>Internet Explorer</v>
      </c>
      <c r="D67" t="str">
        <f>IFERROR(__xludf.DUMMYFUNCTION("""COMPUTED_VALUE"""),"Memory Corruption")</f>
        <v>Memory Corruption</v>
      </c>
      <c r="E67" t="str">
        <f>IFERROR(__xludf.DUMMYFUNCTION("""COMPUTED_VALUE"""),"JScript9 remote code execution")</f>
        <v>JScript9 remote code execution</v>
      </c>
      <c r="F67" t="str">
        <f>IFERROR(__xludf.DUMMYFUNCTION("""COMPUTED_VALUE"""),"???")</f>
        <v>???</v>
      </c>
      <c r="G67" s="9">
        <f>IFERROR(__xludf.DUMMYFUNCTION("""COMPUTED_VALUE"""),44873.0)</f>
        <v>44873</v>
      </c>
      <c r="H67" s="10" t="str">
        <f>IFERROR(__xludf.DUMMYFUNCTION("""COMPUTED_VALUE"""),"https://msrc.microsoft.com/update-guide/vulnerability/CVE-2022-41128")</f>
        <v>https://msrc.microsoft.com/update-guide/vulnerability/CVE-2022-41128</v>
      </c>
      <c r="I67" t="str">
        <f>IFERROR(__xludf.DUMMYFUNCTION("""COMPUTED_VALUE"""),"???")</f>
        <v>???</v>
      </c>
      <c r="J67" s="10" t="str">
        <f>IFERROR(__xludf.DUMMYFUNCTION("""COMPUTED_VALUE"""),"https://googleprojectzero.github.io/0days-in-the-wild//0day-RCAs/2022/CVE-2022-41128.html")</f>
        <v>https://googleprojectzero.github.io/0days-in-the-wild//0day-RCAs/2022/CVE-2022-41128.html</v>
      </c>
      <c r="K67" t="str">
        <f>IFERROR(__xludf.DUMMYFUNCTION("""COMPUTED_VALUE"""),"Clément Lecigne of Google’s Threat Analysis Group")</f>
        <v>Clément Lecigne of Google’s Threat Analysis Group</v>
      </c>
    </row>
    <row r="68">
      <c r="A68" t="str">
        <f>IFERROR(__xludf.DUMMYFUNCTION("""COMPUTED_VALUE"""),"CVE-2022-41073")</f>
        <v>CVE-2022-41073</v>
      </c>
      <c r="B68" t="str">
        <f>IFERROR(__xludf.DUMMYFUNCTION("""COMPUTED_VALUE"""),"Microsoft")</f>
        <v>Microsoft</v>
      </c>
      <c r="C68" t="str">
        <f>IFERROR(__xludf.DUMMYFUNCTION("""COMPUTED_VALUE"""),"Windows")</f>
        <v>Windows</v>
      </c>
      <c r="D68" t="str">
        <f>IFERROR(__xludf.DUMMYFUNCTION("""COMPUTED_VALUE"""),"Logic/Design Flaw")</f>
        <v>Logic/Design Flaw</v>
      </c>
      <c r="E68" t="str">
        <f>IFERROR(__xludf.DUMMYFUNCTION("""COMPUTED_VALUE"""),"Print spooler elevation of privilege")</f>
        <v>Print spooler elevation of privilege</v>
      </c>
      <c r="F68" t="str">
        <f>IFERROR(__xludf.DUMMYFUNCTION("""COMPUTED_VALUE"""),"???")</f>
        <v>???</v>
      </c>
      <c r="G68" s="9">
        <f>IFERROR(__xludf.DUMMYFUNCTION("""COMPUTED_VALUE"""),44873.0)</f>
        <v>44873</v>
      </c>
      <c r="H68" s="10" t="str">
        <f>IFERROR(__xludf.DUMMYFUNCTION("""COMPUTED_VALUE"""),"https://msrc.microsoft.com/update-guide/vulnerability/CVE-2022-41073")</f>
        <v>https://msrc.microsoft.com/update-guide/vulnerability/CVE-2022-41073</v>
      </c>
      <c r="I68" t="str">
        <f>IFERROR(__xludf.DUMMYFUNCTION("""COMPUTED_VALUE"""),"???")</f>
        <v>???</v>
      </c>
      <c r="J68" s="10" t="str">
        <f>IFERROR(__xludf.DUMMYFUNCTION("""COMPUTED_VALUE"""),"https://googleprojectzero.github.io/0days-in-the-wild//0day-RCAs/2022/CVE-2022-41073.html")</f>
        <v>https://googleprojectzero.github.io/0days-in-the-wild//0day-RCAs/2022/CVE-2022-41073.html</v>
      </c>
      <c r="K68" t="str">
        <f>IFERROR(__xludf.DUMMYFUNCTION("""COMPUTED_VALUE"""),"Microsoft Threat Intelligence Center (MSTIC)")</f>
        <v>Microsoft Threat Intelligence Center (MSTIC)</v>
      </c>
    </row>
    <row r="69">
      <c r="A69" t="str">
        <f>IFERROR(__xludf.DUMMYFUNCTION("""COMPUTED_VALUE"""),"CVE-2022-41125")</f>
        <v>CVE-2022-41125</v>
      </c>
      <c r="B69" t="str">
        <f>IFERROR(__xludf.DUMMYFUNCTION("""COMPUTED_VALUE"""),"Microsoft")</f>
        <v>Microsoft</v>
      </c>
      <c r="C69" t="str">
        <f>IFERROR(__xludf.DUMMYFUNCTION("""COMPUTED_VALUE"""),"Windows")</f>
        <v>Windows</v>
      </c>
      <c r="D69" t="str">
        <f>IFERROR(__xludf.DUMMYFUNCTION("""COMPUTED_VALUE"""),"Memory Corruption")</f>
        <v>Memory Corruption</v>
      </c>
      <c r="E69" t="str">
        <f>IFERROR(__xludf.DUMMYFUNCTION("""COMPUTED_VALUE"""),"CNG Key Isolation Service elevation of privilege")</f>
        <v>CNG Key Isolation Service elevation of privilege</v>
      </c>
      <c r="F69" t="str">
        <f>IFERROR(__xludf.DUMMYFUNCTION("""COMPUTED_VALUE"""),"???")</f>
        <v>???</v>
      </c>
      <c r="G69" s="9">
        <f>IFERROR(__xludf.DUMMYFUNCTION("""COMPUTED_VALUE"""),44873.0)</f>
        <v>44873</v>
      </c>
      <c r="H69" s="10" t="str">
        <f>IFERROR(__xludf.DUMMYFUNCTION("""COMPUTED_VALUE"""),"https://msrc.microsoft.com/update-guide/vulnerability/CVE-2022-41125")</f>
        <v>https://msrc.microsoft.com/update-guide/vulnerability/CVE-2022-41125</v>
      </c>
      <c r="I69" t="str">
        <f>IFERROR(__xludf.DUMMYFUNCTION("""COMPUTED_VALUE"""),"???")</f>
        <v>???</v>
      </c>
      <c r="J69" t="str">
        <f>IFERROR(__xludf.DUMMYFUNCTION("""COMPUTED_VALUE"""),"???")</f>
        <v>???</v>
      </c>
      <c r="K69" t="str">
        <f>IFERROR(__xludf.DUMMYFUNCTION("""COMPUTED_VALUE"""),"Microsoft Threat Intelligence Center (MSTIC) and Microsoft Security Response Center (MSRC)")</f>
        <v>Microsoft Threat Intelligence Center (MSTIC) and Microsoft Security Response Center (MSRC)</v>
      </c>
    </row>
    <row r="70">
      <c r="A70" t="str">
        <f>IFERROR(__xludf.DUMMYFUNCTION("""COMPUTED_VALUE"""),"CVE-2022-3723")</f>
        <v>CVE-2022-3723</v>
      </c>
      <c r="B70" t="str">
        <f>IFERROR(__xludf.DUMMYFUNCTION("""COMPUTED_VALUE"""),"Google")</f>
        <v>Google</v>
      </c>
      <c r="C70" t="str">
        <f>IFERROR(__xludf.DUMMYFUNCTION("""COMPUTED_VALUE"""),"Chrome")</f>
        <v>Chrome</v>
      </c>
      <c r="D70" t="str">
        <f>IFERROR(__xludf.DUMMYFUNCTION("""COMPUTED_VALUE"""),"Memory Corruption")</f>
        <v>Memory Corruption</v>
      </c>
      <c r="E70" t="str">
        <f>IFERROR(__xludf.DUMMYFUNCTION("""COMPUTED_VALUE"""),"Type confusion in V8")</f>
        <v>Type confusion in V8</v>
      </c>
      <c r="F70" t="str">
        <f>IFERROR(__xludf.DUMMYFUNCTION("""COMPUTED_VALUE"""),"2022-10-25")</f>
        <v>2022-10-25</v>
      </c>
      <c r="G70" s="9">
        <f>IFERROR(__xludf.DUMMYFUNCTION("""COMPUTED_VALUE"""),44861.0)</f>
        <v>44861</v>
      </c>
      <c r="H70" s="10" t="str">
        <f>IFERROR(__xludf.DUMMYFUNCTION("""COMPUTED_VALUE"""),"https://chromereleases.googleblog.com/2022/10/stable-channel-update-for-desktop_27.html")</f>
        <v>https://chromereleases.googleblog.com/2022/10/stable-channel-update-for-desktop_27.html</v>
      </c>
      <c r="I70" t="str">
        <f>IFERROR(__xludf.DUMMYFUNCTION("""COMPUTED_VALUE"""),"???")</f>
        <v>???</v>
      </c>
      <c r="J70" s="10" t="str">
        <f>IFERROR(__xludf.DUMMYFUNCTION("""COMPUTED_VALUE"""),"https://googleprojectzero.github.io/0days-in-the-wild//0day-RCAs/2022/CVE-2022-3723.html")</f>
        <v>https://googleprojectzero.github.io/0days-in-the-wild//0day-RCAs/2022/CVE-2022-3723.html</v>
      </c>
      <c r="K70" t="str">
        <f>IFERROR(__xludf.DUMMYFUNCTION("""COMPUTED_VALUE"""),"Jan Vojtěšek, Milánek, and Przemek Gmerek of Avast")</f>
        <v>Jan Vojtěšek, Milánek, and Przemek Gmerek of Avast</v>
      </c>
    </row>
    <row r="71">
      <c r="A71" t="str">
        <f>IFERROR(__xludf.DUMMYFUNCTION("""COMPUTED_VALUE"""),"CVE-2022-42827")</f>
        <v>CVE-2022-42827</v>
      </c>
      <c r="B71" t="str">
        <f>IFERROR(__xludf.DUMMYFUNCTION("""COMPUTED_VALUE"""),"Apple")</f>
        <v>Apple</v>
      </c>
      <c r="C71" t="str">
        <f>IFERROR(__xludf.DUMMYFUNCTION("""COMPUTED_VALUE"""),"iOS")</f>
        <v>iOS</v>
      </c>
      <c r="D71" t="str">
        <f>IFERROR(__xludf.DUMMYFUNCTION("""COMPUTED_VALUE"""),"Memory Corruption")</f>
        <v>Memory Corruption</v>
      </c>
      <c r="E71" t="str">
        <f>IFERROR(__xludf.DUMMYFUNCTION("""COMPUTED_VALUE"""),"Out-of-bounds write in the kernel")</f>
        <v>Out-of-bounds write in the kernel</v>
      </c>
      <c r="F71" t="str">
        <f>IFERROR(__xludf.DUMMYFUNCTION("""COMPUTED_VALUE"""),"???")</f>
        <v>???</v>
      </c>
      <c r="G71" s="9">
        <f>IFERROR(__xludf.DUMMYFUNCTION("""COMPUTED_VALUE"""),44858.0)</f>
        <v>44858</v>
      </c>
      <c r="H71" s="10" t="str">
        <f>IFERROR(__xludf.DUMMYFUNCTION("""COMPUTED_VALUE"""),"https://support.apple.com/en-us/HT213489")</f>
        <v>https://support.apple.com/en-us/HT213489</v>
      </c>
      <c r="I71" t="str">
        <f>IFERROR(__xludf.DUMMYFUNCTION("""COMPUTED_VALUE"""),"???")</f>
        <v>???</v>
      </c>
      <c r="J71" t="str">
        <f>IFERROR(__xludf.DUMMYFUNCTION("""COMPUTED_VALUE"""),"???")</f>
        <v>???</v>
      </c>
      <c r="K71" t="str">
        <f>IFERROR(__xludf.DUMMYFUNCTION("""COMPUTED_VALUE"""),"???")</f>
        <v>???</v>
      </c>
    </row>
    <row r="72">
      <c r="A72" t="str">
        <f>IFERROR(__xludf.DUMMYFUNCTION("""COMPUTED_VALUE"""),"CVE-2022-41033")</f>
        <v>CVE-2022-41033</v>
      </c>
      <c r="B72" t="str">
        <f>IFERROR(__xludf.DUMMYFUNCTION("""COMPUTED_VALUE"""),"Microsoft")</f>
        <v>Microsoft</v>
      </c>
      <c r="C72" t="str">
        <f>IFERROR(__xludf.DUMMYFUNCTION("""COMPUTED_VALUE"""),"Windows")</f>
        <v>Windows</v>
      </c>
      <c r="D72" t="str">
        <f>IFERROR(__xludf.DUMMYFUNCTION("""COMPUTED_VALUE"""),"Memory Corruption")</f>
        <v>Memory Corruption</v>
      </c>
      <c r="E72" t="str">
        <f>IFERROR(__xludf.DUMMYFUNCTION("""COMPUTED_VALUE"""),"COM+ event system service elevation of privilege")</f>
        <v>COM+ event system service elevation of privilege</v>
      </c>
      <c r="F72" t="str">
        <f>IFERROR(__xludf.DUMMYFUNCTION("""COMPUTED_VALUE"""),"???")</f>
        <v>???</v>
      </c>
      <c r="G72" s="9">
        <f>IFERROR(__xludf.DUMMYFUNCTION("""COMPUTED_VALUE"""),44845.0)</f>
        <v>44845</v>
      </c>
      <c r="H72" s="10" t="str">
        <f>IFERROR(__xludf.DUMMYFUNCTION("""COMPUTED_VALUE"""),"https://msrc.microsoft.com/update-guide/vulnerability/CVE-2022-41033")</f>
        <v>https://msrc.microsoft.com/update-guide/vulnerability/CVE-2022-41033</v>
      </c>
      <c r="I72" t="str">
        <f>IFERROR(__xludf.DUMMYFUNCTION("""COMPUTED_VALUE"""),"???")</f>
        <v>???</v>
      </c>
      <c r="J72" s="10" t="str">
        <f>IFERROR(__xludf.DUMMYFUNCTION("""COMPUTED_VALUE"""),"https://googleprojectzero.github.io/0days-in-the-wild//0day-RCAs/2022/CVE-2022-41033.html")</f>
        <v>https://googleprojectzero.github.io/0days-in-the-wild//0day-RCAs/2022/CVE-2022-41033.html</v>
      </c>
      <c r="K72" t="str">
        <f>IFERROR(__xludf.DUMMYFUNCTION("""COMPUTED_VALUE"""),"???")</f>
        <v>???</v>
      </c>
    </row>
    <row r="73">
      <c r="A73" t="str">
        <f>IFERROR(__xludf.DUMMYFUNCTION("""COMPUTED_VALUE"""),"CVE-2022-3236")</f>
        <v>CVE-2022-3236</v>
      </c>
      <c r="B73" t="str">
        <f>IFERROR(__xludf.DUMMYFUNCTION("""COMPUTED_VALUE"""),"Sophos")</f>
        <v>Sophos</v>
      </c>
      <c r="C73" t="str">
        <f>IFERROR(__xludf.DUMMYFUNCTION("""COMPUTED_VALUE"""),"Firewall")</f>
        <v>Firewall</v>
      </c>
      <c r="D73" t="str">
        <f>IFERROR(__xludf.DUMMYFUNCTION("""COMPUTED_VALUE"""),"Logic/Design Flaw")</f>
        <v>Logic/Design Flaw</v>
      </c>
      <c r="E73" t="str">
        <f>IFERROR(__xludf.DUMMYFUNCTION("""COMPUTED_VALUE"""),"Code injection allowing RCE")</f>
        <v>Code injection allowing RCE</v>
      </c>
      <c r="F73" t="str">
        <f>IFERROR(__xludf.DUMMYFUNCTION("""COMPUTED_VALUE"""),"2022-09-16")</f>
        <v>2022-09-16</v>
      </c>
      <c r="G73" s="9">
        <f>IFERROR(__xludf.DUMMYFUNCTION("""COMPUTED_VALUE"""),44827.0)</f>
        <v>44827</v>
      </c>
      <c r="H73" s="10" t="str">
        <f>IFERROR(__xludf.DUMMYFUNCTION("""COMPUTED_VALUE"""),"https://www.sophos.com/en-us/security-advisories/sophos-sa-20220923-sfos-rce")</f>
        <v>https://www.sophos.com/en-us/security-advisories/sophos-sa-20220923-sfos-rce</v>
      </c>
      <c r="I73" s="10" t="str">
        <f>IFERROR(__xludf.DUMMYFUNCTION("""COMPUTED_VALUE"""),"https://news.sophos.com/en-us/2022/10/19/covert-channels/")</f>
        <v>https://news.sophos.com/en-us/2022/10/19/covert-channels/</v>
      </c>
      <c r="J73" t="str">
        <f>IFERROR(__xludf.DUMMYFUNCTION("""COMPUTED_VALUE"""),"???")</f>
        <v>???</v>
      </c>
      <c r="K73" t="str">
        <f>IFERROR(__xludf.DUMMYFUNCTION("""COMPUTED_VALUE"""),"Sophos X-Ops")</f>
        <v>Sophos X-Ops</v>
      </c>
    </row>
    <row r="74">
      <c r="A74" t="str">
        <f>IFERROR(__xludf.DUMMYFUNCTION("""COMPUTED_VALUE"""),"CVE-2022-32917")</f>
        <v>CVE-2022-32917</v>
      </c>
      <c r="B74" t="str">
        <f>IFERROR(__xludf.DUMMYFUNCTION("""COMPUTED_VALUE"""),"Apple")</f>
        <v>Apple</v>
      </c>
      <c r="C74" t="str">
        <f>IFERROR(__xludf.DUMMYFUNCTION("""COMPUTED_VALUE"""),"iOS/macOS")</f>
        <v>iOS/macOS</v>
      </c>
      <c r="D74" t="str">
        <f>IFERROR(__xludf.DUMMYFUNCTION("""COMPUTED_VALUE"""),"Memory Corruption")</f>
        <v>Memory Corruption</v>
      </c>
      <c r="E74" t="str">
        <f>IFERROR(__xludf.DUMMYFUNCTION("""COMPUTED_VALUE"""),"Unspecified kernel vulnerability")</f>
        <v>Unspecified kernel vulnerability</v>
      </c>
      <c r="F74" t="str">
        <f>IFERROR(__xludf.DUMMYFUNCTION("""COMPUTED_VALUE"""),"???")</f>
        <v>???</v>
      </c>
      <c r="G74" s="9">
        <f>IFERROR(__xludf.DUMMYFUNCTION("""COMPUTED_VALUE"""),44816.0)</f>
        <v>44816</v>
      </c>
      <c r="H74" s="10" t="str">
        <f>IFERROR(__xludf.DUMMYFUNCTION("""COMPUTED_VALUE"""),"https://support.apple.com/en-us/HT213445")</f>
        <v>https://support.apple.com/en-us/HT213445</v>
      </c>
      <c r="I74" t="str">
        <f>IFERROR(__xludf.DUMMYFUNCTION("""COMPUTED_VALUE"""),"???")</f>
        <v>???</v>
      </c>
      <c r="J74" s="10" t="str">
        <f>IFERROR(__xludf.DUMMYFUNCTION("""COMPUTED_VALUE"""),"https://googleprojectzero.github.io/0days-in-the-wild//0day-RCAs/2022/CVE-2022-32917.html")</f>
        <v>https://googleprojectzero.github.io/0days-in-the-wild//0day-RCAs/2022/CVE-2022-32917.html</v>
      </c>
      <c r="K74" t="str">
        <f>IFERROR(__xludf.DUMMYFUNCTION("""COMPUTED_VALUE"""),"???")</f>
        <v>???</v>
      </c>
    </row>
    <row r="75">
      <c r="A75" t="str">
        <f>IFERROR(__xludf.DUMMYFUNCTION("""COMPUTED_VALUE"""),"CVE-2022-3075")</f>
        <v>CVE-2022-3075</v>
      </c>
      <c r="B75" t="str">
        <f>IFERROR(__xludf.DUMMYFUNCTION("""COMPUTED_VALUE"""),"Google")</f>
        <v>Google</v>
      </c>
      <c r="C75" t="str">
        <f>IFERROR(__xludf.DUMMYFUNCTION("""COMPUTED_VALUE"""),"Chrome")</f>
        <v>Chrome</v>
      </c>
      <c r="D75" t="str">
        <f>IFERROR(__xludf.DUMMYFUNCTION("""COMPUTED_VALUE"""),"Logic/Design Flaw")</f>
        <v>Logic/Design Flaw</v>
      </c>
      <c r="E75" t="str">
        <f>IFERROR(__xludf.DUMMYFUNCTION("""COMPUTED_VALUE"""),"Insufficient data validation in Mojo")</f>
        <v>Insufficient data validation in Mojo</v>
      </c>
      <c r="F75" t="str">
        <f>IFERROR(__xludf.DUMMYFUNCTION("""COMPUTED_VALUE"""),"2022-08-30")</f>
        <v>2022-08-30</v>
      </c>
      <c r="G75" s="9">
        <f>IFERROR(__xludf.DUMMYFUNCTION("""COMPUTED_VALUE"""),44806.0)</f>
        <v>44806</v>
      </c>
      <c r="H75" s="10" t="str">
        <f>IFERROR(__xludf.DUMMYFUNCTION("""COMPUTED_VALUE"""),"https://chromereleases.googleblog.com/2022/09/stable-channel-update-for-desktop.html")</f>
        <v>https://chromereleases.googleblog.com/2022/09/stable-channel-update-for-desktop.html</v>
      </c>
      <c r="I75" t="str">
        <f>IFERROR(__xludf.DUMMYFUNCTION("""COMPUTED_VALUE"""),"???")</f>
        <v>???</v>
      </c>
      <c r="J75" t="str">
        <f>IFERROR(__xludf.DUMMYFUNCTION("""COMPUTED_VALUE"""),"???")</f>
        <v>???</v>
      </c>
      <c r="K75" t="str">
        <f>IFERROR(__xludf.DUMMYFUNCTION("""COMPUTED_VALUE"""),"???")</f>
        <v>???</v>
      </c>
    </row>
    <row r="76">
      <c r="A76" t="str">
        <f>IFERROR(__xludf.DUMMYFUNCTION("""COMPUTED_VALUE"""),"CVE-2022-32894")</f>
        <v>CVE-2022-32894</v>
      </c>
      <c r="B76" t="str">
        <f>IFERROR(__xludf.DUMMYFUNCTION("""COMPUTED_VALUE"""),"Apple")</f>
        <v>Apple</v>
      </c>
      <c r="C76" t="str">
        <f>IFERROR(__xludf.DUMMYFUNCTION("""COMPUTED_VALUE"""),"iOS/macOS")</f>
        <v>iOS/macOS</v>
      </c>
      <c r="D76" t="str">
        <f>IFERROR(__xludf.DUMMYFUNCTION("""COMPUTED_VALUE"""),"Memory Corruption")</f>
        <v>Memory Corruption</v>
      </c>
      <c r="E76" t="str">
        <f>IFERROR(__xludf.DUMMYFUNCTION("""COMPUTED_VALUE"""),"Kernel out-of-bounds write")</f>
        <v>Kernel out-of-bounds write</v>
      </c>
      <c r="F76" t="str">
        <f>IFERROR(__xludf.DUMMYFUNCTION("""COMPUTED_VALUE"""),"???")</f>
        <v>???</v>
      </c>
      <c r="G76" s="9">
        <f>IFERROR(__xludf.DUMMYFUNCTION("""COMPUTED_VALUE"""),44790.0)</f>
        <v>44790</v>
      </c>
      <c r="H76" s="10" t="str">
        <f>IFERROR(__xludf.DUMMYFUNCTION("""COMPUTED_VALUE"""),"https://support.apple.com/en-us/HT213413")</f>
        <v>https://support.apple.com/en-us/HT213413</v>
      </c>
      <c r="I76" t="str">
        <f>IFERROR(__xludf.DUMMYFUNCTION("""COMPUTED_VALUE"""),"???")</f>
        <v>???</v>
      </c>
      <c r="J76" t="str">
        <f>IFERROR(__xludf.DUMMYFUNCTION("""COMPUTED_VALUE"""),"???")</f>
        <v>???</v>
      </c>
      <c r="K76" t="str">
        <f>IFERROR(__xludf.DUMMYFUNCTION("""COMPUTED_VALUE"""),"???")</f>
        <v>???</v>
      </c>
    </row>
    <row r="77">
      <c r="A77" t="str">
        <f>IFERROR(__xludf.DUMMYFUNCTION("""COMPUTED_VALUE"""),"CVE-2022-32893")</f>
        <v>CVE-2022-32893</v>
      </c>
      <c r="B77" t="str">
        <f>IFERROR(__xludf.DUMMYFUNCTION("""COMPUTED_VALUE"""),"Apple")</f>
        <v>Apple</v>
      </c>
      <c r="C77" t="str">
        <f>IFERROR(__xludf.DUMMYFUNCTION("""COMPUTED_VALUE"""),"WebKit")</f>
        <v>WebKit</v>
      </c>
      <c r="D77" t="str">
        <f>IFERROR(__xludf.DUMMYFUNCTION("""COMPUTED_VALUE"""),"Memory Corruption")</f>
        <v>Memory Corruption</v>
      </c>
      <c r="E77" t="str">
        <f>IFERROR(__xludf.DUMMYFUNCTION("""COMPUTED_VALUE"""),"Out-of-bounds write")</f>
        <v>Out-of-bounds write</v>
      </c>
      <c r="F77" t="str">
        <f>IFERROR(__xludf.DUMMYFUNCTION("""COMPUTED_VALUE"""),"???")</f>
        <v>???</v>
      </c>
      <c r="G77" s="9">
        <f>IFERROR(__xludf.DUMMYFUNCTION("""COMPUTED_VALUE"""),44790.0)</f>
        <v>44790</v>
      </c>
      <c r="H77" s="10" t="str">
        <f>IFERROR(__xludf.DUMMYFUNCTION("""COMPUTED_VALUE"""),"https://support.apple.com/en-us/HT213413")</f>
        <v>https://support.apple.com/en-us/HT213413</v>
      </c>
      <c r="I77" t="str">
        <f>IFERROR(__xludf.DUMMYFUNCTION("""COMPUTED_VALUE"""),"???")</f>
        <v>???</v>
      </c>
      <c r="J77" t="str">
        <f>IFERROR(__xludf.DUMMYFUNCTION("""COMPUTED_VALUE"""),"???")</f>
        <v>???</v>
      </c>
      <c r="K77" t="str">
        <f>IFERROR(__xludf.DUMMYFUNCTION("""COMPUTED_VALUE"""),"???")</f>
        <v>???</v>
      </c>
    </row>
    <row r="78">
      <c r="A78" t="str">
        <f>IFERROR(__xludf.DUMMYFUNCTION("""COMPUTED_VALUE"""),"CVE-2022-2856")</f>
        <v>CVE-2022-2856</v>
      </c>
      <c r="B78" t="str">
        <f>IFERROR(__xludf.DUMMYFUNCTION("""COMPUTED_VALUE"""),"Google")</f>
        <v>Google</v>
      </c>
      <c r="C78" t="str">
        <f>IFERROR(__xludf.DUMMYFUNCTION("""COMPUTED_VALUE"""),"Chrome")</f>
        <v>Chrome</v>
      </c>
      <c r="D78" t="str">
        <f>IFERROR(__xludf.DUMMYFUNCTION("""COMPUTED_VALUE"""),"Logic/Design Flaw")</f>
        <v>Logic/Design Flaw</v>
      </c>
      <c r="E78" t="str">
        <f>IFERROR(__xludf.DUMMYFUNCTION("""COMPUTED_VALUE"""),"Insufficient validation of untrusted input in Intents")</f>
        <v>Insufficient validation of untrusted input in Intents</v>
      </c>
      <c r="F78" t="str">
        <f>IFERROR(__xludf.DUMMYFUNCTION("""COMPUTED_VALUE"""),"2022-07-19")</f>
        <v>2022-07-19</v>
      </c>
      <c r="G78" s="9">
        <f>IFERROR(__xludf.DUMMYFUNCTION("""COMPUTED_VALUE"""),44789.0)</f>
        <v>44789</v>
      </c>
      <c r="H78" s="10" t="str">
        <f>IFERROR(__xludf.DUMMYFUNCTION("""COMPUTED_VALUE"""),"https://chromereleases.googleblog.com/2022/08/stable-channel-update-for-desktop_16.html")</f>
        <v>https://chromereleases.googleblog.com/2022/08/stable-channel-update-for-desktop_16.html</v>
      </c>
      <c r="I78" t="str">
        <f>IFERROR(__xludf.DUMMYFUNCTION("""COMPUTED_VALUE"""),"???")</f>
        <v>???</v>
      </c>
      <c r="J78" t="str">
        <f>IFERROR(__xludf.DUMMYFUNCTION("""COMPUTED_VALUE"""),"???")</f>
        <v>???</v>
      </c>
      <c r="K78" t="str">
        <f>IFERROR(__xludf.DUMMYFUNCTION("""COMPUTED_VALUE"""),"Ashley Shen and Christian Resell of Google Threat Analysis Group")</f>
        <v>Ashley Shen and Christian Resell of Google Threat Analysis Group</v>
      </c>
    </row>
    <row r="79">
      <c r="A79" t="str">
        <f>IFERROR(__xludf.DUMMYFUNCTION("""COMPUTED_VALUE"""),"CVE-2022-22047")</f>
        <v>CVE-2022-22047</v>
      </c>
      <c r="B79" t="str">
        <f>IFERROR(__xludf.DUMMYFUNCTION("""COMPUTED_VALUE"""),"Microsoft")</f>
        <v>Microsoft</v>
      </c>
      <c r="C79" t="str">
        <f>IFERROR(__xludf.DUMMYFUNCTION("""COMPUTED_VALUE"""),"Windows")</f>
        <v>Windows</v>
      </c>
      <c r="D79" t="str">
        <f>IFERROR(__xludf.DUMMYFUNCTION("""COMPUTED_VALUE"""),"Logic/Design Flaw")</f>
        <v>Logic/Design Flaw</v>
      </c>
      <c r="E79" t="str">
        <f>IFERROR(__xludf.DUMMYFUNCTION("""COMPUTED_VALUE"""),"CSRSS Elevation of Privilege")</f>
        <v>CSRSS Elevation of Privilege</v>
      </c>
      <c r="F79" t="str">
        <f>IFERROR(__xludf.DUMMYFUNCTION("""COMPUTED_VALUE"""),"???")</f>
        <v>???</v>
      </c>
      <c r="G79" s="9">
        <f>IFERROR(__xludf.DUMMYFUNCTION("""COMPUTED_VALUE"""),44754.0)</f>
        <v>44754</v>
      </c>
      <c r="H79" s="10" t="str">
        <f>IFERROR(__xludf.DUMMYFUNCTION("""COMPUTED_VALUE"""),"https://msrc.microsoft.com/update-guide/vulnerability/CVE-2022-22047")</f>
        <v>https://msrc.microsoft.com/update-guide/vulnerability/CVE-2022-22047</v>
      </c>
      <c r="I79" s="10" t="str">
        <f>IFERROR(__xludf.DUMMYFUNCTION("""COMPUTED_VALUE"""),"https://www.zerodayinitiative.com/blog/2023/1/23/activation-context-cache-poisoning-exploiting-csrss-for-privilege-escalation")</f>
        <v>https://www.zerodayinitiative.com/blog/2023/1/23/activation-context-cache-poisoning-exploiting-csrss-for-privilege-escalation</v>
      </c>
      <c r="J79" t="str">
        <f>IFERROR(__xludf.DUMMYFUNCTION("""COMPUTED_VALUE"""),"???")</f>
        <v>???</v>
      </c>
      <c r="K79" t="str">
        <f>IFERROR(__xludf.DUMMYFUNCTION("""COMPUTED_VALUE"""),"Microsoft Threat Intelligence Center (MSTIC) and Microsoft Security Response Center (MSRC)")</f>
        <v>Microsoft Threat Intelligence Center (MSTIC) and Microsoft Security Response Center (MSRC)</v>
      </c>
    </row>
    <row r="80">
      <c r="A80" t="str">
        <f>IFERROR(__xludf.DUMMYFUNCTION("""COMPUTED_VALUE"""),"CVE-2022-2294")</f>
        <v>CVE-2022-2294</v>
      </c>
      <c r="B80" t="str">
        <f>IFERROR(__xludf.DUMMYFUNCTION("""COMPUTED_VALUE"""),"Google")</f>
        <v>Google</v>
      </c>
      <c r="C80" t="str">
        <f>IFERROR(__xludf.DUMMYFUNCTION("""COMPUTED_VALUE"""),"Chrome")</f>
        <v>Chrome</v>
      </c>
      <c r="D80" t="str">
        <f>IFERROR(__xludf.DUMMYFUNCTION("""COMPUTED_VALUE"""),"Memory Corruption")</f>
        <v>Memory Corruption</v>
      </c>
      <c r="E80" t="str">
        <f>IFERROR(__xludf.DUMMYFUNCTION("""COMPUTED_VALUE"""),"Buffer overflow in WebRTC")</f>
        <v>Buffer overflow in WebRTC</v>
      </c>
      <c r="F80" t="str">
        <f>IFERROR(__xludf.DUMMYFUNCTION("""COMPUTED_VALUE"""),"2022-07-01")</f>
        <v>2022-07-01</v>
      </c>
      <c r="G80" s="9">
        <f>IFERROR(__xludf.DUMMYFUNCTION("""COMPUTED_VALUE"""),44746.0)</f>
        <v>44746</v>
      </c>
      <c r="H80" s="10" t="str">
        <f>IFERROR(__xludf.DUMMYFUNCTION("""COMPUTED_VALUE"""),"https://chromereleases.googleblog.com/2022/07/stable-channel-update-for-desktop.html")</f>
        <v>https://chromereleases.googleblog.com/2022/07/stable-channel-update-for-desktop.html</v>
      </c>
      <c r="I80" t="str">
        <f>IFERROR(__xludf.DUMMYFUNCTION("""COMPUTED_VALUE"""),"???")</f>
        <v>???</v>
      </c>
      <c r="J80" s="10" t="str">
        <f>IFERROR(__xludf.DUMMYFUNCTION("""COMPUTED_VALUE"""),"https://googleprojectzero.github.io/0days-in-the-wild//0day-RCAs/2022/CVE-2022-2294.html")</f>
        <v>https://googleprojectzero.github.io/0days-in-the-wild//0day-RCAs/2022/CVE-2022-2294.html</v>
      </c>
      <c r="K80" t="str">
        <f>IFERROR(__xludf.DUMMYFUNCTION("""COMPUTED_VALUE"""),"Jan Vojtesek from the Avast Threat Intelligence team")</f>
        <v>Jan Vojtesek from the Avast Threat Intelligence team</v>
      </c>
    </row>
    <row r="81">
      <c r="A81" t="str">
        <f>IFERROR(__xludf.DUMMYFUNCTION("""COMPUTED_VALUE"""),"CVE-2022-30190")</f>
        <v>CVE-2022-30190</v>
      </c>
      <c r="B81" t="str">
        <f>IFERROR(__xludf.DUMMYFUNCTION("""COMPUTED_VALUE"""),"Microsoft")</f>
        <v>Microsoft</v>
      </c>
      <c r="C81" t="str">
        <f>IFERROR(__xludf.DUMMYFUNCTION("""COMPUTED_VALUE"""),"Windows")</f>
        <v>Windows</v>
      </c>
      <c r="D81" t="str">
        <f>IFERROR(__xludf.DUMMYFUNCTION("""COMPUTED_VALUE"""),"Logic/Design Flaw")</f>
        <v>Logic/Design Flaw</v>
      </c>
      <c r="E81" t="str">
        <f>IFERROR(__xludf.DUMMYFUNCTION("""COMPUTED_VALUE"""),"Microsoft Windows Support Diagnostic Tool (MSDT) Remote Code Execution Vulnerability")</f>
        <v>Microsoft Windows Support Diagnostic Tool (MSDT) Remote Code Execution Vulnerability</v>
      </c>
      <c r="F81" t="str">
        <f>IFERROR(__xludf.DUMMYFUNCTION("""COMPUTED_VALUE"""),"???")</f>
        <v>???</v>
      </c>
      <c r="G81" s="9">
        <f>IFERROR(__xludf.DUMMYFUNCTION("""COMPUTED_VALUE"""),44726.0)</f>
        <v>44726</v>
      </c>
      <c r="H81" s="10" t="str">
        <f>IFERROR(__xludf.DUMMYFUNCTION("""COMPUTED_VALUE"""),"https://msrc.microsoft.com/update-guide/vulnerability/CVE-2022-30190")</f>
        <v>https://msrc.microsoft.com/update-guide/vulnerability/CVE-2022-30190</v>
      </c>
      <c r="I81" s="10" t="str">
        <f>IFERROR(__xludf.DUMMYFUNCTION("""COMPUTED_VALUE"""),"https://doublepulsar.com/follina-a-microsoft-office-code-execution-vulnerability-1a47fce5629e")</f>
        <v>https://doublepulsar.com/follina-a-microsoft-office-code-execution-vulnerability-1a47fce5629e</v>
      </c>
      <c r="J81" t="str">
        <f>IFERROR(__xludf.DUMMYFUNCTION("""COMPUTED_VALUE"""),"???")</f>
        <v>???</v>
      </c>
      <c r="K81" t="str">
        <f>IFERROR(__xludf.DUMMYFUNCTION("""COMPUTED_VALUE"""),"crazyman with Shadow Chaser Group")</f>
        <v>crazyman with Shadow Chaser Group</v>
      </c>
    </row>
    <row r="82">
      <c r="A82" t="str">
        <f>IFERROR(__xludf.DUMMYFUNCTION("""COMPUTED_VALUE"""),"CVE-2022-26134")</f>
        <v>CVE-2022-26134</v>
      </c>
      <c r="B82" t="str">
        <f>IFERROR(__xludf.DUMMYFUNCTION("""COMPUTED_VALUE"""),"Atlassian")</f>
        <v>Atlassian</v>
      </c>
      <c r="C82" t="str">
        <f>IFERROR(__xludf.DUMMYFUNCTION("""COMPUTED_VALUE"""),"Confluence Server &amp; Data Center")</f>
        <v>Confluence Server &amp; Data Center</v>
      </c>
      <c r="D82" t="str">
        <f>IFERROR(__xludf.DUMMYFUNCTION("""COMPUTED_VALUE"""),"Logic/Design Flaw")</f>
        <v>Logic/Design Flaw</v>
      </c>
      <c r="E82" t="str">
        <f>IFERROR(__xludf.DUMMYFUNCTION("""COMPUTED_VALUE"""),"Unauthenticated Remote Code Execution")</f>
        <v>Unauthenticated Remote Code Execution</v>
      </c>
      <c r="F82" t="str">
        <f>IFERROR(__xludf.DUMMYFUNCTION("""COMPUTED_VALUE"""),"2022-05-31")</f>
        <v>2022-05-31</v>
      </c>
      <c r="G82" s="9">
        <f>IFERROR(__xludf.DUMMYFUNCTION("""COMPUTED_VALUE"""),44715.0)</f>
        <v>44715</v>
      </c>
      <c r="H82" s="10" t="str">
        <f>IFERROR(__xludf.DUMMYFUNCTION("""COMPUTED_VALUE"""),"https://confluence.atlassian.com/doc/confluence-security-advisory-2022-06-02-1130377146.html")</f>
        <v>https://confluence.atlassian.com/doc/confluence-security-advisory-2022-06-02-1130377146.html</v>
      </c>
      <c r="I82" s="10" t="str">
        <f>IFERROR(__xludf.DUMMYFUNCTION("""COMPUTED_VALUE"""),"https://www.volexity.com/blog/2022/06/02/zero-day-exploitation-of-atlassian-confluence/")</f>
        <v>https://www.volexity.com/blog/2022/06/02/zero-day-exploitation-of-atlassian-confluence/</v>
      </c>
      <c r="J82" t="str">
        <f>IFERROR(__xludf.DUMMYFUNCTION("""COMPUTED_VALUE"""),"???")</f>
        <v>???</v>
      </c>
      <c r="K82" t="str">
        <f>IFERROR(__xludf.DUMMYFUNCTION("""COMPUTED_VALUE"""),"Volexity")</f>
        <v>Volexity</v>
      </c>
    </row>
    <row r="83">
      <c r="A83" t="str">
        <f>IFERROR(__xludf.DUMMYFUNCTION("""COMPUTED_VALUE"""),"CVE-2022-26925")</f>
        <v>CVE-2022-26925</v>
      </c>
      <c r="B83" t="str">
        <f>IFERROR(__xludf.DUMMYFUNCTION("""COMPUTED_VALUE"""),"Microsoft")</f>
        <v>Microsoft</v>
      </c>
      <c r="C83" t="str">
        <f>IFERROR(__xludf.DUMMYFUNCTION("""COMPUTED_VALUE"""),"Windows")</f>
        <v>Windows</v>
      </c>
      <c r="D83" t="str">
        <f>IFERROR(__xludf.DUMMYFUNCTION("""COMPUTED_VALUE"""),"Logic/Design Flaw")</f>
        <v>Logic/Design Flaw</v>
      </c>
      <c r="E83" t="str">
        <f>IFERROR(__xludf.DUMMYFUNCTION("""COMPUTED_VALUE"""),"Windows LSA Spoofing Vulnerability")</f>
        <v>Windows LSA Spoofing Vulnerability</v>
      </c>
      <c r="F83" t="str">
        <f>IFERROR(__xludf.DUMMYFUNCTION("""COMPUTED_VALUE"""),"???")</f>
        <v>???</v>
      </c>
      <c r="G83" s="9">
        <f>IFERROR(__xludf.DUMMYFUNCTION("""COMPUTED_VALUE"""),44691.0)</f>
        <v>44691</v>
      </c>
      <c r="H83" s="10" t="str">
        <f>IFERROR(__xludf.DUMMYFUNCTION("""COMPUTED_VALUE"""),"https://msrc.microsoft.com/update-guide/vulnerability/CVE-2022-26925")</f>
        <v>https://msrc.microsoft.com/update-guide/vulnerability/CVE-2022-26925</v>
      </c>
      <c r="I83" t="str">
        <f>IFERROR(__xludf.DUMMYFUNCTION("""COMPUTED_VALUE"""),"???")</f>
        <v>???</v>
      </c>
      <c r="J83" t="str">
        <f>IFERROR(__xludf.DUMMYFUNCTION("""COMPUTED_VALUE"""),"???")</f>
        <v>???</v>
      </c>
      <c r="K83" t="str">
        <f>IFERROR(__xludf.DUMMYFUNCTION("""COMPUTED_VALUE"""),"Raphael John with Bertelsmann Printing Group")</f>
        <v>Raphael John with Bertelsmann Printing Group</v>
      </c>
    </row>
    <row r="84">
      <c r="A84" t="str">
        <f>IFERROR(__xludf.DUMMYFUNCTION("""COMPUTED_VALUE"""),"CVE-2022-1364")</f>
        <v>CVE-2022-1364</v>
      </c>
      <c r="B84" t="str">
        <f>IFERROR(__xludf.DUMMYFUNCTION("""COMPUTED_VALUE"""),"Google")</f>
        <v>Google</v>
      </c>
      <c r="C84" t="str">
        <f>IFERROR(__xludf.DUMMYFUNCTION("""COMPUTED_VALUE"""),"Chrome")</f>
        <v>Chrome</v>
      </c>
      <c r="D84" t="str">
        <f>IFERROR(__xludf.DUMMYFUNCTION("""COMPUTED_VALUE"""),"Memory Corruption")</f>
        <v>Memory Corruption</v>
      </c>
      <c r="E84" t="str">
        <f>IFERROR(__xludf.DUMMYFUNCTION("""COMPUTED_VALUE"""),"Type confusion in V8")</f>
        <v>Type confusion in V8</v>
      </c>
      <c r="F84" t="str">
        <f>IFERROR(__xludf.DUMMYFUNCTION("""COMPUTED_VALUE"""),"2022-04-13")</f>
        <v>2022-04-13</v>
      </c>
      <c r="G84" s="9">
        <f>IFERROR(__xludf.DUMMYFUNCTION("""COMPUTED_VALUE"""),44665.0)</f>
        <v>44665</v>
      </c>
      <c r="H84" s="10" t="str">
        <f>IFERROR(__xludf.DUMMYFUNCTION("""COMPUTED_VALUE"""),"https://chromereleases.googleblog.com/2022/04/stable-channel-update-for-desktop_14.html")</f>
        <v>https://chromereleases.googleblog.com/2022/04/stable-channel-update-for-desktop_14.html</v>
      </c>
      <c r="I84" t="str">
        <f>IFERROR(__xludf.DUMMYFUNCTION("""COMPUTED_VALUE"""),"???")</f>
        <v>???</v>
      </c>
      <c r="J84" s="10" t="str">
        <f>IFERROR(__xludf.DUMMYFUNCTION("""COMPUTED_VALUE"""),"https://googleprojectzero.github.io/0days-in-the-wild//0day-RCAs/2022/CVE-2022-1364.html")</f>
        <v>https://googleprojectzero.github.io/0days-in-the-wild//0day-RCAs/2022/CVE-2022-1364.html</v>
      </c>
      <c r="K84" t="str">
        <f>IFERROR(__xludf.DUMMYFUNCTION("""COMPUTED_VALUE"""),"Clément Lecigne of Google's Threat Analysis Group")</f>
        <v>Clément Lecigne of Google's Threat Analysis Group</v>
      </c>
    </row>
    <row r="85">
      <c r="A85" t="str">
        <f>IFERROR(__xludf.DUMMYFUNCTION("""COMPUTED_VALUE"""),"CVE-2022-24521")</f>
        <v>CVE-2022-24521</v>
      </c>
      <c r="B85" t="str">
        <f>IFERROR(__xludf.DUMMYFUNCTION("""COMPUTED_VALUE"""),"Microsoft")</f>
        <v>Microsoft</v>
      </c>
      <c r="C85" t="str">
        <f>IFERROR(__xludf.DUMMYFUNCTION("""COMPUTED_VALUE"""),"Windows")</f>
        <v>Windows</v>
      </c>
      <c r="D85" t="str">
        <f>IFERROR(__xludf.DUMMYFUNCTION("""COMPUTED_VALUE"""),"Logic/Design Flaw")</f>
        <v>Logic/Design Flaw</v>
      </c>
      <c r="E85" t="str">
        <f>IFERROR(__xludf.DUMMYFUNCTION("""COMPUTED_VALUE"""),"Windows Common Log File System Driver Elevation of Privilege")</f>
        <v>Windows Common Log File System Driver Elevation of Privilege</v>
      </c>
      <c r="F85" t="str">
        <f>IFERROR(__xludf.DUMMYFUNCTION("""COMPUTED_VALUE"""),"???")</f>
        <v>???</v>
      </c>
      <c r="G85" s="9">
        <f>IFERROR(__xludf.DUMMYFUNCTION("""COMPUTED_VALUE"""),44663.0)</f>
        <v>44663</v>
      </c>
      <c r="H85" s="10" t="str">
        <f>IFERROR(__xludf.DUMMYFUNCTION("""COMPUTED_VALUE"""),"https://msrc.microsoft.com/update-guide/vulnerability/CVE-2022-24521")</f>
        <v>https://msrc.microsoft.com/update-guide/vulnerability/CVE-2022-24521</v>
      </c>
      <c r="I85" s="10" t="str">
        <f>IFERROR(__xludf.DUMMYFUNCTION("""COMPUTED_VALUE"""),"https://www.pixiepointsecurity.com/blog/nday-cve-2022-24521.html")</f>
        <v>https://www.pixiepointsecurity.com/blog/nday-cve-2022-24521.html</v>
      </c>
      <c r="J85" s="10" t="str">
        <f>IFERROR(__xludf.DUMMYFUNCTION("""COMPUTED_VALUE"""),"https://googleprojectzero.github.io/0days-in-the-wild//0day-RCAs/2022/CVE-2022-24521.html")</f>
        <v>https://googleprojectzero.github.io/0days-in-the-wild//0day-RCAs/2022/CVE-2022-24521.html</v>
      </c>
      <c r="K85" t="str">
        <f>IFERROR(__xludf.DUMMYFUNCTION("""COMPUTED_VALUE"""),"National Security Agency, Adam Podlosky and Amir Bazine of Crowdstrike")</f>
        <v>National Security Agency, Adam Podlosky and Amir Bazine of Crowdstrike</v>
      </c>
    </row>
    <row r="86">
      <c r="A86" t="str">
        <f>IFERROR(__xludf.DUMMYFUNCTION("""COMPUTED_VALUE"""),"CVE-2022-22674")</f>
        <v>CVE-2022-22674</v>
      </c>
      <c r="B86" t="str">
        <f>IFERROR(__xludf.DUMMYFUNCTION("""COMPUTED_VALUE"""),"Apple")</f>
        <v>Apple</v>
      </c>
      <c r="C86" t="str">
        <f>IFERROR(__xludf.DUMMYFUNCTION("""COMPUTED_VALUE"""),"macOS")</f>
        <v>macOS</v>
      </c>
      <c r="D86" t="str">
        <f>IFERROR(__xludf.DUMMYFUNCTION("""COMPUTED_VALUE"""),"Memory Corruption")</f>
        <v>Memory Corruption</v>
      </c>
      <c r="E86" t="str">
        <f>IFERROR(__xludf.DUMMYFUNCTION("""COMPUTED_VALUE"""),"Out-of-bounds read in Intel Graphics Driver")</f>
        <v>Out-of-bounds read in Intel Graphics Driver</v>
      </c>
      <c r="F86" t="str">
        <f>IFERROR(__xludf.DUMMYFUNCTION("""COMPUTED_VALUE"""),"???")</f>
        <v>???</v>
      </c>
      <c r="G86" s="9">
        <f>IFERROR(__xludf.DUMMYFUNCTION("""COMPUTED_VALUE"""),44651.0)</f>
        <v>44651</v>
      </c>
      <c r="H86" s="10" t="str">
        <f>IFERROR(__xludf.DUMMYFUNCTION("""COMPUTED_VALUE"""),"https://support.apple.com/en-us/HT213220")</f>
        <v>https://support.apple.com/en-us/HT213220</v>
      </c>
      <c r="I86" t="str">
        <f>IFERROR(__xludf.DUMMYFUNCTION("""COMPUTED_VALUE"""),"???")</f>
        <v>???</v>
      </c>
      <c r="J86" t="str">
        <f>IFERROR(__xludf.DUMMYFUNCTION("""COMPUTED_VALUE"""),"???")</f>
        <v>???</v>
      </c>
      <c r="K86" t="str">
        <f>IFERROR(__xludf.DUMMYFUNCTION("""COMPUTED_VALUE"""),"???")</f>
        <v>???</v>
      </c>
    </row>
    <row r="87">
      <c r="A87" t="str">
        <f>IFERROR(__xludf.DUMMYFUNCTION("""COMPUTED_VALUE"""),"CVE-2022-22675")</f>
        <v>CVE-2022-22675</v>
      </c>
      <c r="B87" t="str">
        <f>IFERROR(__xludf.DUMMYFUNCTION("""COMPUTED_VALUE"""),"Apple")</f>
        <v>Apple</v>
      </c>
      <c r="C87" t="str">
        <f>IFERROR(__xludf.DUMMYFUNCTION("""COMPUTED_VALUE"""),"iOS/macOS")</f>
        <v>iOS/macOS</v>
      </c>
      <c r="D87" t="str">
        <f>IFERROR(__xludf.DUMMYFUNCTION("""COMPUTED_VALUE"""),"Memory Corruption")</f>
        <v>Memory Corruption</v>
      </c>
      <c r="E87" t="str">
        <f>IFERROR(__xludf.DUMMYFUNCTION("""COMPUTED_VALUE"""),"Out-of-bounds write in AppleAVD")</f>
        <v>Out-of-bounds write in AppleAVD</v>
      </c>
      <c r="F87" t="str">
        <f>IFERROR(__xludf.DUMMYFUNCTION("""COMPUTED_VALUE"""),"???")</f>
        <v>???</v>
      </c>
      <c r="G87" s="9">
        <f>IFERROR(__xludf.DUMMYFUNCTION("""COMPUTED_VALUE"""),44651.0)</f>
        <v>44651</v>
      </c>
      <c r="H87" s="10" t="str">
        <f>IFERROR(__xludf.DUMMYFUNCTION("""COMPUTED_VALUE"""),"https://support.apple.com/en-us/HT213220")</f>
        <v>https://support.apple.com/en-us/HT213220</v>
      </c>
      <c r="I87" t="str">
        <f>IFERROR(__xludf.DUMMYFUNCTION("""COMPUTED_VALUE"""),"???")</f>
        <v>???</v>
      </c>
      <c r="J87" s="10" t="str">
        <f>IFERROR(__xludf.DUMMYFUNCTION("""COMPUTED_VALUE"""),"https://googleprojectzero.github.io/0days-in-the-wild/0day-RCAs/2022/CVE-2022-22675.html")</f>
        <v>https://googleprojectzero.github.io/0days-in-the-wild/0day-RCAs/2022/CVE-2022-22675.html</v>
      </c>
      <c r="K87" t="str">
        <f>IFERROR(__xludf.DUMMYFUNCTION("""COMPUTED_VALUE"""),"???")</f>
        <v>???</v>
      </c>
    </row>
    <row r="88">
      <c r="A88" t="str">
        <f>IFERROR(__xludf.DUMMYFUNCTION("""COMPUTED_VALUE"""),"CVE-2022-26871")</f>
        <v>CVE-2022-26871</v>
      </c>
      <c r="B88" t="str">
        <f>IFERROR(__xludf.DUMMYFUNCTION("""COMPUTED_VALUE"""),"Trend Micro")</f>
        <v>Trend Micro</v>
      </c>
      <c r="C88" t="str">
        <f>IFERROR(__xludf.DUMMYFUNCTION("""COMPUTED_VALUE"""),"Apex Central")</f>
        <v>Apex Central</v>
      </c>
      <c r="D88" t="str">
        <f>IFERROR(__xludf.DUMMYFUNCTION("""COMPUTED_VALUE"""),"Logic/Design Flaw")</f>
        <v>Logic/Design Flaw</v>
      </c>
      <c r="E88" t="str">
        <f>IFERROR(__xludf.DUMMYFUNCTION("""COMPUTED_VALUE"""),"Arbitrary file upload remote code execution")</f>
        <v>Arbitrary file upload remote code execution</v>
      </c>
      <c r="F88" t="str">
        <f>IFERROR(__xludf.DUMMYFUNCTION("""COMPUTED_VALUE"""),"???")</f>
        <v>???</v>
      </c>
      <c r="G88" s="9">
        <f>IFERROR(__xludf.DUMMYFUNCTION("""COMPUTED_VALUE"""),44651.0)</f>
        <v>44651</v>
      </c>
      <c r="H88" s="10" t="str">
        <f>IFERROR(__xludf.DUMMYFUNCTION("""COMPUTED_VALUE"""),"https://success.trendmicro.com/dcx/s/solution/000290678?language=en_US")</f>
        <v>https://success.trendmicro.com/dcx/s/solution/000290678?language=en_US</v>
      </c>
      <c r="I88" t="str">
        <f>IFERROR(__xludf.DUMMYFUNCTION("""COMPUTED_VALUE"""),"???")</f>
        <v>???</v>
      </c>
      <c r="J88" t="str">
        <f>IFERROR(__xludf.DUMMYFUNCTION("""COMPUTED_VALUE"""),"???")</f>
        <v>???</v>
      </c>
      <c r="K88" t="str">
        <f>IFERROR(__xludf.DUMMYFUNCTION("""COMPUTED_VALUE"""),"Trend Micro Research")</f>
        <v>Trend Micro Research</v>
      </c>
    </row>
    <row r="89">
      <c r="A89" t="str">
        <f>IFERROR(__xludf.DUMMYFUNCTION("""COMPUTED_VALUE"""),"CVE-2022-1040")</f>
        <v>CVE-2022-1040</v>
      </c>
      <c r="B89" t="str">
        <f>IFERROR(__xludf.DUMMYFUNCTION("""COMPUTED_VALUE"""),"Sophos")</f>
        <v>Sophos</v>
      </c>
      <c r="C89" t="str">
        <f>IFERROR(__xludf.DUMMYFUNCTION("""COMPUTED_VALUE"""),"Firewall")</f>
        <v>Firewall</v>
      </c>
      <c r="D89" t="str">
        <f>IFERROR(__xludf.DUMMYFUNCTION("""COMPUTED_VALUE"""),"Logic/Design Flaw")</f>
        <v>Logic/Design Flaw</v>
      </c>
      <c r="E89" t="str">
        <f>IFERROR(__xludf.DUMMYFUNCTION("""COMPUTED_VALUE"""),"Authentication bypass allowing RCE")</f>
        <v>Authentication bypass allowing RCE</v>
      </c>
      <c r="F89" t="str">
        <f>IFERROR(__xludf.DUMMYFUNCTION("""COMPUTED_VALUE"""),"???")</f>
        <v>???</v>
      </c>
      <c r="G89" s="9">
        <f>IFERROR(__xludf.DUMMYFUNCTION("""COMPUTED_VALUE"""),44645.0)</f>
        <v>44645</v>
      </c>
      <c r="H89" s="10" t="str">
        <f>IFERROR(__xludf.DUMMYFUNCTION("""COMPUTED_VALUE"""),"https://www.sophos.com/en-us/security-advisories/sophos-sa-20220325-sfos-rce ")</f>
        <v>https://www.sophos.com/en-us/security-advisories/sophos-sa-20220325-sfos-rce </v>
      </c>
      <c r="I89" s="10" t="str">
        <f>IFERROR(__xludf.DUMMYFUNCTION("""COMPUTED_VALUE"""),"https://news.sophos.com/en-us/2022/06/15/sophos-uncovers-how-apt-groups-carried-out-highly-targeted-attack/")</f>
        <v>https://news.sophos.com/en-us/2022/06/15/sophos-uncovers-how-apt-groups-carried-out-highly-targeted-attack/</v>
      </c>
      <c r="J89" t="str">
        <f>IFERROR(__xludf.DUMMYFUNCTION("""COMPUTED_VALUE"""),"???")</f>
        <v>???</v>
      </c>
      <c r="K89" t="str">
        <f>IFERROR(__xludf.DUMMYFUNCTION("""COMPUTED_VALUE"""),"???")</f>
        <v>???</v>
      </c>
    </row>
    <row r="90">
      <c r="A90" t="str">
        <f>IFERROR(__xludf.DUMMYFUNCTION("""COMPUTED_VALUE"""),"CVE-2022-1096")</f>
        <v>CVE-2022-1096</v>
      </c>
      <c r="B90" t="str">
        <f>IFERROR(__xludf.DUMMYFUNCTION("""COMPUTED_VALUE"""),"Google")</f>
        <v>Google</v>
      </c>
      <c r="C90" t="str">
        <f>IFERROR(__xludf.DUMMYFUNCTION("""COMPUTED_VALUE"""),"Chrome")</f>
        <v>Chrome</v>
      </c>
      <c r="D90" t="str">
        <f>IFERROR(__xludf.DUMMYFUNCTION("""COMPUTED_VALUE"""),"Memory Corruption")</f>
        <v>Memory Corruption</v>
      </c>
      <c r="E90" t="str">
        <f>IFERROR(__xludf.DUMMYFUNCTION("""COMPUTED_VALUE"""),"Type confusion in V8")</f>
        <v>Type confusion in V8</v>
      </c>
      <c r="F90" t="str">
        <f>IFERROR(__xludf.DUMMYFUNCTION("""COMPUTED_VALUE"""),"2022-03-23")</f>
        <v>2022-03-23</v>
      </c>
      <c r="G90" s="9">
        <f>IFERROR(__xludf.DUMMYFUNCTION("""COMPUTED_VALUE"""),44645.0)</f>
        <v>44645</v>
      </c>
      <c r="H90" s="10" t="str">
        <f>IFERROR(__xludf.DUMMYFUNCTION("""COMPUTED_VALUE"""),"https://chromereleases.googleblog.com/2022/03/stable-channel-update-for-desktop_25.html")</f>
        <v>https://chromereleases.googleblog.com/2022/03/stable-channel-update-for-desktop_25.html</v>
      </c>
      <c r="I90" t="str">
        <f>IFERROR(__xludf.DUMMYFUNCTION("""COMPUTED_VALUE"""),"???")</f>
        <v>???</v>
      </c>
      <c r="J90" s="10" t="str">
        <f>IFERROR(__xludf.DUMMYFUNCTION("""COMPUTED_VALUE"""),"https://googleprojectzero.github.io/0days-in-the-wild//0day-RCAs/2022/CVE-2022-1096.html")</f>
        <v>https://googleprojectzero.github.io/0days-in-the-wild//0day-RCAs/2022/CVE-2022-1096.html</v>
      </c>
      <c r="K90" t="str">
        <f>IFERROR(__xludf.DUMMYFUNCTION("""COMPUTED_VALUE"""),"???")</f>
        <v>???</v>
      </c>
    </row>
    <row r="91">
      <c r="A91" t="str">
        <f>IFERROR(__xludf.DUMMYFUNCTION("""COMPUTED_VALUE"""),"CVE-2021-22600")</f>
        <v>CVE-2021-22600</v>
      </c>
      <c r="B91" t="str">
        <f>IFERROR(__xludf.DUMMYFUNCTION("""COMPUTED_VALUE"""),"Google")</f>
        <v>Google</v>
      </c>
      <c r="C91" t="str">
        <f>IFERROR(__xludf.DUMMYFUNCTION("""COMPUTED_VALUE"""),"Android")</f>
        <v>Android</v>
      </c>
      <c r="D91" t="str">
        <f>IFERROR(__xludf.DUMMYFUNCTION("""COMPUTED_VALUE"""),"Memory Corruption")</f>
        <v>Memory Corruption</v>
      </c>
      <c r="E91" t="str">
        <f>IFERROR(__xludf.DUMMYFUNCTION("""COMPUTED_VALUE"""),"Double free in packet_set_ring")</f>
        <v>Double free in packet_set_ring</v>
      </c>
      <c r="F91" t="str">
        <f>IFERROR(__xludf.DUMMYFUNCTION("""COMPUTED_VALUE"""),"???")</f>
        <v>???</v>
      </c>
      <c r="G91" s="9">
        <f>IFERROR(__xludf.DUMMYFUNCTION("""COMPUTED_VALUE"""),44627.0)</f>
        <v>44627</v>
      </c>
      <c r="H91" s="10" t="str">
        <f>IFERROR(__xludf.DUMMYFUNCTION("""COMPUTED_VALUE"""),"https://source.android.com/security/bulletin/pixel/2022-03-01")</f>
        <v>https://source.android.com/security/bulletin/pixel/2022-03-01</v>
      </c>
      <c r="I91" t="str">
        <f>IFERROR(__xludf.DUMMYFUNCTION("""COMPUTED_VALUE"""),"???")</f>
        <v>???</v>
      </c>
      <c r="J91" t="str">
        <f>IFERROR(__xludf.DUMMYFUNCTION("""COMPUTED_VALUE"""),"???")</f>
        <v>???</v>
      </c>
      <c r="K91" t="str">
        <f>IFERROR(__xludf.DUMMYFUNCTION("""COMPUTED_VALUE"""),"???")</f>
        <v>???</v>
      </c>
    </row>
    <row r="92">
      <c r="A92" t="str">
        <f>IFERROR(__xludf.DUMMYFUNCTION("""COMPUTED_VALUE"""),"CVE-2021-39793")</f>
        <v>CVE-2021-39793</v>
      </c>
      <c r="B92" t="str">
        <f>IFERROR(__xludf.DUMMYFUNCTION("""COMPUTED_VALUE"""),"ARM")</f>
        <v>ARM</v>
      </c>
      <c r="C92" t="str">
        <f>IFERROR(__xludf.DUMMYFUNCTION("""COMPUTED_VALUE"""),"Android")</f>
        <v>Android</v>
      </c>
      <c r="D92" t="str">
        <f>IFERROR(__xludf.DUMMYFUNCTION("""COMPUTED_VALUE"""),"Memory Corruption")</f>
        <v>Memory Corruption</v>
      </c>
      <c r="E92" t="str">
        <f>IFERROR(__xludf.DUMMYFUNCTION("""COMPUTED_VALUE"""),"Out-of-bounds write in mali_base_mem")</f>
        <v>Out-of-bounds write in mali_base_mem</v>
      </c>
      <c r="F92" t="str">
        <f>IFERROR(__xludf.DUMMYFUNCTION("""COMPUTED_VALUE"""),"???")</f>
        <v>???</v>
      </c>
      <c r="G92" s="9">
        <f>IFERROR(__xludf.DUMMYFUNCTION("""COMPUTED_VALUE"""),44627.0)</f>
        <v>44627</v>
      </c>
      <c r="H92" s="10" t="str">
        <f>IFERROR(__xludf.DUMMYFUNCTION("""COMPUTED_VALUE"""),"https://source.android.com/security/bulletin/pixel/2022-03-01")</f>
        <v>https://source.android.com/security/bulletin/pixel/2022-03-01</v>
      </c>
      <c r="I92" t="str">
        <f>IFERROR(__xludf.DUMMYFUNCTION("""COMPUTED_VALUE"""),"???")</f>
        <v>???</v>
      </c>
      <c r="J92" s="10" t="str">
        <f>IFERROR(__xludf.DUMMYFUNCTION("""COMPUTED_VALUE"""),"https://googleprojectzero.github.io/0days-in-the-wild//0day-RCAs/2021/CVE-2021-39793.html")</f>
        <v>https://googleprojectzero.github.io/0days-in-the-wild//0day-RCAs/2021/CVE-2021-39793.html</v>
      </c>
      <c r="K92" t="str">
        <f>IFERROR(__xludf.DUMMYFUNCTION("""COMPUTED_VALUE"""),"???")</f>
        <v>???</v>
      </c>
    </row>
    <row r="93">
      <c r="A93" t="str">
        <f>IFERROR(__xludf.DUMMYFUNCTION("""COMPUTED_VALUE"""),"CVE-2022-26485")</f>
        <v>CVE-2022-26485</v>
      </c>
      <c r="B93" t="str">
        <f>IFERROR(__xludf.DUMMYFUNCTION("""COMPUTED_VALUE"""),"Mozilla")</f>
        <v>Mozilla</v>
      </c>
      <c r="C93" t="str">
        <f>IFERROR(__xludf.DUMMYFUNCTION("""COMPUTED_VALUE"""),"Firefox")</f>
        <v>Firefox</v>
      </c>
      <c r="D93" t="str">
        <f>IFERROR(__xludf.DUMMYFUNCTION("""COMPUTED_VALUE"""),"Memory Corruption")</f>
        <v>Memory Corruption</v>
      </c>
      <c r="E93" t="str">
        <f>IFERROR(__xludf.DUMMYFUNCTION("""COMPUTED_VALUE"""),"Use-after-free inXSLT parameter processing")</f>
        <v>Use-after-free inXSLT parameter processing</v>
      </c>
      <c r="F93" t="str">
        <f>IFERROR(__xludf.DUMMYFUNCTION("""COMPUTED_VALUE"""),"??? ")</f>
        <v>??? </v>
      </c>
      <c r="G93" s="9">
        <f>IFERROR(__xludf.DUMMYFUNCTION("""COMPUTED_VALUE"""),44625.0)</f>
        <v>44625</v>
      </c>
      <c r="H93" s="10" t="str">
        <f>IFERROR(__xludf.DUMMYFUNCTION("""COMPUTED_VALUE"""),"https://www.mozilla.org/en-US/security/advisories/mfsa2022-09/")</f>
        <v>https://www.mozilla.org/en-US/security/advisories/mfsa2022-09/</v>
      </c>
      <c r="I93" t="str">
        <f>IFERROR(__xludf.DUMMYFUNCTION("""COMPUTED_VALUE"""),"???")</f>
        <v>???</v>
      </c>
      <c r="J93" t="str">
        <f>IFERROR(__xludf.DUMMYFUNCTION("""COMPUTED_VALUE"""),"???")</f>
        <v>???</v>
      </c>
      <c r="K93" t="str">
        <f>IFERROR(__xludf.DUMMYFUNCTION("""COMPUTED_VALUE"""),"Wang Gang, Liu Jialei, Du Sihang, Huang Yi &amp; Yang Kang of 360 ATA")</f>
        <v>Wang Gang, Liu Jialei, Du Sihang, Huang Yi &amp; Yang Kang of 360 ATA</v>
      </c>
    </row>
    <row r="94">
      <c r="A94" t="str">
        <f>IFERROR(__xludf.DUMMYFUNCTION("""COMPUTED_VALUE"""),"CVE-2022-26486")</f>
        <v>CVE-2022-26486</v>
      </c>
      <c r="B94" t="str">
        <f>IFERROR(__xludf.DUMMYFUNCTION("""COMPUTED_VALUE"""),"Mozilla")</f>
        <v>Mozilla</v>
      </c>
      <c r="C94" t="str">
        <f>IFERROR(__xludf.DUMMYFUNCTION("""COMPUTED_VALUE"""),"Firefox")</f>
        <v>Firefox</v>
      </c>
      <c r="D94" t="str">
        <f>IFERROR(__xludf.DUMMYFUNCTION("""COMPUTED_VALUE"""),"Memory Corruption")</f>
        <v>Memory Corruption</v>
      </c>
      <c r="E94" t="str">
        <f>IFERROR(__xludf.DUMMYFUNCTION("""COMPUTED_VALUE"""),"Use-after-free in WebGPU IPC Framework")</f>
        <v>Use-after-free in WebGPU IPC Framework</v>
      </c>
      <c r="F94" t="str">
        <f>IFERROR(__xludf.DUMMYFUNCTION("""COMPUTED_VALUE"""),"???")</f>
        <v>???</v>
      </c>
      <c r="G94" s="9">
        <f>IFERROR(__xludf.DUMMYFUNCTION("""COMPUTED_VALUE"""),44625.0)</f>
        <v>44625</v>
      </c>
      <c r="H94" s="10" t="str">
        <f>IFERROR(__xludf.DUMMYFUNCTION("""COMPUTED_VALUE"""),"https://www.mozilla.org/en-US/security/advisories/mfsa2022-09/")</f>
        <v>https://www.mozilla.org/en-US/security/advisories/mfsa2022-09/</v>
      </c>
      <c r="I94" t="str">
        <f>IFERROR(__xludf.DUMMYFUNCTION("""COMPUTED_VALUE"""),"???")</f>
        <v>???</v>
      </c>
      <c r="J94" t="str">
        <f>IFERROR(__xludf.DUMMYFUNCTION("""COMPUTED_VALUE"""),"???")</f>
        <v>???</v>
      </c>
      <c r="K94" t="str">
        <f>IFERROR(__xludf.DUMMYFUNCTION("""COMPUTED_VALUE"""),"Wang Gang, Liu Jialei, Du Sihang, Huang Yi &amp; Yang Kang of 360 ATA")</f>
        <v>Wang Gang, Liu Jialei, Du Sihang, Huang Yi &amp; Yang Kang of 360 ATA</v>
      </c>
    </row>
    <row r="95">
      <c r="A95" t="str">
        <f>IFERROR(__xludf.DUMMYFUNCTION("""COMPUTED_VALUE"""),"CVE-2022-0609")</f>
        <v>CVE-2022-0609</v>
      </c>
      <c r="B95" t="str">
        <f>IFERROR(__xludf.DUMMYFUNCTION("""COMPUTED_VALUE"""),"Google")</f>
        <v>Google</v>
      </c>
      <c r="C95" t="str">
        <f>IFERROR(__xludf.DUMMYFUNCTION("""COMPUTED_VALUE"""),"Chrome")</f>
        <v>Chrome</v>
      </c>
      <c r="D95" t="str">
        <f>IFERROR(__xludf.DUMMYFUNCTION("""COMPUTED_VALUE"""),"Memory Corruption")</f>
        <v>Memory Corruption</v>
      </c>
      <c r="E95" t="str">
        <f>IFERROR(__xludf.DUMMYFUNCTION("""COMPUTED_VALUE"""),"Use-after-free in Animation")</f>
        <v>Use-after-free in Animation</v>
      </c>
      <c r="F95" t="str">
        <f>IFERROR(__xludf.DUMMYFUNCTION("""COMPUTED_VALUE"""),"2022-02-10")</f>
        <v>2022-02-10</v>
      </c>
      <c r="G95" s="9">
        <f>IFERROR(__xludf.DUMMYFUNCTION("""COMPUTED_VALUE"""),44607.0)</f>
        <v>44607</v>
      </c>
      <c r="H95" s="10" t="str">
        <f>IFERROR(__xludf.DUMMYFUNCTION("""COMPUTED_VALUE"""),"https://chromereleases.googleblog.com/2022/02/stable-channel-update-for-desktop_14.html")</f>
        <v>https://chromereleases.googleblog.com/2022/02/stable-channel-update-for-desktop_14.html</v>
      </c>
      <c r="I95" s="10" t="str">
        <f>IFERROR(__xludf.DUMMYFUNCTION("""COMPUTED_VALUE"""),"https://blog.google/threat-analysis-group/countering-threats-north-korea/")</f>
        <v>https://blog.google/threat-analysis-group/countering-threats-north-korea/</v>
      </c>
      <c r="J95" t="str">
        <f>IFERROR(__xludf.DUMMYFUNCTION("""COMPUTED_VALUE"""),"???")</f>
        <v>???</v>
      </c>
      <c r="K95" t="str">
        <f>IFERROR(__xludf.DUMMYFUNCTION("""COMPUTED_VALUE"""),"Adam Weidemann and Clément Lecigne of Google's Threat Analysis Group")</f>
        <v>Adam Weidemann and Clément Lecigne of Google's Threat Analysis Group</v>
      </c>
    </row>
    <row r="96">
      <c r="A96" t="str">
        <f>IFERROR(__xludf.DUMMYFUNCTION("""COMPUTED_VALUE"""),"CVE-2022-22620")</f>
        <v>CVE-2022-22620</v>
      </c>
      <c r="B96" t="str">
        <f>IFERROR(__xludf.DUMMYFUNCTION("""COMPUTED_VALUE"""),"Apple")</f>
        <v>Apple</v>
      </c>
      <c r="C96" t="str">
        <f>IFERROR(__xludf.DUMMYFUNCTION("""COMPUTED_VALUE"""),"WebKit")</f>
        <v>WebKit</v>
      </c>
      <c r="D96" t="str">
        <f>IFERROR(__xludf.DUMMYFUNCTION("""COMPUTED_VALUE"""),"Memory Corruption")</f>
        <v>Memory Corruption</v>
      </c>
      <c r="E96" t="str">
        <f>IFERROR(__xludf.DUMMYFUNCTION("""COMPUTED_VALUE"""),"Unspecified use-after-free")</f>
        <v>Unspecified use-after-free</v>
      </c>
      <c r="F96" t="str">
        <f>IFERROR(__xludf.DUMMYFUNCTION("""COMPUTED_VALUE"""),"???")</f>
        <v>???</v>
      </c>
      <c r="G96" s="9">
        <f>IFERROR(__xludf.DUMMYFUNCTION("""COMPUTED_VALUE"""),44602.0)</f>
        <v>44602</v>
      </c>
      <c r="H96" s="10" t="str">
        <f>IFERROR(__xludf.DUMMYFUNCTION("""COMPUTED_VALUE"""),"https://support.apple.com/en-us/HT213093")</f>
        <v>https://support.apple.com/en-us/HT213093</v>
      </c>
      <c r="I96" s="10" t="str">
        <f>IFERROR(__xludf.DUMMYFUNCTION("""COMPUTED_VALUE"""),"https://googleprojectzero.blogspot.com/2022/06/an-autopsy-on-zombie-in-wild-0-day.html")</f>
        <v>https://googleprojectzero.blogspot.com/2022/06/an-autopsy-on-zombie-in-wild-0-day.html</v>
      </c>
      <c r="J96" s="10" t="str">
        <f>IFERROR(__xludf.DUMMYFUNCTION("""COMPUTED_VALUE"""),"https://googleprojectzero.github.io/0days-in-the-wild//0day-RCAs/2022/CVE-2022-22620.html")</f>
        <v>https://googleprojectzero.github.io/0days-in-the-wild//0day-RCAs/2022/CVE-2022-22620.html</v>
      </c>
      <c r="K96" t="str">
        <f>IFERROR(__xludf.DUMMYFUNCTION("""COMPUTED_VALUE"""),"???")</f>
        <v>???</v>
      </c>
    </row>
    <row r="97">
      <c r="A97" t="str">
        <f>IFERROR(__xludf.DUMMYFUNCTION("""COMPUTED_VALUE"""),"CVE-2022-24682")</f>
        <v>CVE-2022-24682</v>
      </c>
      <c r="B97" t="str">
        <f>IFERROR(__xludf.DUMMYFUNCTION("""COMPUTED_VALUE"""),"Synacor")</f>
        <v>Synacor</v>
      </c>
      <c r="C97" t="str">
        <f>IFERROR(__xludf.DUMMYFUNCTION("""COMPUTED_VALUE"""),"Zimbra Collaboration Suite")</f>
        <v>Zimbra Collaboration Suite</v>
      </c>
      <c r="D97" t="str">
        <f>IFERROR(__xludf.DUMMYFUNCTION("""COMPUTED_VALUE"""),"XSS")</f>
        <v>XSS</v>
      </c>
      <c r="E97" t="str">
        <f>IFERROR(__xludf.DUMMYFUNCTION("""COMPUTED_VALUE"""),"XSS in calendar using /h/calendar")</f>
        <v>XSS in calendar using /h/calendar</v>
      </c>
      <c r="F97" t="str">
        <f>IFERROR(__xludf.DUMMYFUNCTION("""COMPUTED_VALUE"""),"2021-12-16")</f>
        <v>2021-12-16</v>
      </c>
      <c r="G97" s="9">
        <f>IFERROR(__xludf.DUMMYFUNCTION("""COMPUTED_VALUE"""),44597.0)</f>
        <v>44597</v>
      </c>
      <c r="H97" s="10" t="str">
        <f>IFERROR(__xludf.DUMMYFUNCTION("""COMPUTED_VALUE"""),"https://wiki.zimbra.com/wiki/Zimbra_Releases/8.8.15/P30#Security_Hotfix_Alert")</f>
        <v>https://wiki.zimbra.com/wiki/Zimbra_Releases/8.8.15/P30#Security_Hotfix_Alert</v>
      </c>
      <c r="I97" s="10" t="str">
        <f>IFERROR(__xludf.DUMMYFUNCTION("""COMPUTED_VALUE"""),"https://www.volexity.com/blog/2022/02/03/operation-emailthief-active-exploitation-of-zero-day-xss-vulnerability-in-zimbra/")</f>
        <v>https://www.volexity.com/blog/2022/02/03/operation-emailthief-active-exploitation-of-zero-day-xss-vulnerability-in-zimbra/</v>
      </c>
      <c r="J97" t="str">
        <f>IFERROR(__xludf.DUMMYFUNCTION("""COMPUTED_VALUE"""),"???")</f>
        <v>???</v>
      </c>
      <c r="K97" t="str">
        <f>IFERROR(__xludf.DUMMYFUNCTION("""COMPUTED_VALUE"""),"Volexity")</f>
        <v>Volexity</v>
      </c>
    </row>
    <row r="98">
      <c r="A98" t="str">
        <f>IFERROR(__xludf.DUMMYFUNCTION("""COMPUTED_VALUE"""),"CVE-2022-22587")</f>
        <v>CVE-2022-22587</v>
      </c>
      <c r="B98" t="str">
        <f>IFERROR(__xludf.DUMMYFUNCTION("""COMPUTED_VALUE"""),"Apple")</f>
        <v>Apple</v>
      </c>
      <c r="C98" t="str">
        <f>IFERROR(__xludf.DUMMYFUNCTION("""COMPUTED_VALUE"""),"iOS/macOS")</f>
        <v>iOS/macOS</v>
      </c>
      <c r="D98" t="str">
        <f>IFERROR(__xludf.DUMMYFUNCTION("""COMPUTED_VALUE"""),"Memory Corruption")</f>
        <v>Memory Corruption</v>
      </c>
      <c r="E98" t="str">
        <f>IFERROR(__xludf.DUMMYFUNCTION("""COMPUTED_VALUE"""),"Memory corruption in IOMobileFrameBuffer")</f>
        <v>Memory corruption in IOMobileFrameBuffer</v>
      </c>
      <c r="F98" t="str">
        <f>IFERROR(__xludf.DUMMYFUNCTION("""COMPUTED_VALUE"""),"???")</f>
        <v>???</v>
      </c>
      <c r="G98" s="9">
        <f>IFERROR(__xludf.DUMMYFUNCTION("""COMPUTED_VALUE"""),44587.0)</f>
        <v>44587</v>
      </c>
      <c r="H98" s="10" t="str">
        <f>IFERROR(__xludf.DUMMYFUNCTION("""COMPUTED_VALUE"""),"https://support.apple.com/en-us/HT213053")</f>
        <v>https://support.apple.com/en-us/HT213053</v>
      </c>
      <c r="I98" t="str">
        <f>IFERROR(__xludf.DUMMYFUNCTION("""COMPUTED_VALUE"""),"???")</f>
        <v>???</v>
      </c>
      <c r="J98" t="str">
        <f>IFERROR(__xludf.DUMMYFUNCTION("""COMPUTED_VALUE"""),"???")</f>
        <v>???</v>
      </c>
      <c r="K98" t="str">
        <f>IFERROR(__xludf.DUMMYFUNCTION("""COMPUTED_VALUE"""),"Meysam Firouzi (@R00tkitSMM) of MBition - Mercedes-Benz Innovation Lab, Siddharth Aeri (@b1n4r1b01), &amp; an anonymous reporter")</f>
        <v>Meysam Firouzi (@R00tkitSMM) of MBition - Mercedes-Benz Innovation Lab, Siddharth Aeri (@b1n4r1b01), &amp; an anonymous reporter</v>
      </c>
    </row>
    <row r="99">
      <c r="A99" t="str">
        <f>IFERROR(__xludf.DUMMYFUNCTION("""COMPUTED_VALUE"""),"CVE-2022-21882")</f>
        <v>CVE-2022-21882</v>
      </c>
      <c r="B99" t="str">
        <f>IFERROR(__xludf.DUMMYFUNCTION("""COMPUTED_VALUE"""),"Microsoft")</f>
        <v>Microsoft</v>
      </c>
      <c r="C99" t="str">
        <f>IFERROR(__xludf.DUMMYFUNCTION("""COMPUTED_VALUE"""),"Windows")</f>
        <v>Windows</v>
      </c>
      <c r="D99" t="str">
        <f>IFERROR(__xludf.DUMMYFUNCTION("""COMPUTED_VALUE"""),"Memory Corruption")</f>
        <v>Memory Corruption</v>
      </c>
      <c r="E99" t="str">
        <f>IFERROR(__xludf.DUMMYFUNCTION("""COMPUTED_VALUE"""),"Win32k Elevation of Privilege")</f>
        <v>Win32k Elevation of Privilege</v>
      </c>
      <c r="F99" t="str">
        <f>IFERROR(__xludf.DUMMYFUNCTION("""COMPUTED_VALUE"""),"???")</f>
        <v>???</v>
      </c>
      <c r="G99" s="9">
        <f>IFERROR(__xludf.DUMMYFUNCTION("""COMPUTED_VALUE"""),44572.0)</f>
        <v>44572</v>
      </c>
      <c r="H99" s="10" t="str">
        <f>IFERROR(__xludf.DUMMYFUNCTION("""COMPUTED_VALUE"""),"https://msrc.microsoft.com/update-guide/vulnerability/CVE-2022-21882")</f>
        <v>https://msrc.microsoft.com/update-guide/vulnerability/CVE-2022-21882</v>
      </c>
      <c r="I99" t="str">
        <f>IFERROR(__xludf.DUMMYFUNCTION("""COMPUTED_VALUE"""),"???")</f>
        <v>???</v>
      </c>
      <c r="J99" s="10" t="str">
        <f>IFERROR(__xludf.DUMMYFUNCTION("""COMPUTED_VALUE"""),"https://googleprojectzero.github.io/0days-in-the-wild//0day-RCAs/2022/CVE-2022-21882.html")</f>
        <v>https://googleprojectzero.github.io/0days-in-the-wild//0day-RCAs/2022/CVE-2022-21882.html</v>
      </c>
      <c r="K99" t="str">
        <f>IFERROR(__xludf.DUMMYFUNCTION("""COMPUTED_VALUE"""),"Big CJTeam of Tianfu Cup &amp; RyeLv (@b2ahex)")</f>
        <v>Big CJTeam of Tianfu Cup &amp; RyeLv (@b2ahex)</v>
      </c>
    </row>
    <row r="100">
      <c r="A100" t="str">
        <f>IFERROR(__xludf.DUMMYFUNCTION("""COMPUTED_VALUE"""),"CVE-2021-30983")</f>
        <v>CVE-2021-30983</v>
      </c>
      <c r="B100" t="str">
        <f>IFERROR(__xludf.DUMMYFUNCTION("""COMPUTED_VALUE"""),"Apple")</f>
        <v>Apple</v>
      </c>
      <c r="C100" t="str">
        <f>IFERROR(__xludf.DUMMYFUNCTION("""COMPUTED_VALUE"""),"iOS")</f>
        <v>iOS</v>
      </c>
      <c r="D100" t="str">
        <f>IFERROR(__xludf.DUMMYFUNCTION("""COMPUTED_VALUE"""),"Memory Corruption")</f>
        <v>Memory Corruption</v>
      </c>
      <c r="E100" t="str">
        <f>IFERROR(__xludf.DUMMYFUNCTION("""COMPUTED_VALUE"""),"Buffer overflow in IOMobileFrameBuffer")</f>
        <v>Buffer overflow in IOMobileFrameBuffer</v>
      </c>
      <c r="F100" t="str">
        <f>IFERROR(__xludf.DUMMYFUNCTION("""COMPUTED_VALUE"""),"???")</f>
        <v>???</v>
      </c>
      <c r="G100" s="9">
        <f>IFERROR(__xludf.DUMMYFUNCTION("""COMPUTED_VALUE"""),44543.0)</f>
        <v>44543</v>
      </c>
      <c r="H100" s="10" t="str">
        <f>IFERROR(__xludf.DUMMYFUNCTION("""COMPUTED_VALUE"""),"https://support.apple.com/en-us/HT212976")</f>
        <v>https://support.apple.com/en-us/HT212976</v>
      </c>
      <c r="I100" s="10" t="str">
        <f>IFERROR(__xludf.DUMMYFUNCTION("""COMPUTED_VALUE"""),"https://googleprojectzero.blogspot.com/2022/06/curious-case-carrier-app.html")</f>
        <v>https://googleprojectzero.blogspot.com/2022/06/curious-case-carrier-app.html</v>
      </c>
      <c r="J100" t="str">
        <f>IFERROR(__xludf.DUMMYFUNCTION("""COMPUTED_VALUE"""),"???")</f>
        <v>???</v>
      </c>
      <c r="K100" t="str">
        <f>IFERROR(__xludf.DUMMYFUNCTION("""COMPUTED_VALUE"""),"Pangu via Tianfu Cup")</f>
        <v>Pangu via Tianfu Cup</v>
      </c>
    </row>
    <row r="101">
      <c r="A101" t="str">
        <f>IFERROR(__xludf.DUMMYFUNCTION("""COMPUTED_VALUE"""),"CVE-2021-4102")</f>
        <v>CVE-2021-4102</v>
      </c>
      <c r="B101" t="str">
        <f>IFERROR(__xludf.DUMMYFUNCTION("""COMPUTED_VALUE"""),"Google")</f>
        <v>Google</v>
      </c>
      <c r="C101" t="str">
        <f>IFERROR(__xludf.DUMMYFUNCTION("""COMPUTED_VALUE"""),"Chrome")</f>
        <v>Chrome</v>
      </c>
      <c r="D101" t="str">
        <f>IFERROR(__xludf.DUMMYFUNCTION("""COMPUTED_VALUE"""),"Memory Corruption")</f>
        <v>Memory Corruption</v>
      </c>
      <c r="E101" t="str">
        <f>IFERROR(__xludf.DUMMYFUNCTION("""COMPUTED_VALUE"""),"Use-after-free in V8")</f>
        <v>Use-after-free in V8</v>
      </c>
      <c r="F101" t="str">
        <f>IFERROR(__xludf.DUMMYFUNCTION("""COMPUTED_VALUE"""),"2021-12-09")</f>
        <v>2021-12-09</v>
      </c>
      <c r="G101" s="9">
        <f>IFERROR(__xludf.DUMMYFUNCTION("""COMPUTED_VALUE"""),44543.0)</f>
        <v>44543</v>
      </c>
      <c r="H101" s="10" t="str">
        <f>IFERROR(__xludf.DUMMYFUNCTION("""COMPUTED_VALUE"""),"https://chromereleases.googleblog.com/2021/12/stable-channel-update-for-desktop_13.html")</f>
        <v>https://chromereleases.googleblog.com/2021/12/stable-channel-update-for-desktop_13.html</v>
      </c>
      <c r="I101" t="str">
        <f>IFERROR(__xludf.DUMMYFUNCTION("""COMPUTED_VALUE"""),"???")</f>
        <v>???</v>
      </c>
      <c r="J101" s="10" t="str">
        <f>IFERROR(__xludf.DUMMYFUNCTION("""COMPUTED_VALUE"""),"https://googleprojectzero.github.io/0days-in-the-wild//0day-RCAs/2021/CVE-2021-4102.html")</f>
        <v>https://googleprojectzero.github.io/0days-in-the-wild//0day-RCAs/2021/CVE-2021-4102.html</v>
      </c>
      <c r="K101" t="str">
        <f>IFERROR(__xludf.DUMMYFUNCTION("""COMPUTED_VALUE"""),"???")</f>
        <v>???</v>
      </c>
    </row>
    <row r="102">
      <c r="A102" t="str">
        <f>IFERROR(__xludf.DUMMYFUNCTION("""COMPUTED_VALUE"""),"CVE-2021-42292")</f>
        <v>CVE-2021-42292</v>
      </c>
      <c r="B102" t="str">
        <f>IFERROR(__xludf.DUMMYFUNCTION("""COMPUTED_VALUE"""),"Microsoft")</f>
        <v>Microsoft</v>
      </c>
      <c r="C102" t="str">
        <f>IFERROR(__xludf.DUMMYFUNCTION("""COMPUTED_VALUE"""),"Office")</f>
        <v>Office</v>
      </c>
      <c r="D102" t="str">
        <f>IFERROR(__xludf.DUMMYFUNCTION("""COMPUTED_VALUE"""),"Logic/Design Flaw")</f>
        <v>Logic/Design Flaw</v>
      </c>
      <c r="E102" t="str">
        <f>IFERROR(__xludf.DUMMYFUNCTION("""COMPUTED_VALUE"""),"Excel security feature bypass")</f>
        <v>Excel security feature bypass</v>
      </c>
      <c r="F102" t="str">
        <f>IFERROR(__xludf.DUMMYFUNCTION("""COMPUTED_VALUE"""),"???")</f>
        <v>???</v>
      </c>
      <c r="G102" s="9">
        <f>IFERROR(__xludf.DUMMYFUNCTION("""COMPUTED_VALUE"""),44509.0)</f>
        <v>44509</v>
      </c>
      <c r="H102" s="10" t="str">
        <f>IFERROR(__xludf.DUMMYFUNCTION("""COMPUTED_VALUE"""),"https://msrc.microsoft.com/update-guide/en-US/vulnerability/CVE-2021-42292 ")</f>
        <v>https://msrc.microsoft.com/update-guide/en-US/vulnerability/CVE-2021-42292 </v>
      </c>
      <c r="I102" s="10" t="str">
        <f>IFERROR(__xludf.DUMMYFUNCTION("""COMPUTED_VALUE"""),"https://twitter.com/HaifeiLi/status/1486133229614616577")</f>
        <v>https://twitter.com/HaifeiLi/status/1486133229614616577</v>
      </c>
      <c r="J102" t="str">
        <f>IFERROR(__xludf.DUMMYFUNCTION("""COMPUTED_VALUE"""),"???")</f>
        <v>???</v>
      </c>
      <c r="K102" t="str">
        <f>IFERROR(__xludf.DUMMYFUNCTION("""COMPUTED_VALUE"""),"Microsoft Threat Intelligence Center (MSTIC)")</f>
        <v>Microsoft Threat Intelligence Center (MSTIC)</v>
      </c>
    </row>
    <row r="103">
      <c r="A103" t="str">
        <f>IFERROR(__xludf.DUMMYFUNCTION("""COMPUTED_VALUE"""),"CVE-2021-42321")</f>
        <v>CVE-2021-42321</v>
      </c>
      <c r="B103" t="str">
        <f>IFERROR(__xludf.DUMMYFUNCTION("""COMPUTED_VALUE"""),"Microsoft")</f>
        <v>Microsoft</v>
      </c>
      <c r="C103" t="str">
        <f>IFERROR(__xludf.DUMMYFUNCTION("""COMPUTED_VALUE"""),"Exchange Server")</f>
        <v>Exchange Server</v>
      </c>
      <c r="D103" t="str">
        <f>IFERROR(__xludf.DUMMYFUNCTION("""COMPUTED_VALUE"""),"Logic/Design Flaw")</f>
        <v>Logic/Design Flaw</v>
      </c>
      <c r="E103" t="str">
        <f>IFERROR(__xludf.DUMMYFUNCTION("""COMPUTED_VALUE"""),"Remote code execution")</f>
        <v>Remote code execution</v>
      </c>
      <c r="F103" t="str">
        <f>IFERROR(__xludf.DUMMYFUNCTION("""COMPUTED_VALUE"""),"???")</f>
        <v>???</v>
      </c>
      <c r="G103" s="9">
        <f>IFERROR(__xludf.DUMMYFUNCTION("""COMPUTED_VALUE"""),44509.0)</f>
        <v>44509</v>
      </c>
      <c r="H103" s="10" t="str">
        <f>IFERROR(__xludf.DUMMYFUNCTION("""COMPUTED_VALUE"""),"https://msrc.microsoft.com/update-guide/en-US/vulnerability/CVE-2021-42321")</f>
        <v>https://msrc.microsoft.com/update-guide/en-US/vulnerability/CVE-2021-42321</v>
      </c>
      <c r="I103" s="10" t="str">
        <f>IFERROR(__xludf.DUMMYFUNCTION("""COMPUTED_VALUE"""),"https://peterjson.medium.com/some-notes-about-microsoft-exchange-deserialization-rce-cve-2021-42321-110d04e8852")</f>
        <v>https://peterjson.medium.com/some-notes-about-microsoft-exchange-deserialization-rce-cve-2021-42321-110d04e8852</v>
      </c>
      <c r="J103" t="str">
        <f>IFERROR(__xludf.DUMMYFUNCTION("""COMPUTED_VALUE"""),"???")</f>
        <v>???</v>
      </c>
      <c r="K103" t="str">
        <f>IFERROR(__xludf.DUMMYFUNCTION("""COMPUTED_VALUE"""),"Microsoft Security Response Center, Microsoft Threat Intelligence Center (MSTIC), Yuhao Weng with Sangfor, and 漏洞研究院青训队 with Tianfu")</f>
        <v>Microsoft Security Response Center, Microsoft Threat Intelligence Center (MSTIC), Yuhao Weng with Sangfor, and 漏洞研究院青训队 with Tianfu</v>
      </c>
    </row>
    <row r="104">
      <c r="A104" t="str">
        <f>IFERROR(__xludf.DUMMYFUNCTION("""COMPUTED_VALUE"""),"CVE-2021-1048")</f>
        <v>CVE-2021-1048</v>
      </c>
      <c r="B104" t="str">
        <f>IFERROR(__xludf.DUMMYFUNCTION("""COMPUTED_VALUE"""),"Google")</f>
        <v>Google</v>
      </c>
      <c r="C104" t="str">
        <f>IFERROR(__xludf.DUMMYFUNCTION("""COMPUTED_VALUE"""),"Android")</f>
        <v>Android</v>
      </c>
      <c r="D104" t="str">
        <f>IFERROR(__xludf.DUMMYFUNCTION("""COMPUTED_VALUE"""),"Memory Corruption")</f>
        <v>Memory Corruption</v>
      </c>
      <c r="E104" t="str">
        <f>IFERROR(__xludf.DUMMYFUNCTION("""COMPUTED_VALUE"""),"Use-after-free in ep_loop_check_proc")</f>
        <v>Use-after-free in ep_loop_check_proc</v>
      </c>
      <c r="F104" t="str">
        <f>IFERROR(__xludf.DUMMYFUNCTION("""COMPUTED_VALUE"""),"???")</f>
        <v>???</v>
      </c>
      <c r="G104" s="9">
        <f>IFERROR(__xludf.DUMMYFUNCTION("""COMPUTED_VALUE"""),44506.0)</f>
        <v>44506</v>
      </c>
      <c r="H104" s="10" t="str">
        <f>IFERROR(__xludf.DUMMYFUNCTION("""COMPUTED_VALUE"""),"https://source.android.com/security/bulletin/2021-11-01#2021-11-06-security-patch-level-vulnerability-details")</f>
        <v>https://source.android.com/security/bulletin/2021-11-01#2021-11-06-security-patch-level-vulnerability-details</v>
      </c>
      <c r="I104" s="10" t="str">
        <f>IFERROR(__xludf.DUMMYFUNCTION("""COMPUTED_VALUE"""),"https://blog.google/threat-analysis-group/protecting-android-users-from-0-day-attacks/ ")</f>
        <v>https://blog.google/threat-analysis-group/protecting-android-users-from-0-day-attacks/ </v>
      </c>
      <c r="J104" s="10" t="str">
        <f>IFERROR(__xludf.DUMMYFUNCTION("""COMPUTED_VALUE"""),"https://googleprojectzero.github.io/0days-in-the-wild//0day-RCAs/2021/CVE-2021-1048.html")</f>
        <v>https://googleprojectzero.github.io/0days-in-the-wild//0day-RCAs/2021/CVE-2021-1048.html</v>
      </c>
      <c r="K104" t="str">
        <f>IFERROR(__xludf.DUMMYFUNCTION("""COMPUTED_VALUE"""),"Clément Lecigne and Christian Resell from Google's Threat Analysis Group")</f>
        <v>Clément Lecigne and Christian Resell from Google's Threat Analysis Group</v>
      </c>
    </row>
    <row r="105">
      <c r="A105" t="str">
        <f>IFERROR(__xludf.DUMMYFUNCTION("""COMPUTED_VALUE"""),"CVE-2021-0920")</f>
        <v>CVE-2021-0920</v>
      </c>
      <c r="B105" t="str">
        <f>IFERROR(__xludf.DUMMYFUNCTION("""COMPUTED_VALUE"""),"Google")</f>
        <v>Google</v>
      </c>
      <c r="C105" t="str">
        <f>IFERROR(__xludf.DUMMYFUNCTION("""COMPUTED_VALUE"""),"Android")</f>
        <v>Android</v>
      </c>
      <c r="D105" t="str">
        <f>IFERROR(__xludf.DUMMYFUNCTION("""COMPUTED_VALUE"""),"Memory Corruption")</f>
        <v>Memory Corruption</v>
      </c>
      <c r="E105" t="str">
        <f>IFERROR(__xludf.DUMMYFUNCTION("""COMPUTED_VALUE"""),"Race condition during SCM_RIGHTS garbage collection")</f>
        <v>Race condition during SCM_RIGHTS garbage collection</v>
      </c>
      <c r="F105" t="str">
        <f>IFERROR(__xludf.DUMMYFUNCTION("""COMPUTED_VALUE"""),"???")</f>
        <v>???</v>
      </c>
      <c r="G105" s="9">
        <f>IFERROR(__xludf.DUMMYFUNCTION("""COMPUTED_VALUE"""),44505.0)</f>
        <v>44505</v>
      </c>
      <c r="H105" s="10" t="str">
        <f>IFERROR(__xludf.DUMMYFUNCTION("""COMPUTED_VALUE"""),"https://source.android.com/security/bulletin/2021-11-01#kernel-components")</f>
        <v>https://source.android.com/security/bulletin/2021-11-01#kernel-components</v>
      </c>
      <c r="I105" s="10" t="str">
        <f>IFERROR(__xludf.DUMMYFUNCTION("""COMPUTED_VALUE"""),"https://googleprojectzero.blogspot.com/2022/08/the-quantum-state-of-linux-kernel.html ")</f>
        <v>https://googleprojectzero.blogspot.com/2022/08/the-quantum-state-of-linux-kernel.html </v>
      </c>
      <c r="J105" s="10" t="str">
        <f>IFERROR(__xludf.DUMMYFUNCTION("""COMPUTED_VALUE"""),"https://googleprojectzero.github.io/0days-in-the-wild//0day-RCAs/2021/CVE-2021-0920.html")</f>
        <v>https://googleprojectzero.github.io/0days-in-the-wild//0day-RCAs/2021/CVE-2021-0920.html</v>
      </c>
      <c r="K105" t="str">
        <f>IFERROR(__xludf.DUMMYFUNCTION("""COMPUTED_VALUE"""),"???")</f>
        <v>???</v>
      </c>
    </row>
    <row r="106">
      <c r="A106" t="str">
        <f>IFERROR(__xludf.DUMMYFUNCTION("""COMPUTED_VALUE"""),"CVE-2021-38000")</f>
        <v>CVE-2021-38000</v>
      </c>
      <c r="B106" t="str">
        <f>IFERROR(__xludf.DUMMYFUNCTION("""COMPUTED_VALUE"""),"Google")</f>
        <v>Google</v>
      </c>
      <c r="C106" t="str">
        <f>IFERROR(__xludf.DUMMYFUNCTION("""COMPUTED_VALUE"""),"Chrome")</f>
        <v>Chrome</v>
      </c>
      <c r="D106" t="str">
        <f>IFERROR(__xludf.DUMMYFUNCTION("""COMPUTED_VALUE"""),"Logic/Design Flaw")</f>
        <v>Logic/Design Flaw</v>
      </c>
      <c r="E106" t="str">
        <f>IFERROR(__xludf.DUMMYFUNCTION("""COMPUTED_VALUE"""),"Insufficient validation of untrusted input in Intents")</f>
        <v>Insufficient validation of untrusted input in Intents</v>
      </c>
      <c r="F106" t="str">
        <f>IFERROR(__xludf.DUMMYFUNCTION("""COMPUTED_VALUE"""),"2021-09-15")</f>
        <v>2021-09-15</v>
      </c>
      <c r="G106" s="9">
        <f>IFERROR(__xludf.DUMMYFUNCTION("""COMPUTED_VALUE"""),44497.0)</f>
        <v>44497</v>
      </c>
      <c r="H106" s="10" t="str">
        <f>IFERROR(__xludf.DUMMYFUNCTION("""COMPUTED_VALUE"""),"https://chromereleases.googleblog.com/2021/10/stable-channel-update-for-desktop_28.html")</f>
        <v>https://chromereleases.googleblog.com/2021/10/stable-channel-update-for-desktop_28.html</v>
      </c>
      <c r="I106" s="10" t="str">
        <f>IFERROR(__xludf.DUMMYFUNCTION("""COMPUTED_VALUE"""),"https://blog.google/threat-analysis-group/protecting-android-users-from-0-day-attacks/ ")</f>
        <v>https://blog.google/threat-analysis-group/protecting-android-users-from-0-day-attacks/ </v>
      </c>
      <c r="J106" s="10" t="str">
        <f>IFERROR(__xludf.DUMMYFUNCTION("""COMPUTED_VALUE"""),"https://googleprojectzero.github.io/0days-in-the-wild//0day-RCAs/2021/CVE-2021-38000.html ")</f>
        <v>https://googleprojectzero.github.io/0days-in-the-wild//0day-RCAs/2021/CVE-2021-38000.html </v>
      </c>
      <c r="K106" t="str">
        <f>IFERROR(__xludf.DUMMYFUNCTION("""COMPUTED_VALUE"""),"Clement Lecigne, Neel Mehta, and Maddie Stone of Google Threat Analysis Group")</f>
        <v>Clement Lecigne, Neel Mehta, and Maddie Stone of Google Threat Analysis Group</v>
      </c>
    </row>
    <row r="107">
      <c r="A107" t="str">
        <f>IFERROR(__xludf.DUMMYFUNCTION("""COMPUTED_VALUE"""),"CVE-2021-38003")</f>
        <v>CVE-2021-38003</v>
      </c>
      <c r="B107" t="str">
        <f>IFERROR(__xludf.DUMMYFUNCTION("""COMPUTED_VALUE"""),"Google")</f>
        <v>Google</v>
      </c>
      <c r="C107" t="str">
        <f>IFERROR(__xludf.DUMMYFUNCTION("""COMPUTED_VALUE"""),"Chrome")</f>
        <v>Chrome</v>
      </c>
      <c r="D107" t="str">
        <f>IFERROR(__xludf.DUMMYFUNCTION("""COMPUTED_VALUE"""),"Memory Corruption")</f>
        <v>Memory Corruption</v>
      </c>
      <c r="E107" t="str">
        <f>IFERROR(__xludf.DUMMYFUNCTION("""COMPUTED_VALUE"""),"Inappropriate implementation in V8")</f>
        <v>Inappropriate implementation in V8</v>
      </c>
      <c r="F107" t="str">
        <f>IFERROR(__xludf.DUMMYFUNCTION("""COMPUTED_VALUE"""),"2021-10-26")</f>
        <v>2021-10-26</v>
      </c>
      <c r="G107" s="9">
        <f>IFERROR(__xludf.DUMMYFUNCTION("""COMPUTED_VALUE"""),44497.0)</f>
        <v>44497</v>
      </c>
      <c r="H107" s="10" t="str">
        <f>IFERROR(__xludf.DUMMYFUNCTION("""COMPUTED_VALUE"""),"https://chromereleases.googleblog.com/2021/10/stable-channel-update-for-desktop_28.html")</f>
        <v>https://chromereleases.googleblog.com/2021/10/stable-channel-update-for-desktop_28.html</v>
      </c>
      <c r="I107" s="10" t="str">
        <f>IFERROR(__xludf.DUMMYFUNCTION("""COMPUTED_VALUE"""),"https://blog.google/threat-analysis-group/protecting-android-users-from-0-day-attacks/ ")</f>
        <v>https://blog.google/threat-analysis-group/protecting-android-users-from-0-day-attacks/ </v>
      </c>
      <c r="J107" t="str">
        <f>IFERROR(__xludf.DUMMYFUNCTION("""COMPUTED_VALUE"""),"???")</f>
        <v>???</v>
      </c>
      <c r="K107" t="str">
        <f>IFERROR(__xludf.DUMMYFUNCTION("""COMPUTED_VALUE"""),"Clément Lecigne from Google TAG and Samuel Groß from Google Project Zero")</f>
        <v>Clément Lecigne from Google TAG and Samuel Groß from Google Project Zero</v>
      </c>
    </row>
    <row r="108">
      <c r="A108" t="str">
        <f>IFERROR(__xludf.DUMMYFUNCTION("""COMPUTED_VALUE"""),"CVE-2021-40449")</f>
        <v>CVE-2021-40449</v>
      </c>
      <c r="B108" t="str">
        <f>IFERROR(__xludf.DUMMYFUNCTION("""COMPUTED_VALUE"""),"Microsoft")</f>
        <v>Microsoft</v>
      </c>
      <c r="C108" t="str">
        <f>IFERROR(__xludf.DUMMYFUNCTION("""COMPUTED_VALUE"""),"Windows")</f>
        <v>Windows</v>
      </c>
      <c r="D108" t="str">
        <f>IFERROR(__xludf.DUMMYFUNCTION("""COMPUTED_VALUE"""),"Memory Corruption")</f>
        <v>Memory Corruption</v>
      </c>
      <c r="E108" t="str">
        <f>IFERROR(__xludf.DUMMYFUNCTION("""COMPUTED_VALUE"""),"Use-after-free in Win32k")</f>
        <v>Use-after-free in Win32k</v>
      </c>
      <c r="F108" t="str">
        <f>IFERROR(__xludf.DUMMYFUNCTION("""COMPUTED_VALUE"""),"???")</f>
        <v>???</v>
      </c>
      <c r="G108" s="9">
        <f>IFERROR(__xludf.DUMMYFUNCTION("""COMPUTED_VALUE"""),44481.0)</f>
        <v>44481</v>
      </c>
      <c r="H108" s="10" t="str">
        <f>IFERROR(__xludf.DUMMYFUNCTION("""COMPUTED_VALUE"""),"https://msrc.microsoft.com/update-guide/vulnerability/CVE-2021-40449")</f>
        <v>https://msrc.microsoft.com/update-guide/vulnerability/CVE-2021-40449</v>
      </c>
      <c r="I108" s="10" t="str">
        <f>IFERROR(__xludf.DUMMYFUNCTION("""COMPUTED_VALUE"""),"https://securelist.com/mysterysnail-attacks-with-windows-zero-day/104509/")</f>
        <v>https://securelist.com/mysterysnail-attacks-with-windows-zero-day/104509/</v>
      </c>
      <c r="J108" t="str">
        <f>IFERROR(__xludf.DUMMYFUNCTION("""COMPUTED_VALUE"""),"???")</f>
        <v>???</v>
      </c>
      <c r="K108" t="str">
        <f>IFERROR(__xludf.DUMMYFUNCTION("""COMPUTED_VALUE"""),"Boris Larin (oct0xor) with Kaspersky")</f>
        <v>Boris Larin (oct0xor) with Kaspersky</v>
      </c>
    </row>
    <row r="109">
      <c r="A109" t="str">
        <f>IFERROR(__xludf.DUMMYFUNCTION("""COMPUTED_VALUE"""),"CVE-2021-30883")</f>
        <v>CVE-2021-30883</v>
      </c>
      <c r="B109" t="str">
        <f>IFERROR(__xludf.DUMMYFUNCTION("""COMPUTED_VALUE"""),"Apple")</f>
        <v>Apple</v>
      </c>
      <c r="C109" t="str">
        <f>IFERROR(__xludf.DUMMYFUNCTION("""COMPUTED_VALUE"""),"iOS")</f>
        <v>iOS</v>
      </c>
      <c r="D109" t="str">
        <f>IFERROR(__xludf.DUMMYFUNCTION("""COMPUTED_VALUE"""),"Memory Corruption")</f>
        <v>Memory Corruption</v>
      </c>
      <c r="E109" t="str">
        <f>IFERROR(__xludf.DUMMYFUNCTION("""COMPUTED_VALUE"""),"A memory corruption issue in IOMobileFrameBuffer")</f>
        <v>A memory corruption issue in IOMobileFrameBuffer</v>
      </c>
      <c r="F109" t="str">
        <f>IFERROR(__xludf.DUMMYFUNCTION("""COMPUTED_VALUE"""),"???")</f>
        <v>???</v>
      </c>
      <c r="G109" s="9">
        <f>IFERROR(__xludf.DUMMYFUNCTION("""COMPUTED_VALUE"""),44480.0)</f>
        <v>44480</v>
      </c>
      <c r="H109" s="10" t="str">
        <f>IFERROR(__xludf.DUMMYFUNCTION("""COMPUTED_VALUE"""),"https://support.apple.com/en-us/HT212846")</f>
        <v>https://support.apple.com/en-us/HT212846</v>
      </c>
      <c r="I109" s="10" t="str">
        <f>IFERROR(__xludf.DUMMYFUNCTION("""COMPUTED_VALUE"""),"https://saaramar.github.io/IOMFB_integer_overflow_poc/")</f>
        <v>https://saaramar.github.io/IOMFB_integer_overflow_poc/</v>
      </c>
      <c r="J109" t="str">
        <f>IFERROR(__xludf.DUMMYFUNCTION("""COMPUTED_VALUE"""),"???")</f>
        <v>???</v>
      </c>
      <c r="K109" t="str">
        <f>IFERROR(__xludf.DUMMYFUNCTION("""COMPUTED_VALUE"""),"???")</f>
        <v>???</v>
      </c>
    </row>
    <row r="110">
      <c r="A110" t="str">
        <f>IFERROR(__xludf.DUMMYFUNCTION("""COMPUTED_VALUE"""),"CVE-2021-41773")</f>
        <v>CVE-2021-41773</v>
      </c>
      <c r="B110" t="str">
        <f>IFERROR(__xludf.DUMMYFUNCTION("""COMPUTED_VALUE"""),"Apache")</f>
        <v>Apache</v>
      </c>
      <c r="C110" t="str">
        <f>IFERROR(__xludf.DUMMYFUNCTION("""COMPUTED_VALUE"""),"HTTP Server")</f>
        <v>HTTP Server</v>
      </c>
      <c r="D110" t="str">
        <f>IFERROR(__xludf.DUMMYFUNCTION("""COMPUTED_VALUE"""),"Logic/Design Flaw")</f>
        <v>Logic/Design Flaw</v>
      </c>
      <c r="E110" t="str">
        <f>IFERROR(__xludf.DUMMYFUNCTION("""COMPUTED_VALUE"""),"Path traversal &amp; file disclosure vulnerability")</f>
        <v>Path traversal &amp; file disclosure vulnerability</v>
      </c>
      <c r="F110" t="str">
        <f>IFERROR(__xludf.DUMMYFUNCTION("""COMPUTED_VALUE"""),"2021-09-29")</f>
        <v>2021-09-29</v>
      </c>
      <c r="G110" s="9">
        <f>IFERROR(__xludf.DUMMYFUNCTION("""COMPUTED_VALUE"""),44473.0)</f>
        <v>44473</v>
      </c>
      <c r="H110" s="10" t="str">
        <f>IFERROR(__xludf.DUMMYFUNCTION("""COMPUTED_VALUE"""),"https://httpd.apache.org/security/vulnerabilities_24.html")</f>
        <v>https://httpd.apache.org/security/vulnerabilities_24.html</v>
      </c>
      <c r="I110" t="str">
        <f>IFERROR(__xludf.DUMMYFUNCTION("""COMPUTED_VALUE"""),"???")</f>
        <v>???</v>
      </c>
      <c r="J110" t="str">
        <f>IFERROR(__xludf.DUMMYFUNCTION("""COMPUTED_VALUE"""),"???")</f>
        <v>???</v>
      </c>
      <c r="K110" t="str">
        <f>IFERROR(__xludf.DUMMYFUNCTION("""COMPUTED_VALUE"""),"Ash Daulton along with the cPanel Security Team")</f>
        <v>Ash Daulton along with the cPanel Security Team</v>
      </c>
    </row>
    <row r="111">
      <c r="A111" t="str">
        <f>IFERROR(__xludf.DUMMYFUNCTION("""COMPUTED_VALUE"""),"CVE-2021-25487")</f>
        <v>CVE-2021-25487</v>
      </c>
      <c r="B111" t="str">
        <f>IFERROR(__xludf.DUMMYFUNCTION("""COMPUTED_VALUE"""),"Samsung")</f>
        <v>Samsung</v>
      </c>
      <c r="C111" t="str">
        <f>IFERROR(__xludf.DUMMYFUNCTION("""COMPUTED_VALUE"""),"Android")</f>
        <v>Android</v>
      </c>
      <c r="D111" t="str">
        <f>IFERROR(__xludf.DUMMYFUNCTION("""COMPUTED_VALUE"""),"Memory Corruption")</f>
        <v>Memory Corruption</v>
      </c>
      <c r="E111" t="str">
        <f>IFERROR(__xludf.DUMMYFUNCTION("""COMPUTED_VALUE"""),"Arbitrary code execution via OOB read in modem interface driver")</f>
        <v>Arbitrary code execution via OOB read in modem interface driver</v>
      </c>
      <c r="F111" t="str">
        <f>IFERROR(__xludf.DUMMYFUNCTION("""COMPUTED_VALUE"""),"2021-07-26")</f>
        <v>2021-07-26</v>
      </c>
      <c r="G111" s="9">
        <f>IFERROR(__xludf.DUMMYFUNCTION("""COMPUTED_VALUE"""),44470.0)</f>
        <v>44470</v>
      </c>
      <c r="H111" s="10" t="str">
        <f>IFERROR(__xludf.DUMMYFUNCTION("""COMPUTED_VALUE"""),"https://security.samsungmobile.com/securityUpdate.smsb")</f>
        <v>https://security.samsungmobile.com/securityUpdate.smsb</v>
      </c>
      <c r="I111" t="str">
        <f>IFERROR(__xludf.DUMMYFUNCTION("""COMPUTED_VALUE"""),"???")</f>
        <v>???</v>
      </c>
      <c r="J111" t="str">
        <f>IFERROR(__xludf.DUMMYFUNCTION("""COMPUTED_VALUE"""),"???")</f>
        <v>???</v>
      </c>
      <c r="K111" t="str">
        <f>IFERROR(__xludf.DUMMYFUNCTION("""COMPUTED_VALUE"""),"???")</f>
        <v>???</v>
      </c>
    </row>
    <row r="112">
      <c r="A112" t="str">
        <f>IFERROR(__xludf.DUMMYFUNCTION("""COMPUTED_VALUE"""),"CVE-2021-25489")</f>
        <v>CVE-2021-25489</v>
      </c>
      <c r="B112" t="str">
        <f>IFERROR(__xludf.DUMMYFUNCTION("""COMPUTED_VALUE"""),"Samsung")</f>
        <v>Samsung</v>
      </c>
      <c r="C112" t="str">
        <f>IFERROR(__xludf.DUMMYFUNCTION("""COMPUTED_VALUE"""),"Android")</f>
        <v>Android</v>
      </c>
      <c r="D112" t="str">
        <f>IFERROR(__xludf.DUMMYFUNCTION("""COMPUTED_VALUE"""),"Memory Corruption")</f>
        <v>Memory Corruption</v>
      </c>
      <c r="E112" t="str">
        <f>IFERROR(__xludf.DUMMYFUNCTION("""COMPUTED_VALUE"""),"Format string bug in modem interface driver")</f>
        <v>Format string bug in modem interface driver</v>
      </c>
      <c r="F112" t="str">
        <f>IFERROR(__xludf.DUMMYFUNCTION("""COMPUTED_VALUE"""),"2021-07-16")</f>
        <v>2021-07-16</v>
      </c>
      <c r="G112" s="9">
        <f>IFERROR(__xludf.DUMMYFUNCTION("""COMPUTED_VALUE"""),44470.0)</f>
        <v>44470</v>
      </c>
      <c r="H112" s="10" t="str">
        <f>IFERROR(__xludf.DUMMYFUNCTION("""COMPUTED_VALUE"""),"https://security.samsungmobile.com/securityUpdate.smsb")</f>
        <v>https://security.samsungmobile.com/securityUpdate.smsb</v>
      </c>
      <c r="I112" t="str">
        <f>IFERROR(__xludf.DUMMYFUNCTION("""COMPUTED_VALUE"""),"???")</f>
        <v>???</v>
      </c>
      <c r="J112" t="str">
        <f>IFERROR(__xludf.DUMMYFUNCTION("""COMPUTED_VALUE"""),"???")</f>
        <v>???</v>
      </c>
      <c r="K112" t="str">
        <f>IFERROR(__xludf.DUMMYFUNCTION("""COMPUTED_VALUE"""),"???")</f>
        <v>???</v>
      </c>
    </row>
    <row r="113">
      <c r="A113" t="str">
        <f>IFERROR(__xludf.DUMMYFUNCTION("""COMPUTED_VALUE"""),"CVE-2021-37975")</f>
        <v>CVE-2021-37975</v>
      </c>
      <c r="B113" t="str">
        <f>IFERROR(__xludf.DUMMYFUNCTION("""COMPUTED_VALUE"""),"Google")</f>
        <v>Google</v>
      </c>
      <c r="C113" t="str">
        <f>IFERROR(__xludf.DUMMYFUNCTION("""COMPUTED_VALUE"""),"Chrome")</f>
        <v>Chrome</v>
      </c>
      <c r="D113" t="str">
        <f>IFERROR(__xludf.DUMMYFUNCTION("""COMPUTED_VALUE"""),"Memory Corruption")</f>
        <v>Memory Corruption</v>
      </c>
      <c r="E113" t="str">
        <f>IFERROR(__xludf.DUMMYFUNCTION("""COMPUTED_VALUE"""),"Use-after-free in V8")</f>
        <v>Use-after-free in V8</v>
      </c>
      <c r="F113" t="str">
        <f>IFERROR(__xludf.DUMMYFUNCTION("""COMPUTED_VALUE"""),"2021-09-24")</f>
        <v>2021-09-24</v>
      </c>
      <c r="G113" s="9">
        <f>IFERROR(__xludf.DUMMYFUNCTION("""COMPUTED_VALUE"""),44469.0)</f>
        <v>44469</v>
      </c>
      <c r="H113" s="10" t="str">
        <f>IFERROR(__xludf.DUMMYFUNCTION("""COMPUTED_VALUE"""),"https://chromereleases.googleblog.com/2021/09/stable-channel-update-for-desktop_30.html")</f>
        <v>https://chromereleases.googleblog.com/2021/09/stable-channel-update-for-desktop_30.html</v>
      </c>
      <c r="I113" s="10" t="str">
        <f>IFERROR(__xludf.DUMMYFUNCTION("""COMPUTED_VALUE"""),"https://securitylab.github.com/research/in_the_wild_chrome_cve_2021_37975/")</f>
        <v>https://securitylab.github.com/research/in_the_wild_chrome_cve_2021_37975/</v>
      </c>
      <c r="J113" s="10" t="str">
        <f>IFERROR(__xludf.DUMMYFUNCTION("""COMPUTED_VALUE"""),"https://googleprojectzero.github.io/0days-in-the-wild//0day-RCAs/2021/CVE-2021-37975.html")</f>
        <v>https://googleprojectzero.github.io/0days-in-the-wild//0day-RCAs/2021/CVE-2021-37975.html</v>
      </c>
      <c r="K113" t="str">
        <f>IFERROR(__xludf.DUMMYFUNCTION("""COMPUTED_VALUE"""),"???")</f>
        <v>???</v>
      </c>
    </row>
    <row r="114">
      <c r="A114" t="str">
        <f>IFERROR(__xludf.DUMMYFUNCTION("""COMPUTED_VALUE"""),"CVE-2021-37976")</f>
        <v>CVE-2021-37976</v>
      </c>
      <c r="B114" t="str">
        <f>IFERROR(__xludf.DUMMYFUNCTION("""COMPUTED_VALUE"""),"Google")</f>
        <v>Google</v>
      </c>
      <c r="C114" t="str">
        <f>IFERROR(__xludf.DUMMYFUNCTION("""COMPUTED_VALUE"""),"Chrome")</f>
        <v>Chrome</v>
      </c>
      <c r="D114" t="str">
        <f>IFERROR(__xludf.DUMMYFUNCTION("""COMPUTED_VALUE"""),"Memory Corruption")</f>
        <v>Memory Corruption</v>
      </c>
      <c r="E114" t="str">
        <f>IFERROR(__xludf.DUMMYFUNCTION("""COMPUTED_VALUE"""),"Information leak in Core")</f>
        <v>Information leak in Core</v>
      </c>
      <c r="F114" t="str">
        <f>IFERROR(__xludf.DUMMYFUNCTION("""COMPUTED_VALUE"""),"2021-09-21")</f>
        <v>2021-09-21</v>
      </c>
      <c r="G114" s="9">
        <f>IFERROR(__xludf.DUMMYFUNCTION("""COMPUTED_VALUE"""),44469.0)</f>
        <v>44469</v>
      </c>
      <c r="H114" s="10" t="str">
        <f>IFERROR(__xludf.DUMMYFUNCTION("""COMPUTED_VALUE"""),"https://chromereleases.googleblog.com/2021/09/stable-channel-update-for-desktop_30.html")</f>
        <v>https://chromereleases.googleblog.com/2021/09/stable-channel-update-for-desktop_30.html</v>
      </c>
      <c r="I114" s="10" t="str">
        <f>IFERROR(__xludf.DUMMYFUNCTION("""COMPUTED_VALUE"""),"https://blog.google/threat-analysis-group/protecting-android-users-from-0-day-attacks/ ")</f>
        <v>https://blog.google/threat-analysis-group/protecting-android-users-from-0-day-attacks/ </v>
      </c>
      <c r="J114" t="str">
        <f>IFERROR(__xludf.DUMMYFUNCTION("""COMPUTED_VALUE"""),"???")</f>
        <v>???</v>
      </c>
      <c r="K114" t="str">
        <f>IFERROR(__xludf.DUMMYFUNCTION("""COMPUTED_VALUE"""),"Clément Lecigne from Google TAG, with technical assistance from Sergei Glazunov and Mark Brand from Google Project Zero")</f>
        <v>Clément Lecigne from Google TAG, with technical assistance from Sergei Glazunov and Mark Brand from Google Project Zero</v>
      </c>
    </row>
    <row r="115">
      <c r="A115" t="str">
        <f>IFERROR(__xludf.DUMMYFUNCTION("""COMPUTED_VALUE"""),"CVE-2021-37973")</f>
        <v>CVE-2021-37973</v>
      </c>
      <c r="B115" t="str">
        <f>IFERROR(__xludf.DUMMYFUNCTION("""COMPUTED_VALUE"""),"Google")</f>
        <v>Google</v>
      </c>
      <c r="C115" t="str">
        <f>IFERROR(__xludf.DUMMYFUNCTION("""COMPUTED_VALUE"""),"Chrome")</f>
        <v>Chrome</v>
      </c>
      <c r="D115" t="str">
        <f>IFERROR(__xludf.DUMMYFUNCTION("""COMPUTED_VALUE"""),"Memory Corruption")</f>
        <v>Memory Corruption</v>
      </c>
      <c r="E115" t="str">
        <f>IFERROR(__xludf.DUMMYFUNCTION("""COMPUTED_VALUE"""),"Use-after-free in Portals")</f>
        <v>Use-after-free in Portals</v>
      </c>
      <c r="F115" t="str">
        <f>IFERROR(__xludf.DUMMYFUNCTION("""COMPUTED_VALUE"""),"2021-09-21")</f>
        <v>2021-09-21</v>
      </c>
      <c r="G115" s="9">
        <f>IFERROR(__xludf.DUMMYFUNCTION("""COMPUTED_VALUE"""),44463.0)</f>
        <v>44463</v>
      </c>
      <c r="H115" s="10" t="str">
        <f>IFERROR(__xludf.DUMMYFUNCTION("""COMPUTED_VALUE"""),"https://chromereleases.googleblog.com/2021/09/stable-channel-update-for-desktop_24.html")</f>
        <v>https://chromereleases.googleblog.com/2021/09/stable-channel-update-for-desktop_24.html</v>
      </c>
      <c r="I115" s="10" t="str">
        <f>IFERROR(__xludf.DUMMYFUNCTION("""COMPUTED_VALUE"""),"https://blog.google/threat-analysis-group/protecting-android-users-from-0-day-attacks/ ")</f>
        <v>https://blog.google/threat-analysis-group/protecting-android-users-from-0-day-attacks/ </v>
      </c>
      <c r="J115" t="str">
        <f>IFERROR(__xludf.DUMMYFUNCTION("""COMPUTED_VALUE"""),"???")</f>
        <v>???</v>
      </c>
      <c r="K115" t="str">
        <f>IFERROR(__xludf.DUMMYFUNCTION("""COMPUTED_VALUE"""),"Clément Lecigne from Google TAG, with technical assistance from Sergei Glazunov and Mark Brand from Google Project Zero")</f>
        <v>Clément Lecigne from Google TAG, with technical assistance from Sergei Glazunov and Mark Brand from Google Project Zero</v>
      </c>
    </row>
    <row r="116">
      <c r="A116" t="str">
        <f>IFERROR(__xludf.DUMMYFUNCTION("""COMPUTED_VALUE"""),"CVE-2021-30869")</f>
        <v>CVE-2021-30869</v>
      </c>
      <c r="B116" t="str">
        <f>IFERROR(__xludf.DUMMYFUNCTION("""COMPUTED_VALUE"""),"Apple")</f>
        <v>Apple</v>
      </c>
      <c r="C116" t="str">
        <f>IFERROR(__xludf.DUMMYFUNCTION("""COMPUTED_VALUE"""),"macOS")</f>
        <v>macOS</v>
      </c>
      <c r="D116" t="str">
        <f>IFERROR(__xludf.DUMMYFUNCTION("""COMPUTED_VALUE"""),"Memory Corruption")</f>
        <v>Memory Corruption</v>
      </c>
      <c r="E116" t="str">
        <f>IFERROR(__xludf.DUMMYFUNCTION("""COMPUTED_VALUE"""),"Type confusion in XNU")</f>
        <v>Type confusion in XNU</v>
      </c>
      <c r="F116" t="str">
        <f>IFERROR(__xludf.DUMMYFUNCTION("""COMPUTED_VALUE"""),"???")</f>
        <v>???</v>
      </c>
      <c r="G116" s="9">
        <f>IFERROR(__xludf.DUMMYFUNCTION("""COMPUTED_VALUE"""),44462.0)</f>
        <v>44462</v>
      </c>
      <c r="H116" s="10" t="str">
        <f>IFERROR(__xludf.DUMMYFUNCTION("""COMPUTED_VALUE"""),"https://support.apple.com/en-us/HT212825")</f>
        <v>https://support.apple.com/en-us/HT212825</v>
      </c>
      <c r="I116" s="10" t="str">
        <f>IFERROR(__xludf.DUMMYFUNCTION("""COMPUTED_VALUE"""),"https://blog.google/threat-analysis-group/analyzing-watering-hole-campaign-using-macos-exploits/")</f>
        <v>https://blog.google/threat-analysis-group/analyzing-watering-hole-campaign-using-macos-exploits/</v>
      </c>
      <c r="J116" t="str">
        <f>IFERROR(__xludf.DUMMYFUNCTION("""COMPUTED_VALUE"""),"???")</f>
        <v>???</v>
      </c>
      <c r="K116" t="str">
        <f>IFERROR(__xludf.DUMMYFUNCTION("""COMPUTED_VALUE"""),"Erye Hernandez of Google Threat Analysis Group, Clément Lecigne of Google Threat Analysis Group, and Ian Beer of Google Project Zero")</f>
        <v>Erye Hernandez of Google Threat Analysis Group, Clément Lecigne of Google Threat Analysis Group, and Ian Beer of Google Project Zero</v>
      </c>
    </row>
    <row r="117">
      <c r="A117" t="str">
        <f>IFERROR(__xludf.DUMMYFUNCTION("""COMPUTED_VALUE"""),"CVE-2021-40444")</f>
        <v>CVE-2021-40444</v>
      </c>
      <c r="B117" t="str">
        <f>IFERROR(__xludf.DUMMYFUNCTION("""COMPUTED_VALUE"""),"Microsoft")</f>
        <v>Microsoft</v>
      </c>
      <c r="C117" t="str">
        <f>IFERROR(__xludf.DUMMYFUNCTION("""COMPUTED_VALUE"""),"Internet Explorer")</f>
        <v>Internet Explorer</v>
      </c>
      <c r="D117" t="str">
        <f>IFERROR(__xludf.DUMMYFUNCTION("""COMPUTED_VALUE"""),"Logic/Design Flaw")</f>
        <v>Logic/Design Flaw</v>
      </c>
      <c r="E117" t="str">
        <f>IFERROR(__xludf.DUMMYFUNCTION("""COMPUTED_VALUE"""),"Unspecified remote code execution in MSHTML")</f>
        <v>Unspecified remote code execution in MSHTML</v>
      </c>
      <c r="F117" t="str">
        <f>IFERROR(__xludf.DUMMYFUNCTION("""COMPUTED_VALUE"""),"???")</f>
        <v>???</v>
      </c>
      <c r="G117" s="9">
        <f>IFERROR(__xludf.DUMMYFUNCTION("""COMPUTED_VALUE"""),44453.0)</f>
        <v>44453</v>
      </c>
      <c r="H117" s="10" t="str">
        <f>IFERROR(__xludf.DUMMYFUNCTION("""COMPUTED_VALUE"""),"https://msrc.microsoft.com/update-guide/vulnerability/CVE-2021-40444")</f>
        <v>https://msrc.microsoft.com/update-guide/vulnerability/CVE-2021-40444</v>
      </c>
      <c r="I117" s="10" t="str">
        <f>IFERROR(__xludf.DUMMYFUNCTION("""COMPUTED_VALUE"""),"https://billdemirkapi.me/unpacking-cve-2021-40444-microsoft-office-rce/")</f>
        <v>https://billdemirkapi.me/unpacking-cve-2021-40444-microsoft-office-rce/</v>
      </c>
      <c r="J117" t="str">
        <f>IFERROR(__xludf.DUMMYFUNCTION("""COMPUTED_VALUE"""),"???")</f>
        <v>???</v>
      </c>
      <c r="K117" t="str">
        <f>IFERROR(__xludf.DUMMYFUNCTION("""COMPUTED_VALUE"""),"Rick Cole (MSTIC), Dhanesh Kizhakkinan of Mandiant, Genwei Jiang of Mandiant, Haifei Li of EXPMON, and Byce Abdo of Mandiant")</f>
        <v>Rick Cole (MSTIC), Dhanesh Kizhakkinan of Mandiant, Genwei Jiang of Mandiant, Haifei Li of EXPMON, and Byce Abdo of Mandiant</v>
      </c>
    </row>
    <row r="118">
      <c r="A118" t="str">
        <f>IFERROR(__xludf.DUMMYFUNCTION("""COMPUTED_VALUE"""),"CVE-2021-30860")</f>
        <v>CVE-2021-30860</v>
      </c>
      <c r="B118" t="str">
        <f>IFERROR(__xludf.DUMMYFUNCTION("""COMPUTED_VALUE"""),"Apple")</f>
        <v>Apple</v>
      </c>
      <c r="C118" t="str">
        <f>IFERROR(__xludf.DUMMYFUNCTION("""COMPUTED_VALUE"""),"iOS")</f>
        <v>iOS</v>
      </c>
      <c r="D118" t="str">
        <f>IFERROR(__xludf.DUMMYFUNCTION("""COMPUTED_VALUE"""),"Memory Corruption")</f>
        <v>Memory Corruption</v>
      </c>
      <c r="E118" t="str">
        <f>IFERROR(__xludf.DUMMYFUNCTION("""COMPUTED_VALUE"""),"Integer overflow in CoreGraphics")</f>
        <v>Integer overflow in CoreGraphics</v>
      </c>
      <c r="F118" t="str">
        <f>IFERROR(__xludf.DUMMYFUNCTION("""COMPUTED_VALUE"""),"2021-09-07")</f>
        <v>2021-09-07</v>
      </c>
      <c r="G118" s="9">
        <f>IFERROR(__xludf.DUMMYFUNCTION("""COMPUTED_VALUE"""),44452.0)</f>
        <v>44452</v>
      </c>
      <c r="H118" s="10" t="str">
        <f>IFERROR(__xludf.DUMMYFUNCTION("""COMPUTED_VALUE"""),"https://support.apple.com/en-us/HT212807")</f>
        <v>https://support.apple.com/en-us/HT212807</v>
      </c>
      <c r="I118" s="10" t="str">
        <f>IFERROR(__xludf.DUMMYFUNCTION("""COMPUTED_VALUE"""),"https://googleprojectzero.blogspot.com/2021/12/a-deep-dive-into-nso-zero-click.html ")</f>
        <v>https://googleprojectzero.blogspot.com/2021/12/a-deep-dive-into-nso-zero-click.html </v>
      </c>
      <c r="J118" t="str">
        <f>IFERROR(__xludf.DUMMYFUNCTION("""COMPUTED_VALUE"""),"???")</f>
        <v>???</v>
      </c>
      <c r="K118" t="str">
        <f>IFERROR(__xludf.DUMMYFUNCTION("""COMPUTED_VALUE"""),"The Citizen Lab")</f>
        <v>The Citizen Lab</v>
      </c>
    </row>
    <row r="119">
      <c r="A119" t="str">
        <f>IFERROR(__xludf.DUMMYFUNCTION("""COMPUTED_VALUE"""),"CVE-2021-30858")</f>
        <v>CVE-2021-30858</v>
      </c>
      <c r="B119" t="str">
        <f>IFERROR(__xludf.DUMMYFUNCTION("""COMPUTED_VALUE"""),"Apple")</f>
        <v>Apple</v>
      </c>
      <c r="C119" t="str">
        <f>IFERROR(__xludf.DUMMYFUNCTION("""COMPUTED_VALUE"""),"WebKit")</f>
        <v>WebKit</v>
      </c>
      <c r="D119" t="str">
        <f>IFERROR(__xludf.DUMMYFUNCTION("""COMPUTED_VALUE"""),"Memory Corruption")</f>
        <v>Memory Corruption</v>
      </c>
      <c r="E119" t="str">
        <f>IFERROR(__xludf.DUMMYFUNCTION("""COMPUTED_VALUE"""),"Use-after-free in Indexed DB ")</f>
        <v>Use-after-free in Indexed DB </v>
      </c>
      <c r="F119" t="str">
        <f>IFERROR(__xludf.DUMMYFUNCTION("""COMPUTED_VALUE"""),"???")</f>
        <v>???</v>
      </c>
      <c r="G119" s="9">
        <f>IFERROR(__xludf.DUMMYFUNCTION("""COMPUTED_VALUE"""),44452.0)</f>
        <v>44452</v>
      </c>
      <c r="H119" s="10" t="str">
        <f>IFERROR(__xludf.DUMMYFUNCTION("""COMPUTED_VALUE"""),"https://support.apple.com/en-us/HT212807")</f>
        <v>https://support.apple.com/en-us/HT212807</v>
      </c>
      <c r="I119" t="str">
        <f>IFERROR(__xludf.DUMMYFUNCTION("""COMPUTED_VALUE"""),"???")</f>
        <v>???</v>
      </c>
      <c r="J119" s="10" t="str">
        <f>IFERROR(__xludf.DUMMYFUNCTION("""COMPUTED_VALUE"""),"https://googleprojectzero.github.io/0days-in-the-wild//0day-RCAs/2021/CVE-2021-30858.html")</f>
        <v>https://googleprojectzero.github.io/0days-in-the-wild//0day-RCAs/2021/CVE-2021-30858.html</v>
      </c>
      <c r="K119" t="str">
        <f>IFERROR(__xludf.DUMMYFUNCTION("""COMPUTED_VALUE"""),"???")</f>
        <v>???</v>
      </c>
    </row>
    <row r="120">
      <c r="A120" t="str">
        <f>IFERROR(__xludf.DUMMYFUNCTION("""COMPUTED_VALUE"""),"CVE-2021-30632")</f>
        <v>CVE-2021-30632</v>
      </c>
      <c r="B120" t="str">
        <f>IFERROR(__xludf.DUMMYFUNCTION("""COMPUTED_VALUE"""),"Google")</f>
        <v>Google</v>
      </c>
      <c r="C120" t="str">
        <f>IFERROR(__xludf.DUMMYFUNCTION("""COMPUTED_VALUE"""),"Chrome")</f>
        <v>Chrome</v>
      </c>
      <c r="D120" t="str">
        <f>IFERROR(__xludf.DUMMYFUNCTION("""COMPUTED_VALUE"""),"Memory Corruption")</f>
        <v>Memory Corruption</v>
      </c>
      <c r="E120" t="str">
        <f>IFERROR(__xludf.DUMMYFUNCTION("""COMPUTED_VALUE"""),"Out of bounds write in V8")</f>
        <v>Out of bounds write in V8</v>
      </c>
      <c r="F120" t="str">
        <f>IFERROR(__xludf.DUMMYFUNCTION("""COMPUTED_VALUE"""),"2021-09-08")</f>
        <v>2021-09-08</v>
      </c>
      <c r="G120" s="9">
        <f>IFERROR(__xludf.DUMMYFUNCTION("""COMPUTED_VALUE"""),44452.0)</f>
        <v>44452</v>
      </c>
      <c r="H120" s="10" t="str">
        <f>IFERROR(__xludf.DUMMYFUNCTION("""COMPUTED_VALUE"""),"https://chromereleases.googleblog.com/2021/09/stable-channel-update-for-desktop.html")</f>
        <v>https://chromereleases.googleblog.com/2021/09/stable-channel-update-for-desktop.html</v>
      </c>
      <c r="I120" s="10" t="str">
        <f>IFERROR(__xludf.DUMMYFUNCTION("""COMPUTED_VALUE"""),"https://securitylab.github.com/research/in_the_wild_chrome_cve_2021_30632/ ")</f>
        <v>https://securitylab.github.com/research/in_the_wild_chrome_cve_2021_30632/ </v>
      </c>
      <c r="J120" s="10" t="str">
        <f>IFERROR(__xludf.DUMMYFUNCTION("""COMPUTED_VALUE"""),"https://googleprojectzero.github.io/0days-in-the-wild//0day-RCAs/2021/CVE-2021-30632.html")</f>
        <v>https://googleprojectzero.github.io/0days-in-the-wild//0day-RCAs/2021/CVE-2021-30632.html</v>
      </c>
      <c r="K120" t="str">
        <f>IFERROR(__xludf.DUMMYFUNCTION("""COMPUTED_VALUE"""),"???")</f>
        <v>???</v>
      </c>
    </row>
    <row r="121">
      <c r="A121" t="str">
        <f>IFERROR(__xludf.DUMMYFUNCTION("""COMPUTED_VALUE"""),"CVE-2021-30633")</f>
        <v>CVE-2021-30633</v>
      </c>
      <c r="B121" t="str">
        <f>IFERROR(__xludf.DUMMYFUNCTION("""COMPUTED_VALUE"""),"Google")</f>
        <v>Google</v>
      </c>
      <c r="C121" t="str">
        <f>IFERROR(__xludf.DUMMYFUNCTION("""COMPUTED_VALUE"""),"Chrome")</f>
        <v>Chrome</v>
      </c>
      <c r="D121" t="str">
        <f>IFERROR(__xludf.DUMMYFUNCTION("""COMPUTED_VALUE"""),"Memory Corruption")</f>
        <v>Memory Corruption</v>
      </c>
      <c r="E121" t="str">
        <f>IFERROR(__xludf.DUMMYFUNCTION("""COMPUTED_VALUE"""),"Use-after-free in Indexed DB ")</f>
        <v>Use-after-free in Indexed DB </v>
      </c>
      <c r="F121" t="str">
        <f>IFERROR(__xludf.DUMMYFUNCTION("""COMPUTED_VALUE"""),"2021-09-08")</f>
        <v>2021-09-08</v>
      </c>
      <c r="G121" s="9">
        <f>IFERROR(__xludf.DUMMYFUNCTION("""COMPUTED_VALUE"""),44452.0)</f>
        <v>44452</v>
      </c>
      <c r="H121" s="10" t="str">
        <f>IFERROR(__xludf.DUMMYFUNCTION("""COMPUTED_VALUE"""),"https://chromereleases.googleblog.com/2021/09/stable-channel-update-for-desktop.html")</f>
        <v>https://chromereleases.googleblog.com/2021/09/stable-channel-update-for-desktop.html</v>
      </c>
      <c r="I121" t="str">
        <f>IFERROR(__xludf.DUMMYFUNCTION("""COMPUTED_VALUE"""),"???")</f>
        <v>???</v>
      </c>
      <c r="J121" t="str">
        <f>IFERROR(__xludf.DUMMYFUNCTION("""COMPUTED_VALUE"""),"???")</f>
        <v>???</v>
      </c>
      <c r="K121" t="str">
        <f>IFERROR(__xludf.DUMMYFUNCTION("""COMPUTED_VALUE"""),"???")</f>
        <v>???</v>
      </c>
    </row>
    <row r="122">
      <c r="A122" t="str">
        <f>IFERROR(__xludf.DUMMYFUNCTION("""COMPUTED_VALUE"""),"CVE-2021-31010")</f>
        <v>CVE-2021-31010</v>
      </c>
      <c r="B122" t="str">
        <f>IFERROR(__xludf.DUMMYFUNCTION("""COMPUTED_VALUE"""),"Apple")</f>
        <v>Apple</v>
      </c>
      <c r="C122" t="str">
        <f>IFERROR(__xludf.DUMMYFUNCTION("""COMPUTED_VALUE"""),"iOS")</f>
        <v>iOS</v>
      </c>
      <c r="D122" t="str">
        <f>IFERROR(__xludf.DUMMYFUNCTION("""COMPUTED_VALUE"""),"Logic/Design Flaw")</f>
        <v>Logic/Design Flaw</v>
      </c>
      <c r="E122" t="str">
        <f>IFERROR(__xludf.DUMMYFUNCTION("""COMPUTED_VALUE"""),"Vulnerability in CommCenter")</f>
        <v>Vulnerability in CommCenter</v>
      </c>
      <c r="F122" t="str">
        <f>IFERROR(__xludf.DUMMYFUNCTION("""COMPUTED_VALUE"""),"???")</f>
        <v>???</v>
      </c>
      <c r="G122" s="9">
        <f>IFERROR(__xludf.DUMMYFUNCTION("""COMPUTED_VALUE"""),44452.0)</f>
        <v>44452</v>
      </c>
      <c r="H122" s="10" t="str">
        <f>IFERROR(__xludf.DUMMYFUNCTION("""COMPUTED_VALUE"""),"https://support.apple.com/en-us/HT212807")</f>
        <v>https://support.apple.com/en-us/HT212807</v>
      </c>
      <c r="I122" s="10" t="str">
        <f>IFERROR(__xludf.DUMMYFUNCTION("""COMPUTED_VALUE"""),"https://googleprojectzero.blogspot.com/2022/03/forcedentry-sandbox-escape.html")</f>
        <v>https://googleprojectzero.blogspot.com/2022/03/forcedentry-sandbox-escape.html</v>
      </c>
      <c r="J122" t="str">
        <f>IFERROR(__xludf.DUMMYFUNCTION("""COMPUTED_VALUE"""),"???")</f>
        <v>???</v>
      </c>
      <c r="K122" t="str">
        <f>IFERROR(__xludf.DUMMYFUNCTION("""COMPUTED_VALUE"""),"The Citizen Lab &amp; Google Project Zero")</f>
        <v>The Citizen Lab &amp; Google Project Zero</v>
      </c>
    </row>
    <row r="123">
      <c r="A123" t="str">
        <f>IFERROR(__xludf.DUMMYFUNCTION("""COMPUTED_VALUE"""),"CVE-2021-36948")</f>
        <v>CVE-2021-36948</v>
      </c>
      <c r="B123" t="str">
        <f>IFERROR(__xludf.DUMMYFUNCTION("""COMPUTED_VALUE"""),"Microsoft")</f>
        <v>Microsoft</v>
      </c>
      <c r="C123" t="str">
        <f>IFERROR(__xludf.DUMMYFUNCTION("""COMPUTED_VALUE"""),"Windows")</f>
        <v>Windows</v>
      </c>
      <c r="D123" t="str">
        <f>IFERROR(__xludf.DUMMYFUNCTION("""COMPUTED_VALUE"""),"???")</f>
        <v>???</v>
      </c>
      <c r="E123" t="str">
        <f>IFERROR(__xludf.DUMMYFUNCTION("""COMPUTED_VALUE"""),"Windows update medic service elevation of privilege")</f>
        <v>Windows update medic service elevation of privilege</v>
      </c>
      <c r="F123" t="str">
        <f>IFERROR(__xludf.DUMMYFUNCTION("""COMPUTED_VALUE"""),"???")</f>
        <v>???</v>
      </c>
      <c r="G123" s="9">
        <f>IFERROR(__xludf.DUMMYFUNCTION("""COMPUTED_VALUE"""),44419.0)</f>
        <v>44419</v>
      </c>
      <c r="H123" s="10" t="str">
        <f>IFERROR(__xludf.DUMMYFUNCTION("""COMPUTED_VALUE"""),"https://msrc.microsoft.com/update-guide/vulnerability/CVE-2021-36948")</f>
        <v>https://msrc.microsoft.com/update-guide/vulnerability/CVE-2021-36948</v>
      </c>
      <c r="I123" t="str">
        <f>IFERROR(__xludf.DUMMYFUNCTION("""COMPUTED_VALUE"""),"???")</f>
        <v>???</v>
      </c>
      <c r="J123" t="str">
        <f>IFERROR(__xludf.DUMMYFUNCTION("""COMPUTED_VALUE"""),"???")</f>
        <v>???</v>
      </c>
      <c r="K123" t="str">
        <f>IFERROR(__xludf.DUMMYFUNCTION("""COMPUTED_VALUE"""),"Microsoft Threat Intelligence Center (MSTIC)/ Microsoft Security Response Center (MSRC)")</f>
        <v>Microsoft Threat Intelligence Center (MSTIC)/ Microsoft Security Response Center (MSRC)</v>
      </c>
    </row>
    <row r="124">
      <c r="A124" t="str">
        <f>IFERROR(__xludf.DUMMYFUNCTION("""COMPUTED_VALUE"""),"CVE-2021-30807")</f>
        <v>CVE-2021-30807</v>
      </c>
      <c r="B124" t="str">
        <f>IFERROR(__xludf.DUMMYFUNCTION("""COMPUTED_VALUE"""),"Apple")</f>
        <v>Apple</v>
      </c>
      <c r="C124" t="str">
        <f>IFERROR(__xludf.DUMMYFUNCTION("""COMPUTED_VALUE"""),"iOS")</f>
        <v>iOS</v>
      </c>
      <c r="D124" t="str">
        <f>IFERROR(__xludf.DUMMYFUNCTION("""COMPUTED_VALUE"""),"Memory Corruption")</f>
        <v>Memory Corruption</v>
      </c>
      <c r="E124" t="str">
        <f>IFERROR(__xludf.DUMMYFUNCTION("""COMPUTED_VALUE"""),"Memory corruption in IOMobileFrameBuffer")</f>
        <v>Memory corruption in IOMobileFrameBuffer</v>
      </c>
      <c r="F124" t="str">
        <f>IFERROR(__xludf.DUMMYFUNCTION("""COMPUTED_VALUE"""),"???")</f>
        <v>???</v>
      </c>
      <c r="G124" s="9">
        <f>IFERROR(__xludf.DUMMYFUNCTION("""COMPUTED_VALUE"""),44403.0)</f>
        <v>44403</v>
      </c>
      <c r="H124" s="10" t="str">
        <f>IFERROR(__xludf.DUMMYFUNCTION("""COMPUTED_VALUE"""),"https://support.apple.com/en-us/HT212623")</f>
        <v>https://support.apple.com/en-us/HT212623</v>
      </c>
      <c r="I124" s="10" t="str">
        <f>IFERROR(__xludf.DUMMYFUNCTION("""COMPUTED_VALUE"""),"https://saaramar.github.io/IOMobileFrameBuffer_LPE_POC/")</f>
        <v>https://saaramar.github.io/IOMobileFrameBuffer_LPE_POC/</v>
      </c>
      <c r="J124" t="str">
        <f>IFERROR(__xludf.DUMMYFUNCTION("""COMPUTED_VALUE"""),"???")</f>
        <v>???</v>
      </c>
      <c r="K124" t="str">
        <f>IFERROR(__xludf.DUMMYFUNCTION("""COMPUTED_VALUE"""),"???")</f>
        <v>???</v>
      </c>
    </row>
    <row r="125">
      <c r="A125" t="str">
        <f>IFERROR(__xludf.DUMMYFUNCTION("""COMPUTED_VALUE"""),"CVE-2021-30563")</f>
        <v>CVE-2021-30563</v>
      </c>
      <c r="B125" t="str">
        <f>IFERROR(__xludf.DUMMYFUNCTION("""COMPUTED_VALUE"""),"Google")</f>
        <v>Google</v>
      </c>
      <c r="C125" t="str">
        <f>IFERROR(__xludf.DUMMYFUNCTION("""COMPUTED_VALUE"""),"Chrome")</f>
        <v>Chrome</v>
      </c>
      <c r="D125" t="str">
        <f>IFERROR(__xludf.DUMMYFUNCTION("""COMPUTED_VALUE"""),"Memory Corruption")</f>
        <v>Memory Corruption</v>
      </c>
      <c r="E125" t="str">
        <f>IFERROR(__xludf.DUMMYFUNCTION("""COMPUTED_VALUE"""),"Type confusion in v8")</f>
        <v>Type confusion in v8</v>
      </c>
      <c r="F125" t="str">
        <f>IFERROR(__xludf.DUMMYFUNCTION("""COMPUTED_VALUE"""),"2021-07-12")</f>
        <v>2021-07-12</v>
      </c>
      <c r="G125" s="9">
        <f>IFERROR(__xludf.DUMMYFUNCTION("""COMPUTED_VALUE"""),44392.0)</f>
        <v>44392</v>
      </c>
      <c r="H125" s="10" t="str">
        <f>IFERROR(__xludf.DUMMYFUNCTION("""COMPUTED_VALUE"""),"https://chromereleases.googleblog.com/2021/07/stable-channel-update-for-desktop.html")</f>
        <v>https://chromereleases.googleblog.com/2021/07/stable-channel-update-for-desktop.html</v>
      </c>
      <c r="I125" t="str">
        <f>IFERROR(__xludf.DUMMYFUNCTION("""COMPUTED_VALUE"""),"???")</f>
        <v>???</v>
      </c>
      <c r="J125" t="str">
        <f>IFERROR(__xludf.DUMMYFUNCTION("""COMPUTED_VALUE"""),"???")</f>
        <v>???</v>
      </c>
      <c r="K125" t="str">
        <f>IFERROR(__xludf.DUMMYFUNCTION("""COMPUTED_VALUE"""),"???")</f>
        <v>???</v>
      </c>
    </row>
    <row r="126">
      <c r="A126" t="str">
        <f>IFERROR(__xludf.DUMMYFUNCTION("""COMPUTED_VALUE"""),"CVE-2021-33771")</f>
        <v>CVE-2021-33771</v>
      </c>
      <c r="B126" t="str">
        <f>IFERROR(__xludf.DUMMYFUNCTION("""COMPUTED_VALUE"""),"Microsoft")</f>
        <v>Microsoft</v>
      </c>
      <c r="C126" t="str">
        <f>IFERROR(__xludf.DUMMYFUNCTION("""COMPUTED_VALUE"""),"Windows")</f>
        <v>Windows</v>
      </c>
      <c r="D126" t="str">
        <f>IFERROR(__xludf.DUMMYFUNCTION("""COMPUTED_VALUE"""),"Memory Corruption")</f>
        <v>Memory Corruption</v>
      </c>
      <c r="E126" t="str">
        <f>IFERROR(__xludf.DUMMYFUNCTION("""COMPUTED_VALUE"""),"Unspecified kernel escalation of privilege")</f>
        <v>Unspecified kernel escalation of privilege</v>
      </c>
      <c r="F126" t="str">
        <f>IFERROR(__xludf.DUMMYFUNCTION("""COMPUTED_VALUE"""),"???")</f>
        <v>???</v>
      </c>
      <c r="G126" s="9">
        <f>IFERROR(__xludf.DUMMYFUNCTION("""COMPUTED_VALUE"""),44390.0)</f>
        <v>44390</v>
      </c>
      <c r="H126" s="10" t="str">
        <f>IFERROR(__xludf.DUMMYFUNCTION("""COMPUTED_VALUE"""),"https://msrc.microsoft.com/update-guide/vulnerability/CVE-2021-33771")</f>
        <v>https://msrc.microsoft.com/update-guide/vulnerability/CVE-2021-33771</v>
      </c>
      <c r="I126" s="10" t="str">
        <f>IFERROR(__xludf.DUMMYFUNCTION("""COMPUTED_VALUE"""),"https://www.microsoft.com/security/blog/2021/07/15/protecting-customers-from-a-private-sector-offensive-actor-using-0-day-exploits-and-devilstongue-malware/")</f>
        <v>https://www.microsoft.com/security/blog/2021/07/15/protecting-customers-from-a-private-sector-offensive-actor-using-0-day-exploits-and-devilstongue-malware/</v>
      </c>
      <c r="J126" t="str">
        <f>IFERROR(__xludf.DUMMYFUNCTION("""COMPUTED_VALUE"""),"???")</f>
        <v>???</v>
      </c>
      <c r="K126" t="str">
        <f>IFERROR(__xludf.DUMMYFUNCTION("""COMPUTED_VALUE"""),"Microsoft Threat Intelligence Center (MSTIC)/ Microsoft Security Response Center (MSRC)")</f>
        <v>Microsoft Threat Intelligence Center (MSTIC)/ Microsoft Security Response Center (MSRC)</v>
      </c>
    </row>
    <row r="127">
      <c r="A127" t="str">
        <f>IFERROR(__xludf.DUMMYFUNCTION("""COMPUTED_VALUE"""),"CVE-2021-34448")</f>
        <v>CVE-2021-34448</v>
      </c>
      <c r="B127" t="str">
        <f>IFERROR(__xludf.DUMMYFUNCTION("""COMPUTED_VALUE"""),"Microsoft")</f>
        <v>Microsoft</v>
      </c>
      <c r="C127" t="str">
        <f>IFERROR(__xludf.DUMMYFUNCTION("""COMPUTED_VALUE"""),"Internet Explorer")</f>
        <v>Internet Explorer</v>
      </c>
      <c r="D127" t="str">
        <f>IFERROR(__xludf.DUMMYFUNCTION("""COMPUTED_VALUE"""),"Memory Corruption")</f>
        <v>Memory Corruption</v>
      </c>
      <c r="E127" t="str">
        <f>IFERROR(__xludf.DUMMYFUNCTION("""COMPUTED_VALUE"""),"Unspecified scripting engine memory corruption")</f>
        <v>Unspecified scripting engine memory corruption</v>
      </c>
      <c r="F127" t="str">
        <f>IFERROR(__xludf.DUMMYFUNCTION("""COMPUTED_VALUE"""),"???")</f>
        <v>???</v>
      </c>
      <c r="G127" s="9">
        <f>IFERROR(__xludf.DUMMYFUNCTION("""COMPUTED_VALUE"""),44390.0)</f>
        <v>44390</v>
      </c>
      <c r="H127" s="10" t="str">
        <f>IFERROR(__xludf.DUMMYFUNCTION("""COMPUTED_VALUE"""),"https://msrc.microsoft.com/update-guide/vulnerability/CVE-2021-34448")</f>
        <v>https://msrc.microsoft.com/update-guide/vulnerability/CVE-2021-34448</v>
      </c>
      <c r="I127" t="str">
        <f>IFERROR(__xludf.DUMMYFUNCTION("""COMPUTED_VALUE"""),"???")</f>
        <v>???</v>
      </c>
      <c r="J127" t="str">
        <f>IFERROR(__xludf.DUMMYFUNCTION("""COMPUTED_VALUE"""),"???")</f>
        <v>???</v>
      </c>
      <c r="K127" t="str">
        <f>IFERROR(__xludf.DUMMYFUNCTION("""COMPUTED_VALUE"""),"yangkang(@dnpushme)&amp;bianliang&amp;wanggang&amp;lihongfei of 360 ATA")</f>
        <v>yangkang(@dnpushme)&amp;bianliang&amp;wanggang&amp;lihongfei of 360 ATA</v>
      </c>
    </row>
    <row r="128">
      <c r="A128" t="str">
        <f>IFERROR(__xludf.DUMMYFUNCTION("""COMPUTED_VALUE"""),"CVE-2021-31979")</f>
        <v>CVE-2021-31979</v>
      </c>
      <c r="B128" t="str">
        <f>IFERROR(__xludf.DUMMYFUNCTION("""COMPUTED_VALUE"""),"Microsoft")</f>
        <v>Microsoft</v>
      </c>
      <c r="C128" t="str">
        <f>IFERROR(__xludf.DUMMYFUNCTION("""COMPUTED_VALUE"""),"Windows")</f>
        <v>Windows</v>
      </c>
      <c r="D128" t="str">
        <f>IFERROR(__xludf.DUMMYFUNCTION("""COMPUTED_VALUE"""),"Memory Corruption")</f>
        <v>Memory Corruption</v>
      </c>
      <c r="E128" t="str">
        <f>IFERROR(__xludf.DUMMYFUNCTION("""COMPUTED_VALUE"""),"Unspecified kernel escalation of privilege")</f>
        <v>Unspecified kernel escalation of privilege</v>
      </c>
      <c r="F128" t="str">
        <f>IFERROR(__xludf.DUMMYFUNCTION("""COMPUTED_VALUE"""),"???")</f>
        <v>???</v>
      </c>
      <c r="G128" s="9">
        <f>IFERROR(__xludf.DUMMYFUNCTION("""COMPUTED_VALUE"""),44390.0)</f>
        <v>44390</v>
      </c>
      <c r="H128" s="10" t="str">
        <f>IFERROR(__xludf.DUMMYFUNCTION("""COMPUTED_VALUE"""),"https://msrc.microsoft.com/update-guide/vulnerability/CVE-2021-31979")</f>
        <v>https://msrc.microsoft.com/update-guide/vulnerability/CVE-2021-31979</v>
      </c>
      <c r="I128" s="10" t="str">
        <f>IFERROR(__xludf.DUMMYFUNCTION("""COMPUTED_VALUE"""),"https://www.microsoft.com/security/blog/2021/07/15/protecting-customers-from-a-private-sector-offensive-actor-using-0-day-exploits-and-devilstongue-malware/")</f>
        <v>https://www.microsoft.com/security/blog/2021/07/15/protecting-customers-from-a-private-sector-offensive-actor-using-0-day-exploits-and-devilstongue-malware/</v>
      </c>
      <c r="J128" t="str">
        <f>IFERROR(__xludf.DUMMYFUNCTION("""COMPUTED_VALUE"""),"???")</f>
        <v>???</v>
      </c>
      <c r="K128" t="str">
        <f>IFERROR(__xludf.DUMMYFUNCTION("""COMPUTED_VALUE"""),"Microsoft Threat Intelligence Center (MSTIC)/ Microsoft Security Response Center (MSRC)")</f>
        <v>Microsoft Threat Intelligence Center (MSTIC)/ Microsoft Security Response Center (MSRC)</v>
      </c>
    </row>
    <row r="129">
      <c r="A129" t="str">
        <f>IFERROR(__xludf.DUMMYFUNCTION("""COMPUTED_VALUE"""),"CVE-2021-30554")</f>
        <v>CVE-2021-30554</v>
      </c>
      <c r="B129" t="str">
        <f>IFERROR(__xludf.DUMMYFUNCTION("""COMPUTED_VALUE"""),"Google")</f>
        <v>Google</v>
      </c>
      <c r="C129" t="str">
        <f>IFERROR(__xludf.DUMMYFUNCTION("""COMPUTED_VALUE"""),"Chrome")</f>
        <v>Chrome</v>
      </c>
      <c r="D129" t="str">
        <f>IFERROR(__xludf.DUMMYFUNCTION("""COMPUTED_VALUE"""),"Memory Corruption")</f>
        <v>Memory Corruption</v>
      </c>
      <c r="E129" t="str">
        <f>IFERROR(__xludf.DUMMYFUNCTION("""COMPUTED_VALUE"""),"Use-after-free in WebGL")</f>
        <v>Use-after-free in WebGL</v>
      </c>
      <c r="F129" t="str">
        <f>IFERROR(__xludf.DUMMYFUNCTION("""COMPUTED_VALUE"""),"2021-06-15")</f>
        <v>2021-06-15</v>
      </c>
      <c r="G129" s="9">
        <f>IFERROR(__xludf.DUMMYFUNCTION("""COMPUTED_VALUE"""),44364.0)</f>
        <v>44364</v>
      </c>
      <c r="H129" s="10" t="str">
        <f>IFERROR(__xludf.DUMMYFUNCTION("""COMPUTED_VALUE"""),"https://chromereleases.googleblog.com/2021/06/stable-channel-update-for-desktop_17.html")</f>
        <v>https://chromereleases.googleblog.com/2021/06/stable-channel-update-for-desktop_17.html</v>
      </c>
      <c r="I129" t="str">
        <f>IFERROR(__xludf.DUMMYFUNCTION("""COMPUTED_VALUE"""),"???")</f>
        <v>???</v>
      </c>
      <c r="J129" t="str">
        <f>IFERROR(__xludf.DUMMYFUNCTION("""COMPUTED_VALUE"""),"???")</f>
        <v>???</v>
      </c>
      <c r="K129" t="str">
        <f>IFERROR(__xludf.DUMMYFUNCTION("""COMPUTED_VALUE"""),"???")</f>
        <v>???</v>
      </c>
    </row>
    <row r="130">
      <c r="A130" t="str">
        <f>IFERROR(__xludf.DUMMYFUNCTION("""COMPUTED_VALUE"""),"CVE-2021-30551")</f>
        <v>CVE-2021-30551</v>
      </c>
      <c r="B130" t="str">
        <f>IFERROR(__xludf.DUMMYFUNCTION("""COMPUTED_VALUE"""),"Google")</f>
        <v>Google</v>
      </c>
      <c r="C130" t="str">
        <f>IFERROR(__xludf.DUMMYFUNCTION("""COMPUTED_VALUE"""),"Chrome")</f>
        <v>Chrome</v>
      </c>
      <c r="D130" t="str">
        <f>IFERROR(__xludf.DUMMYFUNCTION("""COMPUTED_VALUE"""),"Memory Corruption")</f>
        <v>Memory Corruption</v>
      </c>
      <c r="E130" t="str">
        <f>IFERROR(__xludf.DUMMYFUNCTION("""COMPUTED_VALUE"""),"Type confusion in v8")</f>
        <v>Type confusion in v8</v>
      </c>
      <c r="F130" t="str">
        <f>IFERROR(__xludf.DUMMYFUNCTION("""COMPUTED_VALUE"""),"2021-06-03")</f>
        <v>2021-06-03</v>
      </c>
      <c r="G130" s="9">
        <f>IFERROR(__xludf.DUMMYFUNCTION("""COMPUTED_VALUE"""),44356.0)</f>
        <v>44356</v>
      </c>
      <c r="H130" s="10" t="str">
        <f>IFERROR(__xludf.DUMMYFUNCTION("""COMPUTED_VALUE"""),"https://chromereleases.googleblog.com/2021/06/stable-channel-update-for-desktop.html")</f>
        <v>https://chromereleases.googleblog.com/2021/06/stable-channel-update-for-desktop.html</v>
      </c>
      <c r="I130" s="10" t="str">
        <f>IFERROR(__xludf.DUMMYFUNCTION("""COMPUTED_VALUE"""),"https://blog.google/threat-analysis-group/how-we-protect-users-0-day-attacks/")</f>
        <v>https://blog.google/threat-analysis-group/how-we-protect-users-0-day-attacks/</v>
      </c>
      <c r="J130" s="10" t="str">
        <f>IFERROR(__xludf.DUMMYFUNCTION("""COMPUTED_VALUE"""),"https://googleprojectzero.github.io/0days-in-the-wild/0day-RCAs/2021/CVE-2021-30551.html")</f>
        <v>https://googleprojectzero.github.io/0days-in-the-wild/0day-RCAs/2021/CVE-2021-30551.html</v>
      </c>
      <c r="K130" t="str">
        <f>IFERROR(__xludf.DUMMYFUNCTION("""COMPUTED_VALUE"""),"Clement Lecigne of Google's Threat Analysis Group and Sergei Glazunov of Google Project Zero")</f>
        <v>Clement Lecigne of Google's Threat Analysis Group and Sergei Glazunov of Google Project Zero</v>
      </c>
    </row>
    <row r="131">
      <c r="A131" t="str">
        <f>IFERROR(__xludf.DUMMYFUNCTION("""COMPUTED_VALUE"""),"CVE-2021-31955")</f>
        <v>CVE-2021-31955</v>
      </c>
      <c r="B131" t="str">
        <f>IFERROR(__xludf.DUMMYFUNCTION("""COMPUTED_VALUE"""),"Microsoft")</f>
        <v>Microsoft</v>
      </c>
      <c r="C131" t="str">
        <f>IFERROR(__xludf.DUMMYFUNCTION("""COMPUTED_VALUE"""),"Windows")</f>
        <v>Windows</v>
      </c>
      <c r="D131" t="str">
        <f>IFERROR(__xludf.DUMMYFUNCTION("""COMPUTED_VALUE"""),"Logic/Design Flaw")</f>
        <v>Logic/Design Flaw</v>
      </c>
      <c r="E131" t="str">
        <f>IFERROR(__xludf.DUMMYFUNCTION("""COMPUTED_VALUE"""),"Kernel information disclosure in SuperFetch")</f>
        <v>Kernel information disclosure in SuperFetch</v>
      </c>
      <c r="F131" t="str">
        <f>IFERROR(__xludf.DUMMYFUNCTION("""COMPUTED_VALUE"""),"2021-04-14")</f>
        <v>2021-04-14</v>
      </c>
      <c r="G131" s="9">
        <f>IFERROR(__xludf.DUMMYFUNCTION("""COMPUTED_VALUE"""),44355.0)</f>
        <v>44355</v>
      </c>
      <c r="H131" s="10" t="str">
        <f>IFERROR(__xludf.DUMMYFUNCTION("""COMPUTED_VALUE"""),"https://msrc.microsoft.com/update-guide/vulnerability/CVE-2021-31955")</f>
        <v>https://msrc.microsoft.com/update-guide/vulnerability/CVE-2021-31955</v>
      </c>
      <c r="I131" s="10" t="str">
        <f>IFERROR(__xludf.DUMMYFUNCTION("""COMPUTED_VALUE"""),"https://securelist.com/puzzlemaker-chrome-zero-day-exploit-chain/102771/")</f>
        <v>https://securelist.com/puzzlemaker-chrome-zero-day-exploit-chain/102771/</v>
      </c>
      <c r="J131" t="str">
        <f>IFERROR(__xludf.DUMMYFUNCTION("""COMPUTED_VALUE"""),"???")</f>
        <v>???</v>
      </c>
      <c r="K131" t="str">
        <f>IFERROR(__xludf.DUMMYFUNCTION("""COMPUTED_VALUE"""),"Boris Larin (Oct0xor) of Kaspersky Lab")</f>
        <v>Boris Larin (Oct0xor) of Kaspersky Lab</v>
      </c>
    </row>
    <row r="132">
      <c r="A132" t="str">
        <f>IFERROR(__xludf.DUMMYFUNCTION("""COMPUTED_VALUE"""),"CVE-2021-31956")</f>
        <v>CVE-2021-31956</v>
      </c>
      <c r="B132" t="str">
        <f>IFERROR(__xludf.DUMMYFUNCTION("""COMPUTED_VALUE"""),"Microsoft")</f>
        <v>Microsoft</v>
      </c>
      <c r="C132" t="str">
        <f>IFERROR(__xludf.DUMMYFUNCTION("""COMPUTED_VALUE"""),"Windows")</f>
        <v>Windows</v>
      </c>
      <c r="D132" t="str">
        <f>IFERROR(__xludf.DUMMYFUNCTION("""COMPUTED_VALUE"""),"Memory Corruption")</f>
        <v>Memory Corruption</v>
      </c>
      <c r="E132" t="str">
        <f>IFERROR(__xludf.DUMMYFUNCTION("""COMPUTED_VALUE"""),"Heap-based buffer overflow in ntfs.sys")</f>
        <v>Heap-based buffer overflow in ntfs.sys</v>
      </c>
      <c r="F132" t="str">
        <f>IFERROR(__xludf.DUMMYFUNCTION("""COMPUTED_VALUE"""),"2021-04-14")</f>
        <v>2021-04-14</v>
      </c>
      <c r="G132" s="9">
        <f>IFERROR(__xludf.DUMMYFUNCTION("""COMPUTED_VALUE"""),44355.0)</f>
        <v>44355</v>
      </c>
      <c r="H132" s="10" t="str">
        <f>IFERROR(__xludf.DUMMYFUNCTION("""COMPUTED_VALUE"""),"https://msrc.microsoft.com/update-guide/vulnerability/CVE-2021-31956")</f>
        <v>https://msrc.microsoft.com/update-guide/vulnerability/CVE-2021-31956</v>
      </c>
      <c r="I132" s="10" t="str">
        <f>IFERROR(__xludf.DUMMYFUNCTION("""COMPUTED_VALUE"""),"https://securelist.com/puzzlemaker-chrome-zero-day-exploit-chain/102771/")</f>
        <v>https://securelist.com/puzzlemaker-chrome-zero-day-exploit-chain/102771/</v>
      </c>
      <c r="J132" t="str">
        <f>IFERROR(__xludf.DUMMYFUNCTION("""COMPUTED_VALUE"""),"???")</f>
        <v>???</v>
      </c>
      <c r="K132" t="str">
        <f>IFERROR(__xludf.DUMMYFUNCTION("""COMPUTED_VALUE"""),"Boris Larin (Oct0xor) of Kaspersky Lab")</f>
        <v>Boris Larin (Oct0xor) of Kaspersky Lab</v>
      </c>
    </row>
    <row r="133">
      <c r="A133" t="str">
        <f>IFERROR(__xludf.DUMMYFUNCTION("""COMPUTED_VALUE"""),"CVE-2021-33742")</f>
        <v>CVE-2021-33742</v>
      </c>
      <c r="B133" t="str">
        <f>IFERROR(__xludf.DUMMYFUNCTION("""COMPUTED_VALUE"""),"Microsoft")</f>
        <v>Microsoft</v>
      </c>
      <c r="C133" t="str">
        <f>IFERROR(__xludf.DUMMYFUNCTION("""COMPUTED_VALUE"""),"Internet Explorer")</f>
        <v>Internet Explorer</v>
      </c>
      <c r="D133" t="str">
        <f>IFERROR(__xludf.DUMMYFUNCTION("""COMPUTED_VALUE"""),"Memory Corruption")</f>
        <v>Memory Corruption</v>
      </c>
      <c r="E133" t="str">
        <f>IFERROR(__xludf.DUMMYFUNCTION("""COMPUTED_VALUE"""),"Out-of-bounds write in MSHTML")</f>
        <v>Out-of-bounds write in MSHTML</v>
      </c>
      <c r="F133" t="str">
        <f>IFERROR(__xludf.DUMMYFUNCTION("""COMPUTED_VALUE"""),"2021-06-03")</f>
        <v>2021-06-03</v>
      </c>
      <c r="G133" s="9">
        <f>IFERROR(__xludf.DUMMYFUNCTION("""COMPUTED_VALUE"""),44355.0)</f>
        <v>44355</v>
      </c>
      <c r="H133" s="10" t="str">
        <f>IFERROR(__xludf.DUMMYFUNCTION("""COMPUTED_VALUE"""),"https://msrc.microsoft.com/update-guide/vulnerability/CVE-2021-33742")</f>
        <v>https://msrc.microsoft.com/update-guide/vulnerability/CVE-2021-33742</v>
      </c>
      <c r="I133" s="10" t="str">
        <f>IFERROR(__xludf.DUMMYFUNCTION("""COMPUTED_VALUE"""),"https://blog.google/threat-analysis-group/how-we-protect-users-0-day-attacks/")</f>
        <v>https://blog.google/threat-analysis-group/how-we-protect-users-0-day-attacks/</v>
      </c>
      <c r="J133" s="10" t="str">
        <f>IFERROR(__xludf.DUMMYFUNCTION("""COMPUTED_VALUE"""),"https://googleprojectzero.github.io/0days-in-the-wild/0day-RCAs/2021/CVE-2021-33742.html")</f>
        <v>https://googleprojectzero.github.io/0days-in-the-wild/0day-RCAs/2021/CVE-2021-33742.html</v>
      </c>
      <c r="K133" t="str">
        <f>IFERROR(__xludf.DUMMYFUNCTION("""COMPUTED_VALUE"""),"Clément Lecigne of Google’s Threat Analysis Group")</f>
        <v>Clément Lecigne of Google’s Threat Analysis Group</v>
      </c>
    </row>
    <row r="134">
      <c r="A134" t="str">
        <f>IFERROR(__xludf.DUMMYFUNCTION("""COMPUTED_VALUE"""),"CVE-2021-31199")</f>
        <v>CVE-2021-31199</v>
      </c>
      <c r="B134" t="str">
        <f>IFERROR(__xludf.DUMMYFUNCTION("""COMPUTED_VALUE"""),"Microsoft")</f>
        <v>Microsoft</v>
      </c>
      <c r="C134" t="str">
        <f>IFERROR(__xludf.DUMMYFUNCTION("""COMPUTED_VALUE"""),"Windows")</f>
        <v>Windows</v>
      </c>
      <c r="D134" t="str">
        <f>IFERROR(__xludf.DUMMYFUNCTION("""COMPUTED_VALUE"""),"???")</f>
        <v>???</v>
      </c>
      <c r="E134" t="str">
        <f>IFERROR(__xludf.DUMMYFUNCTION("""COMPUTED_VALUE"""),"Unspecified enhanced crypto provider escalation of privilege")</f>
        <v>Unspecified enhanced crypto provider escalation of privilege</v>
      </c>
      <c r="F134" t="str">
        <f>IFERROR(__xludf.DUMMYFUNCTION("""COMPUTED_VALUE"""),"???")</f>
        <v>???</v>
      </c>
      <c r="G134" s="9">
        <f>IFERROR(__xludf.DUMMYFUNCTION("""COMPUTED_VALUE"""),44355.0)</f>
        <v>44355</v>
      </c>
      <c r="H134" s="10" t="str">
        <f>IFERROR(__xludf.DUMMYFUNCTION("""COMPUTED_VALUE"""),"https://msrc.microsoft.com/update-guide/vulnerability/CVE-2021-31199")</f>
        <v>https://msrc.microsoft.com/update-guide/vulnerability/CVE-2021-31199</v>
      </c>
      <c r="I134" t="str">
        <f>IFERROR(__xludf.DUMMYFUNCTION("""COMPUTED_VALUE"""),"???")</f>
        <v>???</v>
      </c>
      <c r="J134" t="str">
        <f>IFERROR(__xludf.DUMMYFUNCTION("""COMPUTED_VALUE"""),"???")</f>
        <v>???</v>
      </c>
      <c r="K134" t="str">
        <f>IFERROR(__xludf.DUMMYFUNCTION("""COMPUTED_VALUE"""),"???")</f>
        <v>???</v>
      </c>
    </row>
    <row r="135">
      <c r="A135" t="str">
        <f>IFERROR(__xludf.DUMMYFUNCTION("""COMPUTED_VALUE"""),"CVE-2021-31201")</f>
        <v>CVE-2021-31201</v>
      </c>
      <c r="B135" t="str">
        <f>IFERROR(__xludf.DUMMYFUNCTION("""COMPUTED_VALUE"""),"Microsoft")</f>
        <v>Microsoft</v>
      </c>
      <c r="C135" t="str">
        <f>IFERROR(__xludf.DUMMYFUNCTION("""COMPUTED_VALUE"""),"Windows")</f>
        <v>Windows</v>
      </c>
      <c r="D135" t="str">
        <f>IFERROR(__xludf.DUMMYFUNCTION("""COMPUTED_VALUE"""),"???")</f>
        <v>???</v>
      </c>
      <c r="E135" t="str">
        <f>IFERROR(__xludf.DUMMYFUNCTION("""COMPUTED_VALUE"""),"Unspecified enhanced crypto provider escalation of privilege")</f>
        <v>Unspecified enhanced crypto provider escalation of privilege</v>
      </c>
      <c r="F135" t="str">
        <f>IFERROR(__xludf.DUMMYFUNCTION("""COMPUTED_VALUE"""),"???")</f>
        <v>???</v>
      </c>
      <c r="G135" s="9">
        <f>IFERROR(__xludf.DUMMYFUNCTION("""COMPUTED_VALUE"""),44355.0)</f>
        <v>44355</v>
      </c>
      <c r="H135" s="10" t="str">
        <f>IFERROR(__xludf.DUMMYFUNCTION("""COMPUTED_VALUE"""),"https://msrc.microsoft.com/update-guide/vulnerability/CVE-2021-31201")</f>
        <v>https://msrc.microsoft.com/update-guide/vulnerability/CVE-2021-31201</v>
      </c>
      <c r="I135" t="str">
        <f>IFERROR(__xludf.DUMMYFUNCTION("""COMPUTED_VALUE"""),"???")</f>
        <v>???</v>
      </c>
      <c r="J135" t="str">
        <f>IFERROR(__xludf.DUMMYFUNCTION("""COMPUTED_VALUE"""),"???")</f>
        <v>???</v>
      </c>
      <c r="K135" t="str">
        <f>IFERROR(__xludf.DUMMYFUNCTION("""COMPUTED_VALUE"""),"???")</f>
        <v>???</v>
      </c>
    </row>
    <row r="136">
      <c r="A136" t="str">
        <f>IFERROR(__xludf.DUMMYFUNCTION("""COMPUTED_VALUE"""),"CVE-2021-28550")</f>
        <v>CVE-2021-28550</v>
      </c>
      <c r="B136" t="str">
        <f>IFERROR(__xludf.DUMMYFUNCTION("""COMPUTED_VALUE"""),"Adobe")</f>
        <v>Adobe</v>
      </c>
      <c r="C136" t="str">
        <f>IFERROR(__xludf.DUMMYFUNCTION("""COMPUTED_VALUE"""),"Reader")</f>
        <v>Reader</v>
      </c>
      <c r="D136" t="str">
        <f>IFERROR(__xludf.DUMMYFUNCTION("""COMPUTED_VALUE"""),"Memory Corruption")</f>
        <v>Memory Corruption</v>
      </c>
      <c r="E136" t="str">
        <f>IFERROR(__xludf.DUMMYFUNCTION("""COMPUTED_VALUE"""),"Use-after-free")</f>
        <v>Use-after-free</v>
      </c>
      <c r="F136" t="str">
        <f>IFERROR(__xludf.DUMMYFUNCTION("""COMPUTED_VALUE"""),"???")</f>
        <v>???</v>
      </c>
      <c r="G136" s="9">
        <f>IFERROR(__xludf.DUMMYFUNCTION("""COMPUTED_VALUE"""),44327.0)</f>
        <v>44327</v>
      </c>
      <c r="H136" s="10" t="str">
        <f>IFERROR(__xludf.DUMMYFUNCTION("""COMPUTED_VALUE"""),"https://helpx.adobe.com/security/products/acrobat/apsb21-29.html")</f>
        <v>https://helpx.adobe.com/security/products/acrobat/apsb21-29.html</v>
      </c>
      <c r="I136" t="str">
        <f>IFERROR(__xludf.DUMMYFUNCTION("""COMPUTED_VALUE"""),"???")</f>
        <v>???</v>
      </c>
      <c r="J136" t="str">
        <f>IFERROR(__xludf.DUMMYFUNCTION("""COMPUTED_VALUE"""),"???")</f>
        <v>???</v>
      </c>
      <c r="K136" t="str">
        <f>IFERROR(__xludf.DUMMYFUNCTION("""COMPUTED_VALUE"""),"???")</f>
        <v>???</v>
      </c>
    </row>
    <row r="137">
      <c r="A137" t="str">
        <f>IFERROR(__xludf.DUMMYFUNCTION("""COMPUTED_VALUE"""),"CVE-2021-30665")</f>
        <v>CVE-2021-30665</v>
      </c>
      <c r="B137" t="str">
        <f>IFERROR(__xludf.DUMMYFUNCTION("""COMPUTED_VALUE"""),"Apple")</f>
        <v>Apple</v>
      </c>
      <c r="C137" t="str">
        <f>IFERROR(__xludf.DUMMYFUNCTION("""COMPUTED_VALUE"""),"WebKit")</f>
        <v>WebKit</v>
      </c>
      <c r="D137" t="str">
        <f>IFERROR(__xludf.DUMMYFUNCTION("""COMPUTED_VALUE"""),"Memory Corruption")</f>
        <v>Memory Corruption</v>
      </c>
      <c r="E137" t="str">
        <f>IFERROR(__xludf.DUMMYFUNCTION("""COMPUTED_VALUE"""),"Memory corruption related to state management in Webkit")</f>
        <v>Memory corruption related to state management in Webkit</v>
      </c>
      <c r="F137" t="str">
        <f>IFERROR(__xludf.DUMMYFUNCTION("""COMPUTED_VALUE"""),"???")</f>
        <v>???</v>
      </c>
      <c r="G137" s="9">
        <f>IFERROR(__xludf.DUMMYFUNCTION("""COMPUTED_VALUE"""),44319.0)</f>
        <v>44319</v>
      </c>
      <c r="H137" s="10" t="str">
        <f>IFERROR(__xludf.DUMMYFUNCTION("""COMPUTED_VALUE"""),"https://support.apple.com/en-us/HT212336")</f>
        <v>https://support.apple.com/en-us/HT212336</v>
      </c>
      <c r="I137" t="str">
        <f>IFERROR(__xludf.DUMMYFUNCTION("""COMPUTED_VALUE"""),"???")</f>
        <v>???</v>
      </c>
      <c r="J137" t="str">
        <f>IFERROR(__xludf.DUMMYFUNCTION("""COMPUTED_VALUE"""),"???")</f>
        <v>???</v>
      </c>
      <c r="K137" t="str">
        <f>IFERROR(__xludf.DUMMYFUNCTION("""COMPUTED_VALUE"""),"yangkang (@dnpushme)&amp;zerokeeper&amp;bianliang of 360 ATA")</f>
        <v>yangkang (@dnpushme)&amp;zerokeeper&amp;bianliang of 360 ATA</v>
      </c>
    </row>
    <row r="138">
      <c r="A138" t="str">
        <f>IFERROR(__xludf.DUMMYFUNCTION("""COMPUTED_VALUE"""),"CVE-2021-30663")</f>
        <v>CVE-2021-30663</v>
      </c>
      <c r="B138" t="str">
        <f>IFERROR(__xludf.DUMMYFUNCTION("""COMPUTED_VALUE"""),"Apple")</f>
        <v>Apple</v>
      </c>
      <c r="C138" t="str">
        <f>IFERROR(__xludf.DUMMYFUNCTION("""COMPUTED_VALUE"""),"WebKit")</f>
        <v>WebKit</v>
      </c>
      <c r="D138" t="str">
        <f>IFERROR(__xludf.DUMMYFUNCTION("""COMPUTED_VALUE"""),"Memory Corruption")</f>
        <v>Memory Corruption</v>
      </c>
      <c r="E138" t="str">
        <f>IFERROR(__xludf.DUMMYFUNCTION("""COMPUTED_VALUE"""),"Integer overflow in Webkit")</f>
        <v>Integer overflow in Webkit</v>
      </c>
      <c r="F138" t="str">
        <f>IFERROR(__xludf.DUMMYFUNCTION("""COMPUTED_VALUE"""),"???")</f>
        <v>???</v>
      </c>
      <c r="G138" s="9">
        <f>IFERROR(__xludf.DUMMYFUNCTION("""COMPUTED_VALUE"""),44319.0)</f>
        <v>44319</v>
      </c>
      <c r="H138" s="10" t="str">
        <f>IFERROR(__xludf.DUMMYFUNCTION("""COMPUTED_VALUE"""),"https://support.apple.com/en-us/HT212336")</f>
        <v>https://support.apple.com/en-us/HT212336</v>
      </c>
      <c r="I138" t="str">
        <f>IFERROR(__xludf.DUMMYFUNCTION("""COMPUTED_VALUE"""),"???")</f>
        <v>???</v>
      </c>
      <c r="J138" t="str">
        <f>IFERROR(__xludf.DUMMYFUNCTION("""COMPUTED_VALUE"""),"???")</f>
        <v>???</v>
      </c>
      <c r="K138" t="str">
        <f>IFERROR(__xludf.DUMMYFUNCTION("""COMPUTED_VALUE"""),"???")</f>
        <v>???</v>
      </c>
    </row>
    <row r="139">
      <c r="A139" t="str">
        <f>IFERROR(__xludf.DUMMYFUNCTION("""COMPUTED_VALUE"""),"CVE-2021-1905")</f>
        <v>CVE-2021-1905</v>
      </c>
      <c r="B139" t="str">
        <f>IFERROR(__xludf.DUMMYFUNCTION("""COMPUTED_VALUE"""),"Qualcomm")</f>
        <v>Qualcomm</v>
      </c>
      <c r="C139" t="str">
        <f>IFERROR(__xludf.DUMMYFUNCTION("""COMPUTED_VALUE"""),"Android")</f>
        <v>Android</v>
      </c>
      <c r="D139" t="str">
        <f>IFERROR(__xludf.DUMMYFUNCTION("""COMPUTED_VALUE"""),"Memory Corruption")</f>
        <v>Memory Corruption</v>
      </c>
      <c r="E139" t="str">
        <f>IFERROR(__xludf.DUMMYFUNCTION("""COMPUTED_VALUE"""),"Use-after-free in GPU")</f>
        <v>Use-after-free in GPU</v>
      </c>
      <c r="F139" t="str">
        <f>IFERROR(__xludf.DUMMYFUNCTION("""COMPUTED_VALUE"""),"2020-11-17")</f>
        <v>2020-11-17</v>
      </c>
      <c r="G139" s="9">
        <f>IFERROR(__xludf.DUMMYFUNCTION("""COMPUTED_VALUE"""),44319.0)</f>
        <v>44319</v>
      </c>
      <c r="H139" s="10" t="str">
        <f>IFERROR(__xludf.DUMMYFUNCTION("""COMPUTED_VALUE"""),"https://source.android.com/security/bulletin/2021-05-01")</f>
        <v>https://source.android.com/security/bulletin/2021-05-01</v>
      </c>
      <c r="I139" t="str">
        <f>IFERROR(__xludf.DUMMYFUNCTION("""COMPUTED_VALUE"""),"???")</f>
        <v>???</v>
      </c>
      <c r="J139" s="10" t="str">
        <f>IFERROR(__xludf.DUMMYFUNCTION("""COMPUTED_VALUE"""),"https://googleprojectzero.github.io/0days-in-the-wild/0day-RCAs/2021/CVE-2021-1905.html")</f>
        <v>https://googleprojectzero.github.io/0days-in-the-wild/0day-RCAs/2021/CVE-2021-1905.html</v>
      </c>
      <c r="K139" t="str">
        <f>IFERROR(__xludf.DUMMYFUNCTION("""COMPUTED_VALUE"""),"???")</f>
        <v>???</v>
      </c>
    </row>
    <row r="140">
      <c r="A140" t="str">
        <f>IFERROR(__xludf.DUMMYFUNCTION("""COMPUTED_VALUE"""),"CVE-2021-1906")</f>
        <v>CVE-2021-1906</v>
      </c>
      <c r="B140" t="str">
        <f>IFERROR(__xludf.DUMMYFUNCTION("""COMPUTED_VALUE"""),"Qualcomm")</f>
        <v>Qualcomm</v>
      </c>
      <c r="C140" t="str">
        <f>IFERROR(__xludf.DUMMYFUNCTION("""COMPUTED_VALUE"""),"Android")</f>
        <v>Android</v>
      </c>
      <c r="D140" t="str">
        <f>IFERROR(__xludf.DUMMYFUNCTION("""COMPUTED_VALUE"""),"Logic/Design Flaw")</f>
        <v>Logic/Design Flaw</v>
      </c>
      <c r="E140" t="str">
        <f>IFERROR(__xludf.DUMMYFUNCTION("""COMPUTED_VALUE"""),"Improper error handling in GPU")</f>
        <v>Improper error handling in GPU</v>
      </c>
      <c r="F140" t="str">
        <f>IFERROR(__xludf.DUMMYFUNCTION("""COMPUTED_VALUE"""),"2020-11-17")</f>
        <v>2020-11-17</v>
      </c>
      <c r="G140" s="9">
        <f>IFERROR(__xludf.DUMMYFUNCTION("""COMPUTED_VALUE"""),44319.0)</f>
        <v>44319</v>
      </c>
      <c r="H140" s="10" t="str">
        <f>IFERROR(__xludf.DUMMYFUNCTION("""COMPUTED_VALUE"""),"https://source.android.com/security/bulletin/2021-05-01")</f>
        <v>https://source.android.com/security/bulletin/2021-05-01</v>
      </c>
      <c r="I140" t="str">
        <f>IFERROR(__xludf.DUMMYFUNCTION("""COMPUTED_VALUE"""),"???")</f>
        <v>???</v>
      </c>
      <c r="J140" t="str">
        <f>IFERROR(__xludf.DUMMYFUNCTION("""COMPUTED_VALUE"""),"???")</f>
        <v>???</v>
      </c>
      <c r="K140" t="str">
        <f>IFERROR(__xludf.DUMMYFUNCTION("""COMPUTED_VALUE"""),"???")</f>
        <v>???</v>
      </c>
    </row>
    <row r="141">
      <c r="A141" t="str">
        <f>IFERROR(__xludf.DUMMYFUNCTION("""COMPUTED_VALUE"""),"CVE-2021-28663")</f>
        <v>CVE-2021-28663</v>
      </c>
      <c r="B141" t="str">
        <f>IFERROR(__xludf.DUMMYFUNCTION("""COMPUTED_VALUE"""),"ARM")</f>
        <v>ARM</v>
      </c>
      <c r="C141" t="str">
        <f>IFERROR(__xludf.DUMMYFUNCTION("""COMPUTED_VALUE"""),"Android")</f>
        <v>Android</v>
      </c>
      <c r="D141" t="str">
        <f>IFERROR(__xludf.DUMMYFUNCTION("""COMPUTED_VALUE"""),"Memory Corruption")</f>
        <v>Memory Corruption</v>
      </c>
      <c r="E141" t="str">
        <f>IFERROR(__xludf.DUMMYFUNCTION("""COMPUTED_VALUE"""),"Use-after-free in Mali GPU")</f>
        <v>Use-after-free in Mali GPU</v>
      </c>
      <c r="F141" t="str">
        <f>IFERROR(__xludf.DUMMYFUNCTION("""COMPUTED_VALUE"""),"???")</f>
        <v>???</v>
      </c>
      <c r="G141" s="9">
        <f>IFERROR(__xludf.DUMMYFUNCTION("""COMPUTED_VALUE"""),44319.0)</f>
        <v>44319</v>
      </c>
      <c r="H141" s="10" t="str">
        <f>IFERROR(__xludf.DUMMYFUNCTION("""COMPUTED_VALUE"""),"https://source.android.com/security/bulletin/2021-05-01")</f>
        <v>https://source.android.com/security/bulletin/2021-05-01</v>
      </c>
      <c r="I141" s="10" t="str">
        <f>IFERROR(__xludf.DUMMYFUNCTION("""COMPUTED_VALUE"""),"https://github.com/lntrx/CVE-2021-28663")</f>
        <v>https://github.com/lntrx/CVE-2021-28663</v>
      </c>
      <c r="J141" t="str">
        <f>IFERROR(__xludf.DUMMYFUNCTION("""COMPUTED_VALUE"""),"???")</f>
        <v>???</v>
      </c>
      <c r="K141" t="str">
        <f>IFERROR(__xludf.DUMMYFUNCTION("""COMPUTED_VALUE"""),"???")</f>
        <v>???</v>
      </c>
    </row>
    <row r="142">
      <c r="A142" t="str">
        <f>IFERROR(__xludf.DUMMYFUNCTION("""COMPUTED_VALUE"""),"CVE-2021-28664")</f>
        <v>CVE-2021-28664</v>
      </c>
      <c r="B142" t="str">
        <f>IFERROR(__xludf.DUMMYFUNCTION("""COMPUTED_VALUE"""),"ARM")</f>
        <v>ARM</v>
      </c>
      <c r="C142" t="str">
        <f>IFERROR(__xludf.DUMMYFUNCTION("""COMPUTED_VALUE"""),"Android")</f>
        <v>Android</v>
      </c>
      <c r="D142" t="str">
        <f>IFERROR(__xludf.DUMMYFUNCTION("""COMPUTED_VALUE"""),"Memory Corruption")</f>
        <v>Memory Corruption</v>
      </c>
      <c r="E142" t="str">
        <f>IFERROR(__xludf.DUMMYFUNCTION("""COMPUTED_VALUE"""),"Writes to read-only memory in Mali GPU")</f>
        <v>Writes to read-only memory in Mali GPU</v>
      </c>
      <c r="F142" t="str">
        <f>IFERROR(__xludf.DUMMYFUNCTION("""COMPUTED_VALUE"""),"???")</f>
        <v>???</v>
      </c>
      <c r="G142" s="9">
        <f>IFERROR(__xludf.DUMMYFUNCTION("""COMPUTED_VALUE"""),44319.0)</f>
        <v>44319</v>
      </c>
      <c r="H142" s="10" t="str">
        <f>IFERROR(__xludf.DUMMYFUNCTION("""COMPUTED_VALUE"""),"https://source.android.com/security/bulletin/2021-05-01")</f>
        <v>https://source.android.com/security/bulletin/2021-05-01</v>
      </c>
      <c r="I142" t="str">
        <f>IFERROR(__xludf.DUMMYFUNCTION("""COMPUTED_VALUE"""),"???")</f>
        <v>???</v>
      </c>
      <c r="J142" t="str">
        <f>IFERROR(__xludf.DUMMYFUNCTION("""COMPUTED_VALUE"""),"???")</f>
        <v>???</v>
      </c>
      <c r="K142" t="str">
        <f>IFERROR(__xludf.DUMMYFUNCTION("""COMPUTED_VALUE"""),"???")</f>
        <v>???</v>
      </c>
    </row>
    <row r="143">
      <c r="A143" t="str">
        <f>IFERROR(__xludf.DUMMYFUNCTION("""COMPUTED_VALUE"""),"CVE-2021-25394")</f>
        <v>CVE-2021-25394</v>
      </c>
      <c r="B143" t="str">
        <f>IFERROR(__xludf.DUMMYFUNCTION("""COMPUTED_VALUE"""),"Samsung")</f>
        <v>Samsung</v>
      </c>
      <c r="C143" t="str">
        <f>IFERROR(__xludf.DUMMYFUNCTION("""COMPUTED_VALUE"""),"Android")</f>
        <v>Android</v>
      </c>
      <c r="D143" t="str">
        <f>IFERROR(__xludf.DUMMYFUNCTION("""COMPUTED_VALUE"""),"Memory Corruption")</f>
        <v>Memory Corruption</v>
      </c>
      <c r="E143" t="str">
        <f>IFERROR(__xludf.DUMMYFUNCTION("""COMPUTED_VALUE"""),"Use-after-free in MFC charger driver")</f>
        <v>Use-after-free in MFC charger driver</v>
      </c>
      <c r="F143" t="str">
        <f>IFERROR(__xludf.DUMMYFUNCTION("""COMPUTED_VALUE"""),"2020-12-31")</f>
        <v>2020-12-31</v>
      </c>
      <c r="G143" s="9">
        <f>IFERROR(__xludf.DUMMYFUNCTION("""COMPUTED_VALUE"""),44317.0)</f>
        <v>44317</v>
      </c>
      <c r="H143" s="10" t="str">
        <f>IFERROR(__xludf.DUMMYFUNCTION("""COMPUTED_VALUE"""),"https://security.samsungmobile.com/securityUpdate.smsb")</f>
        <v>https://security.samsungmobile.com/securityUpdate.smsb</v>
      </c>
      <c r="I143" t="str">
        <f>IFERROR(__xludf.DUMMYFUNCTION("""COMPUTED_VALUE"""),"???")</f>
        <v>???</v>
      </c>
      <c r="J143" t="str">
        <f>IFERROR(__xludf.DUMMYFUNCTION("""COMPUTED_VALUE"""),"???")</f>
        <v>???</v>
      </c>
      <c r="K143" t="str">
        <f>IFERROR(__xludf.DUMMYFUNCTION("""COMPUTED_VALUE"""),"???")</f>
        <v>???</v>
      </c>
    </row>
    <row r="144">
      <c r="A144" t="str">
        <f>IFERROR(__xludf.DUMMYFUNCTION("""COMPUTED_VALUE"""),"CVE-2021-25395")</f>
        <v>CVE-2021-25395</v>
      </c>
      <c r="B144" t="str">
        <f>IFERROR(__xludf.DUMMYFUNCTION("""COMPUTED_VALUE"""),"Samsung")</f>
        <v>Samsung</v>
      </c>
      <c r="C144" t="str">
        <f>IFERROR(__xludf.DUMMYFUNCTION("""COMPUTED_VALUE"""),"Android")</f>
        <v>Android</v>
      </c>
      <c r="D144" t="str">
        <f>IFERROR(__xludf.DUMMYFUNCTION("""COMPUTED_VALUE"""),"Memory Corruption")</f>
        <v>Memory Corruption</v>
      </c>
      <c r="E144" t="str">
        <f>IFERROR(__xludf.DUMMYFUNCTION("""COMPUTED_VALUE"""),"Use-after-free in MFC charger driver")</f>
        <v>Use-after-free in MFC charger driver</v>
      </c>
      <c r="F144" t="str">
        <f>IFERROR(__xludf.DUMMYFUNCTION("""COMPUTED_VALUE"""),"2020-12-31")</f>
        <v>2020-12-31</v>
      </c>
      <c r="G144" s="9">
        <f>IFERROR(__xludf.DUMMYFUNCTION("""COMPUTED_VALUE"""),44317.0)</f>
        <v>44317</v>
      </c>
      <c r="H144" s="10" t="str">
        <f>IFERROR(__xludf.DUMMYFUNCTION("""COMPUTED_VALUE"""),"https://security.samsungmobile.com/securityUpdate.smsb")</f>
        <v>https://security.samsungmobile.com/securityUpdate.smsb</v>
      </c>
      <c r="I144" t="str">
        <f>IFERROR(__xludf.DUMMYFUNCTION("""COMPUTED_VALUE"""),"???")</f>
        <v>???</v>
      </c>
      <c r="J144" t="str">
        <f>IFERROR(__xludf.DUMMYFUNCTION("""COMPUTED_VALUE"""),"???")</f>
        <v>???</v>
      </c>
      <c r="K144" t="str">
        <f>IFERROR(__xludf.DUMMYFUNCTION("""COMPUTED_VALUE"""),"???")</f>
        <v>???</v>
      </c>
    </row>
    <row r="145">
      <c r="A145" t="str">
        <f>IFERROR(__xludf.DUMMYFUNCTION("""COMPUTED_VALUE"""),"CVE-2021-30661")</f>
        <v>CVE-2021-30661</v>
      </c>
      <c r="B145" t="str">
        <f>IFERROR(__xludf.DUMMYFUNCTION("""COMPUTED_VALUE"""),"Apple")</f>
        <v>Apple</v>
      </c>
      <c r="C145" t="str">
        <f>IFERROR(__xludf.DUMMYFUNCTION("""COMPUTED_VALUE"""),"WebKit")</f>
        <v>WebKit</v>
      </c>
      <c r="D145" t="str">
        <f>IFERROR(__xludf.DUMMYFUNCTION("""COMPUTED_VALUE"""),"Memory Corruption")</f>
        <v>Memory Corruption</v>
      </c>
      <c r="E145" t="str">
        <f>IFERROR(__xludf.DUMMYFUNCTION("""COMPUTED_VALUE"""),"Use-after-free in WebKit")</f>
        <v>Use-after-free in WebKit</v>
      </c>
      <c r="F145" t="str">
        <f>IFERROR(__xludf.DUMMYFUNCTION("""COMPUTED_VALUE"""),"???")</f>
        <v>???</v>
      </c>
      <c r="G145" s="9">
        <f>IFERROR(__xludf.DUMMYFUNCTION("""COMPUTED_VALUE"""),44312.0)</f>
        <v>44312</v>
      </c>
      <c r="H145" s="10" t="str">
        <f>IFERROR(__xludf.DUMMYFUNCTION("""COMPUTED_VALUE"""),"https://support.apple.com/en-us/HT212317")</f>
        <v>https://support.apple.com/en-us/HT212317</v>
      </c>
      <c r="I145" t="str">
        <f>IFERROR(__xludf.DUMMYFUNCTION("""COMPUTED_VALUE"""),"???")</f>
        <v>???</v>
      </c>
      <c r="J145" t="str">
        <f>IFERROR(__xludf.DUMMYFUNCTION("""COMPUTED_VALUE"""),"???")</f>
        <v>???</v>
      </c>
      <c r="K145" t="str">
        <f>IFERROR(__xludf.DUMMYFUNCTION("""COMPUTED_VALUE"""),"yangkang(@dnpushme) of 360 ATA")</f>
        <v>yangkang(@dnpushme) of 360 ATA</v>
      </c>
    </row>
    <row r="146">
      <c r="A146" t="str">
        <f>IFERROR(__xludf.DUMMYFUNCTION("""COMPUTED_VALUE"""),"CVE-2021-28310")</f>
        <v>CVE-2021-28310</v>
      </c>
      <c r="B146" t="str">
        <f>IFERROR(__xludf.DUMMYFUNCTION("""COMPUTED_VALUE"""),"Microsoft")</f>
        <v>Microsoft</v>
      </c>
      <c r="C146" t="str">
        <f>IFERROR(__xludf.DUMMYFUNCTION("""COMPUTED_VALUE"""),"Windows")</f>
        <v>Windows</v>
      </c>
      <c r="D146" t="str">
        <f>IFERROR(__xludf.DUMMYFUNCTION("""COMPUTED_VALUE"""),"Memory Corruption")</f>
        <v>Memory Corruption</v>
      </c>
      <c r="E146" t="str">
        <f>IFERROR(__xludf.DUMMYFUNCTION("""COMPUTED_VALUE"""),"Out-of-bounds write vulnerability in dwmcore.dll")</f>
        <v>Out-of-bounds write vulnerability in dwmcore.dll</v>
      </c>
      <c r="F146" t="str">
        <f>IFERROR(__xludf.DUMMYFUNCTION("""COMPUTED_VALUE"""),"???")</f>
        <v>???</v>
      </c>
      <c r="G146" s="9">
        <f>IFERROR(__xludf.DUMMYFUNCTION("""COMPUTED_VALUE"""),44299.0)</f>
        <v>44299</v>
      </c>
      <c r="H146" s="10" t="str">
        <f>IFERROR(__xludf.DUMMYFUNCTION("""COMPUTED_VALUE"""),"https://msrc.microsoft.com/update-guide/vulnerability/CVE-2021-28310")</f>
        <v>https://msrc.microsoft.com/update-guide/vulnerability/CVE-2021-28310</v>
      </c>
      <c r="I146" s="10" t="str">
        <f>IFERROR(__xludf.DUMMYFUNCTION("""COMPUTED_VALUE"""),"https://securelist.com/zero-day-vulnerability-in-desktop-window-manager-cve-2021-28310-used-in-the-wild/101898/")</f>
        <v>https://securelist.com/zero-day-vulnerability-in-desktop-window-manager-cve-2021-28310-used-in-the-wild/101898/</v>
      </c>
      <c r="J146" t="str">
        <f>IFERROR(__xludf.DUMMYFUNCTION("""COMPUTED_VALUE"""),"???")</f>
        <v>???</v>
      </c>
      <c r="K146" t="str">
        <f>IFERROR(__xludf.DUMMYFUNCTION("""COMPUTED_VALUE"""),"Boris Larin (Oct0xor) of Kaspersky Lab")</f>
        <v>Boris Larin (Oct0xor) of Kaspersky Lab</v>
      </c>
    </row>
    <row r="147">
      <c r="A147" t="str">
        <f>IFERROR(__xludf.DUMMYFUNCTION("""COMPUTED_VALUE"""),"CVE-2021-21206")</f>
        <v>CVE-2021-21206</v>
      </c>
      <c r="B147" t="str">
        <f>IFERROR(__xludf.DUMMYFUNCTION("""COMPUTED_VALUE"""),"Google")</f>
        <v>Google</v>
      </c>
      <c r="C147" t="str">
        <f>IFERROR(__xludf.DUMMYFUNCTION("""COMPUTED_VALUE"""),"Chrome")</f>
        <v>Chrome</v>
      </c>
      <c r="D147" t="str">
        <f>IFERROR(__xludf.DUMMYFUNCTION("""COMPUTED_VALUE"""),"Memory Corruption")</f>
        <v>Memory Corruption</v>
      </c>
      <c r="E147" t="str">
        <f>IFERROR(__xludf.DUMMYFUNCTION("""COMPUTED_VALUE"""),"Use-after-free in Blink")</f>
        <v>Use-after-free in Blink</v>
      </c>
      <c r="F147" t="str">
        <f>IFERROR(__xludf.DUMMYFUNCTION("""COMPUTED_VALUE"""),"2021-04-07")</f>
        <v>2021-04-07</v>
      </c>
      <c r="G147" s="9">
        <f>IFERROR(__xludf.DUMMYFUNCTION("""COMPUTED_VALUE"""),44299.0)</f>
        <v>44299</v>
      </c>
      <c r="H147" s="10" t="str">
        <f>IFERROR(__xludf.DUMMYFUNCTION("""COMPUTED_VALUE"""),"https://chromereleases.googleblog.com/2021/04/stable-channel-update-for-desktop.html")</f>
        <v>https://chromereleases.googleblog.com/2021/04/stable-channel-update-for-desktop.html</v>
      </c>
      <c r="I147" t="str">
        <f>IFERROR(__xludf.DUMMYFUNCTION("""COMPUTED_VALUE"""),"???")</f>
        <v>???</v>
      </c>
      <c r="J147" t="str">
        <f>IFERROR(__xludf.DUMMYFUNCTION("""COMPUTED_VALUE"""),"???")</f>
        <v>???</v>
      </c>
      <c r="K147" t="str">
        <f>IFERROR(__xludf.DUMMYFUNCTION("""COMPUTED_VALUE"""),"???")</f>
        <v>???</v>
      </c>
    </row>
    <row r="148">
      <c r="A148" t="str">
        <f>IFERROR(__xludf.DUMMYFUNCTION("""COMPUTED_VALUE"""),"CVE-2021-1879")</f>
        <v>CVE-2021-1879</v>
      </c>
      <c r="B148" t="str">
        <f>IFERROR(__xludf.DUMMYFUNCTION("""COMPUTED_VALUE"""),"Apple")</f>
        <v>Apple</v>
      </c>
      <c r="C148" t="str">
        <f>IFERROR(__xludf.DUMMYFUNCTION("""COMPUTED_VALUE"""),"WebKit")</f>
        <v>WebKit</v>
      </c>
      <c r="D148" t="str">
        <f>IFERROR(__xludf.DUMMYFUNCTION("""COMPUTED_VALUE"""),"UXSS")</f>
        <v>UXSS</v>
      </c>
      <c r="E148" t="str">
        <f>IFERROR(__xludf.DUMMYFUNCTION("""COMPUTED_VALUE"""),"Universal cross site scripting in Webkit")</f>
        <v>Universal cross site scripting in Webkit</v>
      </c>
      <c r="F148" t="str">
        <f>IFERROR(__xludf.DUMMYFUNCTION("""COMPUTED_VALUE"""),"???")</f>
        <v>???</v>
      </c>
      <c r="G148" s="9">
        <f>IFERROR(__xludf.DUMMYFUNCTION("""COMPUTED_VALUE"""),44281.0)</f>
        <v>44281</v>
      </c>
      <c r="H148" s="10" t="str">
        <f>IFERROR(__xludf.DUMMYFUNCTION("""COMPUTED_VALUE"""),"https://support.apple.com/en-us/HT212256")</f>
        <v>https://support.apple.com/en-us/HT212256</v>
      </c>
      <c r="I148" s="10" t="str">
        <f>IFERROR(__xludf.DUMMYFUNCTION("""COMPUTED_VALUE"""),"https://blog.google/threat-analysis-group/how-we-protect-users-0-day-attacks/")</f>
        <v>https://blog.google/threat-analysis-group/how-we-protect-users-0-day-attacks/</v>
      </c>
      <c r="J148" s="10" t="str">
        <f>IFERROR(__xludf.DUMMYFUNCTION("""COMPUTED_VALUE"""),"https://googleprojectzero.github.io/0days-in-the-wild//0day-RCAs/2021/CVE-2021-1879.html")</f>
        <v>https://googleprojectzero.github.io/0days-in-the-wild//0day-RCAs/2021/CVE-2021-1879.html</v>
      </c>
      <c r="K148" t="str">
        <f>IFERROR(__xludf.DUMMYFUNCTION("""COMPUTED_VALUE"""),"Clement Lecigne of Google Threat Analysis Group and Billy Leonard of Google Threat Analysis Group")</f>
        <v>Clement Lecigne of Google Threat Analysis Group and Billy Leonard of Google Threat Analysis Group</v>
      </c>
    </row>
    <row r="149">
      <c r="A149" t="str">
        <f>IFERROR(__xludf.DUMMYFUNCTION("""COMPUTED_VALUE"""),"CVE-2021-21193")</f>
        <v>CVE-2021-21193</v>
      </c>
      <c r="B149" t="str">
        <f>IFERROR(__xludf.DUMMYFUNCTION("""COMPUTED_VALUE"""),"Google")</f>
        <v>Google</v>
      </c>
      <c r="C149" t="str">
        <f>IFERROR(__xludf.DUMMYFUNCTION("""COMPUTED_VALUE"""),"Chrome")</f>
        <v>Chrome</v>
      </c>
      <c r="D149" t="str">
        <f>IFERROR(__xludf.DUMMYFUNCTION("""COMPUTED_VALUE"""),"Memory Corruption")</f>
        <v>Memory Corruption</v>
      </c>
      <c r="E149" t="str">
        <f>IFERROR(__xludf.DUMMYFUNCTION("""COMPUTED_VALUE"""),"Use-after-free in Blink")</f>
        <v>Use-after-free in Blink</v>
      </c>
      <c r="F149" t="str">
        <f>IFERROR(__xludf.DUMMYFUNCTION("""COMPUTED_VALUE"""),"2021-03-09")</f>
        <v>2021-03-09</v>
      </c>
      <c r="G149" s="9">
        <f>IFERROR(__xludf.DUMMYFUNCTION("""COMPUTED_VALUE"""),44267.0)</f>
        <v>44267</v>
      </c>
      <c r="H149" s="10" t="str">
        <f>IFERROR(__xludf.DUMMYFUNCTION("""COMPUTED_VALUE"""),"https://chromereleases.googleblog.com/2021/03/stable-channel-update-for-desktop_12.html")</f>
        <v>https://chromereleases.googleblog.com/2021/03/stable-channel-update-for-desktop_12.html</v>
      </c>
      <c r="I149" t="str">
        <f>IFERROR(__xludf.DUMMYFUNCTION("""COMPUTED_VALUE"""),"???")</f>
        <v>???</v>
      </c>
      <c r="J149" t="str">
        <f>IFERROR(__xludf.DUMMYFUNCTION("""COMPUTED_VALUE"""),"???")</f>
        <v>???</v>
      </c>
      <c r="K149" t="str">
        <f>IFERROR(__xludf.DUMMYFUNCTION("""COMPUTED_VALUE"""),"???")</f>
        <v>???</v>
      </c>
    </row>
    <row r="150">
      <c r="A150" t="str">
        <f>IFERROR(__xludf.DUMMYFUNCTION("""COMPUTED_VALUE"""),"CVE-2021-26411")</f>
        <v>CVE-2021-26411</v>
      </c>
      <c r="B150" t="str">
        <f>IFERROR(__xludf.DUMMYFUNCTION("""COMPUTED_VALUE"""),"Microsoft")</f>
        <v>Microsoft</v>
      </c>
      <c r="C150" t="str">
        <f>IFERROR(__xludf.DUMMYFUNCTION("""COMPUTED_VALUE"""),"Internet Explorer")</f>
        <v>Internet Explorer</v>
      </c>
      <c r="D150" t="str">
        <f>IFERROR(__xludf.DUMMYFUNCTION("""COMPUTED_VALUE"""),"Memory Corruption")</f>
        <v>Memory Corruption</v>
      </c>
      <c r="E150" t="str">
        <f>IFERROR(__xludf.DUMMYFUNCTION("""COMPUTED_VALUE"""),"Use-after-free in MSHTML")</f>
        <v>Use-after-free in MSHTML</v>
      </c>
      <c r="F150" t="str">
        <f>IFERROR(__xludf.DUMMYFUNCTION("""COMPUTED_VALUE"""),"???")</f>
        <v>???</v>
      </c>
      <c r="G150" s="9">
        <f>IFERROR(__xludf.DUMMYFUNCTION("""COMPUTED_VALUE"""),44264.0)</f>
        <v>44264</v>
      </c>
      <c r="H150" s="10" t="str">
        <f>IFERROR(__xludf.DUMMYFUNCTION("""COMPUTED_VALUE"""),"https://msrc.microsoft.com/update-guide/vulnerability/CVE-2021-26411")</f>
        <v>https://msrc.microsoft.com/update-guide/vulnerability/CVE-2021-26411</v>
      </c>
      <c r="I150" s="10" t="str">
        <f>IFERROR(__xludf.DUMMYFUNCTION("""COMPUTED_VALUE"""),"https://enki.co.kr/blog/2021/02/04/ie_0day.html")</f>
        <v>https://enki.co.kr/blog/2021/02/04/ie_0day.html</v>
      </c>
      <c r="J150" s="10" t="str">
        <f>IFERROR(__xludf.DUMMYFUNCTION("""COMPUTED_VALUE"""),"https://googleprojectzero.github.io/0days-in-the-wild/0day-RCAs/2021/CVE-2021-26411.html")</f>
        <v>https://googleprojectzero.github.io/0days-in-the-wild/0day-RCAs/2021/CVE-2021-26411.html</v>
      </c>
      <c r="K150" t="str">
        <f>IFERROR(__xludf.DUMMYFUNCTION("""COMPUTED_VALUE"""),"yangkang(@dnpushme) &amp; huangyi(@C0rk1_H) &amp; Enki")</f>
        <v>yangkang(@dnpushme) &amp; huangyi(@C0rk1_H) &amp; Enki</v>
      </c>
    </row>
    <row r="151">
      <c r="A151" t="str">
        <f>IFERROR(__xludf.DUMMYFUNCTION("""COMPUTED_VALUE"""),"CVE-2021-26855")</f>
        <v>CVE-2021-26855</v>
      </c>
      <c r="B151" t="str">
        <f>IFERROR(__xludf.DUMMYFUNCTION("""COMPUTED_VALUE"""),"Microsoft")</f>
        <v>Microsoft</v>
      </c>
      <c r="C151" t="str">
        <f>IFERROR(__xludf.DUMMYFUNCTION("""COMPUTED_VALUE"""),"Exchange Server")</f>
        <v>Exchange Server</v>
      </c>
      <c r="D151" t="str">
        <f>IFERROR(__xludf.DUMMYFUNCTION("""COMPUTED_VALUE"""),"Logic/Design Flaw")</f>
        <v>Logic/Design Flaw</v>
      </c>
      <c r="E151" t="str">
        <f>IFERROR(__xludf.DUMMYFUNCTION("""COMPUTED_VALUE"""),"Server-side request forgery (SSRF) ")</f>
        <v>Server-side request forgery (SSRF) </v>
      </c>
      <c r="F151" t="str">
        <f>IFERROR(__xludf.DUMMYFUNCTION("""COMPUTED_VALUE"""),"???")</f>
        <v>???</v>
      </c>
      <c r="G151" s="9">
        <f>IFERROR(__xludf.DUMMYFUNCTION("""COMPUTED_VALUE"""),44257.0)</f>
        <v>44257</v>
      </c>
      <c r="H151" s="10" t="str">
        <f>IFERROR(__xludf.DUMMYFUNCTION("""COMPUTED_VALUE"""),"https://msrc.microsoft.com/update-guide/vulnerability/CVE-2021-26855")</f>
        <v>https://msrc.microsoft.com/update-guide/vulnerability/CVE-2021-26855</v>
      </c>
      <c r="I151" s="10" t="str">
        <f>IFERROR(__xludf.DUMMYFUNCTION("""COMPUTED_VALUE"""),"https://www.microsoft.com/security/blog/2021/03/02/hafnium-targeting-exchange-servers/")</f>
        <v>https://www.microsoft.com/security/blog/2021/03/02/hafnium-targeting-exchange-servers/</v>
      </c>
      <c r="J151" s="10" t="str">
        <f>IFERROR(__xludf.DUMMYFUNCTION("""COMPUTED_VALUE"""),"https://googleprojectzero.github.io/0days-in-the-wild/0day-RCAs/2021/CVE-2021-26855.html")</f>
        <v>https://googleprojectzero.github.io/0days-in-the-wild/0day-RCAs/2021/CVE-2021-26855.html</v>
      </c>
      <c r="K151" t="str">
        <f>IFERROR(__xludf.DUMMYFUNCTION("""COMPUTED_VALUE"""),"Volexity, Orange Tsai from DEVCORE research team, and Microsoft Threat Intelligence Center (MSTIC)")</f>
        <v>Volexity, Orange Tsai from DEVCORE research team, and Microsoft Threat Intelligence Center (MSTIC)</v>
      </c>
    </row>
    <row r="152">
      <c r="A152" t="str">
        <f>IFERROR(__xludf.DUMMYFUNCTION("""COMPUTED_VALUE"""),"CVE-2021-26857")</f>
        <v>CVE-2021-26857</v>
      </c>
      <c r="B152" t="str">
        <f>IFERROR(__xludf.DUMMYFUNCTION("""COMPUTED_VALUE"""),"Microsoft")</f>
        <v>Microsoft</v>
      </c>
      <c r="C152" t="str">
        <f>IFERROR(__xludf.DUMMYFUNCTION("""COMPUTED_VALUE"""),"Exchange Server")</f>
        <v>Exchange Server</v>
      </c>
      <c r="D152" t="str">
        <f>IFERROR(__xludf.DUMMYFUNCTION("""COMPUTED_VALUE"""),"Logic/Design Flaw")</f>
        <v>Logic/Design Flaw</v>
      </c>
      <c r="E152" t="str">
        <f>IFERROR(__xludf.DUMMYFUNCTION("""COMPUTED_VALUE"""),"Insecure deserialization in the Unifed Messaging service")</f>
        <v>Insecure deserialization in the Unifed Messaging service</v>
      </c>
      <c r="F152" t="str">
        <f>IFERROR(__xludf.DUMMYFUNCTION("""COMPUTED_VALUE"""),"???")</f>
        <v>???</v>
      </c>
      <c r="G152" s="9">
        <f>IFERROR(__xludf.DUMMYFUNCTION("""COMPUTED_VALUE"""),44257.0)</f>
        <v>44257</v>
      </c>
      <c r="H152" s="10" t="str">
        <f>IFERROR(__xludf.DUMMYFUNCTION("""COMPUTED_VALUE"""),"https://msrc.microsoft.com/update-guide/vulnerability/CVE-2021-26857")</f>
        <v>https://msrc.microsoft.com/update-guide/vulnerability/CVE-2021-26857</v>
      </c>
      <c r="I152" s="10" t="str">
        <f>IFERROR(__xludf.DUMMYFUNCTION("""COMPUTED_VALUE"""),"https://www.microsoft.com/security/blog/2021/03/02/hafnium-targeting-exchange-servers/")</f>
        <v>https://www.microsoft.com/security/blog/2021/03/02/hafnium-targeting-exchange-servers/</v>
      </c>
      <c r="J152" t="str">
        <f>IFERROR(__xludf.DUMMYFUNCTION("""COMPUTED_VALUE"""),"???")</f>
        <v>???</v>
      </c>
      <c r="K152" t="str">
        <f>IFERROR(__xludf.DUMMYFUNCTION("""COMPUTED_VALUE"""),"Dubex and Microsoft Threat Intelligence Center (MSTIC)")</f>
        <v>Dubex and Microsoft Threat Intelligence Center (MSTIC)</v>
      </c>
    </row>
    <row r="153">
      <c r="A153" t="str">
        <f>IFERROR(__xludf.DUMMYFUNCTION("""COMPUTED_VALUE"""),"CVE-2021-26858")</f>
        <v>CVE-2021-26858</v>
      </c>
      <c r="B153" t="str">
        <f>IFERROR(__xludf.DUMMYFUNCTION("""COMPUTED_VALUE"""),"Microsoft")</f>
        <v>Microsoft</v>
      </c>
      <c r="C153" t="str">
        <f>IFERROR(__xludf.DUMMYFUNCTION("""COMPUTED_VALUE"""),"Exchange Server")</f>
        <v>Exchange Server</v>
      </c>
      <c r="D153" t="str">
        <f>IFERROR(__xludf.DUMMYFUNCTION("""COMPUTED_VALUE"""),"Logic/Design Flaw")</f>
        <v>Logic/Design Flaw</v>
      </c>
      <c r="E153" t="str">
        <f>IFERROR(__xludf.DUMMYFUNCTION("""COMPUTED_VALUE"""),"Arbitrary file write")</f>
        <v>Arbitrary file write</v>
      </c>
      <c r="F153" t="str">
        <f>IFERROR(__xludf.DUMMYFUNCTION("""COMPUTED_VALUE"""),"???")</f>
        <v>???</v>
      </c>
      <c r="G153" s="9">
        <f>IFERROR(__xludf.DUMMYFUNCTION("""COMPUTED_VALUE"""),44257.0)</f>
        <v>44257</v>
      </c>
      <c r="H153" s="10" t="str">
        <f>IFERROR(__xludf.DUMMYFUNCTION("""COMPUTED_VALUE"""),"https://msrc.microsoft.com/update-guide/vulnerability/CVE-2021-26858")</f>
        <v>https://msrc.microsoft.com/update-guide/vulnerability/CVE-2021-26858</v>
      </c>
      <c r="I153" s="10" t="str">
        <f>IFERROR(__xludf.DUMMYFUNCTION("""COMPUTED_VALUE"""),"https://www.microsoft.com/security/blog/2021/03/02/hafnium-targeting-exchange-servers/")</f>
        <v>https://www.microsoft.com/security/blog/2021/03/02/hafnium-targeting-exchange-servers/</v>
      </c>
      <c r="J153" t="str">
        <f>IFERROR(__xludf.DUMMYFUNCTION("""COMPUTED_VALUE"""),"???")</f>
        <v>???</v>
      </c>
      <c r="K153" t="str">
        <f>IFERROR(__xludf.DUMMYFUNCTION("""COMPUTED_VALUE"""),"Microsoft Threat Intelligence Center")</f>
        <v>Microsoft Threat Intelligence Center</v>
      </c>
    </row>
    <row r="154">
      <c r="A154" t="str">
        <f>IFERROR(__xludf.DUMMYFUNCTION("""COMPUTED_VALUE"""),"CVE-2021-27065")</f>
        <v>CVE-2021-27065</v>
      </c>
      <c r="B154" t="str">
        <f>IFERROR(__xludf.DUMMYFUNCTION("""COMPUTED_VALUE"""),"Microsoft")</f>
        <v>Microsoft</v>
      </c>
      <c r="C154" t="str">
        <f>IFERROR(__xludf.DUMMYFUNCTION("""COMPUTED_VALUE"""),"Exchange Server")</f>
        <v>Exchange Server</v>
      </c>
      <c r="D154" t="str">
        <f>IFERROR(__xludf.DUMMYFUNCTION("""COMPUTED_VALUE"""),"Logic/Design Flaw")</f>
        <v>Logic/Design Flaw</v>
      </c>
      <c r="E154" t="str">
        <f>IFERROR(__xludf.DUMMYFUNCTION("""COMPUTED_VALUE"""),"Arbitrary file write")</f>
        <v>Arbitrary file write</v>
      </c>
      <c r="F154" t="str">
        <f>IFERROR(__xludf.DUMMYFUNCTION("""COMPUTED_VALUE"""),"???")</f>
        <v>???</v>
      </c>
      <c r="G154" s="9">
        <f>IFERROR(__xludf.DUMMYFUNCTION("""COMPUTED_VALUE"""),44257.0)</f>
        <v>44257</v>
      </c>
      <c r="H154" s="10" t="str">
        <f>IFERROR(__xludf.DUMMYFUNCTION("""COMPUTED_VALUE"""),"https://msrc.microsoft.com/update-guide/vulnerability/CVE-2021-27065")</f>
        <v>https://msrc.microsoft.com/update-guide/vulnerability/CVE-2021-27065</v>
      </c>
      <c r="I154" s="10" t="str">
        <f>IFERROR(__xludf.DUMMYFUNCTION("""COMPUTED_VALUE"""),"https://www.microsoft.com/security/blog/2021/03/02/hafnium-targeting-exchange-servers/")</f>
        <v>https://www.microsoft.com/security/blog/2021/03/02/hafnium-targeting-exchange-servers/</v>
      </c>
      <c r="J154" t="str">
        <f>IFERROR(__xludf.DUMMYFUNCTION("""COMPUTED_VALUE"""),"???")</f>
        <v>???</v>
      </c>
      <c r="K154" t="str">
        <f>IFERROR(__xludf.DUMMYFUNCTION("""COMPUTED_VALUE"""),"Volexity, Orange Tsai from DEVCORE research team, and Microsoft Threat Intelligence Center (MSTIC)")</f>
        <v>Volexity, Orange Tsai from DEVCORE research team, and Microsoft Threat Intelligence Center (MSTIC)</v>
      </c>
    </row>
    <row r="155">
      <c r="A155" t="str">
        <f>IFERROR(__xludf.DUMMYFUNCTION("""COMPUTED_VALUE"""),"CVE-2021-21166")</f>
        <v>CVE-2021-21166</v>
      </c>
      <c r="B155" t="str">
        <f>IFERROR(__xludf.DUMMYFUNCTION("""COMPUTED_VALUE"""),"Google")</f>
        <v>Google</v>
      </c>
      <c r="C155" t="str">
        <f>IFERROR(__xludf.DUMMYFUNCTION("""COMPUTED_VALUE"""),"Chrome")</f>
        <v>Chrome</v>
      </c>
      <c r="D155" t="str">
        <f>IFERROR(__xludf.DUMMYFUNCTION("""COMPUTED_VALUE"""),"Memory Corruption")</f>
        <v>Memory Corruption</v>
      </c>
      <c r="E155" t="str">
        <f>IFERROR(__xludf.DUMMYFUNCTION("""COMPUTED_VALUE"""),"Object lifecycle issue in audio")</f>
        <v>Object lifecycle issue in audio</v>
      </c>
      <c r="F155" t="str">
        <f>IFERROR(__xludf.DUMMYFUNCTION("""COMPUTED_VALUE"""),"2021-02-11")</f>
        <v>2021-02-11</v>
      </c>
      <c r="G155" s="9">
        <f>IFERROR(__xludf.DUMMYFUNCTION("""COMPUTED_VALUE"""),44257.0)</f>
        <v>44257</v>
      </c>
      <c r="H155" s="10" t="str">
        <f>IFERROR(__xludf.DUMMYFUNCTION("""COMPUTED_VALUE"""),"https://chromereleases.googleblog.com/2021/03/stable-channel-update-for-desktop.html")</f>
        <v>https://chromereleases.googleblog.com/2021/03/stable-channel-update-for-desktop.html</v>
      </c>
      <c r="I155" s="10" t="str">
        <f>IFERROR(__xludf.DUMMYFUNCTION("""COMPUTED_VALUE"""),"https://blog.google/threat-analysis-group/how-we-protect-users-0-day-attacks/")</f>
        <v>https://blog.google/threat-analysis-group/how-we-protect-users-0-day-attacks/</v>
      </c>
      <c r="J155" s="10" t="str">
        <f>IFERROR(__xludf.DUMMYFUNCTION("""COMPUTED_VALUE"""),"https://googleprojectzero.github.io/0days-in-the-wild/0day-RCAs/2021/CVE-2021-21166.html")</f>
        <v>https://googleprojectzero.github.io/0days-in-the-wild/0day-RCAs/2021/CVE-2021-21166.html</v>
      </c>
      <c r="K155" t="str">
        <f>IFERROR(__xludf.DUMMYFUNCTION("""COMPUTED_VALUE"""),"Alison Huffman, Microsoft Browser Vulnerability Research &amp; Clement Lecigne of Google Threat Analysis Group")</f>
        <v>Alison Huffman, Microsoft Browser Vulnerability Research &amp; Clement Lecigne of Google Threat Analysis Group</v>
      </c>
    </row>
    <row r="156">
      <c r="A156" t="str">
        <f>IFERROR(__xludf.DUMMYFUNCTION("""COMPUTED_VALUE"""),"CVE-2021-25337")</f>
        <v>CVE-2021-25337</v>
      </c>
      <c r="B156" t="str">
        <f>IFERROR(__xludf.DUMMYFUNCTION("""COMPUTED_VALUE"""),"Samsung")</f>
        <v>Samsung</v>
      </c>
      <c r="C156" t="str">
        <f>IFERROR(__xludf.DUMMYFUNCTION("""COMPUTED_VALUE"""),"Android")</f>
        <v>Android</v>
      </c>
      <c r="D156" t="str">
        <f>IFERROR(__xludf.DUMMYFUNCTION("""COMPUTED_VALUE"""),"Logic/Design Flaw")</f>
        <v>Logic/Design Flaw</v>
      </c>
      <c r="E156" t="str">
        <f>IFERROR(__xludf.DUMMYFUNCTION("""COMPUTED_VALUE"""),"Access control issues in clipboard provider")</f>
        <v>Access control issues in clipboard provider</v>
      </c>
      <c r="F156" t="str">
        <f>IFERROR(__xludf.DUMMYFUNCTION("""COMPUTED_VALUE"""),"2020-11-03")</f>
        <v>2020-11-03</v>
      </c>
      <c r="G156" s="9">
        <f>IFERROR(__xludf.DUMMYFUNCTION("""COMPUTED_VALUE"""),44256.0)</f>
        <v>44256</v>
      </c>
      <c r="H156" s="10" t="str">
        <f>IFERROR(__xludf.DUMMYFUNCTION("""COMPUTED_VALUE"""),"https://security.samsungmobile.com/securityUpdate.smsb")</f>
        <v>https://security.samsungmobile.com/securityUpdate.smsb</v>
      </c>
      <c r="I156" s="10" t="str">
        <f>IFERROR(__xludf.DUMMYFUNCTION("""COMPUTED_VALUE"""),"https://googleprojectzero.blogspot.com/2022/11/a-very-powerful-clipboard-samsung-in-the-wild-exploit-chain.html")</f>
        <v>https://googleprojectzero.blogspot.com/2022/11/a-very-powerful-clipboard-samsung-in-the-wild-exploit-chain.html</v>
      </c>
      <c r="J156" s="10" t="str">
        <f>IFERROR(__xludf.DUMMYFUNCTION("""COMPUTED_VALUE"""),"https://googleprojectzero.github.io/0days-in-the-wild//0day-RCAs/2021/CVE-2021-25337.html")</f>
        <v>https://googleprojectzero.github.io/0days-in-the-wild//0day-RCAs/2021/CVE-2021-25337.html</v>
      </c>
      <c r="K156" t="str">
        <f>IFERROR(__xludf.DUMMYFUNCTION("""COMPUTED_VALUE"""),"???")</f>
        <v>???</v>
      </c>
    </row>
    <row r="157">
      <c r="A157" t="str">
        <f>IFERROR(__xludf.DUMMYFUNCTION("""COMPUTED_VALUE"""),"CVE-2021-25369")</f>
        <v>CVE-2021-25369</v>
      </c>
      <c r="B157" t="str">
        <f>IFERROR(__xludf.DUMMYFUNCTION("""COMPUTED_VALUE"""),"Samsung")</f>
        <v>Samsung</v>
      </c>
      <c r="C157" t="str">
        <f>IFERROR(__xludf.DUMMYFUNCTION("""COMPUTED_VALUE"""),"Android")</f>
        <v>Android</v>
      </c>
      <c r="D157" t="str">
        <f>IFERROR(__xludf.DUMMYFUNCTION("""COMPUTED_VALUE"""),"Logic/Design Flaw")</f>
        <v>Logic/Design Flaw</v>
      </c>
      <c r="E157" t="str">
        <f>IFERROR(__xludf.DUMMYFUNCTION("""COMPUTED_VALUE"""),"Kernel info leak in sec_log")</f>
        <v>Kernel info leak in sec_log</v>
      </c>
      <c r="F157" t="str">
        <f>IFERROR(__xludf.DUMMYFUNCTION("""COMPUTED_VALUE"""),"2020-12-10")</f>
        <v>2020-12-10</v>
      </c>
      <c r="G157" s="9">
        <f>IFERROR(__xludf.DUMMYFUNCTION("""COMPUTED_VALUE"""),44256.0)</f>
        <v>44256</v>
      </c>
      <c r="H157" s="10" t="str">
        <f>IFERROR(__xludf.DUMMYFUNCTION("""COMPUTED_VALUE"""),"https://security.samsungmobile.com/securityUpdate.smsb")</f>
        <v>https://security.samsungmobile.com/securityUpdate.smsb</v>
      </c>
      <c r="I157" s="10" t="str">
        <f>IFERROR(__xludf.DUMMYFUNCTION("""COMPUTED_VALUE"""),"https://googleprojectzero.blogspot.com/2022/11/a-very-powerful-clipboard-samsung-in-the-wild-exploit-chain.html")</f>
        <v>https://googleprojectzero.blogspot.com/2022/11/a-very-powerful-clipboard-samsung-in-the-wild-exploit-chain.html</v>
      </c>
      <c r="J157" s="10" t="str">
        <f>IFERROR(__xludf.DUMMYFUNCTION("""COMPUTED_VALUE"""),"https://googleprojectzero.github.io/0days-in-the-wild//0day-RCAs/2021/CVE-2021-25369.html")</f>
        <v>https://googleprojectzero.github.io/0days-in-the-wild//0day-RCAs/2021/CVE-2021-25369.html</v>
      </c>
      <c r="K157" t="str">
        <f>IFERROR(__xludf.DUMMYFUNCTION("""COMPUTED_VALUE"""),"???")</f>
        <v>???</v>
      </c>
    </row>
    <row r="158">
      <c r="A158" t="str">
        <f>IFERROR(__xludf.DUMMYFUNCTION("""COMPUTED_VALUE"""),"CVE-2021-25370")</f>
        <v>CVE-2021-25370</v>
      </c>
      <c r="B158" t="str">
        <f>IFERROR(__xludf.DUMMYFUNCTION("""COMPUTED_VALUE"""),"Samsung")</f>
        <v>Samsung</v>
      </c>
      <c r="C158" t="str">
        <f>IFERROR(__xludf.DUMMYFUNCTION("""COMPUTED_VALUE"""),"Android")</f>
        <v>Android</v>
      </c>
      <c r="D158" t="str">
        <f>IFERROR(__xludf.DUMMYFUNCTION("""COMPUTED_VALUE"""),"Memory Corruption")</f>
        <v>Memory Corruption</v>
      </c>
      <c r="E158" t="str">
        <f>IFERROR(__xludf.DUMMYFUNCTION("""COMPUTED_VALUE"""),"Use-after-free in dpu (DECON) driver")</f>
        <v>Use-after-free in dpu (DECON) driver</v>
      </c>
      <c r="F158" t="str">
        <f>IFERROR(__xludf.DUMMYFUNCTION("""COMPUTED_VALUE"""),"2020-12-10")</f>
        <v>2020-12-10</v>
      </c>
      <c r="G158" s="9">
        <f>IFERROR(__xludf.DUMMYFUNCTION("""COMPUTED_VALUE"""),44256.0)</f>
        <v>44256</v>
      </c>
      <c r="H158" s="10" t="str">
        <f>IFERROR(__xludf.DUMMYFUNCTION("""COMPUTED_VALUE"""),"https://security.samsungmobile.com/securityUpdate.smsb")</f>
        <v>https://security.samsungmobile.com/securityUpdate.smsb</v>
      </c>
      <c r="I158" s="10" t="str">
        <f>IFERROR(__xludf.DUMMYFUNCTION("""COMPUTED_VALUE"""),"https://googleprojectzero.blogspot.com/2022/11/a-very-powerful-clipboard-samsung-in-the-wild-exploit-chain.html")</f>
        <v>https://googleprojectzero.blogspot.com/2022/11/a-very-powerful-clipboard-samsung-in-the-wild-exploit-chain.html</v>
      </c>
      <c r="J158" t="str">
        <f>IFERROR(__xludf.DUMMYFUNCTION("""COMPUTED_VALUE"""),"???")</f>
        <v>???</v>
      </c>
      <c r="K158" t="str">
        <f>IFERROR(__xludf.DUMMYFUNCTION("""COMPUTED_VALUE"""),"???")</f>
        <v>???</v>
      </c>
    </row>
    <row r="159">
      <c r="A159" t="str">
        <f>IFERROR(__xludf.DUMMYFUNCTION("""COMPUTED_VALUE"""),"CVE-2021-25371")</f>
        <v>CVE-2021-25371</v>
      </c>
      <c r="B159" t="str">
        <f>IFERROR(__xludf.DUMMYFUNCTION("""COMPUTED_VALUE"""),"Samsung")</f>
        <v>Samsung</v>
      </c>
      <c r="C159" t="str">
        <f>IFERROR(__xludf.DUMMYFUNCTION("""COMPUTED_VALUE"""),"Android")</f>
        <v>Android</v>
      </c>
      <c r="D159" t="str">
        <f>IFERROR(__xludf.DUMMYFUNCTION("""COMPUTED_VALUE"""),"Logic/Design Flaw")</f>
        <v>Logic/Design Flaw</v>
      </c>
      <c r="E159" t="str">
        <f>IFERROR(__xludf.DUMMYFUNCTION("""COMPUTED_VALUE"""),"Possible to load arbitrary ELF library inside DSP")</f>
        <v>Possible to load arbitrary ELF library inside DSP</v>
      </c>
      <c r="F159" t="str">
        <f>IFERROR(__xludf.DUMMYFUNCTION("""COMPUTED_VALUE"""),"2020-12-22")</f>
        <v>2020-12-22</v>
      </c>
      <c r="G159" s="9">
        <f>IFERROR(__xludf.DUMMYFUNCTION("""COMPUTED_VALUE"""),44256.0)</f>
        <v>44256</v>
      </c>
      <c r="H159" s="10" t="str">
        <f>IFERROR(__xludf.DUMMYFUNCTION("""COMPUTED_VALUE"""),"https://security.samsungmobile.com/securityUpdate.smsb")</f>
        <v>https://security.samsungmobile.com/securityUpdate.smsb</v>
      </c>
      <c r="I159" t="str">
        <f>IFERROR(__xludf.DUMMYFUNCTION("""COMPUTED_VALUE"""),"???")</f>
        <v>???</v>
      </c>
      <c r="J159" t="str">
        <f>IFERROR(__xludf.DUMMYFUNCTION("""COMPUTED_VALUE"""),"???")</f>
        <v>???</v>
      </c>
      <c r="K159" t="str">
        <f>IFERROR(__xludf.DUMMYFUNCTION("""COMPUTED_VALUE"""),"???")</f>
        <v>???</v>
      </c>
    </row>
    <row r="160">
      <c r="A160" t="str">
        <f>IFERROR(__xludf.DUMMYFUNCTION("""COMPUTED_VALUE"""),"CVE-2021-25372")</f>
        <v>CVE-2021-25372</v>
      </c>
      <c r="B160" t="str">
        <f>IFERROR(__xludf.DUMMYFUNCTION("""COMPUTED_VALUE"""),"Samsung")</f>
        <v>Samsung</v>
      </c>
      <c r="C160" t="str">
        <f>IFERROR(__xludf.DUMMYFUNCTION("""COMPUTED_VALUE"""),"Android")</f>
        <v>Android</v>
      </c>
      <c r="D160" t="str">
        <f>IFERROR(__xludf.DUMMYFUNCTION("""COMPUTED_VALUE"""),"Memory Corruption")</f>
        <v>Memory Corruption</v>
      </c>
      <c r="E160" t="str">
        <f>IFERROR(__xludf.DUMMYFUNCTION("""COMPUTED_VALUE"""),"Out-of-bounds access vulnerability in DSP driver")</f>
        <v>Out-of-bounds access vulnerability in DSP driver</v>
      </c>
      <c r="F160" t="str">
        <f>IFERROR(__xludf.DUMMYFUNCTION("""COMPUTED_VALUE"""),"2020-12-22")</f>
        <v>2020-12-22</v>
      </c>
      <c r="G160" s="9">
        <f>IFERROR(__xludf.DUMMYFUNCTION("""COMPUTED_VALUE"""),44256.0)</f>
        <v>44256</v>
      </c>
      <c r="H160" s="10" t="str">
        <f>IFERROR(__xludf.DUMMYFUNCTION("""COMPUTED_VALUE"""),"https://security.samsungmobile.com/securityUpdate.smsb")</f>
        <v>https://security.samsungmobile.com/securityUpdate.smsb</v>
      </c>
      <c r="I160" t="str">
        <f>IFERROR(__xludf.DUMMYFUNCTION("""COMPUTED_VALUE"""),"???")</f>
        <v>???</v>
      </c>
      <c r="J160" t="str">
        <f>IFERROR(__xludf.DUMMYFUNCTION("""COMPUTED_VALUE"""),"???")</f>
        <v>???</v>
      </c>
      <c r="K160" t="str">
        <f>IFERROR(__xludf.DUMMYFUNCTION("""COMPUTED_VALUE"""),"???")</f>
        <v>???</v>
      </c>
    </row>
    <row r="161">
      <c r="A161" t="str">
        <f>IFERROR(__xludf.DUMMYFUNCTION("""COMPUTED_VALUE"""),"CVE-2021-21017")</f>
        <v>CVE-2021-21017</v>
      </c>
      <c r="B161" t="str">
        <f>IFERROR(__xludf.DUMMYFUNCTION("""COMPUTED_VALUE"""),"Adobe")</f>
        <v>Adobe</v>
      </c>
      <c r="C161" t="str">
        <f>IFERROR(__xludf.DUMMYFUNCTION("""COMPUTED_VALUE"""),"Reader")</f>
        <v>Reader</v>
      </c>
      <c r="D161" t="str">
        <f>IFERROR(__xludf.DUMMYFUNCTION("""COMPUTED_VALUE"""),"Memory Corruption")</f>
        <v>Memory Corruption</v>
      </c>
      <c r="E161" t="str">
        <f>IFERROR(__xludf.DUMMYFUNCTION("""COMPUTED_VALUE"""),"Heap-based buffer overflow")</f>
        <v>Heap-based buffer overflow</v>
      </c>
      <c r="F161" t="str">
        <f>IFERROR(__xludf.DUMMYFUNCTION("""COMPUTED_VALUE"""),"???")</f>
        <v>???</v>
      </c>
      <c r="G161" s="9">
        <f>IFERROR(__xludf.DUMMYFUNCTION("""COMPUTED_VALUE"""),44236.0)</f>
        <v>44236</v>
      </c>
      <c r="H161" s="10" t="str">
        <f>IFERROR(__xludf.DUMMYFUNCTION("""COMPUTED_VALUE"""),"https://helpx.adobe.com/security/products/acrobat/apsb21-09.html")</f>
        <v>https://helpx.adobe.com/security/products/acrobat/apsb21-09.html</v>
      </c>
      <c r="I161" s="10" t="str">
        <f>IFERROR(__xludf.DUMMYFUNCTION("""COMPUTED_VALUE"""),"https://github.com/ZeusBox/CVE-2021-21017")</f>
        <v>https://github.com/ZeusBox/CVE-2021-21017</v>
      </c>
      <c r="J161" t="str">
        <f>IFERROR(__xludf.DUMMYFUNCTION("""COMPUTED_VALUE"""),"???")</f>
        <v>???</v>
      </c>
      <c r="K161" t="str">
        <f>IFERROR(__xludf.DUMMYFUNCTION("""COMPUTED_VALUE"""),"???")</f>
        <v>???</v>
      </c>
    </row>
    <row r="162">
      <c r="A162" t="str">
        <f>IFERROR(__xludf.DUMMYFUNCTION("""COMPUTED_VALUE"""),"CVE-2021-1732")</f>
        <v>CVE-2021-1732</v>
      </c>
      <c r="B162" t="str">
        <f>IFERROR(__xludf.DUMMYFUNCTION("""COMPUTED_VALUE"""),"Microsoft")</f>
        <v>Microsoft</v>
      </c>
      <c r="C162" t="str">
        <f>IFERROR(__xludf.DUMMYFUNCTION("""COMPUTED_VALUE"""),"Windows")</f>
        <v>Windows</v>
      </c>
      <c r="D162" t="str">
        <f>IFERROR(__xludf.DUMMYFUNCTION("""COMPUTED_VALUE"""),"Memory Corruption")</f>
        <v>Memory Corruption</v>
      </c>
      <c r="E162" t="str">
        <f>IFERROR(__xludf.DUMMYFUNCTION("""COMPUTED_VALUE"""),"Unspecified win32k escalation of privilege")</f>
        <v>Unspecified win32k escalation of privilege</v>
      </c>
      <c r="F162" t="str">
        <f>IFERROR(__xludf.DUMMYFUNCTION("""COMPUTED_VALUE"""),"2020-12-10")</f>
        <v>2020-12-10</v>
      </c>
      <c r="G162" s="9">
        <f>IFERROR(__xludf.DUMMYFUNCTION("""COMPUTED_VALUE"""),44236.0)</f>
        <v>44236</v>
      </c>
      <c r="H162" s="10" t="str">
        <f>IFERROR(__xludf.DUMMYFUNCTION("""COMPUTED_VALUE"""),"https://msrc.microsoft.com/update-guide/vulnerability/CVE-2021-1732")</f>
        <v>https://msrc.microsoft.com/update-guide/vulnerability/CVE-2021-1732</v>
      </c>
      <c r="I162" s="10" t="str">
        <f>IFERROR(__xludf.DUMMYFUNCTION("""COMPUTED_VALUE"""),"https://ti.dbappsecurity.com.cn/blog/index.php/2021/02/10/windows-kernel-zero-day-exploit-is-used-by-bitter-apt-in-targeted-attack/")</f>
        <v>https://ti.dbappsecurity.com.cn/blog/index.php/2021/02/10/windows-kernel-zero-day-exploit-is-used-by-bitter-apt-in-targeted-attack/</v>
      </c>
      <c r="J162" s="10" t="str">
        <f>IFERROR(__xludf.DUMMYFUNCTION("""COMPUTED_VALUE"""),"https://googleprojectzero.github.io/0days-in-the-wild/0day-RCAs/2021/CVE-2021-1732.html")</f>
        <v>https://googleprojectzero.github.io/0days-in-the-wild/0day-RCAs/2021/CVE-2021-1732.html</v>
      </c>
      <c r="K162" t="str">
        <f>IFERROR(__xludf.DUMMYFUNCTION("""COMPUTED_VALUE"""),"JinQuan, MaDongZe, TuXiaoYi, and LiHao of DBAPPSecurity Co., Ltd")</f>
        <v>JinQuan, MaDongZe, TuXiaoYi, and LiHao of DBAPPSecurity Co., Ltd</v>
      </c>
    </row>
    <row r="163">
      <c r="A163" t="str">
        <f>IFERROR(__xludf.DUMMYFUNCTION("""COMPUTED_VALUE"""),"CVE-2021-21148")</f>
        <v>CVE-2021-21148</v>
      </c>
      <c r="B163" t="str">
        <f>IFERROR(__xludf.DUMMYFUNCTION("""COMPUTED_VALUE"""),"Google")</f>
        <v>Google</v>
      </c>
      <c r="C163" t="str">
        <f>IFERROR(__xludf.DUMMYFUNCTION("""COMPUTED_VALUE"""),"Chrome")</f>
        <v>Chrome</v>
      </c>
      <c r="D163" t="str">
        <f>IFERROR(__xludf.DUMMYFUNCTION("""COMPUTED_VALUE"""),"Memory Corruption")</f>
        <v>Memory Corruption</v>
      </c>
      <c r="E163" t="str">
        <f>IFERROR(__xludf.DUMMYFUNCTION("""COMPUTED_VALUE"""),"Heap buffer overflow in V8")</f>
        <v>Heap buffer overflow in V8</v>
      </c>
      <c r="F163" t="str">
        <f>IFERROR(__xludf.DUMMYFUNCTION("""COMPUTED_VALUE"""),"2021-01-24")</f>
        <v>2021-01-24</v>
      </c>
      <c r="G163" s="9">
        <f>IFERROR(__xludf.DUMMYFUNCTION("""COMPUTED_VALUE"""),44231.0)</f>
        <v>44231</v>
      </c>
      <c r="H163" s="10" t="str">
        <f>IFERROR(__xludf.DUMMYFUNCTION("""COMPUTED_VALUE"""),"https://chromereleases.googleblog.com/2021/02/stable-channel-update-for-desktop_4.html")</f>
        <v>https://chromereleases.googleblog.com/2021/02/stable-channel-update-for-desktop_4.html</v>
      </c>
      <c r="I163" t="str">
        <f>IFERROR(__xludf.DUMMYFUNCTION("""COMPUTED_VALUE"""),"???")</f>
        <v>???</v>
      </c>
      <c r="J163" t="str">
        <f>IFERROR(__xludf.DUMMYFUNCTION("""COMPUTED_VALUE"""),"???")</f>
        <v>???</v>
      </c>
      <c r="K163" t="str">
        <f>IFERROR(__xludf.DUMMYFUNCTION("""COMPUTED_VALUE"""),"Mattias Buelens")</f>
        <v>Mattias Buelens</v>
      </c>
    </row>
    <row r="164">
      <c r="A164" t="str">
        <f>IFERROR(__xludf.DUMMYFUNCTION("""COMPUTED_VALUE"""),"CVE-2021-1782")</f>
        <v>CVE-2021-1782</v>
      </c>
      <c r="B164" t="str">
        <f>IFERROR(__xludf.DUMMYFUNCTION("""COMPUTED_VALUE"""),"Apple ")</f>
        <v>Apple </v>
      </c>
      <c r="C164" t="str">
        <f>IFERROR(__xludf.DUMMYFUNCTION("""COMPUTED_VALUE"""),"iOS")</f>
        <v>iOS</v>
      </c>
      <c r="D164" t="str">
        <f>IFERROR(__xludf.DUMMYFUNCTION("""COMPUTED_VALUE"""),"Memory Corruption")</f>
        <v>Memory Corruption</v>
      </c>
      <c r="E164" t="str">
        <f>IFERROR(__xludf.DUMMYFUNCTION("""COMPUTED_VALUE"""),"Unspecified kernel race condition")</f>
        <v>Unspecified kernel race condition</v>
      </c>
      <c r="F164" t="str">
        <f>IFERROR(__xludf.DUMMYFUNCTION("""COMPUTED_VALUE"""),"???")</f>
        <v>???</v>
      </c>
      <c r="G164" s="9">
        <f>IFERROR(__xludf.DUMMYFUNCTION("""COMPUTED_VALUE"""),44222.0)</f>
        <v>44222</v>
      </c>
      <c r="H164" s="10" t="str">
        <f>IFERROR(__xludf.DUMMYFUNCTION("""COMPUTED_VALUE"""),"https://support.apple.com/en-us/HT212146")</f>
        <v>https://support.apple.com/en-us/HT212146</v>
      </c>
      <c r="I164" s="10" t="str">
        <f>IFERROR(__xludf.DUMMYFUNCTION("""COMPUTED_VALUE"""),"https://googleprojectzero.blogspot.com/2022/04/cve-2021-1782-ios-in-wild-vulnerability.html")</f>
        <v>https://googleprojectzero.blogspot.com/2022/04/cve-2021-1782-ios-in-wild-vulnerability.html</v>
      </c>
      <c r="J164" t="str">
        <f>IFERROR(__xludf.DUMMYFUNCTION("""COMPUTED_VALUE"""),"???")</f>
        <v>???</v>
      </c>
      <c r="K164" t="str">
        <f>IFERROR(__xludf.DUMMYFUNCTION("""COMPUTED_VALUE"""),"???")</f>
        <v>???</v>
      </c>
    </row>
    <row r="165">
      <c r="A165" t="str">
        <f>IFERROR(__xludf.DUMMYFUNCTION("""COMPUTED_VALUE"""),"CVE-2021-1870")</f>
        <v>CVE-2021-1870</v>
      </c>
      <c r="B165" t="str">
        <f>IFERROR(__xludf.DUMMYFUNCTION("""COMPUTED_VALUE"""),"Apple ")</f>
        <v>Apple </v>
      </c>
      <c r="C165" t="str">
        <f>IFERROR(__xludf.DUMMYFUNCTION("""COMPUTED_VALUE"""),"WebKit")</f>
        <v>WebKit</v>
      </c>
      <c r="D165" t="str">
        <f>IFERROR(__xludf.DUMMYFUNCTION("""COMPUTED_VALUE"""),"Logic/Design Flaw")</f>
        <v>Logic/Design Flaw</v>
      </c>
      <c r="E165" t="str">
        <f>IFERROR(__xludf.DUMMYFUNCTION("""COMPUTED_VALUE"""),"Unspecified logic flaw in Webkit")</f>
        <v>Unspecified logic flaw in Webkit</v>
      </c>
      <c r="F165" t="str">
        <f>IFERROR(__xludf.DUMMYFUNCTION("""COMPUTED_VALUE"""),"???")</f>
        <v>???</v>
      </c>
      <c r="G165" s="9">
        <f>IFERROR(__xludf.DUMMYFUNCTION("""COMPUTED_VALUE"""),44222.0)</f>
        <v>44222</v>
      </c>
      <c r="H165" s="10" t="str">
        <f>IFERROR(__xludf.DUMMYFUNCTION("""COMPUTED_VALUE"""),"https://support.apple.com/en-us/HT212146")</f>
        <v>https://support.apple.com/en-us/HT212146</v>
      </c>
      <c r="I165" t="str">
        <f>IFERROR(__xludf.DUMMYFUNCTION("""COMPUTED_VALUE"""),"???")</f>
        <v>???</v>
      </c>
      <c r="J165" t="str">
        <f>IFERROR(__xludf.DUMMYFUNCTION("""COMPUTED_VALUE"""),"???")</f>
        <v>???</v>
      </c>
      <c r="K165" t="str">
        <f>IFERROR(__xludf.DUMMYFUNCTION("""COMPUTED_VALUE"""),"???")</f>
        <v>???</v>
      </c>
    </row>
    <row r="166">
      <c r="A166" t="str">
        <f>IFERROR(__xludf.DUMMYFUNCTION("""COMPUTED_VALUE"""),"CVE-2021-1871")</f>
        <v>CVE-2021-1871</v>
      </c>
      <c r="B166" t="str">
        <f>IFERROR(__xludf.DUMMYFUNCTION("""COMPUTED_VALUE"""),"Apple ")</f>
        <v>Apple </v>
      </c>
      <c r="C166" t="str">
        <f>IFERROR(__xludf.DUMMYFUNCTION("""COMPUTED_VALUE"""),"WebKit")</f>
        <v>WebKit</v>
      </c>
      <c r="D166" t="str">
        <f>IFERROR(__xludf.DUMMYFUNCTION("""COMPUTED_VALUE"""),"Logic/Design Flaw")</f>
        <v>Logic/Design Flaw</v>
      </c>
      <c r="E166" t="str">
        <f>IFERROR(__xludf.DUMMYFUNCTION("""COMPUTED_VALUE"""),"Unspecified logic flaw in Webkit")</f>
        <v>Unspecified logic flaw in Webkit</v>
      </c>
      <c r="F166" t="str">
        <f>IFERROR(__xludf.DUMMYFUNCTION("""COMPUTED_VALUE"""),"???")</f>
        <v>???</v>
      </c>
      <c r="G166" s="9">
        <f>IFERROR(__xludf.DUMMYFUNCTION("""COMPUTED_VALUE"""),44222.0)</f>
        <v>44222</v>
      </c>
      <c r="H166" s="10" t="str">
        <f>IFERROR(__xludf.DUMMYFUNCTION("""COMPUTED_VALUE"""),"https://support.apple.com/en-us/HT212146")</f>
        <v>https://support.apple.com/en-us/HT212146</v>
      </c>
      <c r="I166" t="str">
        <f>IFERROR(__xludf.DUMMYFUNCTION("""COMPUTED_VALUE"""),"???")</f>
        <v>???</v>
      </c>
      <c r="J166" t="str">
        <f>IFERROR(__xludf.DUMMYFUNCTION("""COMPUTED_VALUE"""),"???")</f>
        <v>???</v>
      </c>
      <c r="K166" t="str">
        <f>IFERROR(__xludf.DUMMYFUNCTION("""COMPUTED_VALUE"""),"???")</f>
        <v>???</v>
      </c>
    </row>
    <row r="167">
      <c r="A167" t="str">
        <f>IFERROR(__xludf.DUMMYFUNCTION("""COMPUTED_VALUE"""),"CVE-2021-1647")</f>
        <v>CVE-2021-1647</v>
      </c>
      <c r="B167" t="str">
        <f>IFERROR(__xludf.DUMMYFUNCTION("""COMPUTED_VALUE"""),"Microsoft")</f>
        <v>Microsoft</v>
      </c>
      <c r="C167" t="str">
        <f>IFERROR(__xludf.DUMMYFUNCTION("""COMPUTED_VALUE"""),"Windows Defender")</f>
        <v>Windows Defender</v>
      </c>
      <c r="D167" t="str">
        <f>IFERROR(__xludf.DUMMYFUNCTION("""COMPUTED_VALUE"""),"Memory Corruption")</f>
        <v>Memory Corruption</v>
      </c>
      <c r="E167" t="str">
        <f>IFERROR(__xludf.DUMMYFUNCTION("""COMPUTED_VALUE"""),"Unspecified remote code execution in Windows Defender")</f>
        <v>Unspecified remote code execution in Windows Defender</v>
      </c>
      <c r="F167" t="str">
        <f>IFERROR(__xludf.DUMMYFUNCTION("""COMPUTED_VALUE"""),"???")</f>
        <v>???</v>
      </c>
      <c r="G167" s="9">
        <f>IFERROR(__xludf.DUMMYFUNCTION("""COMPUTED_VALUE"""),44208.0)</f>
        <v>44208</v>
      </c>
      <c r="H167" s="10" t="str">
        <f>IFERROR(__xludf.DUMMYFUNCTION("""COMPUTED_VALUE"""),"https://msrc.microsoft.com/update-guide/vulnerability/CVE-2021-1647")</f>
        <v>https://msrc.microsoft.com/update-guide/vulnerability/CVE-2021-1647</v>
      </c>
      <c r="I167" t="str">
        <f>IFERROR(__xludf.DUMMYFUNCTION("""COMPUTED_VALUE"""),"???")</f>
        <v>???</v>
      </c>
      <c r="J167" s="10" t="str">
        <f>IFERROR(__xludf.DUMMYFUNCTION("""COMPUTED_VALUE"""),"https://googleprojectzero.github.io/0days-in-the-wild/0day-RCAs/2021/CVE-2021-1647.html")</f>
        <v>https://googleprojectzero.github.io/0days-in-the-wild/0day-RCAs/2021/CVE-2021-1647.html</v>
      </c>
      <c r="K167" t="str">
        <f>IFERROR(__xludf.DUMMYFUNCTION("""COMPUTED_VALUE"""),"???")</f>
        <v>???</v>
      </c>
    </row>
    <row r="168">
      <c r="A168" t="str">
        <f>IFERROR(__xludf.DUMMYFUNCTION("""COMPUTED_VALUE"""),"CVE-2020-11261")</f>
        <v>CVE-2020-11261</v>
      </c>
      <c r="B168" t="str">
        <f>IFERROR(__xludf.DUMMYFUNCTION("""COMPUTED_VALUE"""),"Qualcomm")</f>
        <v>Qualcomm</v>
      </c>
      <c r="C168" t="str">
        <f>IFERROR(__xludf.DUMMYFUNCTION("""COMPUTED_VALUE"""),"Android")</f>
        <v>Android</v>
      </c>
      <c r="D168" t="str">
        <f>IFERROR(__xludf.DUMMYFUNCTION("""COMPUTED_VALUE"""),"Logic/Design Flaw")</f>
        <v>Logic/Design Flaw</v>
      </c>
      <c r="E168" t="str">
        <f>IFERROR(__xludf.DUMMYFUNCTION("""COMPUTED_VALUE"""),"Memory management logic error in kgsl driver")</f>
        <v>Memory management logic error in kgsl driver</v>
      </c>
      <c r="F168" t="str">
        <f>IFERROR(__xludf.DUMMYFUNCTION("""COMPUTED_VALUE"""),"2020-07-20")</f>
        <v>2020-07-20</v>
      </c>
      <c r="G168" s="9">
        <f>IFERROR(__xludf.DUMMYFUNCTION("""COMPUTED_VALUE"""),44200.0)</f>
        <v>44200</v>
      </c>
      <c r="H168" s="10" t="str">
        <f>IFERROR(__xludf.DUMMYFUNCTION("""COMPUTED_VALUE"""),"https://source.android.com/security/bulletin/2021-01-01")</f>
        <v>https://source.android.com/security/bulletin/2021-01-01</v>
      </c>
      <c r="I168" t="str">
        <f>IFERROR(__xludf.DUMMYFUNCTION("""COMPUTED_VALUE"""),"???")</f>
        <v>???</v>
      </c>
      <c r="J168" t="str">
        <f>IFERROR(__xludf.DUMMYFUNCTION("""COMPUTED_VALUE"""),"???")</f>
        <v>???</v>
      </c>
      <c r="K168" t="str">
        <f>IFERROR(__xludf.DUMMYFUNCTION("""COMPUTED_VALUE"""),"Man Yue Mo of GitHub Security Lab")</f>
        <v>Man Yue Mo of GitHub Security Lab</v>
      </c>
    </row>
    <row r="169">
      <c r="A169" t="str">
        <f>IFERROR(__xludf.DUMMYFUNCTION("""COMPUTED_VALUE"""),"CVE-2020-4006")</f>
        <v>CVE-2020-4006</v>
      </c>
      <c r="B169" t="str">
        <f>IFERROR(__xludf.DUMMYFUNCTION("""COMPUTED_VALUE"""),"VMWare")</f>
        <v>VMWare</v>
      </c>
      <c r="C169" t="str">
        <f>IFERROR(__xludf.DUMMYFUNCTION("""COMPUTED_VALUE"""),"VMware Workspace ONE Access")</f>
        <v>VMware Workspace ONE Access</v>
      </c>
      <c r="D169" t="str">
        <f>IFERROR(__xludf.DUMMYFUNCTION("""COMPUTED_VALUE"""),"Logic/Design Flaw")</f>
        <v>Logic/Design Flaw</v>
      </c>
      <c r="E169" t="str">
        <f>IFERROR(__xludf.DUMMYFUNCTION("""COMPUTED_VALUE"""),"Command injection")</f>
        <v>Command injection</v>
      </c>
      <c r="F169" t="str">
        <f>IFERROR(__xludf.DUMMYFUNCTION("""COMPUTED_VALUE"""),"???")</f>
        <v>???</v>
      </c>
      <c r="G169" s="9">
        <f>IFERROR(__xludf.DUMMYFUNCTION("""COMPUTED_VALUE"""),44168.0)</f>
        <v>44168</v>
      </c>
      <c r="H169" s="10" t="str">
        <f>IFERROR(__xludf.DUMMYFUNCTION("""COMPUTED_VALUE"""),"https://www.vmware.com/security/advisories/VMSA-2020-0027.html")</f>
        <v>https://www.vmware.com/security/advisories/VMSA-2020-0027.html</v>
      </c>
      <c r="I169" t="str">
        <f>IFERROR(__xludf.DUMMYFUNCTION("""COMPUTED_VALUE"""),"???")</f>
        <v>???</v>
      </c>
      <c r="J169" t="str">
        <f>IFERROR(__xludf.DUMMYFUNCTION("""COMPUTED_VALUE"""),"???")</f>
        <v>???</v>
      </c>
      <c r="K169" t="str">
        <f>IFERROR(__xludf.DUMMYFUNCTION("""COMPUTED_VALUE"""),"National Security Agency")</f>
        <v>National Security Agency</v>
      </c>
    </row>
    <row r="170">
      <c r="A170" t="str">
        <f>IFERROR(__xludf.DUMMYFUNCTION("""COMPUTED_VALUE"""),"CVE-2020-16013")</f>
        <v>CVE-2020-16013</v>
      </c>
      <c r="B170" t="str">
        <f>IFERROR(__xludf.DUMMYFUNCTION("""COMPUTED_VALUE"""),"Google")</f>
        <v>Google</v>
      </c>
      <c r="C170" t="str">
        <f>IFERROR(__xludf.DUMMYFUNCTION("""COMPUTED_VALUE"""),"Chrome")</f>
        <v>Chrome</v>
      </c>
      <c r="D170" t="str">
        <f>IFERROR(__xludf.DUMMYFUNCTION("""COMPUTED_VALUE"""),"Memory Corruption")</f>
        <v>Memory Corruption</v>
      </c>
      <c r="E170" t="str">
        <f>IFERROR(__xludf.DUMMYFUNCTION("""COMPUTED_VALUE"""),"Unspecified memory corruption in v8")</f>
        <v>Unspecified memory corruption in v8</v>
      </c>
      <c r="F170" t="str">
        <f>IFERROR(__xludf.DUMMYFUNCTION("""COMPUTED_VALUE"""),"2020-11-09")</f>
        <v>2020-11-09</v>
      </c>
      <c r="G170" s="9">
        <f>IFERROR(__xludf.DUMMYFUNCTION("""COMPUTED_VALUE"""),44146.0)</f>
        <v>44146</v>
      </c>
      <c r="H170" s="10" t="str">
        <f>IFERROR(__xludf.DUMMYFUNCTION("""COMPUTED_VALUE"""),"https://chromereleases.googleblog.com/2020/11/stable-channel-update-for-desktop_11.html")</f>
        <v>https://chromereleases.googleblog.com/2020/11/stable-channel-update-for-desktop_11.html</v>
      </c>
      <c r="I170" t="str">
        <f>IFERROR(__xludf.DUMMYFUNCTION("""COMPUTED_VALUE"""),"???")</f>
        <v>???</v>
      </c>
      <c r="J170" t="str">
        <f>IFERROR(__xludf.DUMMYFUNCTION("""COMPUTED_VALUE"""),"???")</f>
        <v>???</v>
      </c>
      <c r="K170" t="str">
        <f>IFERROR(__xludf.DUMMYFUNCTION("""COMPUTED_VALUE"""),"???")</f>
        <v>???</v>
      </c>
    </row>
    <row r="171">
      <c r="A171" t="str">
        <f>IFERROR(__xludf.DUMMYFUNCTION("""COMPUTED_VALUE"""),"CVE-2020-16017")</f>
        <v>CVE-2020-16017</v>
      </c>
      <c r="B171" t="str">
        <f>IFERROR(__xludf.DUMMYFUNCTION("""COMPUTED_VALUE"""),"Google")</f>
        <v>Google</v>
      </c>
      <c r="C171" t="str">
        <f>IFERROR(__xludf.DUMMYFUNCTION("""COMPUTED_VALUE"""),"Chrome")</f>
        <v>Chrome</v>
      </c>
      <c r="D171" t="str">
        <f>IFERROR(__xludf.DUMMYFUNCTION("""COMPUTED_VALUE"""),"Memory Corruption")</f>
        <v>Memory Corruption</v>
      </c>
      <c r="E171" t="str">
        <f>IFERROR(__xludf.DUMMYFUNCTION("""COMPUTED_VALUE"""),"Use-after-free in site isolation")</f>
        <v>Use-after-free in site isolation</v>
      </c>
      <c r="F171" t="str">
        <f>IFERROR(__xludf.DUMMYFUNCTION("""COMPUTED_VALUE"""),"2020-11-07")</f>
        <v>2020-11-07</v>
      </c>
      <c r="G171" s="9">
        <f>IFERROR(__xludf.DUMMYFUNCTION("""COMPUTED_VALUE"""),44146.0)</f>
        <v>44146</v>
      </c>
      <c r="H171" s="10" t="str">
        <f>IFERROR(__xludf.DUMMYFUNCTION("""COMPUTED_VALUE"""),"https://chromereleases.googleblog.com/2020/11/stable-channel-update-for-desktop_11.html")</f>
        <v>https://chromereleases.googleblog.com/2020/11/stable-channel-update-for-desktop_11.html</v>
      </c>
      <c r="I171" t="str">
        <f>IFERROR(__xludf.DUMMYFUNCTION("""COMPUTED_VALUE"""),"???")</f>
        <v>???</v>
      </c>
      <c r="J171" t="str">
        <f>IFERROR(__xludf.DUMMYFUNCTION("""COMPUTED_VALUE"""),"???")</f>
        <v>???</v>
      </c>
      <c r="K171" t="str">
        <f>IFERROR(__xludf.DUMMYFUNCTION("""COMPUTED_VALUE"""),"???")</f>
        <v>???</v>
      </c>
    </row>
    <row r="172">
      <c r="A172" t="str">
        <f>IFERROR(__xludf.DUMMYFUNCTION("""COMPUTED_VALUE"""),"CVE-2020-17087")</f>
        <v>CVE-2020-17087</v>
      </c>
      <c r="B172" t="str">
        <f>IFERROR(__xludf.DUMMYFUNCTION("""COMPUTED_VALUE"""),"Microsoft")</f>
        <v>Microsoft</v>
      </c>
      <c r="C172" t="str">
        <f>IFERROR(__xludf.DUMMYFUNCTION("""COMPUTED_VALUE"""),"Windows")</f>
        <v>Windows</v>
      </c>
      <c r="D172" t="str">
        <f>IFERROR(__xludf.DUMMYFUNCTION("""COMPUTED_VALUE"""),"Memory Corruption")</f>
        <v>Memory Corruption</v>
      </c>
      <c r="E172" t="str">
        <f>IFERROR(__xludf.DUMMYFUNCTION("""COMPUTED_VALUE"""),"Heap buffer overflow in cng.sys IOCTL 0x390400")</f>
        <v>Heap buffer overflow in cng.sys IOCTL 0x390400</v>
      </c>
      <c r="F172" t="str">
        <f>IFERROR(__xludf.DUMMYFUNCTION("""COMPUTED_VALUE"""),"2020-10-22")</f>
        <v>2020-10-22</v>
      </c>
      <c r="G172" s="9">
        <f>IFERROR(__xludf.DUMMYFUNCTION("""COMPUTED_VALUE"""),44145.0)</f>
        <v>44145</v>
      </c>
      <c r="H172" s="10" t="str">
        <f>IFERROR(__xludf.DUMMYFUNCTION("""COMPUTED_VALUE"""),"https://msrc.microsoft.com/update-guide/en-US/vulnerability/CVE-2020-17087")</f>
        <v>https://msrc.microsoft.com/update-guide/en-US/vulnerability/CVE-2020-17087</v>
      </c>
      <c r="I172" s="10" t="str">
        <f>IFERROR(__xludf.DUMMYFUNCTION("""COMPUTED_VALUE"""),"https://bugs.chromium.org/p/project-zero/issues/detail?id=2104")</f>
        <v>https://bugs.chromium.org/p/project-zero/issues/detail?id=2104</v>
      </c>
      <c r="J172" s="10" t="str">
        <f>IFERROR(__xludf.DUMMYFUNCTION("""COMPUTED_VALUE"""),"https://googleprojectzero.github.io/0days-in-the-wild//0day-RCAs/2020/CVE-2020-17087.html")</f>
        <v>https://googleprojectzero.github.io/0days-in-the-wild//0day-RCAs/2020/CVE-2020-17087.html</v>
      </c>
      <c r="K172" t="str">
        <f>IFERROR(__xludf.DUMMYFUNCTION("""COMPUTED_VALUE"""),"Google Project Zero")</f>
        <v>Google Project Zero</v>
      </c>
    </row>
    <row r="173">
      <c r="A173" t="str">
        <f>IFERROR(__xludf.DUMMYFUNCTION("""COMPUTED_VALUE"""),"CVE-2020-27930")</f>
        <v>CVE-2020-27930</v>
      </c>
      <c r="B173" t="str">
        <f>IFERROR(__xludf.DUMMYFUNCTION("""COMPUTED_VALUE"""),"Apple")</f>
        <v>Apple</v>
      </c>
      <c r="C173" t="str">
        <f>IFERROR(__xludf.DUMMYFUNCTION("""COMPUTED_VALUE"""),"iOS")</f>
        <v>iOS</v>
      </c>
      <c r="D173" t="str">
        <f>IFERROR(__xludf.DUMMYFUNCTION("""COMPUTED_VALUE"""),"Memory Corruption")</f>
        <v>Memory Corruption</v>
      </c>
      <c r="E173" t="str">
        <f>IFERROR(__xludf.DUMMYFUNCTION("""COMPUTED_VALUE"""),"Unspecified memory corruption in font parsing")</f>
        <v>Unspecified memory corruption in font parsing</v>
      </c>
      <c r="F173" t="str">
        <f>IFERROR(__xludf.DUMMYFUNCTION("""COMPUTED_VALUE"""),"2020-10-26")</f>
        <v>2020-10-26</v>
      </c>
      <c r="G173" s="9">
        <f>IFERROR(__xludf.DUMMYFUNCTION("""COMPUTED_VALUE"""),44140.0)</f>
        <v>44140</v>
      </c>
      <c r="H173" s="10" t="str">
        <f>IFERROR(__xludf.DUMMYFUNCTION("""COMPUTED_VALUE"""),"https://support.apple.com/en-us/HT211929")</f>
        <v>https://support.apple.com/en-us/HT211929</v>
      </c>
      <c r="I173" s="10" t="str">
        <f>IFERROR(__xludf.DUMMYFUNCTION("""COMPUTED_VALUE"""),"https://bugs.chromium.org/p/project-zero/issues/detail?id=2105")</f>
        <v>https://bugs.chromium.org/p/project-zero/issues/detail?id=2105</v>
      </c>
      <c r="J173" s="10" t="str">
        <f>IFERROR(__xludf.DUMMYFUNCTION("""COMPUTED_VALUE"""),"https://googleprojectzero.github.io/0days-in-the-wild//0day-RCAs/2020/CVE-2020-27930.html")</f>
        <v>https://googleprojectzero.github.io/0days-in-the-wild//0day-RCAs/2020/CVE-2020-27930.html</v>
      </c>
      <c r="K173" t="str">
        <f>IFERROR(__xludf.DUMMYFUNCTION("""COMPUTED_VALUE"""),"Google Project Zero")</f>
        <v>Google Project Zero</v>
      </c>
    </row>
    <row r="174">
      <c r="A174" t="str">
        <f>IFERROR(__xludf.DUMMYFUNCTION("""COMPUTED_VALUE"""),"CVE-2020-27950")</f>
        <v>CVE-2020-27950</v>
      </c>
      <c r="B174" t="str">
        <f>IFERROR(__xludf.DUMMYFUNCTION("""COMPUTED_VALUE"""),"Apple")</f>
        <v>Apple</v>
      </c>
      <c r="C174" t="str">
        <f>IFERROR(__xludf.DUMMYFUNCTION("""COMPUTED_VALUE"""),"iOS")</f>
        <v>iOS</v>
      </c>
      <c r="D174" t="str">
        <f>IFERROR(__xludf.DUMMYFUNCTION("""COMPUTED_VALUE"""),"Information Leak")</f>
        <v>Information Leak</v>
      </c>
      <c r="E174" t="str">
        <f>IFERROR(__xludf.DUMMYFUNCTION("""COMPUTED_VALUE"""),"Unspecified memory initialization issue in kernel")</f>
        <v>Unspecified memory initialization issue in kernel</v>
      </c>
      <c r="F174" t="str">
        <f>IFERROR(__xludf.DUMMYFUNCTION("""COMPUTED_VALUE"""),"2020-10-29")</f>
        <v>2020-10-29</v>
      </c>
      <c r="G174" s="9">
        <f>IFERROR(__xludf.DUMMYFUNCTION("""COMPUTED_VALUE"""),44140.0)</f>
        <v>44140</v>
      </c>
      <c r="H174" s="10" t="str">
        <f>IFERROR(__xludf.DUMMYFUNCTION("""COMPUTED_VALUE"""),"https://support.apple.com/en-us/HT211929")</f>
        <v>https://support.apple.com/en-us/HT211929</v>
      </c>
      <c r="I174" s="10" t="str">
        <f>IFERROR(__xludf.DUMMYFUNCTION("""COMPUTED_VALUE"""),"https://bugs.chromium.org/p/project-zero/issues/detail?id=2108&amp;q=CVE-2020-27950&amp;can=1")</f>
        <v>https://bugs.chromium.org/p/project-zero/issues/detail?id=2108&amp;q=CVE-2020-27950&amp;can=1</v>
      </c>
      <c r="J174" s="10" t="str">
        <f>IFERROR(__xludf.DUMMYFUNCTION("""COMPUTED_VALUE"""),"https://googleprojectzero.github.io/0days-in-the-wild//0day-RCAs/2020/CVE-2020-27950.html")</f>
        <v>https://googleprojectzero.github.io/0days-in-the-wild//0day-RCAs/2020/CVE-2020-27950.html</v>
      </c>
      <c r="K174" t="str">
        <f>IFERROR(__xludf.DUMMYFUNCTION("""COMPUTED_VALUE"""),"Google Project Zero")</f>
        <v>Google Project Zero</v>
      </c>
    </row>
    <row r="175">
      <c r="A175" t="str">
        <f>IFERROR(__xludf.DUMMYFUNCTION("""COMPUTED_VALUE"""),"CVE-2020-27932")</f>
        <v>CVE-2020-27932</v>
      </c>
      <c r="B175" t="str">
        <f>IFERROR(__xludf.DUMMYFUNCTION("""COMPUTED_VALUE"""),"Apple")</f>
        <v>Apple</v>
      </c>
      <c r="C175" t="str">
        <f>IFERROR(__xludf.DUMMYFUNCTION("""COMPUTED_VALUE"""),"iOS")</f>
        <v>iOS</v>
      </c>
      <c r="D175" t="str">
        <f>IFERROR(__xludf.DUMMYFUNCTION("""COMPUTED_VALUE"""),"Memory Corruption")</f>
        <v>Memory Corruption</v>
      </c>
      <c r="E175" t="str">
        <f>IFERROR(__xludf.DUMMYFUNCTION("""COMPUTED_VALUE"""),"Unspecified type confusion in kernel")</f>
        <v>Unspecified type confusion in kernel</v>
      </c>
      <c r="F175" t="str">
        <f>IFERROR(__xludf.DUMMYFUNCTION("""COMPUTED_VALUE"""),"2020-10-26")</f>
        <v>2020-10-26</v>
      </c>
      <c r="G175" s="9">
        <f>IFERROR(__xludf.DUMMYFUNCTION("""COMPUTED_VALUE"""),44140.0)</f>
        <v>44140</v>
      </c>
      <c r="H175" s="10" t="str">
        <f>IFERROR(__xludf.DUMMYFUNCTION("""COMPUTED_VALUE"""),"https://support.apple.com/en-us/HT211929")</f>
        <v>https://support.apple.com/en-us/HT211929</v>
      </c>
      <c r="I175" s="10" t="str">
        <f>IFERROR(__xludf.DUMMYFUNCTION("""COMPUTED_VALUE"""),"https://bugs.chromium.org/p/project-zero/issues/detail?id=2107")</f>
        <v>https://bugs.chromium.org/p/project-zero/issues/detail?id=2107</v>
      </c>
      <c r="J175" s="10" t="str">
        <f>IFERROR(__xludf.DUMMYFUNCTION("""COMPUTED_VALUE"""),"https://googleprojectzero.github.io/0days-in-the-wild//0day-RCAs/2020/CVE-2020-27932.html")</f>
        <v>https://googleprojectzero.github.io/0days-in-the-wild//0day-RCAs/2020/CVE-2020-27932.html</v>
      </c>
      <c r="K175" t="str">
        <f>IFERROR(__xludf.DUMMYFUNCTION("""COMPUTED_VALUE"""),"Google Project Zero")</f>
        <v>Google Project Zero</v>
      </c>
    </row>
    <row r="176">
      <c r="A176" t="str">
        <f>IFERROR(__xludf.DUMMYFUNCTION("""COMPUTED_VALUE"""),"CVE-2020-16009")</f>
        <v>CVE-2020-16009</v>
      </c>
      <c r="B176" t="str">
        <f>IFERROR(__xludf.DUMMYFUNCTION("""COMPUTED_VALUE"""),"Google")</f>
        <v>Google</v>
      </c>
      <c r="C176" t="str">
        <f>IFERROR(__xludf.DUMMYFUNCTION("""COMPUTED_VALUE"""),"Chrome")</f>
        <v>Chrome</v>
      </c>
      <c r="D176" t="str">
        <f>IFERROR(__xludf.DUMMYFUNCTION("""COMPUTED_VALUE"""),"Memory Corruption")</f>
        <v>Memory Corruption</v>
      </c>
      <c r="E176" t="str">
        <f>IFERROR(__xludf.DUMMYFUNCTION("""COMPUTED_VALUE"""),"Type confusion in TurboFan map deprecation")</f>
        <v>Type confusion in TurboFan map deprecation</v>
      </c>
      <c r="F176" t="str">
        <f>IFERROR(__xludf.DUMMYFUNCTION("""COMPUTED_VALUE"""),"2020-10-29")</f>
        <v>2020-10-29</v>
      </c>
      <c r="G176" s="9">
        <f>IFERROR(__xludf.DUMMYFUNCTION("""COMPUTED_VALUE"""),44137.0)</f>
        <v>44137</v>
      </c>
      <c r="H176" s="10" t="str">
        <f>IFERROR(__xludf.DUMMYFUNCTION("""COMPUTED_VALUE"""),"https://chromereleases.googleblog.com/2020/11/stable-channel-update-for-desktop.html")</f>
        <v>https://chromereleases.googleblog.com/2020/11/stable-channel-update-for-desktop.html</v>
      </c>
      <c r="I176" s="10" t="str">
        <f>IFERROR(__xludf.DUMMYFUNCTION("""COMPUTED_VALUE"""),"https://bugs.chromium.org/p/project-zero/issues/detail?id=2106")</f>
        <v>https://bugs.chromium.org/p/project-zero/issues/detail?id=2106</v>
      </c>
      <c r="J176" s="10" t="str">
        <f>IFERROR(__xludf.DUMMYFUNCTION("""COMPUTED_VALUE"""),"https://googleprojectzero.github.io/0days-in-the-wild//0day-RCAs/2020/CVE-2020-16009.html")</f>
        <v>https://googleprojectzero.github.io/0days-in-the-wild//0day-RCAs/2020/CVE-2020-16009.html</v>
      </c>
      <c r="K176" t="str">
        <f>IFERROR(__xludf.DUMMYFUNCTION("""COMPUTED_VALUE"""),"Google Project Zero/Google TAG")</f>
        <v>Google Project Zero/Google TAG</v>
      </c>
    </row>
    <row r="177">
      <c r="A177" t="str">
        <f>IFERROR(__xludf.DUMMYFUNCTION("""COMPUTED_VALUE"""),"CVE-2020-16010")</f>
        <v>CVE-2020-16010</v>
      </c>
      <c r="B177" t="str">
        <f>IFERROR(__xludf.DUMMYFUNCTION("""COMPUTED_VALUE"""),"Google")</f>
        <v>Google</v>
      </c>
      <c r="C177" t="str">
        <f>IFERROR(__xludf.DUMMYFUNCTION("""COMPUTED_VALUE"""),"Chrome")</f>
        <v>Chrome</v>
      </c>
      <c r="D177" t="str">
        <f>IFERROR(__xludf.DUMMYFUNCTION("""COMPUTED_VALUE"""),"Memory Corruption")</f>
        <v>Memory Corruption</v>
      </c>
      <c r="E177" t="str">
        <f>IFERROR(__xludf.DUMMYFUNCTION("""COMPUTED_VALUE"""),"Unspecified memory corruption in Chrome on Android sandbox")</f>
        <v>Unspecified memory corruption in Chrome on Android sandbox</v>
      </c>
      <c r="F177" t="str">
        <f>IFERROR(__xludf.DUMMYFUNCTION("""COMPUTED_VALUE"""),"2020-10-31")</f>
        <v>2020-10-31</v>
      </c>
      <c r="G177" s="9">
        <f>IFERROR(__xludf.DUMMYFUNCTION("""COMPUTED_VALUE"""),44137.0)</f>
        <v>44137</v>
      </c>
      <c r="H177" s="10" t="str">
        <f>IFERROR(__xludf.DUMMYFUNCTION("""COMPUTED_VALUE"""),"https://chromereleases.googleblog.com/2020/11/chrome-for-android-update.html")</f>
        <v>https://chromereleases.googleblog.com/2020/11/chrome-for-android-update.html</v>
      </c>
      <c r="I177" s="10" t="str">
        <f>IFERROR(__xludf.DUMMYFUNCTION("""COMPUTED_VALUE"""),"https://bugs.chromium.org/p/project-zero/issues/detail?id=2112")</f>
        <v>https://bugs.chromium.org/p/project-zero/issues/detail?id=2112</v>
      </c>
      <c r="J177" s="10" t="str">
        <f>IFERROR(__xludf.DUMMYFUNCTION("""COMPUTED_VALUE"""),"https://googleprojectzero.github.io/0days-in-the-wild//0day-RCAs/2020/CVE-2020-16010.html")</f>
        <v>https://googleprojectzero.github.io/0days-in-the-wild//0day-RCAs/2020/CVE-2020-16010.html</v>
      </c>
      <c r="K177" t="str">
        <f>IFERROR(__xludf.DUMMYFUNCTION("""COMPUTED_VALUE"""),"Google Project Zero")</f>
        <v>Google Project Zero</v>
      </c>
    </row>
    <row r="178">
      <c r="A178" t="str">
        <f>IFERROR(__xludf.DUMMYFUNCTION("""COMPUTED_VALUE"""),"CVE-2020-15999")</f>
        <v>CVE-2020-15999</v>
      </c>
      <c r="B178" t="str">
        <f>IFERROR(__xludf.DUMMYFUNCTION("""COMPUTED_VALUE"""),"Google")</f>
        <v>Google</v>
      </c>
      <c r="C178" t="str">
        <f>IFERROR(__xludf.DUMMYFUNCTION("""COMPUTED_VALUE"""),"Chrome")</f>
        <v>Chrome</v>
      </c>
      <c r="D178" t="str">
        <f>IFERROR(__xludf.DUMMYFUNCTION("""COMPUTED_VALUE"""),"Memory Corruption")</f>
        <v>Memory Corruption</v>
      </c>
      <c r="E178" t="str">
        <f>IFERROR(__xludf.DUMMYFUNCTION("""COMPUTED_VALUE"""),"Heap buffer overflow in typescript Load_SBit_Png")</f>
        <v>Heap buffer overflow in typescript Load_SBit_Png</v>
      </c>
      <c r="F178" t="str">
        <f>IFERROR(__xludf.DUMMYFUNCTION("""COMPUTED_VALUE"""),"2020-10-19")</f>
        <v>2020-10-19</v>
      </c>
      <c r="G178" s="9">
        <f>IFERROR(__xludf.DUMMYFUNCTION("""COMPUTED_VALUE"""),44124.0)</f>
        <v>44124</v>
      </c>
      <c r="H178" s="10" t="str">
        <f>IFERROR(__xludf.DUMMYFUNCTION("""COMPUTED_VALUE"""),"https://chromereleases.googleblog.com/2020/10/stable-channel-update-for-desktop_20.html")</f>
        <v>https://chromereleases.googleblog.com/2020/10/stable-channel-update-for-desktop_20.html</v>
      </c>
      <c r="I178" s="10" t="str">
        <f>IFERROR(__xludf.DUMMYFUNCTION("""COMPUTED_VALUE"""),"https://savannah.nongnu.org/bugs/?59308")</f>
        <v>https://savannah.nongnu.org/bugs/?59308</v>
      </c>
      <c r="J178" s="10" t="str">
        <f>IFERROR(__xludf.DUMMYFUNCTION("""COMPUTED_VALUE"""),"https://googleprojectzero.github.io/0days-in-the-wild//0day-RCAs/2020/CVE-2020-15999.html")</f>
        <v>https://googleprojectzero.github.io/0days-in-the-wild//0day-RCAs/2020/CVE-2020-15999.html</v>
      </c>
      <c r="K178" t="str">
        <f>IFERROR(__xludf.DUMMYFUNCTION("""COMPUTED_VALUE"""),"Google Project Zero")</f>
        <v>Google Project Zero</v>
      </c>
    </row>
    <row r="179">
      <c r="A179" t="str">
        <f>IFERROR(__xludf.DUMMYFUNCTION("""COMPUTED_VALUE"""),"CVE-2020-1380")</f>
        <v>CVE-2020-1380</v>
      </c>
      <c r="B179" t="str">
        <f>IFERROR(__xludf.DUMMYFUNCTION("""COMPUTED_VALUE"""),"Microsoft")</f>
        <v>Microsoft</v>
      </c>
      <c r="C179" t="str">
        <f>IFERROR(__xludf.DUMMYFUNCTION("""COMPUTED_VALUE"""),"Internet Explorer")</f>
        <v>Internet Explorer</v>
      </c>
      <c r="D179" t="str">
        <f>IFERROR(__xludf.DUMMYFUNCTION("""COMPUTED_VALUE"""),"Memory Corruption")</f>
        <v>Memory Corruption</v>
      </c>
      <c r="E179" t="str">
        <f>IFERROR(__xludf.DUMMYFUNCTION("""COMPUTED_VALUE"""),"Use-after-free in JScript9")</f>
        <v>Use-after-free in JScript9</v>
      </c>
      <c r="F179" t="str">
        <f>IFERROR(__xludf.DUMMYFUNCTION("""COMPUTED_VALUE"""),"???")</f>
        <v>???</v>
      </c>
      <c r="G179" s="9">
        <f>IFERROR(__xludf.DUMMYFUNCTION("""COMPUTED_VALUE"""),44054.0)</f>
        <v>44054</v>
      </c>
      <c r="H179" s="10" t="str">
        <f>IFERROR(__xludf.DUMMYFUNCTION("""COMPUTED_VALUE"""),"https://portal.msrc.microsoft.com/en-US/security-guidance/advisory/CVE-2020-1380")</f>
        <v>https://portal.msrc.microsoft.com/en-US/security-guidance/advisory/CVE-2020-1380</v>
      </c>
      <c r="I179" s="10" t="str">
        <f>IFERROR(__xludf.DUMMYFUNCTION("""COMPUTED_VALUE"""),"https://securelist.com/ie-and-windows-zero-day-operation-powerfall/97976/")</f>
        <v>https://securelist.com/ie-and-windows-zero-day-operation-powerfall/97976/</v>
      </c>
      <c r="J179" s="10" t="str">
        <f>IFERROR(__xludf.DUMMYFUNCTION("""COMPUTED_VALUE"""),"https://googleprojectzero.github.io/0days-in-the-wild//0day-RCAs/2020/CVE-2020-1380.html")</f>
        <v>https://googleprojectzero.github.io/0days-in-the-wild//0day-RCAs/2020/CVE-2020-1380.html</v>
      </c>
      <c r="K179" t="str">
        <f>IFERROR(__xludf.DUMMYFUNCTION("""COMPUTED_VALUE"""),"Boris Larin (Oct0xor) of Kaspersky Lab")</f>
        <v>Boris Larin (Oct0xor) of Kaspersky Lab</v>
      </c>
    </row>
    <row r="180">
      <c r="A180" t="str">
        <f>IFERROR(__xludf.DUMMYFUNCTION("""COMPUTED_VALUE"""),"CVE-2020-0986")</f>
        <v>CVE-2020-0986</v>
      </c>
      <c r="B180" t="str">
        <f>IFERROR(__xludf.DUMMYFUNCTION("""COMPUTED_VALUE"""),"Microsoft")</f>
        <v>Microsoft</v>
      </c>
      <c r="C180" t="str">
        <f>IFERROR(__xludf.DUMMYFUNCTION("""COMPUTED_VALUE"""),"Windows")</f>
        <v>Windows</v>
      </c>
      <c r="D180" t="str">
        <f>IFERROR(__xludf.DUMMYFUNCTION("""COMPUTED_VALUE"""),"Memory Corruption")</f>
        <v>Memory Corruption</v>
      </c>
      <c r="E180" t="str">
        <f>IFERROR(__xludf.DUMMYFUNCTION("""COMPUTED_VALUE"""),"Unspecified memory corruption in Windows Kernel")</f>
        <v>Unspecified memory corruption in Windows Kernel</v>
      </c>
      <c r="F180" t="str">
        <f>IFERROR(__xludf.DUMMYFUNCTION("""COMPUTED_VALUE"""),"???")</f>
        <v>???</v>
      </c>
      <c r="G180" s="9">
        <f>IFERROR(__xludf.DUMMYFUNCTION("""COMPUTED_VALUE"""),43991.0)</f>
        <v>43991</v>
      </c>
      <c r="H180" s="10" t="str">
        <f>IFERROR(__xludf.DUMMYFUNCTION("""COMPUTED_VALUE"""),"https://portal.msrc.microsoft.com/en-US/security-guidance/advisory/CVE-2020-0986")</f>
        <v>https://portal.msrc.microsoft.com/en-US/security-guidance/advisory/CVE-2020-0986</v>
      </c>
      <c r="I180" s="10" t="str">
        <f>IFERROR(__xludf.DUMMYFUNCTION("""COMPUTED_VALUE"""),"https://securelist.com/ie-and-windows-zero-day-operation-powerfall/97976/")</f>
        <v>https://securelist.com/ie-and-windows-zero-day-operation-powerfall/97976/</v>
      </c>
      <c r="J180" s="10" t="str">
        <f>IFERROR(__xludf.DUMMYFUNCTION("""COMPUTED_VALUE"""),"https://googleprojectzero.github.io/0days-in-the-wild//0day-RCAs/2020/CVE-2020-0986.html")</f>
        <v>https://googleprojectzero.github.io/0days-in-the-wild//0day-RCAs/2020/CVE-2020-0986.html</v>
      </c>
      <c r="K180" t="str">
        <f>IFERROR(__xludf.DUMMYFUNCTION("""COMPUTED_VALUE"""),"Andy, Anonymous working with Trend Micro's Zero Day Initiative, &amp; Boris Larin of Kaspersky")</f>
        <v>Andy, Anonymous working with Trend Micro's Zero Day Initiative, &amp; Boris Larin of Kaspersky</v>
      </c>
    </row>
    <row r="181">
      <c r="A181" t="str">
        <f>IFERROR(__xludf.DUMMYFUNCTION("""COMPUTED_VALUE"""),"CVE-2020-12271")</f>
        <v>CVE-2020-12271</v>
      </c>
      <c r="B181" t="str">
        <f>IFERROR(__xludf.DUMMYFUNCTION("""COMPUTED_VALUE"""),"Sophos")</f>
        <v>Sophos</v>
      </c>
      <c r="C181" t="str">
        <f>IFERROR(__xludf.DUMMYFUNCTION("""COMPUTED_VALUE"""),"XG Firewall")</f>
        <v>XG Firewall</v>
      </c>
      <c r="D181" t="str">
        <f>IFERROR(__xludf.DUMMYFUNCTION("""COMPUTED_VALUE"""),"Logic/Design Flaw")</f>
        <v>Logic/Design Flaw</v>
      </c>
      <c r="E181" t="str">
        <f>IFERROR(__xludf.DUMMYFUNCTION("""COMPUTED_VALUE"""),"SQL injection in admin interface/user portal")</f>
        <v>SQL injection in admin interface/user portal</v>
      </c>
      <c r="F181" t="str">
        <f>IFERROR(__xludf.DUMMYFUNCTION("""COMPUTED_VALUE"""),"2020-04-22")</f>
        <v>2020-04-22</v>
      </c>
      <c r="G181" s="9">
        <f>IFERROR(__xludf.DUMMYFUNCTION("""COMPUTED_VALUE"""),43946.0)</f>
        <v>43946</v>
      </c>
      <c r="H181" s="10" t="str">
        <f>IFERROR(__xludf.DUMMYFUNCTION("""COMPUTED_VALUE"""),"https://community.sophos.com/kb/en-us/135412")</f>
        <v>https://community.sophos.com/kb/en-us/135412</v>
      </c>
      <c r="I181" s="10" t="str">
        <f>IFERROR(__xludf.DUMMYFUNCTION("""COMPUTED_VALUE"""),"https://news.sophos.com/en-us/2020/04/26/asnarok/")</f>
        <v>https://news.sophos.com/en-us/2020/04/26/asnarok/</v>
      </c>
      <c r="J181" t="str">
        <f>IFERROR(__xludf.DUMMYFUNCTION("""COMPUTED_VALUE"""),"???")</f>
        <v>???</v>
      </c>
      <c r="K181" t="str">
        <f>IFERROR(__xludf.DUMMYFUNCTION("""COMPUTED_VALUE"""),"???")</f>
        <v>???</v>
      </c>
    </row>
    <row r="182">
      <c r="A182" t="str">
        <f>IFERROR(__xludf.DUMMYFUNCTION("""COMPUTED_VALUE"""),"CVE-2020-0938")</f>
        <v>CVE-2020-0938</v>
      </c>
      <c r="B182" t="str">
        <f>IFERROR(__xludf.DUMMYFUNCTION("""COMPUTED_VALUE"""),"Microsoft")</f>
        <v>Microsoft</v>
      </c>
      <c r="C182" t="str">
        <f>IFERROR(__xludf.DUMMYFUNCTION("""COMPUTED_VALUE"""),"Windows")</f>
        <v>Windows</v>
      </c>
      <c r="D182" t="str">
        <f>IFERROR(__xludf.DUMMYFUNCTION("""COMPUTED_VALUE"""),"Memory Corruption")</f>
        <v>Memory Corruption</v>
      </c>
      <c r="E182" t="str">
        <f>IFERROR(__xludf.DUMMYFUNCTION("""COMPUTED_VALUE"""),"Unspecified memory corruption in Adobe Type 1 PostScript format")</f>
        <v>Unspecified memory corruption in Adobe Type 1 PostScript format</v>
      </c>
      <c r="F182" t="str">
        <f>IFERROR(__xludf.DUMMYFUNCTION("""COMPUTED_VALUE"""),"???")</f>
        <v>???</v>
      </c>
      <c r="G182" s="9">
        <f>IFERROR(__xludf.DUMMYFUNCTION("""COMPUTED_VALUE"""),43935.0)</f>
        <v>43935</v>
      </c>
      <c r="H182" s="10" t="str">
        <f>IFERROR(__xludf.DUMMYFUNCTION("""COMPUTED_VALUE"""),"https://portal.msrc.microsoft.com/en-us/security-guidance/advisory/CVE-2020-0938")</f>
        <v>https://portal.msrc.microsoft.com/en-us/security-guidance/advisory/CVE-2020-0938</v>
      </c>
      <c r="I182" t="str">
        <f>IFERROR(__xludf.DUMMYFUNCTION("""COMPUTED_VALUE"""),"???")</f>
        <v>???</v>
      </c>
      <c r="J182" s="10" t="str">
        <f>IFERROR(__xludf.DUMMYFUNCTION("""COMPUTED_VALUE"""),"https://googleprojectzero.github.io/0days-in-the-wild//0day-RCAs/2020/CVE-2020-0938.html")</f>
        <v>https://googleprojectzero.github.io/0days-in-the-wild//0day-RCAs/2020/CVE-2020-0938.html</v>
      </c>
      <c r="K182" t="str">
        <f>IFERROR(__xludf.DUMMYFUNCTION("""COMPUTED_VALUE"""),"Liubenjin and Zhiyi Zhang from Codesafe Team of Legendsec at Qi'anxin Group")</f>
        <v>Liubenjin and Zhiyi Zhang from Codesafe Team of Legendsec at Qi'anxin Group</v>
      </c>
    </row>
    <row r="183">
      <c r="A183" t="str">
        <f>IFERROR(__xludf.DUMMYFUNCTION("""COMPUTED_VALUE"""),"CVE-2020-1020")</f>
        <v>CVE-2020-1020</v>
      </c>
      <c r="B183" t="str">
        <f>IFERROR(__xludf.DUMMYFUNCTION("""COMPUTED_VALUE"""),"Microsoft")</f>
        <v>Microsoft</v>
      </c>
      <c r="C183" t="str">
        <f>IFERROR(__xludf.DUMMYFUNCTION("""COMPUTED_VALUE"""),"Windows")</f>
        <v>Windows</v>
      </c>
      <c r="D183" t="str">
        <f>IFERROR(__xludf.DUMMYFUNCTION("""COMPUTED_VALUE"""),"Memory Corruption")</f>
        <v>Memory Corruption</v>
      </c>
      <c r="E183" t="str">
        <f>IFERROR(__xludf.DUMMYFUNCTION("""COMPUTED_VALUE"""),"Unspecified memory corruption in Adobe Type 1 PostScript format")</f>
        <v>Unspecified memory corruption in Adobe Type 1 PostScript format</v>
      </c>
      <c r="F183" t="str">
        <f>IFERROR(__xludf.DUMMYFUNCTION("""COMPUTED_VALUE"""),"???")</f>
        <v>???</v>
      </c>
      <c r="G183" s="9">
        <f>IFERROR(__xludf.DUMMYFUNCTION("""COMPUTED_VALUE"""),43935.0)</f>
        <v>43935</v>
      </c>
      <c r="H183" s="10" t="str">
        <f>IFERROR(__xludf.DUMMYFUNCTION("""COMPUTED_VALUE"""),"https://portal.msrc.microsoft.com/en-us/security-guidance/advisory/CVE-2020-1020")</f>
        <v>https://portal.msrc.microsoft.com/en-us/security-guidance/advisory/CVE-2020-1020</v>
      </c>
      <c r="I183" t="str">
        <f>IFERROR(__xludf.DUMMYFUNCTION("""COMPUTED_VALUE"""),"???")</f>
        <v>???</v>
      </c>
      <c r="J183" s="10" t="str">
        <f>IFERROR(__xludf.DUMMYFUNCTION("""COMPUTED_VALUE"""),"https://googleprojectzero.github.io/0days-in-the-wild//0day-RCAs/2020/CVE-2020-1020.html")</f>
        <v>https://googleprojectzero.github.io/0days-in-the-wild//0day-RCAs/2020/CVE-2020-1020.html</v>
      </c>
      <c r="K183" t="str">
        <f>IFERROR(__xludf.DUMMYFUNCTION("""COMPUTED_VALUE"""),"Google Project Zero &amp; Google's Threat Analysis Group")</f>
        <v>Google Project Zero &amp; Google's Threat Analysis Group</v>
      </c>
    </row>
    <row r="184">
      <c r="A184" t="str">
        <f>IFERROR(__xludf.DUMMYFUNCTION("""COMPUTED_VALUE"""),"CVE-2020-1027")</f>
        <v>CVE-2020-1027</v>
      </c>
      <c r="B184" t="str">
        <f>IFERROR(__xludf.DUMMYFUNCTION("""COMPUTED_VALUE"""),"Microsoft")</f>
        <v>Microsoft</v>
      </c>
      <c r="C184" t="str">
        <f>IFERROR(__xludf.DUMMYFUNCTION("""COMPUTED_VALUE"""),"Windows")</f>
        <v>Windows</v>
      </c>
      <c r="D184" t="str">
        <f>IFERROR(__xludf.DUMMYFUNCTION("""COMPUTED_VALUE"""),"Memory Corruption")</f>
        <v>Memory Corruption</v>
      </c>
      <c r="E184" t="str">
        <f>IFERROR(__xludf.DUMMYFUNCTION("""COMPUTED_VALUE"""),"Unspecified memory corruption in Windows Kernel")</f>
        <v>Unspecified memory corruption in Windows Kernel</v>
      </c>
      <c r="F184" t="str">
        <f>IFERROR(__xludf.DUMMYFUNCTION("""COMPUTED_VALUE"""),"2020-03-23")</f>
        <v>2020-03-23</v>
      </c>
      <c r="G184" s="9">
        <f>IFERROR(__xludf.DUMMYFUNCTION("""COMPUTED_VALUE"""),43935.0)</f>
        <v>43935</v>
      </c>
      <c r="H184" s="10" t="str">
        <f>IFERROR(__xludf.DUMMYFUNCTION("""COMPUTED_VALUE"""),"https://portal.msrc.microsoft.com/en-us/security-guidance/advisory/CVE-2020-1027")</f>
        <v>https://portal.msrc.microsoft.com/en-us/security-guidance/advisory/CVE-2020-1027</v>
      </c>
      <c r="I184" t="str">
        <f>IFERROR(__xludf.DUMMYFUNCTION("""COMPUTED_VALUE"""),"???")</f>
        <v>???</v>
      </c>
      <c r="J184" s="10" t="str">
        <f>IFERROR(__xludf.DUMMYFUNCTION("""COMPUTED_VALUE"""),"https://googleprojectzero.github.io/0days-in-the-wild//0day-RCAs/2020/CVE-2020-1027.html")</f>
        <v>https://googleprojectzero.github.io/0days-in-the-wild//0day-RCAs/2020/CVE-2020-1027.html</v>
      </c>
      <c r="K184" t="str">
        <f>IFERROR(__xludf.DUMMYFUNCTION("""COMPUTED_VALUE"""),"Google Project Zero &amp; Google's Threat Analysis Group")</f>
        <v>Google Project Zero &amp; Google's Threat Analysis Group</v>
      </c>
    </row>
    <row r="185">
      <c r="A185" t="str">
        <f>IFERROR(__xludf.DUMMYFUNCTION("""COMPUTED_VALUE"""),"CVE-2020-6572")</f>
        <v>CVE-2020-6572</v>
      </c>
      <c r="B185" t="str">
        <f>IFERROR(__xludf.DUMMYFUNCTION("""COMPUTED_VALUE"""),"Google")</f>
        <v>Google</v>
      </c>
      <c r="C185" t="str">
        <f>IFERROR(__xludf.DUMMYFUNCTION("""COMPUTED_VALUE"""),"Chrome")</f>
        <v>Chrome</v>
      </c>
      <c r="D185" t="str">
        <f>IFERROR(__xludf.DUMMYFUNCTION("""COMPUTED_VALUE"""),"Memory Corruption")</f>
        <v>Memory Corruption</v>
      </c>
      <c r="E185" t="str">
        <f>IFERROR(__xludf.DUMMYFUNCTION("""COMPUTED_VALUE"""),"Use-after-free in media")</f>
        <v>Use-after-free in media</v>
      </c>
      <c r="F185" t="str">
        <f>IFERROR(__xludf.DUMMYFUNCTION("""COMPUTED_VALUE"""),"2020-04-01")</f>
        <v>2020-04-01</v>
      </c>
      <c r="G185" s="9">
        <f>IFERROR(__xludf.DUMMYFUNCTION("""COMPUTED_VALUE"""),43928.0)</f>
        <v>43928</v>
      </c>
      <c r="H185" s="10" t="str">
        <f>IFERROR(__xludf.DUMMYFUNCTION("""COMPUTED_VALUE"""),"https://chromereleases.googleblog.com/2020/04/stable-channel-update-for-desktop_7.html")</f>
        <v>https://chromereleases.googleblog.com/2020/04/stable-channel-update-for-desktop_7.html</v>
      </c>
      <c r="I185" t="str">
        <f>IFERROR(__xludf.DUMMYFUNCTION("""COMPUTED_VALUE"""),"???")</f>
        <v>???</v>
      </c>
      <c r="J185" s="10" t="str">
        <f>IFERROR(__xludf.DUMMYFUNCTION("""COMPUTED_VALUE"""),"https://googleprojectzero.github.io/0days-in-the-wild/0day-RCAs/2020/CVE-2020-6572.html")</f>
        <v>https://googleprojectzero.github.io/0days-in-the-wild/0day-RCAs/2020/CVE-2020-6572.html</v>
      </c>
      <c r="K185" t="str">
        <f>IFERROR(__xludf.DUMMYFUNCTION("""COMPUTED_VALUE"""),"???")</f>
        <v>???</v>
      </c>
    </row>
    <row r="186">
      <c r="A186" t="str">
        <f>IFERROR(__xludf.DUMMYFUNCTION("""COMPUTED_VALUE"""),"CVE-2020-6819")</f>
        <v>CVE-2020-6819</v>
      </c>
      <c r="B186" t="str">
        <f>IFERROR(__xludf.DUMMYFUNCTION("""COMPUTED_VALUE"""),"Mozilla")</f>
        <v>Mozilla</v>
      </c>
      <c r="C186" t="str">
        <f>IFERROR(__xludf.DUMMYFUNCTION("""COMPUTED_VALUE"""),"Firefox")</f>
        <v>Firefox</v>
      </c>
      <c r="D186" t="str">
        <f>IFERROR(__xludf.DUMMYFUNCTION("""COMPUTED_VALUE"""),"Memory Corruption")</f>
        <v>Memory Corruption</v>
      </c>
      <c r="E186" t="str">
        <f>IFERROR(__xludf.DUMMYFUNCTION("""COMPUTED_VALUE"""),"Use-after-free while running the nsDocShell destructor")</f>
        <v>Use-after-free while running the nsDocShell destructor</v>
      </c>
      <c r="F186" t="str">
        <f>IFERROR(__xludf.DUMMYFUNCTION("""COMPUTED_VALUE"""),"2020-03-08")</f>
        <v>2020-03-08</v>
      </c>
      <c r="G186" s="9">
        <f>IFERROR(__xludf.DUMMYFUNCTION("""COMPUTED_VALUE"""),43924.0)</f>
        <v>43924</v>
      </c>
      <c r="H186" s="10" t="str">
        <f>IFERROR(__xludf.DUMMYFUNCTION("""COMPUTED_VALUE"""),"https://www.mozilla.org/en-US/security/advisories/mfsa2020-11/")</f>
        <v>https://www.mozilla.org/en-US/security/advisories/mfsa2020-11/</v>
      </c>
      <c r="I186" t="str">
        <f>IFERROR(__xludf.DUMMYFUNCTION("""COMPUTED_VALUE"""),"???")</f>
        <v>???</v>
      </c>
      <c r="J186" t="str">
        <f>IFERROR(__xludf.DUMMYFUNCTION("""COMPUTED_VALUE"""),"???")</f>
        <v>???</v>
      </c>
      <c r="K186" t="str">
        <f>IFERROR(__xludf.DUMMYFUNCTION("""COMPUTED_VALUE"""),"Francisco Alonso @revskills working with Javier Marcos of @JMPSec")</f>
        <v>Francisco Alonso @revskills working with Javier Marcos of @JMPSec</v>
      </c>
    </row>
    <row r="187">
      <c r="A187" t="str">
        <f>IFERROR(__xludf.DUMMYFUNCTION("""COMPUTED_VALUE"""),"CVE-2020-6820")</f>
        <v>CVE-2020-6820</v>
      </c>
      <c r="B187" t="str">
        <f>IFERROR(__xludf.DUMMYFUNCTION("""COMPUTED_VALUE"""),"Mozilla")</f>
        <v>Mozilla</v>
      </c>
      <c r="C187" t="str">
        <f>IFERROR(__xludf.DUMMYFUNCTION("""COMPUTED_VALUE"""),"Firefox")</f>
        <v>Firefox</v>
      </c>
      <c r="D187" t="str">
        <f>IFERROR(__xludf.DUMMYFUNCTION("""COMPUTED_VALUE"""),"Memory Corruption")</f>
        <v>Memory Corruption</v>
      </c>
      <c r="E187" t="str">
        <f>IFERROR(__xludf.DUMMYFUNCTION("""COMPUTED_VALUE"""),"Use-after-free when handling a ReadableStream")</f>
        <v>Use-after-free when handling a ReadableStream</v>
      </c>
      <c r="F187" t="str">
        <f>IFERROR(__xludf.DUMMYFUNCTION("""COMPUTED_VALUE"""),"2020-04-01")</f>
        <v>2020-04-01</v>
      </c>
      <c r="G187" s="9">
        <f>IFERROR(__xludf.DUMMYFUNCTION("""COMPUTED_VALUE"""),43924.0)</f>
        <v>43924</v>
      </c>
      <c r="H187" s="10" t="str">
        <f>IFERROR(__xludf.DUMMYFUNCTION("""COMPUTED_VALUE"""),"https://www.mozilla.org/en-US/security/advisories/mfsa2020-11/")</f>
        <v>https://www.mozilla.org/en-US/security/advisories/mfsa2020-11/</v>
      </c>
      <c r="I187" t="str">
        <f>IFERROR(__xludf.DUMMYFUNCTION("""COMPUTED_VALUE"""),"???")</f>
        <v>???</v>
      </c>
      <c r="J187" s="10" t="str">
        <f>IFERROR(__xludf.DUMMYFUNCTION("""COMPUTED_VALUE"""),"https://googleprojectzero.github.io/0days-in-the-wild//0day-RCAs/2020/CVE-2020-6820.html")</f>
        <v>https://googleprojectzero.github.io/0days-in-the-wild//0day-RCAs/2020/CVE-2020-6820.html</v>
      </c>
      <c r="K187" t="str">
        <f>IFERROR(__xludf.DUMMYFUNCTION("""COMPUTED_VALUE"""),"Francisco Alonso @revskills working with Javier Marcos of @JMPSec")</f>
        <v>Francisco Alonso @revskills working with Javier Marcos of @JMPSec</v>
      </c>
    </row>
    <row r="188">
      <c r="A188" t="str">
        <f>IFERROR(__xludf.DUMMYFUNCTION("""COMPUTED_VALUE"""),"CVE-2020-6453")</f>
        <v>CVE-2020-6453</v>
      </c>
      <c r="B188" t="str">
        <f>IFERROR(__xludf.DUMMYFUNCTION("""COMPUTED_VALUE"""),"Google")</f>
        <v>Google</v>
      </c>
      <c r="C188" t="str">
        <f>IFERROR(__xludf.DUMMYFUNCTION("""COMPUTED_VALUE"""),"Chrome")</f>
        <v>Chrome</v>
      </c>
      <c r="D188" t="str">
        <f>IFERROR(__xludf.DUMMYFUNCTION("""COMPUTED_VALUE"""),"Memory Corruption")</f>
        <v>Memory Corruption</v>
      </c>
      <c r="E188" t="str">
        <f>IFERROR(__xludf.DUMMYFUNCTION("""COMPUTED_VALUE"""),"Type confusion in v8")</f>
        <v>Type confusion in v8</v>
      </c>
      <c r="F188" t="str">
        <f>IFERROR(__xludf.DUMMYFUNCTION("""COMPUTED_VALUE"""),"2020-03-26")</f>
        <v>2020-03-26</v>
      </c>
      <c r="G188" s="9">
        <f>IFERROR(__xludf.DUMMYFUNCTION("""COMPUTED_VALUE"""),43921.0)</f>
        <v>43921</v>
      </c>
      <c r="H188" s="10" t="str">
        <f>IFERROR(__xludf.DUMMYFUNCTION("""COMPUTED_VALUE"""),"https://chromereleases.googleblog.com/2020/03/stable-channel-update-for-desktop_31.html")</f>
        <v>https://chromereleases.googleblog.com/2020/03/stable-channel-update-for-desktop_31.html</v>
      </c>
      <c r="I188" t="str">
        <f>IFERROR(__xludf.DUMMYFUNCTION("""COMPUTED_VALUE"""),"???")</f>
        <v>???</v>
      </c>
      <c r="J188" t="str">
        <f>IFERROR(__xludf.DUMMYFUNCTION("""COMPUTED_VALUE"""),"???")</f>
        <v>???</v>
      </c>
      <c r="K188" t="str">
        <f>IFERROR(__xludf.DUMMYFUNCTION("""COMPUTED_VALUE"""),"???")</f>
        <v>???</v>
      </c>
    </row>
    <row r="189">
      <c r="A189" t="str">
        <f>IFERROR(__xludf.DUMMYFUNCTION("""COMPUTED_VALUE"""),"CVE-2020-8467")</f>
        <v>CVE-2020-8467</v>
      </c>
      <c r="B189" t="str">
        <f>IFERROR(__xludf.DUMMYFUNCTION("""COMPUTED_VALUE"""),"TrendMicro")</f>
        <v>TrendMicro</v>
      </c>
      <c r="C189" t="str">
        <f>IFERROR(__xludf.DUMMYFUNCTION("""COMPUTED_VALUE"""),"Apex One/OfficeScan")</f>
        <v>Apex One/OfficeScan</v>
      </c>
      <c r="D189" t="str">
        <f>IFERROR(__xludf.DUMMYFUNCTION("""COMPUTED_VALUE"""),"Unspecified")</f>
        <v>Unspecified</v>
      </c>
      <c r="E189" t="str">
        <f>IFERROR(__xludf.DUMMYFUNCTION("""COMPUTED_VALUE"""),"Unspecified vulnerability in a migration tool component")</f>
        <v>Unspecified vulnerability in a migration tool component</v>
      </c>
      <c r="F189" t="str">
        <f>IFERROR(__xludf.DUMMYFUNCTION("""COMPUTED_VALUE"""),"???")</f>
        <v>???</v>
      </c>
      <c r="G189" s="9">
        <f>IFERROR(__xludf.DUMMYFUNCTION("""COMPUTED_VALUE"""),43906.0)</f>
        <v>43906</v>
      </c>
      <c r="H189" s="10" t="str">
        <f>IFERROR(__xludf.DUMMYFUNCTION("""COMPUTED_VALUE"""),"https://success.trendmicro.com/solution/000245571")</f>
        <v>https://success.trendmicro.com/solution/000245571</v>
      </c>
      <c r="I189" t="str">
        <f>IFERROR(__xludf.DUMMYFUNCTION("""COMPUTED_VALUE"""),"???")</f>
        <v>???</v>
      </c>
      <c r="J189" t="str">
        <f>IFERROR(__xludf.DUMMYFUNCTION("""COMPUTED_VALUE"""),"???")</f>
        <v>???</v>
      </c>
      <c r="K189" t="str">
        <f>IFERROR(__xludf.DUMMYFUNCTION("""COMPUTED_VALUE"""),"Trend Micro Research")</f>
        <v>Trend Micro Research</v>
      </c>
    </row>
    <row r="190">
      <c r="A190" t="str">
        <f>IFERROR(__xludf.DUMMYFUNCTION("""COMPUTED_VALUE"""),"CVE-2020-8468")</f>
        <v>CVE-2020-8468</v>
      </c>
      <c r="B190" t="str">
        <f>IFERROR(__xludf.DUMMYFUNCTION("""COMPUTED_VALUE"""),"TrendMicro")</f>
        <v>TrendMicro</v>
      </c>
      <c r="C190" t="str">
        <f>IFERROR(__xludf.DUMMYFUNCTION("""COMPUTED_VALUE"""),"Apex One/OfficeScan")</f>
        <v>Apex One/OfficeScan</v>
      </c>
      <c r="D190" t="str">
        <f>IFERROR(__xludf.DUMMYFUNCTION("""COMPUTED_VALUE"""),"Logic/Design Flaw")</f>
        <v>Logic/Design Flaw</v>
      </c>
      <c r="E190" t="str">
        <f>IFERROR(__xludf.DUMMYFUNCTION("""COMPUTED_VALUE"""),"Content validation escape in agent client component")</f>
        <v>Content validation escape in agent client component</v>
      </c>
      <c r="F190" t="str">
        <f>IFERROR(__xludf.DUMMYFUNCTION("""COMPUTED_VALUE"""),"???")</f>
        <v>???</v>
      </c>
      <c r="G190" s="9">
        <f>IFERROR(__xludf.DUMMYFUNCTION("""COMPUTED_VALUE"""),43906.0)</f>
        <v>43906</v>
      </c>
      <c r="H190" s="10" t="str">
        <f>IFERROR(__xludf.DUMMYFUNCTION("""COMPUTED_VALUE"""),"https://success.trendmicro.com/solution/000245571")</f>
        <v>https://success.trendmicro.com/solution/000245571</v>
      </c>
      <c r="I190" t="str">
        <f>IFERROR(__xludf.DUMMYFUNCTION("""COMPUTED_VALUE"""),"???")</f>
        <v>???</v>
      </c>
      <c r="J190" t="str">
        <f>IFERROR(__xludf.DUMMYFUNCTION("""COMPUTED_VALUE"""),"???")</f>
        <v>???</v>
      </c>
      <c r="K190" t="str">
        <f>IFERROR(__xludf.DUMMYFUNCTION("""COMPUTED_VALUE"""),"Trend Micro Research")</f>
        <v>Trend Micro Research</v>
      </c>
    </row>
    <row r="191">
      <c r="A191" t="str">
        <f>IFERROR(__xludf.DUMMYFUNCTION("""COMPUTED_VALUE"""),"CVE-2020-6418")</f>
        <v>CVE-2020-6418</v>
      </c>
      <c r="B191" t="str">
        <f>IFERROR(__xludf.DUMMYFUNCTION("""COMPUTED_VALUE"""),"Google")</f>
        <v>Google</v>
      </c>
      <c r="C191" t="str">
        <f>IFERROR(__xludf.DUMMYFUNCTION("""COMPUTED_VALUE"""),"Chrome")</f>
        <v>Chrome</v>
      </c>
      <c r="D191" t="str">
        <f>IFERROR(__xludf.DUMMYFUNCTION("""COMPUTED_VALUE"""),"Memory Corruption")</f>
        <v>Memory Corruption</v>
      </c>
      <c r="E191" t="str">
        <f>IFERROR(__xludf.DUMMYFUNCTION("""COMPUTED_VALUE"""),"Type confusion in v8")</f>
        <v>Type confusion in v8</v>
      </c>
      <c r="F191" t="str">
        <f>IFERROR(__xludf.DUMMYFUNCTION("""COMPUTED_VALUE"""),"2020-02-18")</f>
        <v>2020-02-18</v>
      </c>
      <c r="G191" s="9">
        <f>IFERROR(__xludf.DUMMYFUNCTION("""COMPUTED_VALUE"""),43885.0)</f>
        <v>43885</v>
      </c>
      <c r="H191" s="10" t="str">
        <f>IFERROR(__xludf.DUMMYFUNCTION("""COMPUTED_VALUE"""),"https://chromereleases.googleblog.com/2020/02/stable-channel-update-for-desktop_24.html")</f>
        <v>https://chromereleases.googleblog.com/2020/02/stable-channel-update-for-desktop_24.html</v>
      </c>
      <c r="I191" t="str">
        <f>IFERROR(__xludf.DUMMYFUNCTION("""COMPUTED_VALUE"""),"???")</f>
        <v>???</v>
      </c>
      <c r="J191" s="10" t="str">
        <f>IFERROR(__xludf.DUMMYFUNCTION("""COMPUTED_VALUE"""),"https://googleprojectzero.github.io/0days-in-the-wild/0day-RCAs/2020/CVE-2020-6418.html")</f>
        <v>https://googleprojectzero.github.io/0days-in-the-wild/0day-RCAs/2020/CVE-2020-6418.html</v>
      </c>
      <c r="K191" t="str">
        <f>IFERROR(__xludf.DUMMYFUNCTION("""COMPUTED_VALUE"""),"Clement Lecigne of Google's Threat Analysis Group")</f>
        <v>Clement Lecigne of Google's Threat Analysis Group</v>
      </c>
    </row>
    <row r="192">
      <c r="A192" t="str">
        <f>IFERROR(__xludf.DUMMYFUNCTION("""COMPUTED_VALUE"""),"CVE-2020-0674")</f>
        <v>CVE-2020-0674</v>
      </c>
      <c r="B192" t="str">
        <f>IFERROR(__xludf.DUMMYFUNCTION("""COMPUTED_VALUE"""),"Microsoft")</f>
        <v>Microsoft</v>
      </c>
      <c r="C192" t="str">
        <f>IFERROR(__xludf.DUMMYFUNCTION("""COMPUTED_VALUE"""),"Internet Explorer")</f>
        <v>Internet Explorer</v>
      </c>
      <c r="D192" t="str">
        <f>IFERROR(__xludf.DUMMYFUNCTION("""COMPUTED_VALUE"""),"Memory Corruption")</f>
        <v>Memory Corruption</v>
      </c>
      <c r="E192" t="str">
        <f>IFERROR(__xludf.DUMMYFUNCTION("""COMPUTED_VALUE"""),"Unspecified memory corruption in Internet Explorer")</f>
        <v>Unspecified memory corruption in Internet Explorer</v>
      </c>
      <c r="F192" t="str">
        <f>IFERROR(__xludf.DUMMYFUNCTION("""COMPUTED_VALUE"""),"???")</f>
        <v>???</v>
      </c>
      <c r="G192" s="9">
        <f>IFERROR(__xludf.DUMMYFUNCTION("""COMPUTED_VALUE"""),43872.0)</f>
        <v>43872</v>
      </c>
      <c r="H192" s="10" t="str">
        <f>IFERROR(__xludf.DUMMYFUNCTION("""COMPUTED_VALUE"""),"https://portal.msrc.microsoft.com/en-US/security-guidance/advisory/CVE-2020-0674")</f>
        <v>https://portal.msrc.microsoft.com/en-US/security-guidance/advisory/CVE-2020-0674</v>
      </c>
      <c r="I192" s="10" t="str">
        <f>IFERROR(__xludf.DUMMYFUNCTION("""COMPUTED_VALUE"""),"https://blogs.360.cn/post/apt-c-06_0day.html")</f>
        <v>https://blogs.360.cn/post/apt-c-06_0day.html</v>
      </c>
      <c r="J192" s="10" t="str">
        <f>IFERROR(__xludf.DUMMYFUNCTION("""COMPUTED_VALUE"""),"https://googleprojectzero.github.io/0days-in-the-wild//0day-RCAs/2020/CVE-2020-0674.html")</f>
        <v>https://googleprojectzero.github.io/0days-in-the-wild//0day-RCAs/2020/CVE-2020-0674.html</v>
      </c>
      <c r="K192" t="str">
        <f>IFERROR(__xludf.DUMMYFUNCTION("""COMPUTED_VALUE"""),"Yi Huang(@C0rk1_H) &amp; Kang Yang(@dnpushme) of Qihoo 360 ATA, Clément Lecigne of Google’s Threat Analysis Group")</f>
        <v>Yi Huang(@C0rk1_H) &amp; Kang Yang(@dnpushme) of Qihoo 360 ATA, Clément Lecigne of Google’s Threat Analysis Group</v>
      </c>
    </row>
    <row r="193">
      <c r="A193" t="str">
        <f>IFERROR(__xludf.DUMMYFUNCTION("""COMPUTED_VALUE"""),"CVE-2019-17026")</f>
        <v>CVE-2019-17026</v>
      </c>
      <c r="B193" t="str">
        <f>IFERROR(__xludf.DUMMYFUNCTION("""COMPUTED_VALUE"""),"Mozilla")</f>
        <v>Mozilla</v>
      </c>
      <c r="C193" t="str">
        <f>IFERROR(__xludf.DUMMYFUNCTION("""COMPUTED_VALUE"""),"Firefox")</f>
        <v>Firefox</v>
      </c>
      <c r="D193" t="str">
        <f>IFERROR(__xludf.DUMMYFUNCTION("""COMPUTED_VALUE"""),"Memory Corruption")</f>
        <v>Memory Corruption</v>
      </c>
      <c r="E193" t="str">
        <f>IFERROR(__xludf.DUMMYFUNCTION("""COMPUTED_VALUE"""),"Type confusion in IonMonkey JIT compiler")</f>
        <v>Type confusion in IonMonkey JIT compiler</v>
      </c>
      <c r="F193" t="str">
        <f>IFERROR(__xludf.DUMMYFUNCTION("""COMPUTED_VALUE"""),"2020-01-07")</f>
        <v>2020-01-07</v>
      </c>
      <c r="G193" s="9">
        <f>IFERROR(__xludf.DUMMYFUNCTION("""COMPUTED_VALUE"""),43838.0)</f>
        <v>43838</v>
      </c>
      <c r="H193" s="10" t="str">
        <f>IFERROR(__xludf.DUMMYFUNCTION("""COMPUTED_VALUE"""),"https://www.mozilla.org/en-US/security/advisories/mfsa2020-03/")</f>
        <v>https://www.mozilla.org/en-US/security/advisories/mfsa2020-03/</v>
      </c>
      <c r="I193" t="str">
        <f>IFERROR(__xludf.DUMMYFUNCTION("""COMPUTED_VALUE"""),"???")</f>
        <v>???</v>
      </c>
      <c r="J193" s="10" t="str">
        <f>IFERROR(__xludf.DUMMYFUNCTION("""COMPUTED_VALUE"""),"https://googleprojectzero.github.io/0days-in-the-wild//0day-RCAs/2020/CVE-2019-17026.html")</f>
        <v>https://googleprojectzero.github.io/0days-in-the-wild//0day-RCAs/2020/CVE-2019-17026.html</v>
      </c>
      <c r="K193" t="str">
        <f>IFERROR(__xludf.DUMMYFUNCTION("""COMPUTED_VALUE"""),"Qihoo 360 ATA")</f>
        <v>Qihoo 360 ATA</v>
      </c>
    </row>
    <row r="194">
      <c r="A194" t="str">
        <f>IFERROR(__xludf.DUMMYFUNCTION("""COMPUTED_VALUE"""),"CVE-2019-1458")</f>
        <v>CVE-2019-1458</v>
      </c>
      <c r="B194" t="str">
        <f>IFERROR(__xludf.DUMMYFUNCTION("""COMPUTED_VALUE"""),"Microsoft")</f>
        <v>Microsoft</v>
      </c>
      <c r="C194" t="str">
        <f>IFERROR(__xludf.DUMMYFUNCTION("""COMPUTED_VALUE"""),"Windows")</f>
        <v>Windows</v>
      </c>
      <c r="D194" t="str">
        <f>IFERROR(__xludf.DUMMYFUNCTION("""COMPUTED_VALUE"""),"Memory Corruption")</f>
        <v>Memory Corruption</v>
      </c>
      <c r="E194" t="str">
        <f>IFERROR(__xludf.DUMMYFUNCTION("""COMPUTED_VALUE"""),"Memory corruption in window switching")</f>
        <v>Memory corruption in window switching</v>
      </c>
      <c r="F194" t="str">
        <f>IFERROR(__xludf.DUMMYFUNCTION("""COMPUTED_VALUE"""),"???")</f>
        <v>???</v>
      </c>
      <c r="G194" s="9">
        <f>IFERROR(__xludf.DUMMYFUNCTION("""COMPUTED_VALUE"""),43809.0)</f>
        <v>43809</v>
      </c>
      <c r="H194" s="10" t="str">
        <f>IFERROR(__xludf.DUMMYFUNCTION("""COMPUTED_VALUE"""),"https://portal.msrc.microsoft.com/en-US/security-guidance/advisory/CVE-2019-1458")</f>
        <v>https://portal.msrc.microsoft.com/en-US/security-guidance/advisory/CVE-2019-1458</v>
      </c>
      <c r="I194" s="10" t="str">
        <f>IFERROR(__xludf.DUMMYFUNCTION("""COMPUTED_VALUE"""),"https://securelist.com/windows-0-day-exploit-cve-2019-1458-used-in-operation-wizardopium/95432/")</f>
        <v>https://securelist.com/windows-0-day-exploit-cve-2019-1458-used-in-operation-wizardopium/95432/</v>
      </c>
      <c r="J194" s="10" t="str">
        <f>IFERROR(__xludf.DUMMYFUNCTION("""COMPUTED_VALUE"""),"https://googleprojectzero.github.io/0days-in-the-wild//0day-RCAs/2019/CVE-2019-1458.html")</f>
        <v>https://googleprojectzero.github.io/0days-in-the-wild//0day-RCAs/2019/CVE-2019-1458.html</v>
      </c>
      <c r="K194" t="str">
        <f>IFERROR(__xludf.DUMMYFUNCTION("""COMPUTED_VALUE"""),"Anton Ivanov and Alexey Kulaev of Kaspersky Lab")</f>
        <v>Anton Ivanov and Alexey Kulaev of Kaspersky Lab</v>
      </c>
    </row>
    <row r="195">
      <c r="A195" t="str">
        <f>IFERROR(__xludf.DUMMYFUNCTION("""COMPUTED_VALUE"""),"CVE-2019-1429")</f>
        <v>CVE-2019-1429</v>
      </c>
      <c r="B195" t="str">
        <f>IFERROR(__xludf.DUMMYFUNCTION("""COMPUTED_VALUE"""),"Microsoft")</f>
        <v>Microsoft</v>
      </c>
      <c r="C195" t="str">
        <f>IFERROR(__xludf.DUMMYFUNCTION("""COMPUTED_VALUE"""),"Internet Explorer")</f>
        <v>Internet Explorer</v>
      </c>
      <c r="D195" t="str">
        <f>IFERROR(__xludf.DUMMYFUNCTION("""COMPUTED_VALUE"""),"Memory Corruption")</f>
        <v>Memory Corruption</v>
      </c>
      <c r="E195" t="str">
        <f>IFERROR(__xludf.DUMMYFUNCTION("""COMPUTED_VALUE"""),"Unspecified memory corruption in Internet Explorer")</f>
        <v>Unspecified memory corruption in Internet Explorer</v>
      </c>
      <c r="F195" t="str">
        <f>IFERROR(__xludf.DUMMYFUNCTION("""COMPUTED_VALUE"""),"???")</f>
        <v>???</v>
      </c>
      <c r="G195" s="9">
        <f>IFERROR(__xludf.DUMMYFUNCTION("""COMPUTED_VALUE"""),43781.0)</f>
        <v>43781</v>
      </c>
      <c r="H195" s="10" t="str">
        <f>IFERROR(__xludf.DUMMYFUNCTION("""COMPUTED_VALUE"""),"https://portal.msrc.microsoft.com/en-us/security-guidance/advisory/CVE-2019-1429")</f>
        <v>https://portal.msrc.microsoft.com/en-us/security-guidance/advisory/CVE-2019-1429</v>
      </c>
      <c r="I195" t="str">
        <f>IFERROR(__xludf.DUMMYFUNCTION("""COMPUTED_VALUE"""),"???")</f>
        <v>???</v>
      </c>
      <c r="J195" s="10" t="str">
        <f>IFERROR(__xludf.DUMMYFUNCTION("""COMPUTED_VALUE"""),"https://googleprojectzero.github.io/0days-in-the-wild//0day-RCAs/2019/CVE-2019-1367.html")</f>
        <v>https://googleprojectzero.github.io/0days-in-the-wild//0day-RCAs/2019/CVE-2019-1367.html</v>
      </c>
      <c r="K195" t="str">
        <f>IFERROR(__xludf.DUMMYFUNCTION("""COMPUTED_VALUE"""),"Clément Lecigne of Google’s Threat Analysis Group &amp; Ivan Fratric of Google Project Zero")</f>
        <v>Clément Lecigne of Google’s Threat Analysis Group &amp; Ivan Fratric of Google Project Zero</v>
      </c>
    </row>
    <row r="196">
      <c r="A196" t="str">
        <f>IFERROR(__xludf.DUMMYFUNCTION("""COMPUTED_VALUE"""),"CVE-2019-13720")</f>
        <v>CVE-2019-13720</v>
      </c>
      <c r="B196" t="str">
        <f>IFERROR(__xludf.DUMMYFUNCTION("""COMPUTED_VALUE"""),"Google")</f>
        <v>Google</v>
      </c>
      <c r="C196" t="str">
        <f>IFERROR(__xludf.DUMMYFUNCTION("""COMPUTED_VALUE"""),"Chrome")</f>
        <v>Chrome</v>
      </c>
      <c r="D196" t="str">
        <f>IFERROR(__xludf.DUMMYFUNCTION("""COMPUTED_VALUE"""),"Memory Corruption")</f>
        <v>Memory Corruption</v>
      </c>
      <c r="E196" t="str">
        <f>IFERROR(__xludf.DUMMYFUNCTION("""COMPUTED_VALUE"""),"Use-after-free in audio")</f>
        <v>Use-after-free in audio</v>
      </c>
      <c r="F196" t="str">
        <f>IFERROR(__xludf.DUMMYFUNCTION("""COMPUTED_VALUE"""),"2019-10-29")</f>
        <v>2019-10-29</v>
      </c>
      <c r="G196" s="9">
        <f>IFERROR(__xludf.DUMMYFUNCTION("""COMPUTED_VALUE"""),43769.0)</f>
        <v>43769</v>
      </c>
      <c r="H196" s="10" t="str">
        <f>IFERROR(__xludf.DUMMYFUNCTION("""COMPUTED_VALUE"""),"https://chromereleases.googleblog.com/2019/10/stable-channel-update-for-desktop_31.html")</f>
        <v>https://chromereleases.googleblog.com/2019/10/stable-channel-update-for-desktop_31.html</v>
      </c>
      <c r="I196" s="10" t="str">
        <f>IFERROR(__xludf.DUMMYFUNCTION("""COMPUTED_VALUE"""),"https://securelist.com/chrome-0-day-exploit-cve-2019-13720-used-in-operation-wizardopium/94866/")</f>
        <v>https://securelist.com/chrome-0-day-exploit-cve-2019-13720-used-in-operation-wizardopium/94866/</v>
      </c>
      <c r="J196" s="10" t="str">
        <f>IFERROR(__xludf.DUMMYFUNCTION("""COMPUTED_VALUE"""),"https://googleprojectzero.github.io/0days-in-the-wild//0day-RCAs/2019/CVE-2019-13720.html")</f>
        <v>https://googleprojectzero.github.io/0days-in-the-wild//0day-RCAs/2019/CVE-2019-13720.html</v>
      </c>
      <c r="K196" t="str">
        <f>IFERROR(__xludf.DUMMYFUNCTION("""COMPUTED_VALUE"""),"Anton Ivanov and Alexey Kulaev of Kaspersky Lab")</f>
        <v>Anton Ivanov and Alexey Kulaev of Kaspersky Lab</v>
      </c>
    </row>
    <row r="197">
      <c r="A197" t="str">
        <f>IFERROR(__xludf.DUMMYFUNCTION("""COMPUTED_VALUE"""),"CVE-2019-18187")</f>
        <v>CVE-2019-18187</v>
      </c>
      <c r="B197" t="str">
        <f>IFERROR(__xludf.DUMMYFUNCTION("""COMPUTED_VALUE"""),"Trend Micro")</f>
        <v>Trend Micro</v>
      </c>
      <c r="C197" t="str">
        <f>IFERROR(__xludf.DUMMYFUNCTION("""COMPUTED_VALUE"""),"OfficeScan")</f>
        <v>OfficeScan</v>
      </c>
      <c r="D197" t="str">
        <f>IFERROR(__xludf.DUMMYFUNCTION("""COMPUTED_VALUE"""),"Logic/Design Flaw")</f>
        <v>Logic/Design Flaw</v>
      </c>
      <c r="E197" t="str">
        <f>IFERROR(__xludf.DUMMYFUNCTION("""COMPUTED_VALUE"""),"Directory traversal in ZIP file extraction")</f>
        <v>Directory traversal in ZIP file extraction</v>
      </c>
      <c r="F197" t="str">
        <f>IFERROR(__xludf.DUMMYFUNCTION("""COMPUTED_VALUE"""),"???")</f>
        <v>???</v>
      </c>
      <c r="G197" s="9">
        <f>IFERROR(__xludf.DUMMYFUNCTION("""COMPUTED_VALUE"""),43766.0)</f>
        <v>43766</v>
      </c>
      <c r="H197" s="10" t="str">
        <f>IFERROR(__xludf.DUMMYFUNCTION("""COMPUTED_VALUE"""),"https://success.trendmicro.com/solution/000151730")</f>
        <v>https://success.trendmicro.com/solution/000151730</v>
      </c>
      <c r="I197" t="str">
        <f>IFERROR(__xludf.DUMMYFUNCTION("""COMPUTED_VALUE"""),"???")</f>
        <v>???</v>
      </c>
      <c r="J197" t="str">
        <f>IFERROR(__xludf.DUMMYFUNCTION("""COMPUTED_VALUE"""),"???")</f>
        <v>???</v>
      </c>
      <c r="K197" t="str">
        <f>IFERROR(__xludf.DUMMYFUNCTION("""COMPUTED_VALUE"""),"Trend Micro Research")</f>
        <v>Trend Micro Research</v>
      </c>
    </row>
    <row r="198">
      <c r="A198" t="str">
        <f>IFERROR(__xludf.DUMMYFUNCTION("""COMPUTED_VALUE"""),"CVE-2019-2215")</f>
        <v>CVE-2019-2215</v>
      </c>
      <c r="B198" t="str">
        <f>IFERROR(__xludf.DUMMYFUNCTION("""COMPUTED_VALUE"""),"Google")</f>
        <v>Google</v>
      </c>
      <c r="C198" t="str">
        <f>IFERROR(__xludf.DUMMYFUNCTION("""COMPUTED_VALUE"""),"Android")</f>
        <v>Android</v>
      </c>
      <c r="D198" t="str">
        <f>IFERROR(__xludf.DUMMYFUNCTION("""COMPUTED_VALUE"""),"Memory Corruption")</f>
        <v>Memory Corruption</v>
      </c>
      <c r="E198" t="str">
        <f>IFERROR(__xludf.DUMMYFUNCTION("""COMPUTED_VALUE"""),"Use-after-free in Binder")</f>
        <v>Use-after-free in Binder</v>
      </c>
      <c r="F198" t="str">
        <f>IFERROR(__xludf.DUMMYFUNCTION("""COMPUTED_VALUE"""),"2019-09-26")</f>
        <v>2019-09-26</v>
      </c>
      <c r="G198" s="9">
        <f>IFERROR(__xludf.DUMMYFUNCTION("""COMPUTED_VALUE"""),43744.0)</f>
        <v>43744</v>
      </c>
      <c r="H198" s="10" t="str">
        <f>IFERROR(__xludf.DUMMYFUNCTION("""COMPUTED_VALUE"""),"https://source.android.com/security/bulletin/2019-10-01.html#kernel-b")</f>
        <v>https://source.android.com/security/bulletin/2019-10-01.html#kernel-b</v>
      </c>
      <c r="I198" s="10" t="str">
        <f>IFERROR(__xludf.DUMMYFUNCTION("""COMPUTED_VALUE"""),"https://bugs.chromium.org/p/project-zero/issues/detail?id=1942")</f>
        <v>https://bugs.chromium.org/p/project-zero/issues/detail?id=1942</v>
      </c>
      <c r="J198" s="10" t="str">
        <f>IFERROR(__xludf.DUMMYFUNCTION("""COMPUTED_VALUE"""),"https://googleprojectzero.github.io/0days-in-the-wild//0day-RCAs/2019/CVE-2019-2215.html")</f>
        <v>https://googleprojectzero.github.io/0days-in-the-wild//0day-RCAs/2019/CVE-2019-2215.html</v>
      </c>
      <c r="K198" t="str">
        <f>IFERROR(__xludf.DUMMYFUNCTION("""COMPUTED_VALUE"""),"Maddie Stone of Google Project Zero")</f>
        <v>Maddie Stone of Google Project Zero</v>
      </c>
    </row>
    <row r="199">
      <c r="A199" t="str">
        <f>IFERROR(__xludf.DUMMYFUNCTION("""COMPUTED_VALUE"""),"CVE-2019-1367")</f>
        <v>CVE-2019-1367</v>
      </c>
      <c r="B199" t="str">
        <f>IFERROR(__xludf.DUMMYFUNCTION("""COMPUTED_VALUE"""),"Microsoft")</f>
        <v>Microsoft</v>
      </c>
      <c r="C199" t="str">
        <f>IFERROR(__xludf.DUMMYFUNCTION("""COMPUTED_VALUE"""),"Internet Explorer")</f>
        <v>Internet Explorer</v>
      </c>
      <c r="D199" t="str">
        <f>IFERROR(__xludf.DUMMYFUNCTION("""COMPUTED_VALUE"""),"Memory Corruption")</f>
        <v>Memory Corruption</v>
      </c>
      <c r="E199" t="str">
        <f>IFERROR(__xludf.DUMMYFUNCTION("""COMPUTED_VALUE"""),"Unspecified memory corruption in Internet Explorer")</f>
        <v>Unspecified memory corruption in Internet Explorer</v>
      </c>
      <c r="F199" t="str">
        <f>IFERROR(__xludf.DUMMYFUNCTION("""COMPUTED_VALUE"""),"???")</f>
        <v>???</v>
      </c>
      <c r="G199" s="9">
        <f>IFERROR(__xludf.DUMMYFUNCTION("""COMPUTED_VALUE"""),43731.0)</f>
        <v>43731</v>
      </c>
      <c r="H199" s="10" t="str">
        <f>IFERROR(__xludf.DUMMYFUNCTION("""COMPUTED_VALUE"""),"https://portal.msrc.microsoft.com/en-US/security-guidance/advisory/CVE-2019-1367")</f>
        <v>https://portal.msrc.microsoft.com/en-US/security-guidance/advisory/CVE-2019-1367</v>
      </c>
      <c r="I199" t="str">
        <f>IFERROR(__xludf.DUMMYFUNCTION("""COMPUTED_VALUE"""),"???")</f>
        <v>???</v>
      </c>
      <c r="J199" s="10" t="str">
        <f>IFERROR(__xludf.DUMMYFUNCTION("""COMPUTED_VALUE"""),"https://googleprojectzero.github.io/0days-in-the-wild//0day-RCAs/2019/CVE-2019-1367.html")</f>
        <v>https://googleprojectzero.github.io/0days-in-the-wild//0day-RCAs/2019/CVE-2019-1367.html</v>
      </c>
      <c r="K199" t="str">
        <f>IFERROR(__xludf.DUMMYFUNCTION("""COMPUTED_VALUE"""),"Clément Lecigne of Google’s Threat Analysis Group")</f>
        <v>Clément Lecigne of Google’s Threat Analysis Group</v>
      </c>
    </row>
    <row r="200">
      <c r="A200" t="str">
        <f>IFERROR(__xludf.DUMMYFUNCTION("""COMPUTED_VALUE"""),"CVE-2019-0880")</f>
        <v>CVE-2019-0880</v>
      </c>
      <c r="B200" t="str">
        <f>IFERROR(__xludf.DUMMYFUNCTION("""COMPUTED_VALUE"""),"Microsoft")</f>
        <v>Microsoft</v>
      </c>
      <c r="C200" t="str">
        <f>IFERROR(__xludf.DUMMYFUNCTION("""COMPUTED_VALUE"""),"Windows")</f>
        <v>Windows</v>
      </c>
      <c r="D200" t="str">
        <f>IFERROR(__xludf.DUMMYFUNCTION("""COMPUTED_VALUE"""),"Logic/Design Flaw")</f>
        <v>Logic/Design Flaw</v>
      </c>
      <c r="E200" t="str">
        <f>IFERROR(__xludf.DUMMYFUNCTION("""COMPUTED_VALUE"""),"Sandbox escape in splwow64.exe")</f>
        <v>Sandbox escape in splwow64.exe</v>
      </c>
      <c r="F200" t="str">
        <f>IFERROR(__xludf.DUMMYFUNCTION("""COMPUTED_VALUE"""),"???")</f>
        <v>???</v>
      </c>
      <c r="G200" s="9">
        <f>IFERROR(__xludf.DUMMYFUNCTION("""COMPUTED_VALUE"""),43655.0)</f>
        <v>43655</v>
      </c>
      <c r="H200" s="10" t="str">
        <f>IFERROR(__xludf.DUMMYFUNCTION("""COMPUTED_VALUE"""),"https://portal.msrc.microsoft.com/en-us/security-guidance/advisory/CVE-2019-0880")</f>
        <v>https://portal.msrc.microsoft.com/en-us/security-guidance/advisory/CVE-2019-0880</v>
      </c>
      <c r="I200" t="str">
        <f>IFERROR(__xludf.DUMMYFUNCTION("""COMPUTED_VALUE"""),"???")</f>
        <v>???</v>
      </c>
      <c r="J200" t="str">
        <f>IFERROR(__xludf.DUMMYFUNCTION("""COMPUTED_VALUE"""),"???")</f>
        <v>???</v>
      </c>
      <c r="K200" t="str">
        <f>IFERROR(__xludf.DUMMYFUNCTION("""COMPUTED_VALUE"""),"Gene Yoo of Resecurity, Inc.")</f>
        <v>Gene Yoo of Resecurity, Inc.</v>
      </c>
    </row>
    <row r="201">
      <c r="A201" t="str">
        <f>IFERROR(__xludf.DUMMYFUNCTION("""COMPUTED_VALUE"""),"CVE-2019-1132")</f>
        <v>CVE-2019-1132</v>
      </c>
      <c r="B201" t="str">
        <f>IFERROR(__xludf.DUMMYFUNCTION("""COMPUTED_VALUE"""),"Microsoft")</f>
        <v>Microsoft</v>
      </c>
      <c r="C201" t="str">
        <f>IFERROR(__xludf.DUMMYFUNCTION("""COMPUTED_VALUE"""),"Windows")</f>
        <v>Windows</v>
      </c>
      <c r="D201" t="str">
        <f>IFERROR(__xludf.DUMMYFUNCTION("""COMPUTED_VALUE"""),"Memory Corruption")</f>
        <v>Memory Corruption</v>
      </c>
      <c r="E201" t="str">
        <f>IFERROR(__xludf.DUMMYFUNCTION("""COMPUTED_VALUE"""),"Unspecified memory corruption in win32k")</f>
        <v>Unspecified memory corruption in win32k</v>
      </c>
      <c r="F201" t="str">
        <f>IFERROR(__xludf.DUMMYFUNCTION("""COMPUTED_VALUE"""),"???")</f>
        <v>???</v>
      </c>
      <c r="G201" s="9">
        <f>IFERROR(__xludf.DUMMYFUNCTION("""COMPUTED_VALUE"""),43655.0)</f>
        <v>43655</v>
      </c>
      <c r="H201" s="10" t="str">
        <f>IFERROR(__xludf.DUMMYFUNCTION("""COMPUTED_VALUE"""),"https://portal.msrc.microsoft.com/en-us/security-guidance/advisory/CVE-2019-1132")</f>
        <v>https://portal.msrc.microsoft.com/en-us/security-guidance/advisory/CVE-2019-1132</v>
      </c>
      <c r="I201" s="10" t="str">
        <f>IFERROR(__xludf.DUMMYFUNCTION("""COMPUTED_VALUE"""),"https://www.welivesecurity.com/2019/07/10/windows-zero-day-cve-2019-1132-exploit/")</f>
        <v>https://www.welivesecurity.com/2019/07/10/windows-zero-day-cve-2019-1132-exploit/</v>
      </c>
      <c r="J201" t="str">
        <f>IFERROR(__xludf.DUMMYFUNCTION("""COMPUTED_VALUE"""),"???")</f>
        <v>???</v>
      </c>
      <c r="K201" t="str">
        <f>IFERROR(__xludf.DUMMYFUNCTION("""COMPUTED_VALUE"""),"Anton Cherepanov, Senior Malware Researcher of ESET")</f>
        <v>Anton Cherepanov, Senior Malware Researcher of ESET</v>
      </c>
    </row>
    <row r="202">
      <c r="A202" t="str">
        <f>IFERROR(__xludf.DUMMYFUNCTION("""COMPUTED_VALUE"""),"CVE-2019-11708")</f>
        <v>CVE-2019-11708</v>
      </c>
      <c r="B202" t="str">
        <f>IFERROR(__xludf.DUMMYFUNCTION("""COMPUTED_VALUE"""),"Mozilla")</f>
        <v>Mozilla</v>
      </c>
      <c r="C202" t="str">
        <f>IFERROR(__xludf.DUMMYFUNCTION("""COMPUTED_VALUE"""),"Firefox")</f>
        <v>Firefox</v>
      </c>
      <c r="D202" t="str">
        <f>IFERROR(__xludf.DUMMYFUNCTION("""COMPUTED_VALUE"""),"Logic/Design Flaw")</f>
        <v>Logic/Design Flaw</v>
      </c>
      <c r="E202" t="str">
        <f>IFERROR(__xludf.DUMMYFUNCTION("""COMPUTED_VALUE"""),"Sandbox escape in Prompt:Open")</f>
        <v>Sandbox escape in Prompt:Open</v>
      </c>
      <c r="F202" t="str">
        <f>IFERROR(__xludf.DUMMYFUNCTION("""COMPUTED_VALUE"""),"???")</f>
        <v>???</v>
      </c>
      <c r="G202" s="9">
        <f>IFERROR(__xludf.DUMMYFUNCTION("""COMPUTED_VALUE"""),43636.0)</f>
        <v>43636</v>
      </c>
      <c r="H202" s="10" t="str">
        <f>IFERROR(__xludf.DUMMYFUNCTION("""COMPUTED_VALUE"""),"https://www.mozilla.org/en-US/security/advisories/mfsa2019-19/")</f>
        <v>https://www.mozilla.org/en-US/security/advisories/mfsa2019-19/</v>
      </c>
      <c r="I202" t="str">
        <f>IFERROR(__xludf.DUMMYFUNCTION("""COMPUTED_VALUE"""),"???")</f>
        <v>???</v>
      </c>
      <c r="J202" t="str">
        <f>IFERROR(__xludf.DUMMYFUNCTION("""COMPUTED_VALUE"""),"???")</f>
        <v>???</v>
      </c>
      <c r="K202" t="str">
        <f>IFERROR(__xludf.DUMMYFUNCTION("""COMPUTED_VALUE"""),"Coinbase Security")</f>
        <v>Coinbase Security</v>
      </c>
    </row>
    <row r="203">
      <c r="A203" t="str">
        <f>IFERROR(__xludf.DUMMYFUNCTION("""COMPUTED_VALUE"""),"CVE-2019-11707")</f>
        <v>CVE-2019-11707</v>
      </c>
      <c r="B203" t="str">
        <f>IFERROR(__xludf.DUMMYFUNCTION("""COMPUTED_VALUE"""),"Mozilla")</f>
        <v>Mozilla</v>
      </c>
      <c r="C203" t="str">
        <f>IFERROR(__xludf.DUMMYFUNCTION("""COMPUTED_VALUE"""),"Firefox")</f>
        <v>Firefox</v>
      </c>
      <c r="D203" t="str">
        <f>IFERROR(__xludf.DUMMYFUNCTION("""COMPUTED_VALUE"""),"Memory Corruption")</f>
        <v>Memory Corruption</v>
      </c>
      <c r="E203" t="str">
        <f>IFERROR(__xludf.DUMMYFUNCTION("""COMPUTED_VALUE"""),"Type confusion in Array.pop")</f>
        <v>Type confusion in Array.pop</v>
      </c>
      <c r="F203" t="str">
        <f>IFERROR(__xludf.DUMMYFUNCTION("""COMPUTED_VALUE"""),"???")</f>
        <v>???</v>
      </c>
      <c r="G203" s="9">
        <f>IFERROR(__xludf.DUMMYFUNCTION("""COMPUTED_VALUE"""),43634.0)</f>
        <v>43634</v>
      </c>
      <c r="H203" s="10" t="str">
        <f>IFERROR(__xludf.DUMMYFUNCTION("""COMPUTED_VALUE"""),"https://www.mozilla.org/en-US/security/advisories/mfsa2019-18/")</f>
        <v>https://www.mozilla.org/en-US/security/advisories/mfsa2019-18/</v>
      </c>
      <c r="I203" t="str">
        <f>IFERROR(__xludf.DUMMYFUNCTION("""COMPUTED_VALUE"""),"???")</f>
        <v>???</v>
      </c>
      <c r="J203" s="10" t="str">
        <f>IFERROR(__xludf.DUMMYFUNCTION("""COMPUTED_VALUE"""),"https://googleprojectzero.github.io/0days-in-the-wild//0day-RCAs/2019/CVE-2019-11707.html")</f>
        <v>https://googleprojectzero.github.io/0days-in-the-wild//0day-RCAs/2019/CVE-2019-11707.html</v>
      </c>
      <c r="K203" t="str">
        <f>IFERROR(__xludf.DUMMYFUNCTION("""COMPUTED_VALUE"""),"Samuel Groß of Google Project Zero, Coinbase Security")</f>
        <v>Samuel Groß of Google Project Zero, Coinbase Security</v>
      </c>
    </row>
    <row r="204">
      <c r="A204" t="str">
        <f>IFERROR(__xludf.DUMMYFUNCTION("""COMPUTED_VALUE"""),"CVE-2019-3568")</f>
        <v>CVE-2019-3568</v>
      </c>
      <c r="B204" t="str">
        <f>IFERROR(__xludf.DUMMYFUNCTION("""COMPUTED_VALUE"""),"Facebook")</f>
        <v>Facebook</v>
      </c>
      <c r="C204" t="str">
        <f>IFERROR(__xludf.DUMMYFUNCTION("""COMPUTED_VALUE"""),"WhatsApp")</f>
        <v>WhatsApp</v>
      </c>
      <c r="D204" t="str">
        <f>IFERROR(__xludf.DUMMYFUNCTION("""COMPUTED_VALUE"""),"Memory Corruption")</f>
        <v>Memory Corruption</v>
      </c>
      <c r="E204" t="str">
        <f>IFERROR(__xludf.DUMMYFUNCTION("""COMPUTED_VALUE"""),"Buffer overflow in SRTCP packets")</f>
        <v>Buffer overflow in SRTCP packets</v>
      </c>
      <c r="F204" t="str">
        <f>IFERROR(__xludf.DUMMYFUNCTION("""COMPUTED_VALUE"""),"???")</f>
        <v>???</v>
      </c>
      <c r="G204" s="9">
        <f>IFERROR(__xludf.DUMMYFUNCTION("""COMPUTED_VALUE"""),43598.0)</f>
        <v>43598</v>
      </c>
      <c r="H204" s="10" t="str">
        <f>IFERROR(__xludf.DUMMYFUNCTION("""COMPUTED_VALUE"""),"https://www.facebook.com/security/advisories/cve-2019-3568")</f>
        <v>https://www.facebook.com/security/advisories/cve-2019-3568</v>
      </c>
      <c r="I204" s="10" t="str">
        <f>IFERROR(__xludf.DUMMYFUNCTION("""COMPUTED_VALUE"""),"https://research.checkpoint.com/the-nso-whatsapp-vulnerability-this-is-how-it-happened/")</f>
        <v>https://research.checkpoint.com/the-nso-whatsapp-vulnerability-this-is-how-it-happened/</v>
      </c>
      <c r="J204" t="str">
        <f>IFERROR(__xludf.DUMMYFUNCTION("""COMPUTED_VALUE"""),"???")</f>
        <v>???</v>
      </c>
      <c r="K204" t="str">
        <f>IFERROR(__xludf.DUMMYFUNCTION("""COMPUTED_VALUE"""),"???")</f>
        <v>???</v>
      </c>
    </row>
    <row r="205">
      <c r="A205" t="str">
        <f>IFERROR(__xludf.DUMMYFUNCTION("""COMPUTED_VALUE"""),"CVE-2019-0803")</f>
        <v>CVE-2019-0803</v>
      </c>
      <c r="B205" t="str">
        <f>IFERROR(__xludf.DUMMYFUNCTION("""COMPUTED_VALUE"""),"Microsoft")</f>
        <v>Microsoft</v>
      </c>
      <c r="C205" t="str">
        <f>IFERROR(__xludf.DUMMYFUNCTION("""COMPUTED_VALUE"""),"Windows")</f>
        <v>Windows</v>
      </c>
      <c r="D205" t="str">
        <f>IFERROR(__xludf.DUMMYFUNCTION("""COMPUTED_VALUE"""),"Memory Corruption")</f>
        <v>Memory Corruption</v>
      </c>
      <c r="E205" t="str">
        <f>IFERROR(__xludf.DUMMYFUNCTION("""COMPUTED_VALUE"""),"Unspecified memory corruption in win32k")</f>
        <v>Unspecified memory corruption in win32k</v>
      </c>
      <c r="F205" t="str">
        <f>IFERROR(__xludf.DUMMYFUNCTION("""COMPUTED_VALUE"""),"???")</f>
        <v>???</v>
      </c>
      <c r="G205" s="9">
        <f>IFERROR(__xludf.DUMMYFUNCTION("""COMPUTED_VALUE"""),43564.0)</f>
        <v>43564</v>
      </c>
      <c r="H205" s="10" t="str">
        <f>IFERROR(__xludf.DUMMYFUNCTION("""COMPUTED_VALUE"""),"https://portal.msrc.microsoft.com/en-US/security-guidance/advisory/CVE-2019-0803")</f>
        <v>https://portal.msrc.microsoft.com/en-US/security-guidance/advisory/CVE-2019-0803</v>
      </c>
      <c r="I205" t="str">
        <f>IFERROR(__xludf.DUMMYFUNCTION("""COMPUTED_VALUE"""),"???")</f>
        <v>???</v>
      </c>
      <c r="J205" t="str">
        <f>IFERROR(__xludf.DUMMYFUNCTION("""COMPUTED_VALUE"""),"???")</f>
        <v>???</v>
      </c>
      <c r="K205" t="str">
        <f>IFERROR(__xludf.DUMMYFUNCTION("""COMPUTED_VALUE"""),"Donghai Zhu of Alibaba Cloud Intelligence Security Team")</f>
        <v>Donghai Zhu of Alibaba Cloud Intelligence Security Team</v>
      </c>
    </row>
    <row r="206">
      <c r="A206" t="str">
        <f>IFERROR(__xludf.DUMMYFUNCTION("""COMPUTED_VALUE"""),"CVE-2019-0859")</f>
        <v>CVE-2019-0859</v>
      </c>
      <c r="B206" t="str">
        <f>IFERROR(__xludf.DUMMYFUNCTION("""COMPUTED_VALUE"""),"Microsoft")</f>
        <v>Microsoft</v>
      </c>
      <c r="C206" t="str">
        <f>IFERROR(__xludf.DUMMYFUNCTION("""COMPUTED_VALUE"""),"Windows")</f>
        <v>Windows</v>
      </c>
      <c r="D206" t="str">
        <f>IFERROR(__xludf.DUMMYFUNCTION("""COMPUTED_VALUE"""),"Memory Corruption")</f>
        <v>Memory Corruption</v>
      </c>
      <c r="E206" t="str">
        <f>IFERROR(__xludf.DUMMYFUNCTION("""COMPUTED_VALUE"""),"Use-after-free in CreateWindowEx")</f>
        <v>Use-after-free in CreateWindowEx</v>
      </c>
      <c r="F206" t="str">
        <f>IFERROR(__xludf.DUMMYFUNCTION("""COMPUTED_VALUE"""),"2019-03-17")</f>
        <v>2019-03-17</v>
      </c>
      <c r="G206" s="9">
        <f>IFERROR(__xludf.DUMMYFUNCTION("""COMPUTED_VALUE"""),43564.0)</f>
        <v>43564</v>
      </c>
      <c r="H206" s="10" t="str">
        <f>IFERROR(__xludf.DUMMYFUNCTION("""COMPUTED_VALUE"""),"https://portal.msrc.microsoft.com/en-US/security-guidance/advisory/CVE-2019-0859")</f>
        <v>https://portal.msrc.microsoft.com/en-US/security-guidance/advisory/CVE-2019-0859</v>
      </c>
      <c r="I206" s="10" t="str">
        <f>IFERROR(__xludf.DUMMYFUNCTION("""COMPUTED_VALUE"""),"https://securelist.com/new-win32k-zero-day-cve-2019-0859/90435/")</f>
        <v>https://securelist.com/new-win32k-zero-day-cve-2019-0859/90435/</v>
      </c>
      <c r="J206" t="str">
        <f>IFERROR(__xludf.DUMMYFUNCTION("""COMPUTED_VALUE"""),"???")</f>
        <v>???</v>
      </c>
      <c r="K206" t="str">
        <f>IFERROR(__xludf.DUMMYFUNCTION("""COMPUTED_VALUE"""),"Vasily Berdnikov &amp; Boris Larin of Kaspersky Lab")</f>
        <v>Vasily Berdnikov &amp; Boris Larin of Kaspersky Lab</v>
      </c>
    </row>
    <row r="207">
      <c r="A207" t="str">
        <f>IFERROR(__xludf.DUMMYFUNCTION("""COMPUTED_VALUE"""),"CVE-2019-0808")</f>
        <v>CVE-2019-0808</v>
      </c>
      <c r="B207" t="str">
        <f>IFERROR(__xludf.DUMMYFUNCTION("""COMPUTED_VALUE"""),"Microsoft")</f>
        <v>Microsoft</v>
      </c>
      <c r="C207" t="str">
        <f>IFERROR(__xludf.DUMMYFUNCTION("""COMPUTED_VALUE"""),"Windows")</f>
        <v>Windows</v>
      </c>
      <c r="D207" t="str">
        <f>IFERROR(__xludf.DUMMYFUNCTION("""COMPUTED_VALUE"""),"Memory Corruption")</f>
        <v>Memory Corruption</v>
      </c>
      <c r="E207" t="str">
        <f>IFERROR(__xludf.DUMMYFUNCTION("""COMPUTED_VALUE"""),"NULL pointer dereference in win32k!xxxMNFindWindowFromPoint")</f>
        <v>NULL pointer dereference in win32k!xxxMNFindWindowFromPoint</v>
      </c>
      <c r="F207" t="str">
        <f>IFERROR(__xludf.DUMMYFUNCTION("""COMPUTED_VALUE"""),"???")</f>
        <v>???</v>
      </c>
      <c r="G207" s="9">
        <f>IFERROR(__xludf.DUMMYFUNCTION("""COMPUTED_VALUE"""),43536.0)</f>
        <v>43536</v>
      </c>
      <c r="H207" s="10" t="str">
        <f>IFERROR(__xludf.DUMMYFUNCTION("""COMPUTED_VALUE"""),"https://portal.msrc.microsoft.com/en-US/security-guidance/advisory/CVE-2019-0808")</f>
        <v>https://portal.msrc.microsoft.com/en-US/security-guidance/advisory/CVE-2019-0808</v>
      </c>
      <c r="I207" s="10" t="str">
        <f>IFERROR(__xludf.DUMMYFUNCTION("""COMPUTED_VALUE"""),"https://blog.360totalsecurity.com/en/analysis-of-the-causes-of-cve-2019-0808-core-elevation-permission-vulnerability/")</f>
        <v>https://blog.360totalsecurity.com/en/analysis-of-the-causes-of-cve-2019-0808-core-elevation-permission-vulnerability/</v>
      </c>
      <c r="J207" t="str">
        <f>IFERROR(__xludf.DUMMYFUNCTION("""COMPUTED_VALUE"""),"???")</f>
        <v>???</v>
      </c>
      <c r="K207" t="str">
        <f>IFERROR(__xludf.DUMMYFUNCTION("""COMPUTED_VALUE"""),"Clément Lecigne of Google’s Threat Analysis Group")</f>
        <v>Clément Lecigne of Google’s Threat Analysis Group</v>
      </c>
    </row>
    <row r="208">
      <c r="A208" t="str">
        <f>IFERROR(__xludf.DUMMYFUNCTION("""COMPUTED_VALUE"""),"CVE-2019-0797")</f>
        <v>CVE-2019-0797</v>
      </c>
      <c r="B208" t="str">
        <f>IFERROR(__xludf.DUMMYFUNCTION("""COMPUTED_VALUE"""),"Microsoft")</f>
        <v>Microsoft</v>
      </c>
      <c r="C208" t="str">
        <f>IFERROR(__xludf.DUMMYFUNCTION("""COMPUTED_VALUE"""),"Windows")</f>
        <v>Windows</v>
      </c>
      <c r="D208" t="str">
        <f>IFERROR(__xludf.DUMMYFUNCTION("""COMPUTED_VALUE"""),"Memory Corruption")</f>
        <v>Memory Corruption</v>
      </c>
      <c r="E208" t="str">
        <f>IFERROR(__xludf.DUMMYFUNCTION("""COMPUTED_VALUE"""),"Race condition in NtDCompositionDestroyConnection")</f>
        <v>Race condition in NtDCompositionDestroyConnection</v>
      </c>
      <c r="F208" t="str">
        <f>IFERROR(__xludf.DUMMYFUNCTION("""COMPUTED_VALUE"""),"2019-02-22")</f>
        <v>2019-02-22</v>
      </c>
      <c r="G208" s="9">
        <f>IFERROR(__xludf.DUMMYFUNCTION("""COMPUTED_VALUE"""),43536.0)</f>
        <v>43536</v>
      </c>
      <c r="H208" s="10" t="str">
        <f>IFERROR(__xludf.DUMMYFUNCTION("""COMPUTED_VALUE"""),"https://portal.msrc.microsoft.com/en-US/security-guidance/advisory/CVE-2019-0797")</f>
        <v>https://portal.msrc.microsoft.com/en-US/security-guidance/advisory/CVE-2019-0797</v>
      </c>
      <c r="I208" s="10" t="str">
        <f>IFERROR(__xludf.DUMMYFUNCTION("""COMPUTED_VALUE"""),"https://securelist.com/cve-2019-0797-zero-day-vulnerability/89885/")</f>
        <v>https://securelist.com/cve-2019-0797-zero-day-vulnerability/89885/</v>
      </c>
      <c r="J208" t="str">
        <f>IFERROR(__xludf.DUMMYFUNCTION("""COMPUTED_VALUE"""),"???")</f>
        <v>???</v>
      </c>
      <c r="K208" t="str">
        <f>IFERROR(__xludf.DUMMYFUNCTION("""COMPUTED_VALUE"""),"Vasily Berdnikov &amp; Boris Larin of Kaspersky Lab")</f>
        <v>Vasily Berdnikov &amp; Boris Larin of Kaspersky Lab</v>
      </c>
    </row>
    <row r="209">
      <c r="A209" t="str">
        <f>IFERROR(__xludf.DUMMYFUNCTION("""COMPUTED_VALUE"""),"CVE-2019-0703")</f>
        <v>CVE-2019-0703</v>
      </c>
      <c r="B209" t="str">
        <f>IFERROR(__xludf.DUMMYFUNCTION("""COMPUTED_VALUE"""),"Microsoft")</f>
        <v>Microsoft</v>
      </c>
      <c r="C209" t="str">
        <f>IFERROR(__xludf.DUMMYFUNCTION("""COMPUTED_VALUE"""),"Windows")</f>
        <v>Windows</v>
      </c>
      <c r="D209" t="str">
        <f>IFERROR(__xludf.DUMMYFUNCTION("""COMPUTED_VALUE"""),"Information Leak")</f>
        <v>Information Leak</v>
      </c>
      <c r="E209" t="str">
        <f>IFERROR(__xludf.DUMMYFUNCTION("""COMPUTED_VALUE"""),"Unspecified information leak vulnerability in SMB")</f>
        <v>Unspecified information leak vulnerability in SMB</v>
      </c>
      <c r="F209" t="str">
        <f>IFERROR(__xludf.DUMMYFUNCTION("""COMPUTED_VALUE"""),"???")</f>
        <v>???</v>
      </c>
      <c r="G209" s="9">
        <f>IFERROR(__xludf.DUMMYFUNCTION("""COMPUTED_VALUE"""),43536.0)</f>
        <v>43536</v>
      </c>
      <c r="H209" s="10" t="str">
        <f>IFERROR(__xludf.DUMMYFUNCTION("""COMPUTED_VALUE"""),"https://portal.msrc.microsoft.com/en-US/security-guidance/advisory/CVE-2019-0703")</f>
        <v>https://portal.msrc.microsoft.com/en-US/security-guidance/advisory/CVE-2019-0703</v>
      </c>
      <c r="I209" t="str">
        <f>IFERROR(__xludf.DUMMYFUNCTION("""COMPUTED_VALUE"""),"???")</f>
        <v>???</v>
      </c>
      <c r="J209" t="str">
        <f>IFERROR(__xludf.DUMMYFUNCTION("""COMPUTED_VALUE"""),"???")</f>
        <v>???</v>
      </c>
      <c r="K209" t="str">
        <f>IFERROR(__xludf.DUMMYFUNCTION("""COMPUTED_VALUE"""),"Piotr Krysiuk of Symantec &amp; Andrew Burkhardt of MSRC Vulnerabilities &amp; Mitigations Team")</f>
        <v>Piotr Krysiuk of Symantec &amp; Andrew Burkhardt of MSRC Vulnerabilities &amp; Mitigations Team</v>
      </c>
    </row>
    <row r="210">
      <c r="A210" t="str">
        <f>IFERROR(__xludf.DUMMYFUNCTION("""COMPUTED_VALUE"""),"CVE-2019-5786")</f>
        <v>CVE-2019-5786</v>
      </c>
      <c r="B210" t="str">
        <f>IFERROR(__xludf.DUMMYFUNCTION("""COMPUTED_VALUE"""),"Google")</f>
        <v>Google</v>
      </c>
      <c r="C210" t="str">
        <f>IFERROR(__xludf.DUMMYFUNCTION("""COMPUTED_VALUE"""),"Chrome")</f>
        <v>Chrome</v>
      </c>
      <c r="D210" t="str">
        <f>IFERROR(__xludf.DUMMYFUNCTION("""COMPUTED_VALUE"""),"Memory Corruption")</f>
        <v>Memory Corruption</v>
      </c>
      <c r="E210" t="str">
        <f>IFERROR(__xludf.DUMMYFUNCTION("""COMPUTED_VALUE"""),"Use-after-free in FileReader")</f>
        <v>Use-after-free in FileReader</v>
      </c>
      <c r="F210" t="str">
        <f>IFERROR(__xludf.DUMMYFUNCTION("""COMPUTED_VALUE"""),"2019-02-27")</f>
        <v>2019-02-27</v>
      </c>
      <c r="G210" s="9">
        <f>IFERROR(__xludf.DUMMYFUNCTION("""COMPUTED_VALUE"""),43525.0)</f>
        <v>43525</v>
      </c>
      <c r="H210" s="10" t="str">
        <f>IFERROR(__xludf.DUMMYFUNCTION("""COMPUTED_VALUE"""),"https://chromereleases.googleblog.com/2019/03/stable-channel-update-for-desktop.html")</f>
        <v>https://chromereleases.googleblog.com/2019/03/stable-channel-update-for-desktop.html</v>
      </c>
      <c r="I210" s="10" t="str">
        <f>IFERROR(__xludf.DUMMYFUNCTION("""COMPUTED_VALUE"""),"https://blog.exodusintel.com/2019/03/20/cve-2019-5786-analysis-and-exploitation/")</f>
        <v>https://blog.exodusintel.com/2019/03/20/cve-2019-5786-analysis-and-exploitation/</v>
      </c>
      <c r="J210" t="str">
        <f>IFERROR(__xludf.DUMMYFUNCTION("""COMPUTED_VALUE"""),"???")</f>
        <v>???</v>
      </c>
      <c r="K210" t="str">
        <f>IFERROR(__xludf.DUMMYFUNCTION("""COMPUTED_VALUE"""),"Clement Lecigne of Google's Threat Analysis Group")</f>
        <v>Clement Lecigne of Google's Threat Analysis Group</v>
      </c>
    </row>
    <row r="211">
      <c r="A211" t="str">
        <f>IFERROR(__xludf.DUMMYFUNCTION("""COMPUTED_VALUE"""),"CVE-2019-0676")</f>
        <v>CVE-2019-0676</v>
      </c>
      <c r="B211" t="str">
        <f>IFERROR(__xludf.DUMMYFUNCTION("""COMPUTED_VALUE"""),"Microsoft")</f>
        <v>Microsoft</v>
      </c>
      <c r="C211" t="str">
        <f>IFERROR(__xludf.DUMMYFUNCTION("""COMPUTED_VALUE"""),"Internet Explorer")</f>
        <v>Internet Explorer</v>
      </c>
      <c r="D211" t="str">
        <f>IFERROR(__xludf.DUMMYFUNCTION("""COMPUTED_VALUE"""),"Information Leak")</f>
        <v>Information Leak</v>
      </c>
      <c r="E211" t="str">
        <f>IFERROR(__xludf.DUMMYFUNCTION("""COMPUTED_VALUE"""),"Unspecified information leak vulnerability")</f>
        <v>Unspecified information leak vulnerability</v>
      </c>
      <c r="F211" t="str">
        <f>IFERROR(__xludf.DUMMYFUNCTION("""COMPUTED_VALUE"""),"???")</f>
        <v>???</v>
      </c>
      <c r="G211" s="9">
        <f>IFERROR(__xludf.DUMMYFUNCTION("""COMPUTED_VALUE"""),43508.0)</f>
        <v>43508</v>
      </c>
      <c r="H211" s="10" t="str">
        <f>IFERROR(__xludf.DUMMYFUNCTION("""COMPUTED_VALUE"""),"https://portal.msrc.microsoft.com/en-US/security-guidance/advisory/CVE-2019-0676")</f>
        <v>https://portal.msrc.microsoft.com/en-US/security-guidance/advisory/CVE-2019-0676</v>
      </c>
      <c r="I211" t="str">
        <f>IFERROR(__xludf.DUMMYFUNCTION("""COMPUTED_VALUE"""),"???")</f>
        <v>???</v>
      </c>
      <c r="J211" t="str">
        <f>IFERROR(__xludf.DUMMYFUNCTION("""COMPUTED_VALUE"""),"???")</f>
        <v>???</v>
      </c>
      <c r="K211" t="str">
        <f>IFERROR(__xludf.DUMMYFUNCTION("""COMPUTED_VALUE"""),"Clement Lecigne of Google’s Threat Analysis Group")</f>
        <v>Clement Lecigne of Google’s Threat Analysis Group</v>
      </c>
    </row>
    <row r="212">
      <c r="A212" t="str">
        <f>IFERROR(__xludf.DUMMYFUNCTION("""COMPUTED_VALUE"""),"CVE-2019-7286")</f>
        <v>CVE-2019-7286</v>
      </c>
      <c r="B212" t="str">
        <f>IFERROR(__xludf.DUMMYFUNCTION("""COMPUTED_VALUE"""),"Apple")</f>
        <v>Apple</v>
      </c>
      <c r="C212" t="str">
        <f>IFERROR(__xludf.DUMMYFUNCTION("""COMPUTED_VALUE"""),"iOS")</f>
        <v>iOS</v>
      </c>
      <c r="D212" t="str">
        <f>IFERROR(__xludf.DUMMYFUNCTION("""COMPUTED_VALUE"""),"Memory Corruption")</f>
        <v>Memory Corruption</v>
      </c>
      <c r="E212" t="str">
        <f>IFERROR(__xludf.DUMMYFUNCTION("""COMPUTED_VALUE"""),"Use-after-free in CFPrefsDaemon")</f>
        <v>Use-after-free in CFPrefsDaemon</v>
      </c>
      <c r="F212" t="str">
        <f>IFERROR(__xludf.DUMMYFUNCTION("""COMPUTED_VALUE"""),"???")</f>
        <v>???</v>
      </c>
      <c r="G212" s="9">
        <f>IFERROR(__xludf.DUMMYFUNCTION("""COMPUTED_VALUE"""),43503.0)</f>
        <v>43503</v>
      </c>
      <c r="H212" s="10" t="str">
        <f>IFERROR(__xludf.DUMMYFUNCTION("""COMPUTED_VALUE"""),"https://support.apple.com/en-us/HT209520")</f>
        <v>https://support.apple.com/en-us/HT209520</v>
      </c>
      <c r="I212" s="10" t="str">
        <f>IFERROR(__xludf.DUMMYFUNCTION("""COMPUTED_VALUE"""),"https://blog.zecops.com/vulnerabilities/analysis-and-reproduction-of-cve-2019-7286/")</f>
        <v>https://blog.zecops.com/vulnerabilities/analysis-and-reproduction-of-cve-2019-7286/</v>
      </c>
      <c r="J212" s="10" t="str">
        <f>IFERROR(__xludf.DUMMYFUNCTION("""COMPUTED_VALUE"""),"https://googleprojectzero.github.io/0days-in-the-wild//0day-RCAs/2019/CVE-2019-7286.html")</f>
        <v>https://googleprojectzero.github.io/0days-in-the-wild//0day-RCAs/2019/CVE-2019-7286.html</v>
      </c>
      <c r="K212" t="str">
        <f>IFERROR(__xludf.DUMMYFUNCTION("""COMPUTED_VALUE"""),"Clement Lecigne of Google Threat Analysis Group, Ian Beer &amp; Samuel Groß of Google Project Zero, &amp; an anonymous researcher")</f>
        <v>Clement Lecigne of Google Threat Analysis Group, Ian Beer &amp; Samuel Groß of Google Project Zero, &amp; an anonymous researcher</v>
      </c>
    </row>
    <row r="213">
      <c r="A213" t="str">
        <f>IFERROR(__xludf.DUMMYFUNCTION("""COMPUTED_VALUE"""),"CVE-2019-7287")</f>
        <v>CVE-2019-7287</v>
      </c>
      <c r="B213" t="str">
        <f>IFERROR(__xludf.DUMMYFUNCTION("""COMPUTED_VALUE"""),"Apple")</f>
        <v>Apple</v>
      </c>
      <c r="C213" t="str">
        <f>IFERROR(__xludf.DUMMYFUNCTION("""COMPUTED_VALUE"""),"iOS")</f>
        <v>iOS</v>
      </c>
      <c r="D213" t="str">
        <f>IFERROR(__xludf.DUMMYFUNCTION("""COMPUTED_VALUE"""),"Memory Corruption")</f>
        <v>Memory Corruption</v>
      </c>
      <c r="E213" t="str">
        <f>IFERROR(__xludf.DUMMYFUNCTION("""COMPUTED_VALUE"""),"Buffer overflow in ProvInfoIOKitUserClient")</f>
        <v>Buffer overflow in ProvInfoIOKitUserClient</v>
      </c>
      <c r="F213" t="str">
        <f>IFERROR(__xludf.DUMMYFUNCTION("""COMPUTED_VALUE"""),"???")</f>
        <v>???</v>
      </c>
      <c r="G213" s="9">
        <f>IFERROR(__xludf.DUMMYFUNCTION("""COMPUTED_VALUE"""),43503.0)</f>
        <v>43503</v>
      </c>
      <c r="H213" s="10" t="str">
        <f>IFERROR(__xludf.DUMMYFUNCTION("""COMPUTED_VALUE"""),"https://support.apple.com/en-us/HT209520")</f>
        <v>https://support.apple.com/en-us/HT209520</v>
      </c>
      <c r="I213" s="10" t="str">
        <f>IFERROR(__xludf.DUMMYFUNCTION("""COMPUTED_VALUE"""),"https://www.antid0te.com/blog/19-02-23-ios-kernel-cve-2019-7287-memory-corruption-vulnerability.html")</f>
        <v>https://www.antid0te.com/blog/19-02-23-ios-kernel-cve-2019-7287-memory-corruption-vulnerability.html</v>
      </c>
      <c r="J213" s="10" t="str">
        <f>IFERROR(__xludf.DUMMYFUNCTION("""COMPUTED_VALUE"""),"https://googleprojectzero.github.io/0days-in-the-wild//0day-RCAs/2019/CVE-2019-7287.html")</f>
        <v>https://googleprojectzero.github.io/0days-in-the-wild//0day-RCAs/2019/CVE-2019-7287.html</v>
      </c>
      <c r="K213" t="str">
        <f>IFERROR(__xludf.DUMMYFUNCTION("""COMPUTED_VALUE"""),"Clement Lecigne of Google Threat Analysis Group, Ian Beer &amp; Samuel Groß of Google Project Zero, &amp; an anonymous researcher")</f>
        <v>Clement Lecigne of Google Threat Analysis Group, Ian Beer &amp; Samuel Groß of Google Project Zero, &amp; an anonymous researcher</v>
      </c>
    </row>
    <row r="214">
      <c r="A214" t="str">
        <f>IFERROR(__xludf.DUMMYFUNCTION("""COMPUTED_VALUE"""),"CVE-2018-8653")</f>
        <v>CVE-2018-8653</v>
      </c>
      <c r="B214" t="str">
        <f>IFERROR(__xludf.DUMMYFUNCTION("""COMPUTED_VALUE"""),"Microsoft")</f>
        <v>Microsoft</v>
      </c>
      <c r="C214" t="str">
        <f>IFERROR(__xludf.DUMMYFUNCTION("""COMPUTED_VALUE"""),"Internet Explorer")</f>
        <v>Internet Explorer</v>
      </c>
      <c r="D214" t="str">
        <f>IFERROR(__xludf.DUMMYFUNCTION("""COMPUTED_VALUE"""),"Memory Corruption")</f>
        <v>Memory Corruption</v>
      </c>
      <c r="E214" t="str">
        <f>IFERROR(__xludf.DUMMYFUNCTION("""COMPUTED_VALUE"""),"Use-after-free in Enumerator")</f>
        <v>Use-after-free in Enumerator</v>
      </c>
      <c r="F214" t="str">
        <f>IFERROR(__xludf.DUMMYFUNCTION("""COMPUTED_VALUE"""),"???")</f>
        <v>???</v>
      </c>
      <c r="G214" s="9">
        <f>IFERROR(__xludf.DUMMYFUNCTION("""COMPUTED_VALUE"""),43453.0)</f>
        <v>43453</v>
      </c>
      <c r="H214" s="10" t="str">
        <f>IFERROR(__xludf.DUMMYFUNCTION("""COMPUTED_VALUE"""),"https://portal.msrc.microsoft.com/en-US/security-guidance/advisory/CVE-2018-8653")</f>
        <v>https://portal.msrc.microsoft.com/en-US/security-guidance/advisory/CVE-2018-8653</v>
      </c>
      <c r="I214" s="10" t="str">
        <f>IFERROR(__xludf.DUMMYFUNCTION("""COMPUTED_VALUE"""),"https://securingtomorrow.mcafee.com/other-blogs/mcafee-labs/ie-scripting-flaw-still-a-threat-to-unpatched-systems-analyzing-cve-2018-8653/")</f>
        <v>https://securingtomorrow.mcafee.com/other-blogs/mcafee-labs/ie-scripting-flaw-still-a-threat-to-unpatched-systems-analyzing-cve-2018-8653/</v>
      </c>
      <c r="J214" t="str">
        <f>IFERROR(__xludf.DUMMYFUNCTION("""COMPUTED_VALUE"""),"???")</f>
        <v>???</v>
      </c>
      <c r="K214" t="str">
        <f>IFERROR(__xludf.DUMMYFUNCTION("""COMPUTED_VALUE"""),"Clement Lecigne of Google’s Threat Analysis Group")</f>
        <v>Clement Lecigne of Google’s Threat Analysis Group</v>
      </c>
    </row>
    <row r="215">
      <c r="A215" t="str">
        <f>IFERROR(__xludf.DUMMYFUNCTION("""COMPUTED_VALUE"""),"CVE-2018-8611")</f>
        <v>CVE-2018-8611</v>
      </c>
      <c r="B215" t="str">
        <f>IFERROR(__xludf.DUMMYFUNCTION("""COMPUTED_VALUE"""),"Microsoft")</f>
        <v>Microsoft</v>
      </c>
      <c r="C215" t="str">
        <f>IFERROR(__xludf.DUMMYFUNCTION("""COMPUTED_VALUE"""),"Windows")</f>
        <v>Windows</v>
      </c>
      <c r="D215" t="str">
        <f>IFERROR(__xludf.DUMMYFUNCTION("""COMPUTED_VALUE"""),"Memory Corruption")</f>
        <v>Memory Corruption</v>
      </c>
      <c r="E215" t="str">
        <f>IFERROR(__xludf.DUMMYFUNCTION("""COMPUTED_VALUE"""),"Race condition in kernel transaction manager")</f>
        <v>Race condition in kernel transaction manager</v>
      </c>
      <c r="F215" t="str">
        <f>IFERROR(__xludf.DUMMYFUNCTION("""COMPUTED_VALUE"""),"2018-10-29")</f>
        <v>2018-10-29</v>
      </c>
      <c r="G215" s="9">
        <f>IFERROR(__xludf.DUMMYFUNCTION("""COMPUTED_VALUE"""),43445.0)</f>
        <v>43445</v>
      </c>
      <c r="H215" s="10" t="str">
        <f>IFERROR(__xludf.DUMMYFUNCTION("""COMPUTED_VALUE"""),"https://portal.msrc.microsoft.com/en-US/security-guidance/advisory/CVE-2018-8611")</f>
        <v>https://portal.msrc.microsoft.com/en-US/security-guidance/advisory/CVE-2018-8611</v>
      </c>
      <c r="I215" s="10" t="str">
        <f>IFERROR(__xludf.DUMMYFUNCTION("""COMPUTED_VALUE"""),"https://securelist.com/zero-day-in-windows-kernel-transaction-manager-cve-2018-8611/89253/")</f>
        <v>https://securelist.com/zero-day-in-windows-kernel-transaction-manager-cve-2018-8611/89253/</v>
      </c>
      <c r="J215" t="str">
        <f>IFERROR(__xludf.DUMMYFUNCTION("""COMPUTED_VALUE"""),"???")</f>
        <v>???</v>
      </c>
      <c r="K215" t="str">
        <f>IFERROR(__xludf.DUMMYFUNCTION("""COMPUTED_VALUE"""),"Boris Larin (Oct0xor) &amp; Igor Soumenkov (2igosha) of Kaspersky Lab")</f>
        <v>Boris Larin (Oct0xor) &amp; Igor Soumenkov (2igosha) of Kaspersky Lab</v>
      </c>
    </row>
    <row r="216">
      <c r="A216" t="str">
        <f>IFERROR(__xludf.DUMMYFUNCTION("""COMPUTED_VALUE"""),"CVE-2018-15982")</f>
        <v>CVE-2018-15982</v>
      </c>
      <c r="B216" t="str">
        <f>IFERROR(__xludf.DUMMYFUNCTION("""COMPUTED_VALUE"""),"Adobe")</f>
        <v>Adobe</v>
      </c>
      <c r="C216" t="str">
        <f>IFERROR(__xludf.DUMMYFUNCTION("""COMPUTED_VALUE"""),"Flash")</f>
        <v>Flash</v>
      </c>
      <c r="D216" t="str">
        <f>IFERROR(__xludf.DUMMYFUNCTION("""COMPUTED_VALUE"""),"Memory Corruption")</f>
        <v>Memory Corruption</v>
      </c>
      <c r="E216" t="str">
        <f>IFERROR(__xludf.DUMMYFUNCTION("""COMPUTED_VALUE"""),"Use-after-free in TVSDK Metadata")</f>
        <v>Use-after-free in TVSDK Metadata</v>
      </c>
      <c r="F216" t="str">
        <f>IFERROR(__xludf.DUMMYFUNCTION("""COMPUTED_VALUE"""),"2018-11-29")</f>
        <v>2018-11-29</v>
      </c>
      <c r="G216" s="9">
        <f>IFERROR(__xludf.DUMMYFUNCTION("""COMPUTED_VALUE"""),43439.0)</f>
        <v>43439</v>
      </c>
      <c r="H216" s="10" t="str">
        <f>IFERROR(__xludf.DUMMYFUNCTION("""COMPUTED_VALUE"""),"https://helpx.adobe.com/security/products/flash-player/apsb18-42.html?red=a")</f>
        <v>https://helpx.adobe.com/security/products/flash-player/apsb18-42.html?red=a</v>
      </c>
      <c r="I216" s="10" t="str">
        <f>IFERROR(__xludf.DUMMYFUNCTION("""COMPUTED_VALUE"""),"http://blogs.360.cn/post/PoisonNeedles_CVE-2018-15982_EN")</f>
        <v>http://blogs.360.cn/post/PoisonNeedles_CVE-2018-15982_EN</v>
      </c>
      <c r="J216" t="str">
        <f>IFERROR(__xludf.DUMMYFUNCTION("""COMPUTED_VALUE"""),"???")</f>
        <v>???</v>
      </c>
      <c r="K216" t="str">
        <f>IFERROR(__xludf.DUMMYFUNCTION("""COMPUTED_VALUE"""),"Chenming Xu and Ed Miles of Gigamon ATR, Yang Kang (@dnpushme) and Jinquan (@jq0904) of Qihoo 360 Core Security (@360CoreSec), He Zhiqiu, Qu Yifan, Bai Haowen, Zeng Haitao and Gu Liang of 360 Threat Intelligence of 360 Enterprise Security Group, b2ahex")</f>
        <v>Chenming Xu and Ed Miles of Gigamon ATR, Yang Kang (@dnpushme) and Jinquan (@jq0904) of Qihoo 360 Core Security (@360CoreSec), He Zhiqiu, Qu Yifan, Bai Haowen, Zeng Haitao and Gu Liang of 360 Threat Intelligence of 360 Enterprise Security Group, b2ahex</v>
      </c>
    </row>
    <row r="217">
      <c r="A217" t="str">
        <f>IFERROR(__xludf.DUMMYFUNCTION("""COMPUTED_VALUE"""),"CVE-2018-8589")</f>
        <v>CVE-2018-8589</v>
      </c>
      <c r="B217" t="str">
        <f>IFERROR(__xludf.DUMMYFUNCTION("""COMPUTED_VALUE"""),"Microsoft")</f>
        <v>Microsoft</v>
      </c>
      <c r="C217" t="str">
        <f>IFERROR(__xludf.DUMMYFUNCTION("""COMPUTED_VALUE"""),"Windows")</f>
        <v>Windows</v>
      </c>
      <c r="D217" t="str">
        <f>IFERROR(__xludf.DUMMYFUNCTION("""COMPUTED_VALUE"""),"Memory Corruption")</f>
        <v>Memory Corruption</v>
      </c>
      <c r="E217" t="str">
        <f>IFERROR(__xludf.DUMMYFUNCTION("""COMPUTED_VALUE"""),"Race condition in win32k!xxxMoveWindow")</f>
        <v>Race condition in win32k!xxxMoveWindow</v>
      </c>
      <c r="F217" t="str">
        <f>IFERROR(__xludf.DUMMYFUNCTION("""COMPUTED_VALUE"""),"2018-10-17")</f>
        <v>2018-10-17</v>
      </c>
      <c r="G217" s="9">
        <f>IFERROR(__xludf.DUMMYFUNCTION("""COMPUTED_VALUE"""),43417.0)</f>
        <v>43417</v>
      </c>
      <c r="H217" s="10" t="str">
        <f>IFERROR(__xludf.DUMMYFUNCTION("""COMPUTED_VALUE"""),"https://portal.msrc.microsoft.com/en-US/security-guidance/advisory/CVE-2018-8589")</f>
        <v>https://portal.msrc.microsoft.com/en-US/security-guidance/advisory/CVE-2018-8589</v>
      </c>
      <c r="I217" s="10" t="str">
        <f>IFERROR(__xludf.DUMMYFUNCTION("""COMPUTED_VALUE"""),"https://securelist.com/a-new-exploit-for-zero-day-vulnerability-cve-2018-8589/88845/")</f>
        <v>https://securelist.com/a-new-exploit-for-zero-day-vulnerability-cve-2018-8589/88845/</v>
      </c>
      <c r="J217" t="str">
        <f>IFERROR(__xludf.DUMMYFUNCTION("""COMPUTED_VALUE"""),"???")</f>
        <v>???</v>
      </c>
      <c r="K217" t="str">
        <f>IFERROR(__xludf.DUMMYFUNCTION("""COMPUTED_VALUE"""),"Boris Larin (Oct0xor) &amp; Igor Soumenkov (2igosha) of Kaspersky Lab")</f>
        <v>Boris Larin (Oct0xor) &amp; Igor Soumenkov (2igosha) of Kaspersky Lab</v>
      </c>
    </row>
    <row r="218">
      <c r="A218" t="str">
        <f>IFERROR(__xludf.DUMMYFUNCTION("""COMPUTED_VALUE"""),"CVE-2018-8453")</f>
        <v>CVE-2018-8453</v>
      </c>
      <c r="B218" t="str">
        <f>IFERROR(__xludf.DUMMYFUNCTION("""COMPUTED_VALUE"""),"Microsoft")</f>
        <v>Microsoft</v>
      </c>
      <c r="C218" t="str">
        <f>IFERROR(__xludf.DUMMYFUNCTION("""COMPUTED_VALUE"""),"Windows")</f>
        <v>Windows</v>
      </c>
      <c r="D218" t="str">
        <f>IFERROR(__xludf.DUMMYFUNCTION("""COMPUTED_VALUE"""),"Memory Corruption")</f>
        <v>Memory Corruption</v>
      </c>
      <c r="E218" t="str">
        <f>IFERROR(__xludf.DUMMYFUNCTION("""COMPUTED_VALUE"""),"Use-after-free in win32kfull!xxxDestroyWindow")</f>
        <v>Use-after-free in win32kfull!xxxDestroyWindow</v>
      </c>
      <c r="F218" t="str">
        <f>IFERROR(__xludf.DUMMYFUNCTION("""COMPUTED_VALUE"""),"2018-08-17")</f>
        <v>2018-08-17</v>
      </c>
      <c r="G218" s="9">
        <f>IFERROR(__xludf.DUMMYFUNCTION("""COMPUTED_VALUE"""),43382.0)</f>
        <v>43382</v>
      </c>
      <c r="H218" s="10" t="str">
        <f>IFERROR(__xludf.DUMMYFUNCTION("""COMPUTED_VALUE"""),"https://portal.msrc.microsoft.com/en-US/security-guidance/advisory/CVE-2018-8453")</f>
        <v>https://portal.msrc.microsoft.com/en-US/security-guidance/advisory/CVE-2018-8453</v>
      </c>
      <c r="I218" s="10" t="str">
        <f>IFERROR(__xludf.DUMMYFUNCTION("""COMPUTED_VALUE"""),"https://securelist.com/cve-2018-8453-used-in-targeted-attacks/88151/")</f>
        <v>https://securelist.com/cve-2018-8453-used-in-targeted-attacks/88151/</v>
      </c>
      <c r="J218" t="str">
        <f>IFERROR(__xludf.DUMMYFUNCTION("""COMPUTED_VALUE"""),"???")</f>
        <v>???</v>
      </c>
      <c r="K218" t="str">
        <f>IFERROR(__xludf.DUMMYFUNCTION("""COMPUTED_VALUE"""),"Kaspersky Lab")</f>
        <v>Kaspersky Lab</v>
      </c>
    </row>
    <row r="219">
      <c r="A219" t="str">
        <f>IFERROR(__xludf.DUMMYFUNCTION("""COMPUTED_VALUE"""),"CVE-2018-8373")</f>
        <v>CVE-2018-8373</v>
      </c>
      <c r="B219" t="str">
        <f>IFERROR(__xludf.DUMMYFUNCTION("""COMPUTED_VALUE"""),"Microsoft")</f>
        <v>Microsoft</v>
      </c>
      <c r="C219" t="str">
        <f>IFERROR(__xludf.DUMMYFUNCTION("""COMPUTED_VALUE"""),"VBScript")</f>
        <v>VBScript</v>
      </c>
      <c r="D219" t="str">
        <f>IFERROR(__xludf.DUMMYFUNCTION("""COMPUTED_VALUE"""),"Memory Corruption")</f>
        <v>Memory Corruption</v>
      </c>
      <c r="E219" t="str">
        <f>IFERROR(__xludf.DUMMYFUNCTION("""COMPUTED_VALUE"""),"Use-after-free in VBScript AssignVar")</f>
        <v>Use-after-free in VBScript AssignVar</v>
      </c>
      <c r="F219" t="str">
        <f>IFERROR(__xludf.DUMMYFUNCTION("""COMPUTED_VALUE"""),"2018-07-11")</f>
        <v>2018-07-11</v>
      </c>
      <c r="G219" s="9">
        <f>IFERROR(__xludf.DUMMYFUNCTION("""COMPUTED_VALUE"""),43326.0)</f>
        <v>43326</v>
      </c>
      <c r="H219" s="10" t="str">
        <f>IFERROR(__xludf.DUMMYFUNCTION("""COMPUTED_VALUE"""),"https://portal.msrc.microsoft.com/en-US/security-guidance/advisory/CVE-2018-8373")</f>
        <v>https://portal.msrc.microsoft.com/en-US/security-guidance/advisory/CVE-2018-8373</v>
      </c>
      <c r="I219" s="10" t="str">
        <f>IFERROR(__xludf.DUMMYFUNCTION("""COMPUTED_VALUE"""),"https://blog.trendmicro.com/trendlabs-security-intelligence/use-after-free-uaf-vulnerability-cve-2018-8373-in-vbscript-engine-affects-internet-explorer-to-run-shellcode/")</f>
        <v>https://blog.trendmicro.com/trendlabs-security-intelligence/use-after-free-uaf-vulnerability-cve-2018-8373-in-vbscript-engine-affects-internet-explorer-to-run-shellcode/</v>
      </c>
      <c r="J219" t="str">
        <f>IFERROR(__xludf.DUMMYFUNCTION("""COMPUTED_VALUE"""),"???")</f>
        <v>???</v>
      </c>
      <c r="K219" t="str">
        <f>IFERROR(__xludf.DUMMYFUNCTION("""COMPUTED_VALUE"""),"Elliot Cao of Trend Micro Security Research working with Trend Micro’s Zero Day Initiative (ZDI)")</f>
        <v>Elliot Cao of Trend Micro Security Research working with Trend Micro’s Zero Day Initiative (ZDI)</v>
      </c>
    </row>
    <row r="220">
      <c r="A220" t="str">
        <f>IFERROR(__xludf.DUMMYFUNCTION("""COMPUTED_VALUE"""),"CVE-2018-5002")</f>
        <v>CVE-2018-5002</v>
      </c>
      <c r="B220" t="str">
        <f>IFERROR(__xludf.DUMMYFUNCTION("""COMPUTED_VALUE"""),"Adobe")</f>
        <v>Adobe</v>
      </c>
      <c r="C220" t="str">
        <f>IFERROR(__xludf.DUMMYFUNCTION("""COMPUTED_VALUE"""),"Flash")</f>
        <v>Flash</v>
      </c>
      <c r="D220" t="str">
        <f>IFERROR(__xludf.DUMMYFUNCTION("""COMPUTED_VALUE"""),"Memory Corruption")</f>
        <v>Memory Corruption</v>
      </c>
      <c r="E220" t="str">
        <f>IFERROR(__xludf.DUMMYFUNCTION("""COMPUTED_VALUE"""),"Out-of-bounds read/write in AVM li8 opcode")</f>
        <v>Out-of-bounds read/write in AVM li8 opcode</v>
      </c>
      <c r="F220" t="str">
        <f>IFERROR(__xludf.DUMMYFUNCTION("""COMPUTED_VALUE"""),"???")</f>
        <v>???</v>
      </c>
      <c r="G220" s="9">
        <f>IFERROR(__xludf.DUMMYFUNCTION("""COMPUTED_VALUE"""),43258.0)</f>
        <v>43258</v>
      </c>
      <c r="H220" s="10" t="str">
        <f>IFERROR(__xludf.DUMMYFUNCTION("""COMPUTED_VALUE"""),"https://helpx.adobe.com/security/products/flash-player/apsb18-19.html")</f>
        <v>https://helpx.adobe.com/security/products/flash-player/apsb18-19.html</v>
      </c>
      <c r="I220" s="10" t="str">
        <f>IFERROR(__xludf.DUMMYFUNCTION("""COMPUTED_VALUE"""),"https://s.tencent.com/research/report/489.html")</f>
        <v>https://s.tencent.com/research/report/489.html</v>
      </c>
      <c r="J220" t="str">
        <f>IFERROR(__xludf.DUMMYFUNCTION("""COMPUTED_VALUE"""),"???")</f>
        <v>???</v>
      </c>
      <c r="K220" t="str">
        <f>IFERROR(__xludf.DUMMYFUNCTION("""COMPUTED_VALUE"""),"Chenming Xu and Jason Jones of ICEBRG, Bai Haowen, Zeng Haitao and Huang Chaowen of 360 Threat Intelligence Center of 360 Enterprise Security Group, and Yang Kang, Hu Jiang, Zhang Qing, and Jin Quan of Qihoo 360 Core Security (@360CoreSec), Tencent PC Man"&amp;"ager (http://guanjia.qq.com/) ")</f>
        <v>Chenming Xu and Jason Jones of ICEBRG, Bai Haowen, Zeng Haitao and Huang Chaowen of 360 Threat Intelligence Center of 360 Enterprise Security Group, and Yang Kang, Hu Jiang, Zhang Qing, and Jin Quan of Qihoo 360 Core Security (@360CoreSec), Tencent PC Manager (http://guanjia.qq.com/) </v>
      </c>
    </row>
    <row r="221">
      <c r="A221" t="str">
        <f>IFERROR(__xludf.DUMMYFUNCTION("""COMPUTED_VALUE"""),"CVE-2018-4990")</f>
        <v>CVE-2018-4990</v>
      </c>
      <c r="B221" t="str">
        <f>IFERROR(__xludf.DUMMYFUNCTION("""COMPUTED_VALUE"""),"Adobe")</f>
        <v>Adobe</v>
      </c>
      <c r="C221" t="str">
        <f>IFERROR(__xludf.DUMMYFUNCTION("""COMPUTED_VALUE"""),"Reader")</f>
        <v>Reader</v>
      </c>
      <c r="D221" t="str">
        <f>IFERROR(__xludf.DUMMYFUNCTION("""COMPUTED_VALUE"""),"Memory Corruption")</f>
        <v>Memory Corruption</v>
      </c>
      <c r="E221" t="str">
        <f>IFERROR(__xludf.DUMMYFUNCTION("""COMPUTED_VALUE"""),"Out-of-bounds free in JPEG2000 CMAP")</f>
        <v>Out-of-bounds free in JPEG2000 CMAP</v>
      </c>
      <c r="F221" t="str">
        <f>IFERROR(__xludf.DUMMYFUNCTION("""COMPUTED_VALUE"""),"???")</f>
        <v>???</v>
      </c>
      <c r="G221" s="9">
        <f>IFERROR(__xludf.DUMMYFUNCTION("""COMPUTED_VALUE"""),43234.0)</f>
        <v>43234</v>
      </c>
      <c r="H221" s="10" t="str">
        <f>IFERROR(__xludf.DUMMYFUNCTION("""COMPUTED_VALUE"""),"https://helpx.adobe.com/security/products/acrobat/apsb18-09.html")</f>
        <v>https://helpx.adobe.com/security/products/acrobat/apsb18-09.html</v>
      </c>
      <c r="I221" s="10" t="str">
        <f>IFERROR(__xludf.DUMMYFUNCTION("""COMPUTED_VALUE"""),"https://srcincite.io/blog/2018/05/21/adobe-me-and-a-double-free.html")</f>
        <v>https://srcincite.io/blog/2018/05/21/adobe-me-and-a-double-free.html</v>
      </c>
      <c r="J221" t="str">
        <f>IFERROR(__xludf.DUMMYFUNCTION("""COMPUTED_VALUE"""),"???")</f>
        <v>???</v>
      </c>
      <c r="K221" t="str">
        <f>IFERROR(__xludf.DUMMYFUNCTION("""COMPUTED_VALUE"""),"Anton Cherepanov of ESET &amp; Matt Oh of Microsoft, Ke Liu of Tencent's Xuanwu LAB working via Trend Micro's Zero Day Initiative")</f>
        <v>Anton Cherepanov of ESET &amp; Matt Oh of Microsoft, Ke Liu of Tencent's Xuanwu LAB working via Trend Micro's Zero Day Initiative</v>
      </c>
    </row>
    <row r="222">
      <c r="A222" t="str">
        <f>IFERROR(__xludf.DUMMYFUNCTION("""COMPUTED_VALUE"""),"CVE-2018-8120")</f>
        <v>CVE-2018-8120</v>
      </c>
      <c r="B222" t="str">
        <f>IFERROR(__xludf.DUMMYFUNCTION("""COMPUTED_VALUE"""),"Microsoft")</f>
        <v>Microsoft</v>
      </c>
      <c r="C222" t="str">
        <f>IFERROR(__xludf.DUMMYFUNCTION("""COMPUTED_VALUE"""),"Windows")</f>
        <v>Windows</v>
      </c>
      <c r="D222" t="str">
        <f>IFERROR(__xludf.DUMMYFUNCTION("""COMPUTED_VALUE"""),"Memory Corruption")</f>
        <v>Memory Corruption</v>
      </c>
      <c r="E222" t="str">
        <f>IFERROR(__xludf.DUMMYFUNCTION("""COMPUTED_VALUE"""),"NULL pointer dereference in NtUserSetImeInfoEx")</f>
        <v>NULL pointer dereference in NtUserSetImeInfoEx</v>
      </c>
      <c r="F222" t="str">
        <f>IFERROR(__xludf.DUMMYFUNCTION("""COMPUTED_VALUE"""),"???")</f>
        <v>???</v>
      </c>
      <c r="G222" s="9">
        <f>IFERROR(__xludf.DUMMYFUNCTION("""COMPUTED_VALUE"""),43228.0)</f>
        <v>43228</v>
      </c>
      <c r="H222" s="10" t="str">
        <f>IFERROR(__xludf.DUMMYFUNCTION("""COMPUTED_VALUE"""),"https://portal.msrc.microsoft.com/en-US/security-guidance/advisory/CVE-2018-8120")</f>
        <v>https://portal.msrc.microsoft.com/en-US/security-guidance/advisory/CVE-2018-8120</v>
      </c>
      <c r="I222" s="10" t="str">
        <f>IFERROR(__xludf.DUMMYFUNCTION("""COMPUTED_VALUE"""),"https://www.welivesecurity.com/2018/05/15/tale-two-zero-days/")</f>
        <v>https://www.welivesecurity.com/2018/05/15/tale-two-zero-days/</v>
      </c>
      <c r="J222" t="str">
        <f>IFERROR(__xludf.DUMMYFUNCTION("""COMPUTED_VALUE"""),"???")</f>
        <v>???</v>
      </c>
      <c r="K222" t="str">
        <f>IFERROR(__xludf.DUMMYFUNCTION("""COMPUTED_VALUE"""),"Anton Cherepanov, Senior Malware Researcher of ESET")</f>
        <v>Anton Cherepanov, Senior Malware Researcher of ESET</v>
      </c>
    </row>
    <row r="223">
      <c r="A223" t="str">
        <f>IFERROR(__xludf.DUMMYFUNCTION("""COMPUTED_VALUE"""),"CVE-2018-8174")</f>
        <v>CVE-2018-8174</v>
      </c>
      <c r="B223" t="str">
        <f>IFERROR(__xludf.DUMMYFUNCTION("""COMPUTED_VALUE"""),"Microsoft")</f>
        <v>Microsoft</v>
      </c>
      <c r="C223" t="str">
        <f>IFERROR(__xludf.DUMMYFUNCTION("""COMPUTED_VALUE"""),"VBScript")</f>
        <v>VBScript</v>
      </c>
      <c r="D223" t="str">
        <f>IFERROR(__xludf.DUMMYFUNCTION("""COMPUTED_VALUE"""),"Memory Corruption")</f>
        <v>Memory Corruption</v>
      </c>
      <c r="E223" t="str">
        <f>IFERROR(__xludf.DUMMYFUNCTION("""COMPUTED_VALUE"""),"Use-after-free in VBScriptClass::Release")</f>
        <v>Use-after-free in VBScriptClass::Release</v>
      </c>
      <c r="F223" t="str">
        <f>IFERROR(__xludf.DUMMYFUNCTION("""COMPUTED_VALUE"""),"???")</f>
        <v>???</v>
      </c>
      <c r="G223" s="9">
        <f>IFERROR(__xludf.DUMMYFUNCTION("""COMPUTED_VALUE"""),43228.0)</f>
        <v>43228</v>
      </c>
      <c r="H223" s="10" t="str">
        <f>IFERROR(__xludf.DUMMYFUNCTION("""COMPUTED_VALUE"""),"https://portal.msrc.microsoft.com/en-US/security-guidance/advisory/CVE-2018-8174")</f>
        <v>https://portal.msrc.microsoft.com/en-US/security-guidance/advisory/CVE-2018-8174</v>
      </c>
      <c r="I223" s="10" t="str">
        <f>IFERROR(__xludf.DUMMYFUNCTION("""COMPUTED_VALUE"""),"https://securelist.com/root-cause-analysis-of-cve-2018-8174/85486/")</f>
        <v>https://securelist.com/root-cause-analysis-of-cve-2018-8174/85486/</v>
      </c>
      <c r="J223" t="str">
        <f>IFERROR(__xludf.DUMMYFUNCTION("""COMPUTED_VALUE"""),"???")</f>
        <v>???</v>
      </c>
      <c r="K223" t="str">
        <f>IFERROR(__xludf.DUMMYFUNCTION("""COMPUTED_VALUE"""),"Dan Lutas of Bitdefender, Ding Maoyin of Qihoo 360 Core Security, Anton Ivanov of Kaspersky Lab, Song Shenlei of Qihoo 360 Core Security, Anonymous working with Trend Micro's Zero Day Initiative, Simon Zuckerbraun working with Trend Micro's Zero Day Initi"&amp;"ative, Yang Kang of Qihoo 360 Core Security, Jinquan of Qihoo 360 Core Security, Vladislav Stolyarov of Kaspersky Lab")</f>
        <v>Dan Lutas of Bitdefender, Ding Maoyin of Qihoo 360 Core Security, Anton Ivanov of Kaspersky Lab, Song Shenlei of Qihoo 360 Core Security, Anonymous working with Trend Micro's Zero Day Initiative, Simon Zuckerbraun working with Trend Micro's Zero Day Initiative, Yang Kang of Qihoo 360 Core Security, Jinquan of Qihoo 360 Core Security, Vladislav Stolyarov of Kaspersky Lab</v>
      </c>
    </row>
    <row r="224">
      <c r="A224" t="str">
        <f>IFERROR(__xludf.DUMMYFUNCTION("""COMPUTED_VALUE"""),"CVE-2018-4878")</f>
        <v>CVE-2018-4878</v>
      </c>
      <c r="B224" t="str">
        <f>IFERROR(__xludf.DUMMYFUNCTION("""COMPUTED_VALUE"""),"Adobe")</f>
        <v>Adobe</v>
      </c>
      <c r="C224" t="str">
        <f>IFERROR(__xludf.DUMMYFUNCTION("""COMPUTED_VALUE"""),"Flash")</f>
        <v>Flash</v>
      </c>
      <c r="D224" t="str">
        <f>IFERROR(__xludf.DUMMYFUNCTION("""COMPUTED_VALUE"""),"Memory Corruption")</f>
        <v>Memory Corruption</v>
      </c>
      <c r="E224" t="str">
        <f>IFERROR(__xludf.DUMMYFUNCTION("""COMPUTED_VALUE"""),"Use-after-free in MediaPlayer DRM Listener")</f>
        <v>Use-after-free in MediaPlayer DRM Listener</v>
      </c>
      <c r="F224" t="str">
        <f>IFERROR(__xludf.DUMMYFUNCTION("""COMPUTED_VALUE"""),"???")</f>
        <v>???</v>
      </c>
      <c r="G224" s="9">
        <f>IFERROR(__xludf.DUMMYFUNCTION("""COMPUTED_VALUE"""),43137.0)</f>
        <v>43137</v>
      </c>
      <c r="H224" s="10" t="str">
        <f>IFERROR(__xludf.DUMMYFUNCTION("""COMPUTED_VALUE"""),"https://helpx.adobe.com/security/products/flash-player/apsb18-03.html")</f>
        <v>https://helpx.adobe.com/security/products/flash-player/apsb18-03.html</v>
      </c>
      <c r="I224" s="10" t="str">
        <f>IFERROR(__xludf.DUMMYFUNCTION("""COMPUTED_VALUE"""),"http://blog.morphisec.com/cve-2018-4878-an-analysis-of-the-flash-player-hack")</f>
        <v>http://blog.morphisec.com/cve-2018-4878-an-analysis-of-the-flash-player-hack</v>
      </c>
      <c r="J224" t="str">
        <f>IFERROR(__xludf.DUMMYFUNCTION("""COMPUTED_VALUE"""),"???")</f>
        <v>???</v>
      </c>
      <c r="K224" t="str">
        <f>IFERROR(__xludf.DUMMYFUNCTION("""COMPUTED_VALUE"""),"KrCERT/CC")</f>
        <v>KrCERT/CC</v>
      </c>
    </row>
    <row r="225">
      <c r="A225" t="str">
        <f>IFERROR(__xludf.DUMMYFUNCTION("""COMPUTED_VALUE"""),"CVE-2018-0802")</f>
        <v>CVE-2018-0802</v>
      </c>
      <c r="B225" t="str">
        <f>IFERROR(__xludf.DUMMYFUNCTION("""COMPUTED_VALUE"""),"Microsoft")</f>
        <v>Microsoft</v>
      </c>
      <c r="C225" t="str">
        <f>IFERROR(__xludf.DUMMYFUNCTION("""COMPUTED_VALUE"""),"Office")</f>
        <v>Office</v>
      </c>
      <c r="D225" t="str">
        <f>IFERROR(__xludf.DUMMYFUNCTION("""COMPUTED_VALUE"""),"Memory Corruption")</f>
        <v>Memory Corruption</v>
      </c>
      <c r="E225" t="str">
        <f>IFERROR(__xludf.DUMMYFUNCTION("""COMPUTED_VALUE"""),"Buffer overflow in equation editor lfFaceName")</f>
        <v>Buffer overflow in equation editor lfFaceName</v>
      </c>
      <c r="F225" t="str">
        <f>IFERROR(__xludf.DUMMYFUNCTION("""COMPUTED_VALUE"""),"???")</f>
        <v>???</v>
      </c>
      <c r="G225" s="9">
        <f>IFERROR(__xludf.DUMMYFUNCTION("""COMPUTED_VALUE"""),43109.0)</f>
        <v>43109</v>
      </c>
      <c r="H225" s="10" t="str">
        <f>IFERROR(__xludf.DUMMYFUNCTION("""COMPUTED_VALUE"""),"https://portal.msrc.microsoft.com/en-US/security-guidance/advisory/CVE-2018-0802")</f>
        <v>https://portal.msrc.microsoft.com/en-US/security-guidance/advisory/CVE-2018-0802</v>
      </c>
      <c r="I225" s="10" t="str">
        <f>IFERROR(__xludf.DUMMYFUNCTION("""COMPUTED_VALUE"""),"https://www.freebuf.com/vuls/159789.html")</f>
        <v>https://www.freebuf.com/vuls/159789.html</v>
      </c>
      <c r="J225" t="str">
        <f>IFERROR(__xludf.DUMMYFUNCTION("""COMPUTED_VALUE"""),"???")</f>
        <v>???</v>
      </c>
      <c r="K225" t="str">
        <f>IFERROR(__xludf.DUMMYFUNCTION("""COMPUTED_VALUE"""),"Liang Yin of Tencent PC Manager, Zhiyuan Zheng, Yuki Chen of Qihoo 360 Vulcan Team, Yang Kang, Ding Maoyin and Song Shenlei, and Jinquan of Qihoo 360 Core Security (@360CoreSec), Luka Treiber of 0patch Team - ACROS Security, zhouat of Qihoo 360 Vulcan Tea"&amp;"m, bee13oy of Qihoo 360 Vulcan Team, Netanel Ben Simon and Omer Gull of Check Point Software Technologies")</f>
        <v>Liang Yin of Tencent PC Manager, Zhiyuan Zheng, Yuki Chen of Qihoo 360 Vulcan Team, Yang Kang, Ding Maoyin and Song Shenlei, and Jinquan of Qihoo 360 Core Security (@360CoreSec), Luka Treiber of 0patch Team - ACROS Security, zhouat of Qihoo 360 Vulcan Team, bee13oy of Qihoo 360 Vulcan Team, Netanel Ben Simon and Omer Gull of Check Point Software Technologies</v>
      </c>
    </row>
    <row r="226">
      <c r="A226" t="str">
        <f>IFERROR(__xludf.DUMMYFUNCTION("""COMPUTED_VALUE"""),"CVE-2017-11292")</f>
        <v>CVE-2017-11292</v>
      </c>
      <c r="B226" t="str">
        <f>IFERROR(__xludf.DUMMYFUNCTION("""COMPUTED_VALUE"""),"Adobe")</f>
        <v>Adobe</v>
      </c>
      <c r="C226" t="str">
        <f>IFERROR(__xludf.DUMMYFUNCTION("""COMPUTED_VALUE"""),"Flash")</f>
        <v>Flash</v>
      </c>
      <c r="D226" t="str">
        <f>IFERROR(__xludf.DUMMYFUNCTION("""COMPUTED_VALUE"""),"Memory Corruption")</f>
        <v>Memory Corruption</v>
      </c>
      <c r="E226" t="str">
        <f>IFERROR(__xludf.DUMMYFUNCTION("""COMPUTED_VALUE"""),"Type confusion in TVSDK BufferControlParameters")</f>
        <v>Type confusion in TVSDK BufferControlParameters</v>
      </c>
      <c r="F226" t="str">
        <f>IFERROR(__xludf.DUMMYFUNCTION("""COMPUTED_VALUE"""),"2017-10-10")</f>
        <v>2017-10-10</v>
      </c>
      <c r="G226" s="9">
        <f>IFERROR(__xludf.DUMMYFUNCTION("""COMPUTED_VALUE"""),43024.0)</f>
        <v>43024</v>
      </c>
      <c r="H226" s="10" t="str">
        <f>IFERROR(__xludf.DUMMYFUNCTION("""COMPUTED_VALUE"""),"https://helpx.adobe.com/security/products/flash-player/apsb17-32.html")</f>
        <v>https://helpx.adobe.com/security/products/flash-player/apsb17-32.html</v>
      </c>
      <c r="I226" s="10" t="str">
        <f>IFERROR(__xludf.DUMMYFUNCTION("""COMPUTED_VALUE"""),"https://securelist.com/blackoasis-apt-and-new-targeted-attacks-leveraging-zero-day-exploit/82732/")</f>
        <v>https://securelist.com/blackoasis-apt-and-new-targeted-attacks-leveraging-zero-day-exploit/82732/</v>
      </c>
      <c r="J226" t="str">
        <f>IFERROR(__xludf.DUMMYFUNCTION("""COMPUTED_VALUE"""),"???")</f>
        <v>???</v>
      </c>
      <c r="K226" t="str">
        <f>IFERROR(__xludf.DUMMYFUNCTION("""COMPUTED_VALUE"""),"Anton Ivanov of Kaspersky Labs")</f>
        <v>Anton Ivanov of Kaspersky Labs</v>
      </c>
    </row>
    <row r="227">
      <c r="A227" t="str">
        <f>IFERROR(__xludf.DUMMYFUNCTION("""COMPUTED_VALUE"""),"CVE-2017-11826")</f>
        <v>CVE-2017-11826</v>
      </c>
      <c r="B227" t="str">
        <f>IFERROR(__xludf.DUMMYFUNCTION("""COMPUTED_VALUE"""),"Microsoft")</f>
        <v>Microsoft</v>
      </c>
      <c r="C227" t="str">
        <f>IFERROR(__xludf.DUMMYFUNCTION("""COMPUTED_VALUE"""),"Office")</f>
        <v>Office</v>
      </c>
      <c r="D227" t="str">
        <f>IFERROR(__xludf.DUMMYFUNCTION("""COMPUTED_VALUE"""),"Memory Corruption")</f>
        <v>Memory Corruption</v>
      </c>
      <c r="E227" t="str">
        <f>IFERROR(__xludf.DUMMYFUNCTION("""COMPUTED_VALUE"""),"Memory corruption in Open XML format nested tags")</f>
        <v>Memory corruption in Open XML format nested tags</v>
      </c>
      <c r="F227" t="str">
        <f>IFERROR(__xludf.DUMMYFUNCTION("""COMPUTED_VALUE"""),"2017-09-28")</f>
        <v>2017-09-28</v>
      </c>
      <c r="G227" s="9">
        <f>IFERROR(__xludf.DUMMYFUNCTION("""COMPUTED_VALUE"""),43018.0)</f>
        <v>43018</v>
      </c>
      <c r="H227" s="10" t="str">
        <f>IFERROR(__xludf.DUMMYFUNCTION("""COMPUTED_VALUE"""),"https://portal.msrc.microsoft.com/en-US/security-guidance/advisory/CVE-2017-11826")</f>
        <v>https://portal.msrc.microsoft.com/en-US/security-guidance/advisory/CVE-2017-11826</v>
      </c>
      <c r="I227" s="10" t="str">
        <f>IFERROR(__xludf.DUMMYFUNCTION("""COMPUTED_VALUE"""),"https://securingtomorrow.mcafee.com/other-blogs/mcafee-labs/analyzing-microsoft-office-zero-day-exploit-cve-2017-11826-memory-corruption-vulnerability/")</f>
        <v>https://securingtomorrow.mcafee.com/other-blogs/mcafee-labs/analyzing-microsoft-office-zero-day-exploit-cve-2017-11826-memory-corruption-vulnerability/</v>
      </c>
      <c r="J227" t="str">
        <f>IFERROR(__xludf.DUMMYFUNCTION("""COMPUTED_VALUE"""),"???")</f>
        <v>???</v>
      </c>
      <c r="K227" t="str">
        <f>IFERROR(__xludf.DUMMYFUNCTION("""COMPUTED_VALUE"""),"Yang Kang, Ding Maoyin and Song Shenlei of Qihoo 360 Core Security (@360CoreSec)")</f>
        <v>Yang Kang, Ding Maoyin and Song Shenlei of Qihoo 360 Core Security (@360CoreSec)</v>
      </c>
    </row>
    <row r="228">
      <c r="A228" t="str">
        <f>IFERROR(__xludf.DUMMYFUNCTION("""COMPUTED_VALUE"""),"CVE-2017-8759")</f>
        <v>CVE-2017-8759</v>
      </c>
      <c r="B228" t="str">
        <f>IFERROR(__xludf.DUMMYFUNCTION("""COMPUTED_VALUE"""),"Microsoft")</f>
        <v>Microsoft</v>
      </c>
      <c r="C228" t="str">
        <f>IFERROR(__xludf.DUMMYFUNCTION("""COMPUTED_VALUE"""),"Office")</f>
        <v>Office</v>
      </c>
      <c r="D228" t="str">
        <f>IFERROR(__xludf.DUMMYFUNCTION("""COMPUTED_VALUE"""),"Logic/Design Flaw")</f>
        <v>Logic/Design Flaw</v>
      </c>
      <c r="E228" t="str">
        <f>IFERROR(__xludf.DUMMYFUNCTION("""COMPUTED_VALUE"""),"Code injection in SOAP WSDL parser")</f>
        <v>Code injection in SOAP WSDL parser</v>
      </c>
      <c r="F228" t="str">
        <f>IFERROR(__xludf.DUMMYFUNCTION("""COMPUTED_VALUE"""),"???")</f>
        <v>???</v>
      </c>
      <c r="G228" s="9">
        <f>IFERROR(__xludf.DUMMYFUNCTION("""COMPUTED_VALUE"""),42990.0)</f>
        <v>42990</v>
      </c>
      <c r="H228" s="10" t="str">
        <f>IFERROR(__xludf.DUMMYFUNCTION("""COMPUTED_VALUE"""),"https://portal.msrc.microsoft.com/en-US/security-guidance/advisory/CVE-2017-8759")</f>
        <v>https://portal.msrc.microsoft.com/en-US/security-guidance/advisory/CVE-2017-8759</v>
      </c>
      <c r="I228" s="10" t="str">
        <f>IFERROR(__xludf.DUMMYFUNCTION("""COMPUTED_VALUE"""),"https://www.fireeye.com/blog/threat-research/2017/09/zero-day-used-to-distribute-finspy.html")</f>
        <v>https://www.fireeye.com/blog/threat-research/2017/09/zero-day-used-to-distribute-finspy.html</v>
      </c>
      <c r="J228" t="str">
        <f>IFERROR(__xludf.DUMMYFUNCTION("""COMPUTED_VALUE"""),"???")</f>
        <v>???</v>
      </c>
      <c r="K228" t="str">
        <f>IFERROR(__xludf.DUMMYFUNCTION("""COMPUTED_VALUE"""),"Genwei Jiang and Dhanesh Kizhakkinan of FireEye, Inc.")</f>
        <v>Genwei Jiang and Dhanesh Kizhakkinan of FireEye, Inc.</v>
      </c>
    </row>
    <row r="229">
      <c r="A229" t="str">
        <f>IFERROR(__xludf.DUMMYFUNCTION("""COMPUTED_VALUE"""),"CVE-2017-8464")</f>
        <v>CVE-2017-8464</v>
      </c>
      <c r="B229" t="str">
        <f>IFERROR(__xludf.DUMMYFUNCTION("""COMPUTED_VALUE"""),"Microsoft")</f>
        <v>Microsoft</v>
      </c>
      <c r="C229" t="str">
        <f>IFERROR(__xludf.DUMMYFUNCTION("""COMPUTED_VALUE"""),"Windows")</f>
        <v>Windows</v>
      </c>
      <c r="D229" t="str">
        <f>IFERROR(__xludf.DUMMYFUNCTION("""COMPUTED_VALUE"""),"Logic/Design Flaw")</f>
        <v>Logic/Design Flaw</v>
      </c>
      <c r="E229" t="str">
        <f>IFERROR(__xludf.DUMMYFUNCTION("""COMPUTED_VALUE"""),"Code injection in LNK file ExtraData parsing")</f>
        <v>Code injection in LNK file ExtraData parsing</v>
      </c>
      <c r="F229" t="str">
        <f>IFERROR(__xludf.DUMMYFUNCTION("""COMPUTED_VALUE"""),"???")</f>
        <v>???</v>
      </c>
      <c r="G229" s="9">
        <f>IFERROR(__xludf.DUMMYFUNCTION("""COMPUTED_VALUE"""),42899.0)</f>
        <v>42899</v>
      </c>
      <c r="H229" s="10" t="str">
        <f>IFERROR(__xludf.DUMMYFUNCTION("""COMPUTED_VALUE"""),"https://portal.msrc.microsoft.com/en-US/security-guidance/advisory/CVE-2017-8464")</f>
        <v>https://portal.msrc.microsoft.com/en-US/security-guidance/advisory/CVE-2017-8464</v>
      </c>
      <c r="I229" s="10" t="str">
        <f>IFERROR(__xludf.DUMMYFUNCTION("""COMPUTED_VALUE"""),"http://www.vxjump.net/files/vuln_analysis/cve-2017-8464.txt")</f>
        <v>http://www.vxjump.net/files/vuln_analysis/cve-2017-8464.txt</v>
      </c>
      <c r="J229" t="str">
        <f>IFERROR(__xludf.DUMMYFUNCTION("""COMPUTED_VALUE"""),"???")</f>
        <v>???</v>
      </c>
      <c r="K229" t="str">
        <f>IFERROR(__xludf.DUMMYFUNCTION("""COMPUTED_VALUE"""),"???")</f>
        <v>???</v>
      </c>
    </row>
    <row r="230">
      <c r="A230" t="str">
        <f>IFERROR(__xludf.DUMMYFUNCTION("""COMPUTED_VALUE"""),"CVE-2017-8543")</f>
        <v>CVE-2017-8543</v>
      </c>
      <c r="B230" t="str">
        <f>IFERROR(__xludf.DUMMYFUNCTION("""COMPUTED_VALUE"""),"Microsoft")</f>
        <v>Microsoft</v>
      </c>
      <c r="C230" t="str">
        <f>IFERROR(__xludf.DUMMYFUNCTION("""COMPUTED_VALUE"""),"Windows")</f>
        <v>Windows</v>
      </c>
      <c r="D230" t="str">
        <f>IFERROR(__xludf.DUMMYFUNCTION("""COMPUTED_VALUE"""),"Memory Corruption")</f>
        <v>Memory Corruption</v>
      </c>
      <c r="E230" t="str">
        <f>IFERROR(__xludf.DUMMYFUNCTION("""COMPUTED_VALUE"""),"Buffer overflow in Windows Search CTableVariant")</f>
        <v>Buffer overflow in Windows Search CTableVariant</v>
      </c>
      <c r="F230" t="str">
        <f>IFERROR(__xludf.DUMMYFUNCTION("""COMPUTED_VALUE"""),"???")</f>
        <v>???</v>
      </c>
      <c r="G230" s="9">
        <f>IFERROR(__xludf.DUMMYFUNCTION("""COMPUTED_VALUE"""),42899.0)</f>
        <v>42899</v>
      </c>
      <c r="H230" s="10" t="str">
        <f>IFERROR(__xludf.DUMMYFUNCTION("""COMPUTED_VALUE"""),"https://portal.msrc.microsoft.com/en-US/security-guidance/advisory/CVE-2017-8543")</f>
        <v>https://portal.msrc.microsoft.com/en-US/security-guidance/advisory/CVE-2017-8543</v>
      </c>
      <c r="I230" s="10" t="str">
        <f>IFERROR(__xludf.DUMMYFUNCTION("""COMPUTED_VALUE"""),"https://mp.weixin.qq.com/s/X2JcKCpCH4exDoxMK5oN5Q?")</f>
        <v>https://mp.weixin.qq.com/s/X2JcKCpCH4exDoxMK5oN5Q?</v>
      </c>
      <c r="J230" t="str">
        <f>IFERROR(__xludf.DUMMYFUNCTION("""COMPUTED_VALUE"""),"???")</f>
        <v>???</v>
      </c>
      <c r="K230" t="str">
        <f>IFERROR(__xludf.DUMMYFUNCTION("""COMPUTED_VALUE"""),"???")</f>
        <v>???</v>
      </c>
    </row>
    <row r="231">
      <c r="A231" t="str">
        <f>IFERROR(__xludf.DUMMYFUNCTION("""COMPUTED_VALUE"""),"CVE-2017-0261")</f>
        <v>CVE-2017-0261</v>
      </c>
      <c r="B231" t="str">
        <f>IFERROR(__xludf.DUMMYFUNCTION("""COMPUTED_VALUE"""),"Microsoft")</f>
        <v>Microsoft</v>
      </c>
      <c r="C231" t="str">
        <f>IFERROR(__xludf.DUMMYFUNCTION("""COMPUTED_VALUE"""),"Office")</f>
        <v>Office</v>
      </c>
      <c r="D231" t="str">
        <f>IFERROR(__xludf.DUMMYFUNCTION("""COMPUTED_VALUE"""),"Memory Corruption")</f>
        <v>Memory Corruption</v>
      </c>
      <c r="E231" t="str">
        <f>IFERROR(__xludf.DUMMYFUNCTION("""COMPUTED_VALUE"""),"Use-after free in EPS restore operator")</f>
        <v>Use-after free in EPS restore operator</v>
      </c>
      <c r="F231" t="str">
        <f>IFERROR(__xludf.DUMMYFUNCTION("""COMPUTED_VALUE"""),"???")</f>
        <v>???</v>
      </c>
      <c r="G231" s="9">
        <f>IFERROR(__xludf.DUMMYFUNCTION("""COMPUTED_VALUE"""),42864.0)</f>
        <v>42864</v>
      </c>
      <c r="H231" s="10" t="str">
        <f>IFERROR(__xludf.DUMMYFUNCTION("""COMPUTED_VALUE"""),"https://portal.msrc.microsoft.com/en-US/security-guidance/advisory/CVE-2017-0261")</f>
        <v>https://portal.msrc.microsoft.com/en-US/security-guidance/advisory/CVE-2017-0261</v>
      </c>
      <c r="I231" s="10" t="str">
        <f>IFERROR(__xludf.DUMMYFUNCTION("""COMPUTED_VALUE"""),"https://www.fireeye.com/blog/threat-research/2017/05/eps-processing-zero-days.html")</f>
        <v>https://www.fireeye.com/blog/threat-research/2017/05/eps-processing-zero-days.html</v>
      </c>
      <c r="J231" t="str">
        <f>IFERROR(__xludf.DUMMYFUNCTION("""COMPUTED_VALUE"""),"???")</f>
        <v>???</v>
      </c>
      <c r="K231" t="str">
        <f>IFERROR(__xludf.DUMMYFUNCTION("""COMPUTED_VALUE"""),"Genwei Jiang of FireEye, Inc., Steven Hunter of MSRC Vulnerabilities &amp; Mitigations")</f>
        <v>Genwei Jiang of FireEye, Inc., Steven Hunter of MSRC Vulnerabilities &amp; Mitigations</v>
      </c>
    </row>
    <row r="232">
      <c r="A232" t="str">
        <f>IFERROR(__xludf.DUMMYFUNCTION("""COMPUTED_VALUE"""),"CVE-2017-0262")</f>
        <v>CVE-2017-0262</v>
      </c>
      <c r="B232" t="str">
        <f>IFERROR(__xludf.DUMMYFUNCTION("""COMPUTED_VALUE"""),"Microsoft")</f>
        <v>Microsoft</v>
      </c>
      <c r="C232" t="str">
        <f>IFERROR(__xludf.DUMMYFUNCTION("""COMPUTED_VALUE"""),"Office")</f>
        <v>Office</v>
      </c>
      <c r="D232" t="str">
        <f>IFERROR(__xludf.DUMMYFUNCTION("""COMPUTED_VALUE"""),"Memory Corruption")</f>
        <v>Memory Corruption</v>
      </c>
      <c r="E232" t="str">
        <f>IFERROR(__xludf.DUMMYFUNCTION("""COMPUTED_VALUE"""),"Type Confusion in EPS forall operator")</f>
        <v>Type Confusion in EPS forall operator</v>
      </c>
      <c r="F232" t="str">
        <f>IFERROR(__xludf.DUMMYFUNCTION("""COMPUTED_VALUE"""),"???")</f>
        <v>???</v>
      </c>
      <c r="G232" s="9">
        <f>IFERROR(__xludf.DUMMYFUNCTION("""COMPUTED_VALUE"""),42864.0)</f>
        <v>42864</v>
      </c>
      <c r="H232" s="10" t="str">
        <f>IFERROR(__xludf.DUMMYFUNCTION("""COMPUTED_VALUE"""),"https://portal.msrc.microsoft.com/en-US/security-guidance/advisory/CVE-2017-0262")</f>
        <v>https://portal.msrc.microsoft.com/en-US/security-guidance/advisory/CVE-2017-0262</v>
      </c>
      <c r="I232" s="10" t="str">
        <f>IFERROR(__xludf.DUMMYFUNCTION("""COMPUTED_VALUE"""),"https://www.fireeye.com/blog/threat-research/2017/05/eps-processing-zero-days.html")</f>
        <v>https://www.fireeye.com/blog/threat-research/2017/05/eps-processing-zero-days.html</v>
      </c>
      <c r="J232" t="str">
        <f>IFERROR(__xludf.DUMMYFUNCTION("""COMPUTED_VALUE"""),"???")</f>
        <v>???</v>
      </c>
      <c r="K232" t="str">
        <f>IFERROR(__xludf.DUMMYFUNCTION("""COMPUTED_VALUE"""),"Thomas Dupuy and Jessy Campos of ESET, Genwei Jiang of FireEye, Inc.")</f>
        <v>Thomas Dupuy and Jessy Campos of ESET, Genwei Jiang of FireEye, Inc.</v>
      </c>
    </row>
    <row r="233">
      <c r="A233" t="str">
        <f>IFERROR(__xludf.DUMMYFUNCTION("""COMPUTED_VALUE"""),"CVE-2017-0263")</f>
        <v>CVE-2017-0263</v>
      </c>
      <c r="B233" t="str">
        <f>IFERROR(__xludf.DUMMYFUNCTION("""COMPUTED_VALUE"""),"Microsoft")</f>
        <v>Microsoft</v>
      </c>
      <c r="C233" t="str">
        <f>IFERROR(__xludf.DUMMYFUNCTION("""COMPUTED_VALUE"""),"Windows")</f>
        <v>Windows</v>
      </c>
      <c r="D233" t="str">
        <f>IFERROR(__xludf.DUMMYFUNCTION("""COMPUTED_VALUE"""),"Memory Corruption")</f>
        <v>Memory Corruption</v>
      </c>
      <c r="E233" t="str">
        <f>IFERROR(__xludf.DUMMYFUNCTION("""COMPUTED_VALUE"""),"Use-after-free in win32k!xxxDestroyWindow")</f>
        <v>Use-after-free in win32k!xxxDestroyWindow</v>
      </c>
      <c r="F233" t="str">
        <f>IFERROR(__xludf.DUMMYFUNCTION("""COMPUTED_VALUE"""),"???")</f>
        <v>???</v>
      </c>
      <c r="G233" s="9">
        <f>IFERROR(__xludf.DUMMYFUNCTION("""COMPUTED_VALUE"""),42864.0)</f>
        <v>42864</v>
      </c>
      <c r="H233" s="10" t="str">
        <f>IFERROR(__xludf.DUMMYFUNCTION("""COMPUTED_VALUE"""),"https://portal.msrc.microsoft.com/en-US/security-guidance/advisory/CVE-2017-0263")</f>
        <v>https://portal.msrc.microsoft.com/en-US/security-guidance/advisory/CVE-2017-0263</v>
      </c>
      <c r="I233" s="10" t="str">
        <f>IFERROR(__xludf.DUMMYFUNCTION("""COMPUTED_VALUE"""),"https://www.fireeye.com/blog/threat-research/2017/05/eps-processing-zero-days.html")</f>
        <v>https://www.fireeye.com/blog/threat-research/2017/05/eps-processing-zero-days.html</v>
      </c>
      <c r="J233" t="str">
        <f>IFERROR(__xludf.DUMMYFUNCTION("""COMPUTED_VALUE"""),"???")</f>
        <v>???</v>
      </c>
      <c r="K233" t="str">
        <f>IFERROR(__xludf.DUMMYFUNCTION("""COMPUTED_VALUE"""),"Mikhail Tsvetkov of Positive Technologies, Dhanesh Kizhakkinan of FireEye Inc, Thomas Dupuy and Jessy Campos of ESET")</f>
        <v>Mikhail Tsvetkov of Positive Technologies, Dhanesh Kizhakkinan of FireEye Inc, Thomas Dupuy and Jessy Campos of ESET</v>
      </c>
    </row>
    <row r="234">
      <c r="A234" t="str">
        <f>IFERROR(__xludf.DUMMYFUNCTION("""COMPUTED_VALUE"""),"CVE-2017-0222")</f>
        <v>CVE-2017-0222</v>
      </c>
      <c r="B234" t="str">
        <f>IFERROR(__xludf.DUMMYFUNCTION("""COMPUTED_VALUE"""),"Microsoft")</f>
        <v>Microsoft</v>
      </c>
      <c r="C234" t="str">
        <f>IFERROR(__xludf.DUMMYFUNCTION("""COMPUTED_VALUE"""),"Internet Explorer")</f>
        <v>Internet Explorer</v>
      </c>
      <c r="D234" t="str">
        <f>IFERROR(__xludf.DUMMYFUNCTION("""COMPUTED_VALUE"""),"Memory Corruption")</f>
        <v>Memory Corruption</v>
      </c>
      <c r="E234" t="str">
        <f>IFERROR(__xludf.DUMMYFUNCTION("""COMPUTED_VALUE"""),"Unspecified memory corruption in Internet Explorer")</f>
        <v>Unspecified memory corruption in Internet Explorer</v>
      </c>
      <c r="F234" t="str">
        <f>IFERROR(__xludf.DUMMYFUNCTION("""COMPUTED_VALUE"""),"???")</f>
        <v>???</v>
      </c>
      <c r="G234" s="9">
        <f>IFERROR(__xludf.DUMMYFUNCTION("""COMPUTED_VALUE"""),42864.0)</f>
        <v>42864</v>
      </c>
      <c r="H234" s="10" t="str">
        <f>IFERROR(__xludf.DUMMYFUNCTION("""COMPUTED_VALUE"""),"https://portal.msrc.microsoft.com/en-US/security-guidance/advisory/CVE-2017-0222")</f>
        <v>https://portal.msrc.microsoft.com/en-US/security-guidance/advisory/CVE-2017-0222</v>
      </c>
      <c r="I234" t="str">
        <f>IFERROR(__xludf.DUMMYFUNCTION("""COMPUTED_VALUE"""),"???")</f>
        <v>???</v>
      </c>
      <c r="J234" t="str">
        <f>IFERROR(__xludf.DUMMYFUNCTION("""COMPUTED_VALUE"""),"???")</f>
        <v>???</v>
      </c>
      <c r="K234" t="str">
        <f>IFERROR(__xludf.DUMMYFUNCTION("""COMPUTED_VALUE"""),"???")</f>
        <v>???</v>
      </c>
    </row>
    <row r="235">
      <c r="A235" t="str">
        <f>IFERROR(__xludf.DUMMYFUNCTION("""COMPUTED_VALUE"""),"CVE-2017-8291")</f>
        <v>CVE-2017-8291</v>
      </c>
      <c r="B235" t="str">
        <f>IFERROR(__xludf.DUMMYFUNCTION("""COMPUTED_VALUE"""),"Ghostscript")</f>
        <v>Ghostscript</v>
      </c>
      <c r="C235" t="str">
        <f>IFERROR(__xludf.DUMMYFUNCTION("""COMPUTED_VALUE"""),"Ghostscript")</f>
        <v>Ghostscript</v>
      </c>
      <c r="D235" t="str">
        <f>IFERROR(__xludf.DUMMYFUNCTION("""COMPUTED_VALUE"""),"Memory Corruption")</f>
        <v>Memory Corruption</v>
      </c>
      <c r="E235" t="str">
        <f>IFERROR(__xludf.DUMMYFUNCTION("""COMPUTED_VALUE"""),"Type confusion in rsdparams internal operator")</f>
        <v>Type confusion in rsdparams internal operator</v>
      </c>
      <c r="F235" t="str">
        <f>IFERROR(__xludf.DUMMYFUNCTION("""COMPUTED_VALUE"""),"???")</f>
        <v>???</v>
      </c>
      <c r="G235" s="9">
        <f>IFERROR(__xludf.DUMMYFUNCTION("""COMPUTED_VALUE"""),42852.0)</f>
        <v>42852</v>
      </c>
      <c r="H235" s="10" t="str">
        <f>IFERROR(__xludf.DUMMYFUNCTION("""COMPUTED_VALUE"""),"https://bugs.ghostscript.com/show_bug.cgi?id=697799")</f>
        <v>https://bugs.ghostscript.com/show_bug.cgi?id=697799</v>
      </c>
      <c r="I235" s="10" t="str">
        <f>IFERROR(__xludf.DUMMYFUNCTION("""COMPUTED_VALUE"""),"https://git.ghostscript.com/?p=ghostpdl.git;a=commitdiff;h=04b37bbce1")</f>
        <v>https://git.ghostscript.com/?p=ghostpdl.git;a=commitdiff;h=04b37bbce1</v>
      </c>
      <c r="J235" t="str">
        <f>IFERROR(__xludf.DUMMYFUNCTION("""COMPUTED_VALUE"""),"???")</f>
        <v>???</v>
      </c>
      <c r="K235" t="str">
        <f>IFERROR(__xludf.DUMMYFUNCTION("""COMPUTED_VALUE"""),"???")</f>
        <v>???</v>
      </c>
    </row>
    <row r="236">
      <c r="A236" t="str">
        <f>IFERROR(__xludf.DUMMYFUNCTION("""COMPUTED_VALUE"""),"CVE-2017-0210")</f>
        <v>CVE-2017-0210</v>
      </c>
      <c r="B236" t="str">
        <f>IFERROR(__xludf.DUMMYFUNCTION("""COMPUTED_VALUE"""),"Microsoft")</f>
        <v>Microsoft</v>
      </c>
      <c r="C236" t="str">
        <f>IFERROR(__xludf.DUMMYFUNCTION("""COMPUTED_VALUE"""),"Internet Explorer")</f>
        <v>Internet Explorer</v>
      </c>
      <c r="D236" t="str">
        <f>IFERROR(__xludf.DUMMYFUNCTION("""COMPUTED_VALUE"""),"UXSS")</f>
        <v>UXSS</v>
      </c>
      <c r="E236" t="str">
        <f>IFERROR(__xludf.DUMMYFUNCTION("""COMPUTED_VALUE"""),"UXSS in htmlFile ActiveX control")</f>
        <v>UXSS in htmlFile ActiveX control</v>
      </c>
      <c r="F236" t="str">
        <f>IFERROR(__xludf.DUMMYFUNCTION("""COMPUTED_VALUE"""),"???")</f>
        <v>???</v>
      </c>
      <c r="G236" s="9">
        <f>IFERROR(__xludf.DUMMYFUNCTION("""COMPUTED_VALUE"""),42836.0)</f>
        <v>42836</v>
      </c>
      <c r="H236" s="10" t="str">
        <f>IFERROR(__xludf.DUMMYFUNCTION("""COMPUTED_VALUE"""),"https://portal.msrc.microsoft.com/en-US/security-guidance/advisory/CVE-2017-0210")</f>
        <v>https://portal.msrc.microsoft.com/en-US/security-guidance/advisory/CVE-2017-0210</v>
      </c>
      <c r="I236" s="10" t="str">
        <f>IFERROR(__xludf.DUMMYFUNCTION("""COMPUTED_VALUE"""),"https://blog.talosintelligence.com/2017/04/ms-tuesday.html")</f>
        <v>https://blog.talosintelligence.com/2017/04/ms-tuesday.html</v>
      </c>
      <c r="J236" t="str">
        <f>IFERROR(__xludf.DUMMYFUNCTION("""COMPUTED_VALUE"""),"???")</f>
        <v>???</v>
      </c>
      <c r="K236" t="str">
        <f>IFERROR(__xludf.DUMMYFUNCTION("""COMPUTED_VALUE"""),"???")</f>
        <v>???</v>
      </c>
    </row>
    <row r="237">
      <c r="A237" t="str">
        <f>IFERROR(__xludf.DUMMYFUNCTION("""COMPUTED_VALUE"""),"CVE-2017-0199")</f>
        <v>CVE-2017-0199</v>
      </c>
      <c r="B237" t="str">
        <f>IFERROR(__xludf.DUMMYFUNCTION("""COMPUTED_VALUE"""),"Microsoft")</f>
        <v>Microsoft</v>
      </c>
      <c r="C237" t="str">
        <f>IFERROR(__xludf.DUMMYFUNCTION("""COMPUTED_VALUE"""),"Office")</f>
        <v>Office</v>
      </c>
      <c r="D237" t="str">
        <f>IFERROR(__xludf.DUMMYFUNCTION("""COMPUTED_VALUE"""),"Logic/Design Flaw")</f>
        <v>Logic/Design Flaw</v>
      </c>
      <c r="E237" t="str">
        <f>IFERROR(__xludf.DUMMYFUNCTION("""COMPUTED_VALUE"""),"Logic/design flaw in embedded HTA documents")</f>
        <v>Logic/design flaw in embedded HTA documents</v>
      </c>
      <c r="F237" t="str">
        <f>IFERROR(__xludf.DUMMYFUNCTION("""COMPUTED_VALUE"""),"???")</f>
        <v>???</v>
      </c>
      <c r="G237" s="9">
        <f>IFERROR(__xludf.DUMMYFUNCTION("""COMPUTED_VALUE"""),42836.0)</f>
        <v>42836</v>
      </c>
      <c r="H237" s="10" t="str">
        <f>IFERROR(__xludf.DUMMYFUNCTION("""COMPUTED_VALUE"""),"https://portal.msrc.microsoft.com/en-US/security-guidance/advisory/CVE-2017-0199")</f>
        <v>https://portal.msrc.microsoft.com/en-US/security-guidance/advisory/CVE-2017-0199</v>
      </c>
      <c r="I237" s="10" t="str">
        <f>IFERROR(__xludf.DUMMYFUNCTION("""COMPUTED_VALUE"""),"https://www.fireeye.com/blog/threat-research/2017/04/cve-2017-0199-hta-handler.html")</f>
        <v>https://www.fireeye.com/blog/threat-research/2017/04/cve-2017-0199-hta-handler.html</v>
      </c>
      <c r="J237" t="str">
        <f>IFERROR(__xludf.DUMMYFUNCTION("""COMPUTED_VALUE"""),"???")</f>
        <v>???</v>
      </c>
      <c r="K237" t="str">
        <f>IFERROR(__xludf.DUMMYFUNCTION("""COMPUTED_VALUE"""),"Ryan Hanson (@Ryhanson) of Optiv, Microsoft MSRC Vulnerabilities and Mitigations Team, Microsoft Office Security Team, Genwei Jiang, FLARE Team, FireEye Inc, Eduardo Braun Prado of SecuriTeam Secure Disclosure (SSD)")</f>
        <v>Ryan Hanson (@Ryhanson) of Optiv, Microsoft MSRC Vulnerabilities and Mitigations Team, Microsoft Office Security Team, Genwei Jiang, FLARE Team, FireEye Inc, Eduardo Braun Prado of SecuriTeam Secure Disclosure (SSD)</v>
      </c>
    </row>
    <row r="238">
      <c r="A238" t="str">
        <f>IFERROR(__xludf.DUMMYFUNCTION("""COMPUTED_VALUE"""),"CVE-2017-1274")</f>
        <v>CVE-2017-1274</v>
      </c>
      <c r="B238" t="str">
        <f>IFERROR(__xludf.DUMMYFUNCTION("""COMPUTED_VALUE"""),"IBM")</f>
        <v>IBM</v>
      </c>
      <c r="C238" t="str">
        <f>IFERROR(__xludf.DUMMYFUNCTION("""COMPUTED_VALUE"""),"Domino")</f>
        <v>Domino</v>
      </c>
      <c r="D238" t="str">
        <f>IFERROR(__xludf.DUMMYFUNCTION("""COMPUTED_VALUE"""),"Memory Corruption")</f>
        <v>Memory Corruption</v>
      </c>
      <c r="E238" t="str">
        <f>IFERROR(__xludf.DUMMYFUNCTION("""COMPUTED_VALUE"""),"Buffer overflow in IMAP EXAMINE (EmphasisMine)")</f>
        <v>Buffer overflow in IMAP EXAMINE (EmphasisMine)</v>
      </c>
      <c r="F238" t="str">
        <f>IFERROR(__xludf.DUMMYFUNCTION("""COMPUTED_VALUE"""),"???")</f>
        <v>???</v>
      </c>
      <c r="G238" s="9">
        <f>IFERROR(__xludf.DUMMYFUNCTION("""COMPUTED_VALUE"""),42814.0)</f>
        <v>42814</v>
      </c>
      <c r="H238" s="10" t="str">
        <f>IFERROR(__xludf.DUMMYFUNCTION("""COMPUTED_VALUE"""),"http://www-01.ibm.com/support/docview.wss?uid=swg22002280")</f>
        <v>http://www-01.ibm.com/support/docview.wss?uid=swg22002280</v>
      </c>
      <c r="I238" t="str">
        <f>IFERROR(__xludf.DUMMYFUNCTION("""COMPUTED_VALUE"""),"???")</f>
        <v>???</v>
      </c>
      <c r="J238" t="str">
        <f>IFERROR(__xludf.DUMMYFUNCTION("""COMPUTED_VALUE"""),"???")</f>
        <v>???</v>
      </c>
      <c r="K238" t="str">
        <f>IFERROR(__xludf.DUMMYFUNCTION("""COMPUTED_VALUE"""),"???")</f>
        <v>???</v>
      </c>
    </row>
    <row r="239">
      <c r="A239" t="str">
        <f>IFERROR(__xludf.DUMMYFUNCTION("""COMPUTED_VALUE"""),"CVE-2017-3881")</f>
        <v>CVE-2017-3881</v>
      </c>
      <c r="B239" t="str">
        <f>IFERROR(__xludf.DUMMYFUNCTION("""COMPUTED_VALUE"""),"Cisco")</f>
        <v>Cisco</v>
      </c>
      <c r="C239" t="str">
        <f>IFERROR(__xludf.DUMMYFUNCTION("""COMPUTED_VALUE"""),"IOS")</f>
        <v>IOS</v>
      </c>
      <c r="D239" t="str">
        <f>IFERROR(__xludf.DUMMYFUNCTION("""COMPUTED_VALUE"""),"Memory Corruption")</f>
        <v>Memory Corruption</v>
      </c>
      <c r="E239" t="str">
        <f>IFERROR(__xludf.DUMMYFUNCTION("""COMPUTED_VALUE"""),"Buffer overflow in IOS Cluster Management Protocol")</f>
        <v>Buffer overflow in IOS Cluster Management Protocol</v>
      </c>
      <c r="F239" t="str">
        <f>IFERROR(__xludf.DUMMYFUNCTION("""COMPUTED_VALUE"""),"???")</f>
        <v>???</v>
      </c>
      <c r="G239" s="9">
        <f>IFERROR(__xludf.DUMMYFUNCTION("""COMPUTED_VALUE"""),42811.0)</f>
        <v>42811</v>
      </c>
      <c r="H239" s="10" t="str">
        <f>IFERROR(__xludf.DUMMYFUNCTION("""COMPUTED_VALUE"""),"https://tools.cisco.com/security/center/content/CiscoSecurityAdvisory/cisco-sa-20170317-cmp")</f>
        <v>https://tools.cisco.com/security/center/content/CiscoSecurityAdvisory/cisco-sa-20170317-cmp</v>
      </c>
      <c r="I239" s="10" t="str">
        <f>IFERROR(__xludf.DUMMYFUNCTION("""COMPUTED_VALUE"""),"https://artkond.com/2017/04/10/cisco-catalyst-remote-code-execution/")</f>
        <v>https://artkond.com/2017/04/10/cisco-catalyst-remote-code-execution/</v>
      </c>
      <c r="J239" t="str">
        <f>IFERROR(__xludf.DUMMYFUNCTION("""COMPUTED_VALUE"""),"???")</f>
        <v>???</v>
      </c>
      <c r="K239" t="str">
        <f>IFERROR(__xludf.DUMMYFUNCTION("""COMPUTED_VALUE"""),"Vault 7 Disclosure")</f>
        <v>Vault 7 Disclosure</v>
      </c>
    </row>
    <row r="240">
      <c r="A240" t="str">
        <f>IFERROR(__xludf.DUMMYFUNCTION("""COMPUTED_VALUE"""),"CVE-2017-0149")</f>
        <v>CVE-2017-0149</v>
      </c>
      <c r="B240" t="str">
        <f>IFERROR(__xludf.DUMMYFUNCTION("""COMPUTED_VALUE"""),"Microsoft")</f>
        <v>Microsoft</v>
      </c>
      <c r="C240" t="str">
        <f>IFERROR(__xludf.DUMMYFUNCTION("""COMPUTED_VALUE"""),"Internet Explorer")</f>
        <v>Internet Explorer</v>
      </c>
      <c r="D240" t="str">
        <f>IFERROR(__xludf.DUMMYFUNCTION("""COMPUTED_VALUE"""),"Memory Corruption")</f>
        <v>Memory Corruption</v>
      </c>
      <c r="E240" t="str">
        <f>IFERROR(__xludf.DUMMYFUNCTION("""COMPUTED_VALUE"""),"Memory corruption in VBScript rtJoin")</f>
        <v>Memory corruption in VBScript rtJoin</v>
      </c>
      <c r="F240" t="str">
        <f>IFERROR(__xludf.DUMMYFUNCTION("""COMPUTED_VALUE"""),"???")</f>
        <v>???</v>
      </c>
      <c r="G240" s="9">
        <f>IFERROR(__xludf.DUMMYFUNCTION("""COMPUTED_VALUE"""),42808.0)</f>
        <v>42808</v>
      </c>
      <c r="H240" s="10" t="str">
        <f>IFERROR(__xludf.DUMMYFUNCTION("""COMPUTED_VALUE"""),"https://docs.microsoft.com/en-us/security-updates/securitybulletins/2017/ms17-006")</f>
        <v>https://docs.microsoft.com/en-us/security-updates/securitybulletins/2017/ms17-006</v>
      </c>
      <c r="I240" s="10" t="str">
        <f>IFERROR(__xludf.DUMMYFUNCTION("""COMPUTED_VALUE"""),"https://twitter.com/jq0904/status/1062168435818283008")</f>
        <v>https://twitter.com/jq0904/status/1062168435818283008</v>
      </c>
      <c r="J240" t="str">
        <f>IFERROR(__xludf.DUMMYFUNCTION("""COMPUTED_VALUE"""),"???")</f>
        <v>???</v>
      </c>
      <c r="K240" t="str">
        <f>IFERROR(__xludf.DUMMYFUNCTION("""COMPUTED_VALUE"""),"???")</f>
        <v>???</v>
      </c>
    </row>
    <row r="241">
      <c r="A241" t="str">
        <f>IFERROR(__xludf.DUMMYFUNCTION("""COMPUTED_VALUE"""),"CVE-2017-0022")</f>
        <v>CVE-2017-0022</v>
      </c>
      <c r="B241" t="str">
        <f>IFERROR(__xludf.DUMMYFUNCTION("""COMPUTED_VALUE"""),"Microsoft")</f>
        <v>Microsoft</v>
      </c>
      <c r="C241" t="str">
        <f>IFERROR(__xludf.DUMMYFUNCTION("""COMPUTED_VALUE"""),"XML Core Services")</f>
        <v>XML Core Services</v>
      </c>
      <c r="D241" t="str">
        <f>IFERROR(__xludf.DUMMYFUNCTION("""COMPUTED_VALUE"""),"Information Leak")</f>
        <v>Information Leak</v>
      </c>
      <c r="E241" t="str">
        <f>IFERROR(__xludf.DUMMYFUNCTION("""COMPUTED_VALUE"""),"Information leak in MSXML version resource")</f>
        <v>Information leak in MSXML version resource</v>
      </c>
      <c r="F241" t="str">
        <f>IFERROR(__xludf.DUMMYFUNCTION("""COMPUTED_VALUE"""),"???")</f>
        <v>???</v>
      </c>
      <c r="G241" s="9">
        <f>IFERROR(__xludf.DUMMYFUNCTION("""COMPUTED_VALUE"""),42808.0)</f>
        <v>42808</v>
      </c>
      <c r="H241" s="10" t="str">
        <f>IFERROR(__xludf.DUMMYFUNCTION("""COMPUTED_VALUE"""),"https://docs.microsoft.com/en-us/security-updates/securitybulletins/2017/ms17-022")</f>
        <v>https://docs.microsoft.com/en-us/security-updates/securitybulletins/2017/ms17-022</v>
      </c>
      <c r="I241" s="10" t="str">
        <f>IFERROR(__xludf.DUMMYFUNCTION("""COMPUTED_VALUE"""),"https://blog.trendmicro.com/trendlabs-security-intelligence/cve-2017-0022-microsoft-patches-vulnerability-exploited-adgholas-neutrino/")</f>
        <v>https://blog.trendmicro.com/trendlabs-security-intelligence/cve-2017-0022-microsoft-patches-vulnerability-exploited-adgholas-neutrino/</v>
      </c>
      <c r="J241" t="str">
        <f>IFERROR(__xludf.DUMMYFUNCTION("""COMPUTED_VALUE"""),"???")</f>
        <v>???</v>
      </c>
      <c r="K241" t="str">
        <f>IFERROR(__xludf.DUMMYFUNCTION("""COMPUTED_VALUE"""),"Will Matcalf of Proofpoint, Kafeine of Proofpoint, Joseph C Chen of Trend Micro, Brooks Li of Trend Micro")</f>
        <v>Will Matcalf of Proofpoint, Kafeine of Proofpoint, Joseph C Chen of Trend Micro, Brooks Li of Trend Micro</v>
      </c>
    </row>
    <row r="242">
      <c r="A242" t="str">
        <f>IFERROR(__xludf.DUMMYFUNCTION("""COMPUTED_VALUE"""),"CVE-2017-0005")</f>
        <v>CVE-2017-0005</v>
      </c>
      <c r="B242" t="str">
        <f>IFERROR(__xludf.DUMMYFUNCTION("""COMPUTED_VALUE"""),"Microsoft")</f>
        <v>Microsoft</v>
      </c>
      <c r="C242" t="str">
        <f>IFERROR(__xludf.DUMMYFUNCTION("""COMPUTED_VALUE"""),"Windows")</f>
        <v>Windows</v>
      </c>
      <c r="D242" t="str">
        <f>IFERROR(__xludf.DUMMYFUNCTION("""COMPUTED_VALUE"""),"Memory Corruption")</f>
        <v>Memory Corruption</v>
      </c>
      <c r="E242" t="str">
        <f>IFERROR(__xludf.DUMMYFUNCTION("""COMPUTED_VALUE"""),"Unspecified memory corruption in GDI")</f>
        <v>Unspecified memory corruption in GDI</v>
      </c>
      <c r="F242" t="str">
        <f>IFERROR(__xludf.DUMMYFUNCTION("""COMPUTED_VALUE"""),"???")</f>
        <v>???</v>
      </c>
      <c r="G242" s="9">
        <f>IFERROR(__xludf.DUMMYFUNCTION("""COMPUTED_VALUE"""),42808.0)</f>
        <v>42808</v>
      </c>
      <c r="H242" s="10" t="str">
        <f>IFERROR(__xludf.DUMMYFUNCTION("""COMPUTED_VALUE"""),"https://docs.microsoft.com/en-us/security-updates/securitybulletins/2017/ms17-013")</f>
        <v>https://docs.microsoft.com/en-us/security-updates/securitybulletins/2017/ms17-013</v>
      </c>
      <c r="I242" s="10" t="str">
        <f>IFERROR(__xludf.DUMMYFUNCTION("""COMPUTED_VALUE"""),"https://cloudblogs.microsoft.com/microsoftsecure/2017/03/27/detecting-and-mitigating-elevation-of-privilege-exploit-for-cve-2017-0005/")</f>
        <v>https://cloudblogs.microsoft.com/microsoftsecure/2017/03/27/detecting-and-mitigating-elevation-of-privilege-exploit-for-cve-2017-0005/</v>
      </c>
      <c r="J242" t="str">
        <f>IFERROR(__xludf.DUMMYFUNCTION("""COMPUTED_VALUE"""),"???")</f>
        <v>???</v>
      </c>
      <c r="K242" t="str">
        <f>IFERROR(__xludf.DUMMYFUNCTION("""COMPUTED_VALUE"""),"Lockheed Martin Computer Incident Response Team")</f>
        <v>Lockheed Martin Computer Incident Response Team</v>
      </c>
    </row>
    <row r="243">
      <c r="A243" t="str">
        <f>IFERROR(__xludf.DUMMYFUNCTION("""COMPUTED_VALUE"""),"CVE-2017-0143")</f>
        <v>CVE-2017-0143</v>
      </c>
      <c r="B243" t="str">
        <f>IFERROR(__xludf.DUMMYFUNCTION("""COMPUTED_VALUE"""),"Microsoft")</f>
        <v>Microsoft</v>
      </c>
      <c r="C243" t="str">
        <f>IFERROR(__xludf.DUMMYFUNCTION("""COMPUTED_VALUE"""),"Windows")</f>
        <v>Windows</v>
      </c>
      <c r="D243" t="str">
        <f>IFERROR(__xludf.DUMMYFUNCTION("""COMPUTED_VALUE"""),"Memory Corruption")</f>
        <v>Memory Corruption</v>
      </c>
      <c r="E243" t="str">
        <f>IFERROR(__xludf.DUMMYFUNCTION("""COMPUTED_VALUE"""),"Type confusion in SMB messages (EternalSynergy)")</f>
        <v>Type confusion in SMB messages (EternalSynergy)</v>
      </c>
      <c r="F243" t="str">
        <f>IFERROR(__xludf.DUMMYFUNCTION("""COMPUTED_VALUE"""),"???")</f>
        <v>???</v>
      </c>
      <c r="G243" s="9">
        <f>IFERROR(__xludf.DUMMYFUNCTION("""COMPUTED_VALUE"""),42808.0)</f>
        <v>42808</v>
      </c>
      <c r="H243" s="10" t="str">
        <f>IFERROR(__xludf.DUMMYFUNCTION("""COMPUTED_VALUE"""),"https://docs.microsoft.com/en-us/security-updates/securitybulletins/2017/ms17-010")</f>
        <v>https://docs.microsoft.com/en-us/security-updates/securitybulletins/2017/ms17-010</v>
      </c>
      <c r="I243" s="10" t="str">
        <f>IFERROR(__xludf.DUMMYFUNCTION("""COMPUTED_VALUE"""),"https://blogs.technet.microsoft.com/srd/2017/07/13/eternal-synergy-exploit-analysis/")</f>
        <v>https://blogs.technet.microsoft.com/srd/2017/07/13/eternal-synergy-exploit-analysis/</v>
      </c>
      <c r="J243" t="str">
        <f>IFERROR(__xludf.DUMMYFUNCTION("""COMPUTED_VALUE"""),"???")</f>
        <v>???</v>
      </c>
      <c r="K243" t="str">
        <f>IFERROR(__xludf.DUMMYFUNCTION("""COMPUTED_VALUE"""),"???")</f>
        <v>???</v>
      </c>
    </row>
    <row r="244">
      <c r="A244" t="str">
        <f>IFERROR(__xludf.DUMMYFUNCTION("""COMPUTED_VALUE"""),"CVE-2017-0144")</f>
        <v>CVE-2017-0144</v>
      </c>
      <c r="B244" t="str">
        <f>IFERROR(__xludf.DUMMYFUNCTION("""COMPUTED_VALUE"""),"Microsoft")</f>
        <v>Microsoft</v>
      </c>
      <c r="C244" t="str">
        <f>IFERROR(__xludf.DUMMYFUNCTION("""COMPUTED_VALUE"""),"Windows")</f>
        <v>Windows</v>
      </c>
      <c r="D244" t="str">
        <f>IFERROR(__xludf.DUMMYFUNCTION("""COMPUTED_VALUE"""),"Memory Corruption")</f>
        <v>Memory Corruption</v>
      </c>
      <c r="E244" t="str">
        <f>IFERROR(__xludf.DUMMYFUNCTION("""COMPUTED_VALUE"""),"Buffer overflow in SMB File Extended Attributes (EternalBlue)")</f>
        <v>Buffer overflow in SMB File Extended Attributes (EternalBlue)</v>
      </c>
      <c r="F244" t="str">
        <f>IFERROR(__xludf.DUMMYFUNCTION("""COMPUTED_VALUE"""),"???")</f>
        <v>???</v>
      </c>
      <c r="G244" s="9">
        <f>IFERROR(__xludf.DUMMYFUNCTION("""COMPUTED_VALUE"""),42808.0)</f>
        <v>42808</v>
      </c>
      <c r="H244" s="10" t="str">
        <f>IFERROR(__xludf.DUMMYFUNCTION("""COMPUTED_VALUE"""),"https://docs.microsoft.com/en-us/security-updates/securitybulletins/2017/ms17-010")</f>
        <v>https://docs.microsoft.com/en-us/security-updates/securitybulletins/2017/ms17-010</v>
      </c>
      <c r="I244" s="10" t="str">
        <f>IFERROR(__xludf.DUMMYFUNCTION("""COMPUTED_VALUE"""),"https://research.checkpoint.com/eternalblue-everything-know/")</f>
        <v>https://research.checkpoint.com/eternalblue-everything-know/</v>
      </c>
      <c r="J244" t="str">
        <f>IFERROR(__xludf.DUMMYFUNCTION("""COMPUTED_VALUE"""),"???")</f>
        <v>???</v>
      </c>
      <c r="K244" t="str">
        <f>IFERROR(__xludf.DUMMYFUNCTION("""COMPUTED_VALUE"""),"???")</f>
        <v>???</v>
      </c>
    </row>
    <row r="245">
      <c r="A245" t="str">
        <f>IFERROR(__xludf.DUMMYFUNCTION("""COMPUTED_VALUE"""),"CVE-2017-0145")</f>
        <v>CVE-2017-0145</v>
      </c>
      <c r="B245" t="str">
        <f>IFERROR(__xludf.DUMMYFUNCTION("""COMPUTED_VALUE"""),"Microsoft")</f>
        <v>Microsoft</v>
      </c>
      <c r="C245" t="str">
        <f>IFERROR(__xludf.DUMMYFUNCTION("""COMPUTED_VALUE"""),"Windows")</f>
        <v>Windows</v>
      </c>
      <c r="D245" t="str">
        <f>IFERROR(__xludf.DUMMYFUNCTION("""COMPUTED_VALUE"""),"Memory Corruption")</f>
        <v>Memory Corruption</v>
      </c>
      <c r="E245" t="str">
        <f>IFERROR(__xludf.DUMMYFUNCTION("""COMPUTED_VALUE"""),"Unspecified type confusion in SMB (EternalRomance)")</f>
        <v>Unspecified type confusion in SMB (EternalRomance)</v>
      </c>
      <c r="F245" t="str">
        <f>IFERROR(__xludf.DUMMYFUNCTION("""COMPUTED_VALUE"""),"???")</f>
        <v>???</v>
      </c>
      <c r="G245" s="9">
        <f>IFERROR(__xludf.DUMMYFUNCTION("""COMPUTED_VALUE"""),42808.0)</f>
        <v>42808</v>
      </c>
      <c r="H245" s="10" t="str">
        <f>IFERROR(__xludf.DUMMYFUNCTION("""COMPUTED_VALUE"""),"https://docs.microsoft.com/en-us/security-updates/securitybulletins/2017/ms17-010")</f>
        <v>https://docs.microsoft.com/en-us/security-updates/securitybulletins/2017/ms17-010</v>
      </c>
      <c r="I245" s="10" t="str">
        <f>IFERROR(__xludf.DUMMYFUNCTION("""COMPUTED_VALUE"""),"https://www.microsoft.com/security/blog/2017/06/16/analysis-of-the-shadow-brokers-release-and-mitigation-with-windows-10-virtualization-based-security/")</f>
        <v>https://www.microsoft.com/security/blog/2017/06/16/analysis-of-the-shadow-brokers-release-and-mitigation-with-windows-10-virtualization-based-security/</v>
      </c>
      <c r="J245" t="str">
        <f>IFERROR(__xludf.DUMMYFUNCTION("""COMPUTED_VALUE"""),"???")</f>
        <v>???</v>
      </c>
      <c r="K245" t="str">
        <f>IFERROR(__xludf.DUMMYFUNCTION("""COMPUTED_VALUE"""),"???")</f>
        <v>???</v>
      </c>
    </row>
    <row r="246">
      <c r="A246" t="str">
        <f>IFERROR(__xludf.DUMMYFUNCTION("""COMPUTED_VALUE"""),"CVE-2017-0146")</f>
        <v>CVE-2017-0146</v>
      </c>
      <c r="B246" t="str">
        <f>IFERROR(__xludf.DUMMYFUNCTION("""COMPUTED_VALUE"""),"Microsoft")</f>
        <v>Microsoft</v>
      </c>
      <c r="C246" t="str">
        <f>IFERROR(__xludf.DUMMYFUNCTION("""COMPUTED_VALUE"""),"Windows")</f>
        <v>Windows</v>
      </c>
      <c r="D246" t="str">
        <f>IFERROR(__xludf.DUMMYFUNCTION("""COMPUTED_VALUE"""),"Memory Corruption")</f>
        <v>Memory Corruption</v>
      </c>
      <c r="E246" t="str">
        <f>IFERROR(__xludf.DUMMYFUNCTION("""COMPUTED_VALUE"""),"Race condition in SMB transactions (EternalChampion)")</f>
        <v>Race condition in SMB transactions (EternalChampion)</v>
      </c>
      <c r="F246" t="str">
        <f>IFERROR(__xludf.DUMMYFUNCTION("""COMPUTED_VALUE"""),"???")</f>
        <v>???</v>
      </c>
      <c r="G246" s="9">
        <f>IFERROR(__xludf.DUMMYFUNCTION("""COMPUTED_VALUE"""),42808.0)</f>
        <v>42808</v>
      </c>
      <c r="H246" s="10" t="str">
        <f>IFERROR(__xludf.DUMMYFUNCTION("""COMPUTED_VALUE"""),"https://docs.microsoft.com/en-us/security-updates/securitybulletins/2017/ms17-010")</f>
        <v>https://docs.microsoft.com/en-us/security-updates/securitybulletins/2017/ms17-010</v>
      </c>
      <c r="I246" s="10" t="str">
        <f>IFERROR(__xludf.DUMMYFUNCTION("""COMPUTED_VALUE"""),"https://blogs.technet.microsoft.com/srd/2017/06/29/eternal-champion-exploit-analysis/")</f>
        <v>https://blogs.technet.microsoft.com/srd/2017/06/29/eternal-champion-exploit-analysis/</v>
      </c>
      <c r="J246" t="str">
        <f>IFERROR(__xludf.DUMMYFUNCTION("""COMPUTED_VALUE"""),"???")</f>
        <v>???</v>
      </c>
      <c r="K246" t="str">
        <f>IFERROR(__xludf.DUMMYFUNCTION("""COMPUTED_VALUE"""),"???")</f>
        <v>???</v>
      </c>
    </row>
    <row r="247">
      <c r="A247" t="str">
        <f>IFERROR(__xludf.DUMMYFUNCTION("""COMPUTED_VALUE"""),"CVE-2017-0147")</f>
        <v>CVE-2017-0147</v>
      </c>
      <c r="B247" t="str">
        <f>IFERROR(__xludf.DUMMYFUNCTION("""COMPUTED_VALUE"""),"Microsoft")</f>
        <v>Microsoft</v>
      </c>
      <c r="C247" t="str">
        <f>IFERROR(__xludf.DUMMYFUNCTION("""COMPUTED_VALUE"""),"Windows")</f>
        <v>Windows</v>
      </c>
      <c r="D247" t="str">
        <f>IFERROR(__xludf.DUMMYFUNCTION("""COMPUTED_VALUE"""),"Information Leak")</f>
        <v>Information Leak</v>
      </c>
      <c r="E247" t="str">
        <f>IFERROR(__xludf.DUMMYFUNCTION("""COMPUTED_VALUE"""),"Information leak in SMB transactions (EternalChampion)")</f>
        <v>Information leak in SMB transactions (EternalChampion)</v>
      </c>
      <c r="F247" t="str">
        <f>IFERROR(__xludf.DUMMYFUNCTION("""COMPUTED_VALUE"""),"???")</f>
        <v>???</v>
      </c>
      <c r="G247" s="9">
        <f>IFERROR(__xludf.DUMMYFUNCTION("""COMPUTED_VALUE"""),42808.0)</f>
        <v>42808</v>
      </c>
      <c r="H247" s="10" t="str">
        <f>IFERROR(__xludf.DUMMYFUNCTION("""COMPUTED_VALUE"""),"https://docs.microsoft.com/en-us/security-updates/securitybulletins/2017/ms17-010")</f>
        <v>https://docs.microsoft.com/en-us/security-updates/securitybulletins/2017/ms17-010</v>
      </c>
      <c r="I247" s="10" t="str">
        <f>IFERROR(__xludf.DUMMYFUNCTION("""COMPUTED_VALUE"""),"https://blogs.technet.microsoft.com/srd/2017/06/29/eternal-champion-exploit-analysis/")</f>
        <v>https://blogs.technet.microsoft.com/srd/2017/06/29/eternal-champion-exploit-analysis/</v>
      </c>
      <c r="J247" t="str">
        <f>IFERROR(__xludf.DUMMYFUNCTION("""COMPUTED_VALUE"""),"???")</f>
        <v>???</v>
      </c>
      <c r="K247" t="str">
        <f>IFERROR(__xludf.DUMMYFUNCTION("""COMPUTED_VALUE"""),"???")</f>
        <v>???</v>
      </c>
    </row>
    <row r="248">
      <c r="A248" t="str">
        <f>IFERROR(__xludf.DUMMYFUNCTION("""COMPUTED_VALUE"""),"CVE-2016-7892")</f>
        <v>CVE-2016-7892</v>
      </c>
      <c r="B248" t="str">
        <f>IFERROR(__xludf.DUMMYFUNCTION("""COMPUTED_VALUE"""),"Adobe")</f>
        <v>Adobe</v>
      </c>
      <c r="C248" t="str">
        <f>IFERROR(__xludf.DUMMYFUNCTION("""COMPUTED_VALUE"""),"Flash")</f>
        <v>Flash</v>
      </c>
      <c r="D248" t="str">
        <f>IFERROR(__xludf.DUMMYFUNCTION("""COMPUTED_VALUE"""),"Memory Corruption")</f>
        <v>Memory Corruption</v>
      </c>
      <c r="E248" t="str">
        <f>IFERROR(__xludf.DUMMYFUNCTION("""COMPUTED_VALUE"""),"Unspecified use-after-free issue")</f>
        <v>Unspecified use-after-free issue</v>
      </c>
      <c r="F248" t="str">
        <f>IFERROR(__xludf.DUMMYFUNCTION("""COMPUTED_VALUE"""),"???")</f>
        <v>???</v>
      </c>
      <c r="G248" s="9">
        <f>IFERROR(__xludf.DUMMYFUNCTION("""COMPUTED_VALUE"""),42717.0)</f>
        <v>42717</v>
      </c>
      <c r="H248" s="10" t="str">
        <f>IFERROR(__xludf.DUMMYFUNCTION("""COMPUTED_VALUE"""),"https://helpx.adobe.com/security/products/flash-player/apsb16-39.html")</f>
        <v>https://helpx.adobe.com/security/products/flash-player/apsb16-39.html</v>
      </c>
      <c r="I248" t="str">
        <f>IFERROR(__xludf.DUMMYFUNCTION("""COMPUTED_VALUE"""),"???")</f>
        <v>???</v>
      </c>
      <c r="J248" t="str">
        <f>IFERROR(__xludf.DUMMYFUNCTION("""COMPUTED_VALUE"""),"???")</f>
        <v>???</v>
      </c>
      <c r="K248" t="str">
        <f>IFERROR(__xludf.DUMMYFUNCTION("""COMPUTED_VALUE"""),"Anonymous researcher working with JPCERT/CA")</f>
        <v>Anonymous researcher working with JPCERT/CA</v>
      </c>
    </row>
    <row r="249">
      <c r="A249" t="str">
        <f>IFERROR(__xludf.DUMMYFUNCTION("""COMPUTED_VALUE"""),"CVE-2016-9079")</f>
        <v>CVE-2016-9079</v>
      </c>
      <c r="B249" t="str">
        <f>IFERROR(__xludf.DUMMYFUNCTION("""COMPUTED_VALUE"""),"Mozilla")</f>
        <v>Mozilla</v>
      </c>
      <c r="C249" t="str">
        <f>IFERROR(__xludf.DUMMYFUNCTION("""COMPUTED_VALUE"""),"Firefox")</f>
        <v>Firefox</v>
      </c>
      <c r="D249" t="str">
        <f>IFERROR(__xludf.DUMMYFUNCTION("""COMPUTED_VALUE"""),"Memory Corruption")</f>
        <v>Memory Corruption</v>
      </c>
      <c r="E249" t="str">
        <f>IFERROR(__xludf.DUMMYFUNCTION("""COMPUTED_VALUE"""),"Use-after-free in SVG Animation (Tor exploit)")</f>
        <v>Use-after-free in SVG Animation (Tor exploit)</v>
      </c>
      <c r="F249" t="str">
        <f>IFERROR(__xludf.DUMMYFUNCTION("""COMPUTED_VALUE"""),"2016-11-29")</f>
        <v>2016-11-29</v>
      </c>
      <c r="G249" s="9">
        <f>IFERROR(__xludf.DUMMYFUNCTION("""COMPUTED_VALUE"""),42704.0)</f>
        <v>42704</v>
      </c>
      <c r="H249" s="10" t="str">
        <f>IFERROR(__xludf.DUMMYFUNCTION("""COMPUTED_VALUE"""),"https://www.mozilla.org/en-US/security/advisories/mfsa2016-92/")</f>
        <v>https://www.mozilla.org/en-US/security/advisories/mfsa2016-92/</v>
      </c>
      <c r="I249" s="10" t="str">
        <f>IFERROR(__xludf.DUMMYFUNCTION("""COMPUTED_VALUE"""),"https://bugzilla.mozilla.org/show_bug.cgi?id=1321066")</f>
        <v>https://bugzilla.mozilla.org/show_bug.cgi?id=1321066</v>
      </c>
      <c r="J249" t="str">
        <f>IFERROR(__xludf.DUMMYFUNCTION("""COMPUTED_VALUE"""),"???")</f>
        <v>???</v>
      </c>
      <c r="K249" t="str">
        <f>IFERROR(__xludf.DUMMYFUNCTION("""COMPUTED_VALUE"""),"Obscured Team")</f>
        <v>Obscured Team</v>
      </c>
    </row>
    <row r="250">
      <c r="A250" t="str">
        <f>IFERROR(__xludf.DUMMYFUNCTION("""COMPUTED_VALUE"""),"CVE-2016-7256")</f>
        <v>CVE-2016-7256</v>
      </c>
      <c r="B250" t="str">
        <f>IFERROR(__xludf.DUMMYFUNCTION("""COMPUTED_VALUE"""),"Microsoft")</f>
        <v>Microsoft</v>
      </c>
      <c r="C250" t="str">
        <f>IFERROR(__xludf.DUMMYFUNCTION("""COMPUTED_VALUE"""),"Windows")</f>
        <v>Windows</v>
      </c>
      <c r="D250" t="str">
        <f>IFERROR(__xludf.DUMMYFUNCTION("""COMPUTED_VALUE"""),"Memory Corruption")</f>
        <v>Memory Corruption</v>
      </c>
      <c r="E250" t="str">
        <f>IFERROR(__xludf.DUMMYFUNCTION("""COMPUTED_VALUE"""),"Memory corruption on OpenType fonts CFF name index")</f>
        <v>Memory corruption on OpenType fonts CFF name index</v>
      </c>
      <c r="F250" t="str">
        <f>IFERROR(__xludf.DUMMYFUNCTION("""COMPUTED_VALUE"""),"???")</f>
        <v>???</v>
      </c>
      <c r="G250" s="9">
        <f>IFERROR(__xludf.DUMMYFUNCTION("""COMPUTED_VALUE"""),42682.0)</f>
        <v>42682</v>
      </c>
      <c r="H250" s="10" t="str">
        <f>IFERROR(__xludf.DUMMYFUNCTION("""COMPUTED_VALUE"""),"https://docs.microsoft.com/en-us/security-updates/securitybulletins/2016/ms16-132")</f>
        <v>https://docs.microsoft.com/en-us/security-updates/securitybulletins/2016/ms16-132</v>
      </c>
      <c r="I250" s="10" t="str">
        <f>IFERROR(__xludf.DUMMYFUNCTION("""COMPUTED_VALUE"""),"https://asec.ahnlab.com/1050")</f>
        <v>https://asec.ahnlab.com/1050</v>
      </c>
      <c r="J250" t="str">
        <f>IFERROR(__xludf.DUMMYFUNCTION("""COMPUTED_VALUE"""),"???")</f>
        <v>???</v>
      </c>
      <c r="K250" t="str">
        <f>IFERROR(__xludf.DUMMYFUNCTION("""COMPUTED_VALUE"""),"Kijong Son of KrCERT/CC in Korean Internet &amp; Security Agency (KISA)")</f>
        <v>Kijong Son of KrCERT/CC in Korean Internet &amp; Security Agency (KISA)</v>
      </c>
    </row>
    <row r="251">
      <c r="A251" t="str">
        <f>IFERROR(__xludf.DUMMYFUNCTION("""COMPUTED_VALUE"""),"CVE-2016-7255")</f>
        <v>CVE-2016-7255</v>
      </c>
      <c r="B251" t="str">
        <f>IFERROR(__xludf.DUMMYFUNCTION("""COMPUTED_VALUE"""),"Microsoft")</f>
        <v>Microsoft</v>
      </c>
      <c r="C251" t="str">
        <f>IFERROR(__xludf.DUMMYFUNCTION("""COMPUTED_VALUE"""),"Windows Kernel")</f>
        <v>Windows Kernel</v>
      </c>
      <c r="D251" t="str">
        <f>IFERROR(__xludf.DUMMYFUNCTION("""COMPUTED_VALUE"""),"Memory Corruption")</f>
        <v>Memory Corruption</v>
      </c>
      <c r="E251" t="str">
        <f>IFERROR(__xludf.DUMMYFUNCTION("""COMPUTED_VALUE"""),"Memory corruption in NtUserSetWindowLongPtr")</f>
        <v>Memory corruption in NtUserSetWindowLongPtr</v>
      </c>
      <c r="F251" t="str">
        <f>IFERROR(__xludf.DUMMYFUNCTION("""COMPUTED_VALUE"""),"2016-10-21")</f>
        <v>2016-10-21</v>
      </c>
      <c r="G251" s="9">
        <f>IFERROR(__xludf.DUMMYFUNCTION("""COMPUTED_VALUE"""),42682.0)</f>
        <v>42682</v>
      </c>
      <c r="H251" s="10" t="str">
        <f>IFERROR(__xludf.DUMMYFUNCTION("""COMPUTED_VALUE"""),"https://docs.microsoft.com/en-us/security-updates/securitybulletins/2016/ms16-135")</f>
        <v>https://docs.microsoft.com/en-us/security-updates/securitybulletins/2016/ms16-135</v>
      </c>
      <c r="I251" s="10" t="str">
        <f>IFERROR(__xludf.DUMMYFUNCTION("""COMPUTED_VALUE"""),"https://blog.trendmicro.com/trendlabs-security-intelligence/one-bit-rule-system-analyzing-cve-2016-7255-exploit-wild/")</f>
        <v>https://blog.trendmicro.com/trendlabs-security-intelligence/one-bit-rule-system-analyzing-cve-2016-7255-exploit-wild/</v>
      </c>
      <c r="J251" t="str">
        <f>IFERROR(__xludf.DUMMYFUNCTION("""COMPUTED_VALUE"""),"???")</f>
        <v>???</v>
      </c>
      <c r="K251" t="str">
        <f>IFERROR(__xludf.DUMMYFUNCTION("""COMPUTED_VALUE"""),"Feike Hacquebord, Peter Pi, and Brooks Li of Trend Micro, Neel Mehta and Billy Leonard of Google’s Threat Analysis Group")</f>
        <v>Feike Hacquebord, Peter Pi, and Brooks Li of Trend Micro, Neel Mehta and Billy Leonard of Google’s Threat Analysis Group</v>
      </c>
    </row>
    <row r="252">
      <c r="A252" t="str">
        <f>IFERROR(__xludf.DUMMYFUNCTION("""COMPUTED_VALUE"""),"CVE-2016-7855")</f>
        <v>CVE-2016-7855</v>
      </c>
      <c r="B252" t="str">
        <f>IFERROR(__xludf.DUMMYFUNCTION("""COMPUTED_VALUE"""),"Adobe")</f>
        <v>Adobe</v>
      </c>
      <c r="C252" t="str">
        <f>IFERROR(__xludf.DUMMYFUNCTION("""COMPUTED_VALUE"""),"Flash")</f>
        <v>Flash</v>
      </c>
      <c r="D252" t="str">
        <f>IFERROR(__xludf.DUMMYFUNCTION("""COMPUTED_VALUE"""),"Memory Corruption")</f>
        <v>Memory Corruption</v>
      </c>
      <c r="E252" t="str">
        <f>IFERROR(__xludf.DUMMYFUNCTION("""COMPUTED_VALUE"""),"Unspecified use-after-free issue")</f>
        <v>Unspecified use-after-free issue</v>
      </c>
      <c r="F252" t="str">
        <f>IFERROR(__xludf.DUMMYFUNCTION("""COMPUTED_VALUE"""),"2016-10-21")</f>
        <v>2016-10-21</v>
      </c>
      <c r="G252" s="9">
        <f>IFERROR(__xludf.DUMMYFUNCTION("""COMPUTED_VALUE"""),42669.0)</f>
        <v>42669</v>
      </c>
      <c r="H252" s="10" t="str">
        <f>IFERROR(__xludf.DUMMYFUNCTION("""COMPUTED_VALUE"""),"https://helpx.adobe.com/security/products/flash-player/apsb16-36.html")</f>
        <v>https://helpx.adobe.com/security/products/flash-player/apsb16-36.html</v>
      </c>
      <c r="I252" s="10" t="str">
        <f>IFERROR(__xludf.DUMMYFUNCTION("""COMPUTED_VALUE"""),"https://security.googleblog.com/2016/10/disclosing-vulnerabilities-to-protect.html")</f>
        <v>https://security.googleblog.com/2016/10/disclosing-vulnerabilities-to-protect.html</v>
      </c>
      <c r="J252" t="str">
        <f>IFERROR(__xludf.DUMMYFUNCTION("""COMPUTED_VALUE"""),"???")</f>
        <v>???</v>
      </c>
      <c r="K252" t="str">
        <f>IFERROR(__xludf.DUMMYFUNCTION("""COMPUTED_VALUE"""),"Neel Mehta and Billy Leonard from Google's Threat Analysis Group")</f>
        <v>Neel Mehta and Billy Leonard from Google's Threat Analysis Group</v>
      </c>
    </row>
    <row r="253">
      <c r="A253" t="str">
        <f>IFERROR(__xludf.DUMMYFUNCTION("""COMPUTED_VALUE"""),"CVE-2016-5195")</f>
        <v>CVE-2016-5195</v>
      </c>
      <c r="B253" t="str">
        <f>IFERROR(__xludf.DUMMYFUNCTION("""COMPUTED_VALUE"""),"Linux")</f>
        <v>Linux</v>
      </c>
      <c r="C253" t="str">
        <f>IFERROR(__xludf.DUMMYFUNCTION("""COMPUTED_VALUE"""),"Kernel")</f>
        <v>Kernel</v>
      </c>
      <c r="D253" t="str">
        <f>IFERROR(__xludf.DUMMYFUNCTION("""COMPUTED_VALUE"""),"Memory Corruption")</f>
        <v>Memory Corruption</v>
      </c>
      <c r="E253" t="str">
        <f>IFERROR(__xludf.DUMMYFUNCTION("""COMPUTED_VALUE"""),"Race condition in copy-on-write (DirtyCOW)")</f>
        <v>Race condition in copy-on-write (DirtyCOW)</v>
      </c>
      <c r="F253" t="str">
        <f>IFERROR(__xludf.DUMMYFUNCTION("""COMPUTED_VALUE"""),"???")</f>
        <v>???</v>
      </c>
      <c r="G253" s="9">
        <f>IFERROR(__xludf.DUMMYFUNCTION("""COMPUTED_VALUE"""),42661.0)</f>
        <v>42661</v>
      </c>
      <c r="H253" s="10" t="str">
        <f>IFERROR(__xludf.DUMMYFUNCTION("""COMPUTED_VALUE"""),"https://github.com/dirtycow/dirtycow.github.io/wiki/VulnerabilityDetails")</f>
        <v>https://github.com/dirtycow/dirtycow.github.io/wiki/VulnerabilityDetails</v>
      </c>
      <c r="I253" t="str">
        <f>IFERROR(__xludf.DUMMYFUNCTION("""COMPUTED_VALUE"""),"???")</f>
        <v>???</v>
      </c>
      <c r="J253" t="str">
        <f>IFERROR(__xludf.DUMMYFUNCTION("""COMPUTED_VALUE"""),"???")</f>
        <v>???</v>
      </c>
      <c r="K253" t="str">
        <f>IFERROR(__xludf.DUMMYFUNCTION("""COMPUTED_VALUE"""),"Phil Oester")</f>
        <v>Phil Oester</v>
      </c>
    </row>
    <row r="254">
      <c r="A254" t="str">
        <f>IFERROR(__xludf.DUMMYFUNCTION("""COMPUTED_VALUE"""),"CVE-2016-3298")</f>
        <v>CVE-2016-3298</v>
      </c>
      <c r="B254" t="str">
        <f>IFERROR(__xludf.DUMMYFUNCTION("""COMPUTED_VALUE"""),"Microsoft")</f>
        <v>Microsoft</v>
      </c>
      <c r="C254" t="str">
        <f>IFERROR(__xludf.DUMMYFUNCTION("""COMPUTED_VALUE"""),"Internet Explorer")</f>
        <v>Internet Explorer</v>
      </c>
      <c r="D254" t="str">
        <f>IFERROR(__xludf.DUMMYFUNCTION("""COMPUTED_VALUE"""),"Information Leak")</f>
        <v>Information Leak</v>
      </c>
      <c r="E254" t="str">
        <f>IFERROR(__xludf.DUMMYFUNCTION("""COMPUTED_VALUE"""),"Information leak in Microsoft.XMLDOM")</f>
        <v>Information leak in Microsoft.XMLDOM</v>
      </c>
      <c r="F254" t="str">
        <f>IFERROR(__xludf.DUMMYFUNCTION("""COMPUTED_VALUE"""),"2016-04-12")</f>
        <v>2016-04-12</v>
      </c>
      <c r="G254" s="9">
        <f>IFERROR(__xludf.DUMMYFUNCTION("""COMPUTED_VALUE"""),42654.0)</f>
        <v>42654</v>
      </c>
      <c r="H254" s="10" t="str">
        <f>IFERROR(__xludf.DUMMYFUNCTION("""COMPUTED_VALUE"""),"https://docs.microsoft.com/en-us/security-updates/securitybulletins/2016/ms16-118")</f>
        <v>https://docs.microsoft.com/en-us/security-updates/securitybulletins/2016/ms16-118</v>
      </c>
      <c r="I254" s="10" t="str">
        <f>IFERROR(__xludf.DUMMYFUNCTION("""COMPUTED_VALUE"""),"https://blog.trendmicro.com/trendlabs-security-intelligence/cve-2016-3298-microsoft-fixes-another-ie-zero-day-used-in-adgholas/")</f>
        <v>https://blog.trendmicro.com/trendlabs-security-intelligence/cve-2016-3298-microsoft-fixes-another-ie-zero-day-used-in-adgholas/</v>
      </c>
      <c r="J254" t="str">
        <f>IFERROR(__xludf.DUMMYFUNCTION("""COMPUTED_VALUE"""),"???")</f>
        <v>???</v>
      </c>
      <c r="K254" t="str">
        <f>IFERROR(__xludf.DUMMYFUNCTION("""COMPUTED_VALUE"""),"???")</f>
        <v>???</v>
      </c>
    </row>
    <row r="255">
      <c r="A255" t="str">
        <f>IFERROR(__xludf.DUMMYFUNCTION("""COMPUTED_VALUE"""),"CVE-2016-3393")</f>
        <v>CVE-2016-3393</v>
      </c>
      <c r="B255" t="str">
        <f>IFERROR(__xludf.DUMMYFUNCTION("""COMPUTED_VALUE"""),"Microsoft")</f>
        <v>Microsoft</v>
      </c>
      <c r="C255" t="str">
        <f>IFERROR(__xludf.DUMMYFUNCTION("""COMPUTED_VALUE"""),"Windows")</f>
        <v>Windows</v>
      </c>
      <c r="D255" t="str">
        <f>IFERROR(__xludf.DUMMYFUNCTION("""COMPUTED_VALUE"""),"Memory Corruption")</f>
        <v>Memory Corruption</v>
      </c>
      <c r="E255" t="str">
        <f>IFERROR(__xludf.DUMMYFUNCTION("""COMPUTED_VALUE"""),"Memory corruption in TTF cjComputeGLYPHSET_MSFT_GENERAL")</f>
        <v>Memory corruption in TTF cjComputeGLYPHSET_MSFT_GENERAL</v>
      </c>
      <c r="F255" t="str">
        <f>IFERROR(__xludf.DUMMYFUNCTION("""COMPUTED_VALUE"""),"???")</f>
        <v>???</v>
      </c>
      <c r="G255" s="9">
        <f>IFERROR(__xludf.DUMMYFUNCTION("""COMPUTED_VALUE"""),42654.0)</f>
        <v>42654</v>
      </c>
      <c r="H255" s="10" t="str">
        <f>IFERROR(__xludf.DUMMYFUNCTION("""COMPUTED_VALUE"""),"https://docs.microsoft.com/en-us/security-updates/securitybulletins/2016/ms16-120")</f>
        <v>https://docs.microsoft.com/en-us/security-updates/securitybulletins/2016/ms16-120</v>
      </c>
      <c r="I255" s="10" t="str">
        <f>IFERROR(__xludf.DUMMYFUNCTION("""COMPUTED_VALUE"""),"https://securelist.com/windows-zero-day-exploit-used-in-targeted-attacks-by-fruityarmor-apt/76396/")</f>
        <v>https://securelist.com/windows-zero-day-exploit-used-in-targeted-attacks-by-fruityarmor-apt/76396/</v>
      </c>
      <c r="J255" t="str">
        <f>IFERROR(__xludf.DUMMYFUNCTION("""COMPUTED_VALUE"""),"???")</f>
        <v>???</v>
      </c>
      <c r="K255" t="str">
        <f>IFERROR(__xludf.DUMMYFUNCTION("""COMPUTED_VALUE"""),"???")</f>
        <v>???</v>
      </c>
    </row>
    <row r="256">
      <c r="A256" t="str">
        <f>IFERROR(__xludf.DUMMYFUNCTION("""COMPUTED_VALUE"""),"CVE-2016-7193")</f>
        <v>CVE-2016-7193</v>
      </c>
      <c r="B256" t="str">
        <f>IFERROR(__xludf.DUMMYFUNCTION("""COMPUTED_VALUE"""),"Microsoft")</f>
        <v>Microsoft</v>
      </c>
      <c r="C256" t="str">
        <f>IFERROR(__xludf.DUMMYFUNCTION("""COMPUTED_VALUE"""),"Office")</f>
        <v>Office</v>
      </c>
      <c r="D256" t="str">
        <f>IFERROR(__xludf.DUMMYFUNCTION("""COMPUTED_VALUE"""),"Memory Corruption")</f>
        <v>Memory Corruption</v>
      </c>
      <c r="E256" t="str">
        <f>IFERROR(__xludf.DUMMYFUNCTION("""COMPUTED_VALUE"""),"Memory corruption in \dfrxst")</f>
        <v>Memory corruption in \dfrxst</v>
      </c>
      <c r="F256" t="str">
        <f>IFERROR(__xludf.DUMMYFUNCTION("""COMPUTED_VALUE"""),"???")</f>
        <v>???</v>
      </c>
      <c r="G256" s="9">
        <f>IFERROR(__xludf.DUMMYFUNCTION("""COMPUTED_VALUE"""),42654.0)</f>
        <v>42654</v>
      </c>
      <c r="H256" s="10" t="str">
        <f>IFERROR(__xludf.DUMMYFUNCTION("""COMPUTED_VALUE"""),"https://docs.microsoft.com/en-us/security-updates/securitybulletins/2016/ms16-121")</f>
        <v>https://docs.microsoft.com/en-us/security-updates/securitybulletins/2016/ms16-121</v>
      </c>
      <c r="I256" s="10" t="str">
        <f>IFERROR(__xludf.DUMMYFUNCTION("""COMPUTED_VALUE"""),"https://paper.seebug.org/288/")</f>
        <v>https://paper.seebug.org/288/</v>
      </c>
      <c r="J256" t="str">
        <f>IFERROR(__xludf.DUMMYFUNCTION("""COMPUTED_VALUE"""),"???")</f>
        <v>???</v>
      </c>
      <c r="K256" t="str">
        <f>IFERROR(__xludf.DUMMYFUNCTION("""COMPUTED_VALUE"""),"???")</f>
        <v>???</v>
      </c>
    </row>
    <row r="257">
      <c r="A257" t="str">
        <f>IFERROR(__xludf.DUMMYFUNCTION("""COMPUTED_VALUE"""),"CVE-2016-3351")</f>
        <v>CVE-2016-3351</v>
      </c>
      <c r="B257" t="str">
        <f>IFERROR(__xludf.DUMMYFUNCTION("""COMPUTED_VALUE"""),"Microsoft")</f>
        <v>Microsoft</v>
      </c>
      <c r="C257" t="str">
        <f>IFERROR(__xludf.DUMMYFUNCTION("""COMPUTED_VALUE"""),"Internet Explorer")</f>
        <v>Internet Explorer</v>
      </c>
      <c r="D257" t="str">
        <f>IFERROR(__xludf.DUMMYFUNCTION("""COMPUTED_VALUE"""),"Information Leak")</f>
        <v>Information Leak</v>
      </c>
      <c r="E257" t="str">
        <f>IFERROR(__xludf.DUMMYFUNCTION("""COMPUTED_VALUE"""),"Information leak in a.mimeType")</f>
        <v>Information leak in a.mimeType</v>
      </c>
      <c r="F257" t="str">
        <f>IFERROR(__xludf.DUMMYFUNCTION("""COMPUTED_VALUE"""),"???")</f>
        <v>???</v>
      </c>
      <c r="G257" s="9">
        <f>IFERROR(__xludf.DUMMYFUNCTION("""COMPUTED_VALUE"""),42626.0)</f>
        <v>42626</v>
      </c>
      <c r="H257" s="10" t="str">
        <f>IFERROR(__xludf.DUMMYFUNCTION("""COMPUTED_VALUE"""),"https://docs.microsoft.com/en-us/security-updates/securitybulletins/2016/ms16-104")</f>
        <v>https://docs.microsoft.com/en-us/security-updates/securitybulletins/2016/ms16-104</v>
      </c>
      <c r="I257" s="10" t="str">
        <f>IFERROR(__xludf.DUMMYFUNCTION("""COMPUTED_VALUE"""),"https://blog.trendmicro.com/trendlabs-security-intelligence/microsoft-patches-ieedge-zeroday-used-in-adgholas-malvertising-campaign/")</f>
        <v>https://blog.trendmicro.com/trendlabs-security-intelligence/microsoft-patches-ieedge-zeroday-used-in-adgholas-malvertising-campaign/</v>
      </c>
      <c r="J257" t="str">
        <f>IFERROR(__xludf.DUMMYFUNCTION("""COMPUTED_VALUE"""),"???")</f>
        <v>???</v>
      </c>
      <c r="K257" t="str">
        <f>IFERROR(__xludf.DUMMYFUNCTION("""COMPUTED_VALUE"""),"Kafeine, Brooks Li ofTrend Micro")</f>
        <v>Kafeine, Brooks Li ofTrend Micro</v>
      </c>
    </row>
    <row r="258">
      <c r="A258" t="str">
        <f>IFERROR(__xludf.DUMMYFUNCTION("""COMPUTED_VALUE"""),"CVE-2016-4655")</f>
        <v>CVE-2016-4655</v>
      </c>
      <c r="B258" t="str">
        <f>IFERROR(__xludf.DUMMYFUNCTION("""COMPUTED_VALUE"""),"Apple")</f>
        <v>Apple</v>
      </c>
      <c r="C258" t="str">
        <f>IFERROR(__xludf.DUMMYFUNCTION("""COMPUTED_VALUE"""),"iOS")</f>
        <v>iOS</v>
      </c>
      <c r="D258" t="str">
        <f>IFERROR(__xludf.DUMMYFUNCTION("""COMPUTED_VALUE"""),"Information Leak")</f>
        <v>Information Leak</v>
      </c>
      <c r="E258" t="str">
        <f>IFERROR(__xludf.DUMMYFUNCTION("""COMPUTED_VALUE"""),"Information leak in kernel OSUnserializeBinary (Pegasus)")</f>
        <v>Information leak in kernel OSUnserializeBinary (Pegasus)</v>
      </c>
      <c r="F258" t="str">
        <f>IFERROR(__xludf.DUMMYFUNCTION("""COMPUTED_VALUE"""),"2016-08-15")</f>
        <v>2016-08-15</v>
      </c>
      <c r="G258" s="9">
        <f>IFERROR(__xludf.DUMMYFUNCTION("""COMPUTED_VALUE"""),42607.0)</f>
        <v>42607</v>
      </c>
      <c r="H258" s="10" t="str">
        <f>IFERROR(__xludf.DUMMYFUNCTION("""COMPUTED_VALUE"""),"https://support.apple.com/en-us/HT207107")</f>
        <v>https://support.apple.com/en-us/HT207107</v>
      </c>
      <c r="I258" s="10" t="str">
        <f>IFERROR(__xludf.DUMMYFUNCTION("""COMPUTED_VALUE"""),"https://jndok.github.io/2016/10/04/pegasus-writeup/")</f>
        <v>https://jndok.github.io/2016/10/04/pegasus-writeup/</v>
      </c>
      <c r="J258" t="str">
        <f>IFERROR(__xludf.DUMMYFUNCTION("""COMPUTED_VALUE"""),"???")</f>
        <v>???</v>
      </c>
      <c r="K258" t="str">
        <f>IFERROR(__xludf.DUMMYFUNCTION("""COMPUTED_VALUE"""),"Citizen Lab and Lookout")</f>
        <v>Citizen Lab and Lookout</v>
      </c>
    </row>
    <row r="259">
      <c r="A259" t="str">
        <f>IFERROR(__xludf.DUMMYFUNCTION("""COMPUTED_VALUE"""),"CVE-2016-4656")</f>
        <v>CVE-2016-4656</v>
      </c>
      <c r="B259" t="str">
        <f>IFERROR(__xludf.DUMMYFUNCTION("""COMPUTED_VALUE"""),"Apple")</f>
        <v>Apple</v>
      </c>
      <c r="C259" t="str">
        <f>IFERROR(__xludf.DUMMYFUNCTION("""COMPUTED_VALUE"""),"iOS")</f>
        <v>iOS</v>
      </c>
      <c r="D259" t="str">
        <f>IFERROR(__xludf.DUMMYFUNCTION("""COMPUTED_VALUE"""),"Memory Corruption")</f>
        <v>Memory Corruption</v>
      </c>
      <c r="E259" t="str">
        <f>IFERROR(__xludf.DUMMYFUNCTION("""COMPUTED_VALUE"""),"Use-after-free in kernel OSUnserializeBinary (Pegasus)")</f>
        <v>Use-after-free in kernel OSUnserializeBinary (Pegasus)</v>
      </c>
      <c r="F259" t="str">
        <f>IFERROR(__xludf.DUMMYFUNCTION("""COMPUTED_VALUE"""),"2016-08-15")</f>
        <v>2016-08-15</v>
      </c>
      <c r="G259" s="9">
        <f>IFERROR(__xludf.DUMMYFUNCTION("""COMPUTED_VALUE"""),42607.0)</f>
        <v>42607</v>
      </c>
      <c r="H259" s="10" t="str">
        <f>IFERROR(__xludf.DUMMYFUNCTION("""COMPUTED_VALUE"""),"https://support.apple.com/en-us/HT207107")</f>
        <v>https://support.apple.com/en-us/HT207107</v>
      </c>
      <c r="I259" s="10" t="str">
        <f>IFERROR(__xludf.DUMMYFUNCTION("""COMPUTED_VALUE"""),"https://jndok.github.io/2016/10/04/pegasus-writeup/")</f>
        <v>https://jndok.github.io/2016/10/04/pegasus-writeup/</v>
      </c>
      <c r="J259" t="str">
        <f>IFERROR(__xludf.DUMMYFUNCTION("""COMPUTED_VALUE"""),"???")</f>
        <v>???</v>
      </c>
      <c r="K259" t="str">
        <f>IFERROR(__xludf.DUMMYFUNCTION("""COMPUTED_VALUE"""),"Citizen Lab and Lookout")</f>
        <v>Citizen Lab and Lookout</v>
      </c>
    </row>
    <row r="260">
      <c r="A260" t="str">
        <f>IFERROR(__xludf.DUMMYFUNCTION("""COMPUTED_VALUE"""),"CVE-2016-4657")</f>
        <v>CVE-2016-4657</v>
      </c>
      <c r="B260" t="str">
        <f>IFERROR(__xludf.DUMMYFUNCTION("""COMPUTED_VALUE"""),"Apple")</f>
        <v>Apple</v>
      </c>
      <c r="C260" t="str">
        <f>IFERROR(__xludf.DUMMYFUNCTION("""COMPUTED_VALUE"""),"WebKit")</f>
        <v>WebKit</v>
      </c>
      <c r="D260" t="str">
        <f>IFERROR(__xludf.DUMMYFUNCTION("""COMPUTED_VALUE"""),"Memory Corruption")</f>
        <v>Memory Corruption</v>
      </c>
      <c r="E260" t="str">
        <f>IFERROR(__xludf.DUMMYFUNCTION("""COMPUTED_VALUE"""),"Use-after-free in MarkedArgumentBuffer (Pegasus)")</f>
        <v>Use-after-free in MarkedArgumentBuffer (Pegasus)</v>
      </c>
      <c r="F260" t="str">
        <f>IFERROR(__xludf.DUMMYFUNCTION("""COMPUTED_VALUE"""),"2016-08-15")</f>
        <v>2016-08-15</v>
      </c>
      <c r="G260" s="9">
        <f>IFERROR(__xludf.DUMMYFUNCTION("""COMPUTED_VALUE"""),42607.0)</f>
        <v>42607</v>
      </c>
      <c r="H260" s="10" t="str">
        <f>IFERROR(__xludf.DUMMYFUNCTION("""COMPUTED_VALUE"""),"https://support.apple.com/en-us/HT207107")</f>
        <v>https://support.apple.com/en-us/HT207107</v>
      </c>
      <c r="I260" t="str">
        <f>IFERROR(__xludf.DUMMYFUNCTION("""COMPUTED_VALUE"""),"???")</f>
        <v>???</v>
      </c>
      <c r="J260" t="str">
        <f>IFERROR(__xludf.DUMMYFUNCTION("""COMPUTED_VALUE"""),"???")</f>
        <v>???</v>
      </c>
      <c r="K260" t="str">
        <f>IFERROR(__xludf.DUMMYFUNCTION("""COMPUTED_VALUE"""),"Citizen Lab and Lookout")</f>
        <v>Citizen Lab and Lookout</v>
      </c>
    </row>
    <row r="261">
      <c r="A261" t="str">
        <f>IFERROR(__xludf.DUMMYFUNCTION("""COMPUTED_VALUE"""),"CVE-2016-6366")</f>
        <v>CVE-2016-6366</v>
      </c>
      <c r="B261" t="str">
        <f>IFERROR(__xludf.DUMMYFUNCTION("""COMPUTED_VALUE"""),"Cisco")</f>
        <v>Cisco</v>
      </c>
      <c r="C261" t="str">
        <f>IFERROR(__xludf.DUMMYFUNCTION("""COMPUTED_VALUE"""),"ASA")</f>
        <v>ASA</v>
      </c>
      <c r="D261" t="str">
        <f>IFERROR(__xludf.DUMMYFUNCTION("""COMPUTED_VALUE"""),"Memory Corruption")</f>
        <v>Memory Corruption</v>
      </c>
      <c r="E261" t="str">
        <f>IFERROR(__xludf.DUMMYFUNCTION("""COMPUTED_VALUE"""),"Buffer overflow in SNMP parsing (EXTRABACON)")</f>
        <v>Buffer overflow in SNMP parsing (EXTRABACON)</v>
      </c>
      <c r="F261" t="str">
        <f>IFERROR(__xludf.DUMMYFUNCTION("""COMPUTED_VALUE"""),"2016-08-15")</f>
        <v>2016-08-15</v>
      </c>
      <c r="G261" s="9">
        <f>IFERROR(__xludf.DUMMYFUNCTION("""COMPUTED_VALUE"""),42599.0)</f>
        <v>42599</v>
      </c>
      <c r="H261" s="10" t="str">
        <f>IFERROR(__xludf.DUMMYFUNCTION("""COMPUTED_VALUE"""),"https://tools.cisco.com/security/center/content/CiscoSecurityAdvisory/cisco-sa-20160817-asa-snmp")</f>
        <v>https://tools.cisco.com/security/center/content/CiscoSecurityAdvisory/cisco-sa-20160817-asa-snmp</v>
      </c>
      <c r="I261" s="10" t="str">
        <f>IFERROR(__xludf.DUMMYFUNCTION("""COMPUTED_VALUE"""),"https://blog.silentsignal.eu/2016/08/25/bake-your-own-extrabacon/")</f>
        <v>https://blog.silentsignal.eu/2016/08/25/bake-your-own-extrabacon/</v>
      </c>
      <c r="J261" t="str">
        <f>IFERROR(__xludf.DUMMYFUNCTION("""COMPUTED_VALUE"""),"???")</f>
        <v>???</v>
      </c>
      <c r="K261" t="str">
        <f>IFERROR(__xludf.DUMMYFUNCTION("""COMPUTED_VALUE"""),"Shadow Brokers")</f>
        <v>Shadow Brokers</v>
      </c>
    </row>
    <row r="262">
      <c r="A262" t="str">
        <f>IFERROR(__xludf.DUMMYFUNCTION("""COMPUTED_VALUE"""),"CVE-2016-6367")</f>
        <v>CVE-2016-6367</v>
      </c>
      <c r="B262" t="str">
        <f>IFERROR(__xludf.DUMMYFUNCTION("""COMPUTED_VALUE"""),"Cisco")</f>
        <v>Cisco</v>
      </c>
      <c r="C262" t="str">
        <f>IFERROR(__xludf.DUMMYFUNCTION("""COMPUTED_VALUE"""),"ASA")</f>
        <v>ASA</v>
      </c>
      <c r="D262" t="str">
        <f>IFERROR(__xludf.DUMMYFUNCTION("""COMPUTED_VALUE"""),"Memory Corruption")</f>
        <v>Memory Corruption</v>
      </c>
      <c r="E262" t="str">
        <f>IFERROR(__xludf.DUMMYFUNCTION("""COMPUTED_VALUE"""),"Buffer overflow in CLI parsing (EPICBANANA)")</f>
        <v>Buffer overflow in CLI parsing (EPICBANANA)</v>
      </c>
      <c r="F262" t="str">
        <f>IFERROR(__xludf.DUMMYFUNCTION("""COMPUTED_VALUE"""),"2016-08-15")</f>
        <v>2016-08-15</v>
      </c>
      <c r="G262" s="9">
        <f>IFERROR(__xludf.DUMMYFUNCTION("""COMPUTED_VALUE"""),42599.0)</f>
        <v>42599</v>
      </c>
      <c r="H262" s="10" t="str">
        <f>IFERROR(__xludf.DUMMYFUNCTION("""COMPUTED_VALUE"""),"https://tools.cisco.com/security/center/content/CiscoSecurityAdvisory/cisco-sa-20160817-asa-cli")</f>
        <v>https://tools.cisco.com/security/center/content/CiscoSecurityAdvisory/cisco-sa-20160817-asa-cli</v>
      </c>
      <c r="I262" t="str">
        <f>IFERROR(__xludf.DUMMYFUNCTION("""COMPUTED_VALUE"""),"???")</f>
        <v>???</v>
      </c>
      <c r="J262" t="str">
        <f>IFERROR(__xludf.DUMMYFUNCTION("""COMPUTED_VALUE"""),"???")</f>
        <v>???</v>
      </c>
      <c r="K262" t="str">
        <f>IFERROR(__xludf.DUMMYFUNCTION("""COMPUTED_VALUE"""),"Shadow Brokers")</f>
        <v>Shadow Brokers</v>
      </c>
    </row>
    <row r="263">
      <c r="A263" t="str">
        <f>IFERROR(__xludf.DUMMYFUNCTION("""COMPUTED_VALUE"""),"CVE-2016-4171")</f>
        <v>CVE-2016-4171</v>
      </c>
      <c r="B263" t="str">
        <f>IFERROR(__xludf.DUMMYFUNCTION("""COMPUTED_VALUE"""),"Adobe")</f>
        <v>Adobe</v>
      </c>
      <c r="C263" t="str">
        <f>IFERROR(__xludf.DUMMYFUNCTION("""COMPUTED_VALUE"""),"Flash")</f>
        <v>Flash</v>
      </c>
      <c r="D263" t="str">
        <f>IFERROR(__xludf.DUMMYFUNCTION("""COMPUTED_VALUE"""),"Memory Corruption")</f>
        <v>Memory Corruption</v>
      </c>
      <c r="E263" t="str">
        <f>IFERROR(__xludf.DUMMYFUNCTION("""COMPUTED_VALUE"""),"Memory corruption in ExecPolicy metadata parsing")</f>
        <v>Memory corruption in ExecPolicy metadata parsing</v>
      </c>
      <c r="F263" t="str">
        <f>IFERROR(__xludf.DUMMYFUNCTION("""COMPUTED_VALUE"""),"???")</f>
        <v>???</v>
      </c>
      <c r="G263" s="9">
        <f>IFERROR(__xludf.DUMMYFUNCTION("""COMPUTED_VALUE"""),42536.0)</f>
        <v>42536</v>
      </c>
      <c r="H263" s="10" t="str">
        <f>IFERROR(__xludf.DUMMYFUNCTION("""COMPUTED_VALUE"""),"https://helpx.adobe.com/security/products/flash-player/apsb16-18.html")</f>
        <v>https://helpx.adobe.com/security/products/flash-player/apsb16-18.html</v>
      </c>
      <c r="I263" s="10" t="str">
        <f>IFERROR(__xludf.DUMMYFUNCTION("""COMPUTED_VALUE"""),"https://securelist.com/operation-daybreak/75100/")</f>
        <v>https://securelist.com/operation-daybreak/75100/</v>
      </c>
      <c r="J263" t="str">
        <f>IFERROR(__xludf.DUMMYFUNCTION("""COMPUTED_VALUE"""),"???")</f>
        <v>???</v>
      </c>
      <c r="K263" t="str">
        <f>IFERROR(__xludf.DUMMYFUNCTION("""COMPUTED_VALUE"""),"Anton Ivanov of Kaspersky")</f>
        <v>Anton Ivanov of Kaspersky</v>
      </c>
    </row>
    <row r="264">
      <c r="A264" t="str">
        <f>IFERROR(__xludf.DUMMYFUNCTION("""COMPUTED_VALUE"""),"CVE-2016-4117")</f>
        <v>CVE-2016-4117</v>
      </c>
      <c r="B264" t="str">
        <f>IFERROR(__xludf.DUMMYFUNCTION("""COMPUTED_VALUE"""),"Adobe")</f>
        <v>Adobe</v>
      </c>
      <c r="C264" t="str">
        <f>IFERROR(__xludf.DUMMYFUNCTION("""COMPUTED_VALUE"""),"Flash")</f>
        <v>Flash</v>
      </c>
      <c r="D264" t="str">
        <f>IFERROR(__xludf.DUMMYFUNCTION("""COMPUTED_VALUE"""),"Memory Corruption")</f>
        <v>Memory Corruption</v>
      </c>
      <c r="E264" t="str">
        <f>IFERROR(__xludf.DUMMYFUNCTION("""COMPUTED_VALUE"""),"Type confusion in tvsdk DeleteRangeTimelineOperation")</f>
        <v>Type confusion in tvsdk DeleteRangeTimelineOperation</v>
      </c>
      <c r="F264" t="str">
        <f>IFERROR(__xludf.DUMMYFUNCTION("""COMPUTED_VALUE"""),"2016-05-08")</f>
        <v>2016-05-08</v>
      </c>
      <c r="G264" s="9">
        <f>IFERROR(__xludf.DUMMYFUNCTION("""COMPUTED_VALUE"""),42502.0)</f>
        <v>42502</v>
      </c>
      <c r="H264" s="10" t="str">
        <f>IFERROR(__xludf.DUMMYFUNCTION("""COMPUTED_VALUE"""),"https://helpx.adobe.com/security/products/flash-player/apsb16-15.html")</f>
        <v>https://helpx.adobe.com/security/products/flash-player/apsb16-15.html</v>
      </c>
      <c r="I264" s="10" t="str">
        <f>IFERROR(__xludf.DUMMYFUNCTION("""COMPUTED_VALUE"""),"https://www.fireeye.com/blog/threat-research/2016/05/cve-2016-4117-flash-zero-day.html")</f>
        <v>https://www.fireeye.com/blog/threat-research/2016/05/cve-2016-4117-flash-zero-day.html</v>
      </c>
      <c r="J264" t="str">
        <f>IFERROR(__xludf.DUMMYFUNCTION("""COMPUTED_VALUE"""),"???")</f>
        <v>???</v>
      </c>
      <c r="K264" t="str">
        <f>IFERROR(__xludf.DUMMYFUNCTION("""COMPUTED_VALUE"""),"Genwei Jiang of FireEye, Inc")</f>
        <v>Genwei Jiang of FireEye, Inc</v>
      </c>
    </row>
    <row r="265">
      <c r="A265" t="str">
        <f>IFERROR(__xludf.DUMMYFUNCTION("""COMPUTED_VALUE"""),"CVE-2016-0189")</f>
        <v>CVE-2016-0189</v>
      </c>
      <c r="B265" t="str">
        <f>IFERROR(__xludf.DUMMYFUNCTION("""COMPUTED_VALUE"""),"Microsoft")</f>
        <v>Microsoft</v>
      </c>
      <c r="C265" t="str">
        <f>IFERROR(__xludf.DUMMYFUNCTION("""COMPUTED_VALUE"""),"Internet Explorer")</f>
        <v>Internet Explorer</v>
      </c>
      <c r="D265" t="str">
        <f>IFERROR(__xludf.DUMMYFUNCTION("""COMPUTED_VALUE"""),"Memory Corruption")</f>
        <v>Memory Corruption</v>
      </c>
      <c r="E265" t="str">
        <f>IFERROR(__xludf.DUMMYFUNCTION("""COMPUTED_VALUE"""),"Memory corruption in VBScript AccessArray")</f>
        <v>Memory corruption in VBScript AccessArray</v>
      </c>
      <c r="F265" t="str">
        <f>IFERROR(__xludf.DUMMYFUNCTION("""COMPUTED_VALUE"""),"???")</f>
        <v>???</v>
      </c>
      <c r="G265" s="9">
        <f>IFERROR(__xludf.DUMMYFUNCTION("""COMPUTED_VALUE"""),42500.0)</f>
        <v>42500</v>
      </c>
      <c r="H265" s="10" t="str">
        <f>IFERROR(__xludf.DUMMYFUNCTION("""COMPUTED_VALUE"""),"https://docs.microsoft.com/en-us/security-updates/securitybulletins/2016/ms16-051")</f>
        <v>https://docs.microsoft.com/en-us/security-updates/securitybulletins/2016/ms16-051</v>
      </c>
      <c r="I265" s="10" t="str">
        <f>IFERROR(__xludf.DUMMYFUNCTION("""COMPUTED_VALUE"""),"https://theori.io/research/cve-2016-0189")</f>
        <v>https://theori.io/research/cve-2016-0189</v>
      </c>
      <c r="J265" t="str">
        <f>IFERROR(__xludf.DUMMYFUNCTION("""COMPUTED_VALUE"""),"???")</f>
        <v>???</v>
      </c>
      <c r="K265" t="str">
        <f>IFERROR(__xludf.DUMMYFUNCTION("""COMPUTED_VALUE"""),"???")</f>
        <v>???</v>
      </c>
    </row>
    <row r="266">
      <c r="A266" t="str">
        <f>IFERROR(__xludf.DUMMYFUNCTION("""COMPUTED_VALUE"""),"CVE-2016-0162")</f>
        <v>CVE-2016-0162</v>
      </c>
      <c r="B266" t="str">
        <f>IFERROR(__xludf.DUMMYFUNCTION("""COMPUTED_VALUE"""),"Microsoft")</f>
        <v>Microsoft</v>
      </c>
      <c r="C266" t="str">
        <f>IFERROR(__xludf.DUMMYFUNCTION("""COMPUTED_VALUE"""),"Internet Explorer")</f>
        <v>Internet Explorer</v>
      </c>
      <c r="D266" t="str">
        <f>IFERROR(__xludf.DUMMYFUNCTION("""COMPUTED_VALUE"""),"Information Leak")</f>
        <v>Information Leak</v>
      </c>
      <c r="E266" t="str">
        <f>IFERROR(__xludf.DUMMYFUNCTION("""COMPUTED_VALUE"""),"Unspecified file detection issue")</f>
        <v>Unspecified file detection issue</v>
      </c>
      <c r="F266" t="str">
        <f>IFERROR(__xludf.DUMMYFUNCTION("""COMPUTED_VALUE"""),"???")</f>
        <v>???</v>
      </c>
      <c r="G266" s="9">
        <f>IFERROR(__xludf.DUMMYFUNCTION("""COMPUTED_VALUE"""),42472.0)</f>
        <v>42472</v>
      </c>
      <c r="H266" s="10" t="str">
        <f>IFERROR(__xludf.DUMMYFUNCTION("""COMPUTED_VALUE"""),"https://docs.microsoft.com/en-us/security-updates/securitybulletins/2016/ms16-037")</f>
        <v>https://docs.microsoft.com/en-us/security-updates/securitybulletins/2016/ms16-037</v>
      </c>
      <c r="I266" s="10" t="str">
        <f>IFERROR(__xludf.DUMMYFUNCTION("""COMPUTED_VALUE"""),"https://www.welivesecurity.com/2016/12/06/readers-popular-websites-targeted-stealthy-stegano-exploit-kit-hiding-pixels-malicious-ads/")</f>
        <v>https://www.welivesecurity.com/2016/12/06/readers-popular-websites-targeted-stealthy-stegano-exploit-kit-hiding-pixels-malicious-ads/</v>
      </c>
      <c r="J266" t="str">
        <f>IFERROR(__xludf.DUMMYFUNCTION("""COMPUTED_VALUE"""),"???")</f>
        <v>???</v>
      </c>
      <c r="K266" t="str">
        <f>IFERROR(__xludf.DUMMYFUNCTION("""COMPUTED_VALUE"""),"Ladislav Janko, working with ESET")</f>
        <v>Ladislav Janko, working with ESET</v>
      </c>
    </row>
    <row r="267">
      <c r="A267" t="str">
        <f>IFERROR(__xludf.DUMMYFUNCTION("""COMPUTED_VALUE"""),"CVE-2016-0165")</f>
        <v>CVE-2016-0165</v>
      </c>
      <c r="B267" t="str">
        <f>IFERROR(__xludf.DUMMYFUNCTION("""COMPUTED_VALUE"""),"Microsoft")</f>
        <v>Microsoft</v>
      </c>
      <c r="C267" t="str">
        <f>IFERROR(__xludf.DUMMYFUNCTION("""COMPUTED_VALUE"""),"Windows Kernel")</f>
        <v>Windows Kernel</v>
      </c>
      <c r="D267" t="str">
        <f>IFERROR(__xludf.DUMMYFUNCTION("""COMPUTED_VALUE"""),"Memory Corruption")</f>
        <v>Memory Corruption</v>
      </c>
      <c r="E267" t="str">
        <f>IFERROR(__xludf.DUMMYFUNCTION("""COMPUTED_VALUE"""),"Buffer overflow in RGNMEMOBJ::vCreate")</f>
        <v>Buffer overflow in RGNMEMOBJ::vCreate</v>
      </c>
      <c r="F267" t="str">
        <f>IFERROR(__xludf.DUMMYFUNCTION("""COMPUTED_VALUE"""),"???")</f>
        <v>???</v>
      </c>
      <c r="G267" s="9">
        <f>IFERROR(__xludf.DUMMYFUNCTION("""COMPUTED_VALUE"""),42472.0)</f>
        <v>42472</v>
      </c>
      <c r="H267" s="10" t="str">
        <f>IFERROR(__xludf.DUMMYFUNCTION("""COMPUTED_VALUE"""),"https://docs.microsoft.com/en-us/security-updates/securitybulletins/2016/ms16-039")</f>
        <v>https://docs.microsoft.com/en-us/security-updates/securitybulletins/2016/ms16-039</v>
      </c>
      <c r="I267" s="10" t="str">
        <f>IFERROR(__xludf.DUMMYFUNCTION("""COMPUTED_VALUE"""),"https://www.secureauth.com/blog/ms16-039-windows-10-64-bits-integer-overflow-exploitation-by-using-gdi-objects")</f>
        <v>https://www.secureauth.com/blog/ms16-039-windows-10-64-bits-integer-overflow-exploitation-by-using-gdi-objects</v>
      </c>
      <c r="J267" t="str">
        <f>IFERROR(__xludf.DUMMYFUNCTION("""COMPUTED_VALUE"""),"???")</f>
        <v>???</v>
      </c>
      <c r="K267" t="str">
        <f>IFERROR(__xludf.DUMMYFUNCTION("""COMPUTED_VALUE"""),"Sebastian Apelt of Siberas working with Trend Micro's Zero Day Initiative, Anton Ivanov of Kaspersky Lab")</f>
        <v>Sebastian Apelt of Siberas working with Trend Micro's Zero Day Initiative, Anton Ivanov of Kaspersky Lab</v>
      </c>
    </row>
    <row r="268">
      <c r="A268" t="str">
        <f>IFERROR(__xludf.DUMMYFUNCTION("""COMPUTED_VALUE"""),"CVE-2016-0167")</f>
        <v>CVE-2016-0167</v>
      </c>
      <c r="B268" t="str">
        <f>IFERROR(__xludf.DUMMYFUNCTION("""COMPUTED_VALUE"""),"Microsoft")</f>
        <v>Microsoft</v>
      </c>
      <c r="C268" t="str">
        <f>IFERROR(__xludf.DUMMYFUNCTION("""COMPUTED_VALUE"""),"Windows Kernel")</f>
        <v>Windows Kernel</v>
      </c>
      <c r="D268" t="str">
        <f>IFERROR(__xludf.DUMMYFUNCTION("""COMPUTED_VALUE"""),"Memory Corruption")</f>
        <v>Memory Corruption</v>
      </c>
      <c r="E268" t="str">
        <f>IFERROR(__xludf.DUMMYFUNCTION("""COMPUTED_VALUE"""),"Use-after-free in win32k!xxxMNDestroyHandler")</f>
        <v>Use-after-free in win32k!xxxMNDestroyHandler</v>
      </c>
      <c r="F268" t="str">
        <f>IFERROR(__xludf.DUMMYFUNCTION("""COMPUTED_VALUE"""),"2016-03-08")</f>
        <v>2016-03-08</v>
      </c>
      <c r="G268" s="9">
        <f>IFERROR(__xludf.DUMMYFUNCTION("""COMPUTED_VALUE"""),42472.0)</f>
        <v>42472</v>
      </c>
      <c r="H268" s="10" t="str">
        <f>IFERROR(__xludf.DUMMYFUNCTION("""COMPUTED_VALUE"""),"https://docs.microsoft.com/en-us/security-updates/securitybulletins/2016/ms16-039")</f>
        <v>https://docs.microsoft.com/en-us/security-updates/securitybulletins/2016/ms16-039</v>
      </c>
      <c r="I268" s="10" t="str">
        <f>IFERROR(__xludf.DUMMYFUNCTION("""COMPUTED_VALUE"""),"https://www.fireeye.com/blog/threat-research/2016/05/windows-zero-day-payment-cards.html")</f>
        <v>https://www.fireeye.com/blog/threat-research/2016/05/windows-zero-day-payment-cards.html</v>
      </c>
      <c r="J268" t="str">
        <f>IFERROR(__xludf.DUMMYFUNCTION("""COMPUTED_VALUE"""),"???")</f>
        <v>???</v>
      </c>
      <c r="K268" t="str">
        <f>IFERROR(__xludf.DUMMYFUNCTION("""COMPUTED_VALUE"""),"Dhanesh Kizhakkinan of FireEye, Inc.")</f>
        <v>Dhanesh Kizhakkinan of FireEye, Inc.</v>
      </c>
    </row>
    <row r="269">
      <c r="A269" t="str">
        <f>IFERROR(__xludf.DUMMYFUNCTION("""COMPUTED_VALUE"""),"CVE-2016-1019")</f>
        <v>CVE-2016-1019</v>
      </c>
      <c r="B269" t="str">
        <f>IFERROR(__xludf.DUMMYFUNCTION("""COMPUTED_VALUE"""),"Adobe")</f>
        <v>Adobe</v>
      </c>
      <c r="C269" t="str">
        <f>IFERROR(__xludf.DUMMYFUNCTION("""COMPUTED_VALUE"""),"Flash")</f>
        <v>Flash</v>
      </c>
      <c r="D269" t="str">
        <f>IFERROR(__xludf.DUMMYFUNCTION("""COMPUTED_VALUE"""),"Memory Corruption")</f>
        <v>Memory Corruption</v>
      </c>
      <c r="E269" t="str">
        <f>IFERROR(__xludf.DUMMYFUNCTION("""COMPUTED_VALUE"""),"Type confusion in FileReference")</f>
        <v>Type confusion in FileReference</v>
      </c>
      <c r="F269" t="str">
        <f>IFERROR(__xludf.DUMMYFUNCTION("""COMPUTED_VALUE"""),"2016-04-02")</f>
        <v>2016-04-02</v>
      </c>
      <c r="G269" s="9">
        <f>IFERROR(__xludf.DUMMYFUNCTION("""COMPUTED_VALUE"""),42467.0)</f>
        <v>42467</v>
      </c>
      <c r="H269" s="10" t="str">
        <f>IFERROR(__xludf.DUMMYFUNCTION("""COMPUTED_VALUE"""),"https://helpx.adobe.com/security/products/flash-player/apsb16-10.html")</f>
        <v>https://helpx.adobe.com/security/products/flash-player/apsb16-10.html</v>
      </c>
      <c r="I269" s="10" t="str">
        <f>IFERROR(__xludf.DUMMYFUNCTION("""COMPUTED_VALUE"""),"https://blog.trendmicro.com/trendlabs-security-intelligence/look-adobe-flash-player-cve-2016-1019-zero-day-vulnerability/")</f>
        <v>https://blog.trendmicro.com/trendlabs-security-intelligence/look-adobe-flash-player-cve-2016-1019-zero-day-vulnerability/</v>
      </c>
      <c r="J269" t="str">
        <f>IFERROR(__xludf.DUMMYFUNCTION("""COMPUTED_VALUE"""),"???")</f>
        <v>???</v>
      </c>
      <c r="K269" t="str">
        <f>IFERROR(__xludf.DUMMYFUNCTION("""COMPUTED_VALUE"""),"Kafeine (EmergingThreats/Proofpoint), Genwei Jiang (FireEye, Inc.), Clement Lecigne of Google")</f>
        <v>Kafeine (EmergingThreats/Proofpoint), Genwei Jiang (FireEye, Inc.), Clement Lecigne of Google</v>
      </c>
    </row>
    <row r="270">
      <c r="A270" t="str">
        <f>IFERROR(__xludf.DUMMYFUNCTION("""COMPUTED_VALUE"""),"CVE-2016-1010")</f>
        <v>CVE-2016-1010</v>
      </c>
      <c r="B270" t="str">
        <f>IFERROR(__xludf.DUMMYFUNCTION("""COMPUTED_VALUE"""),"Adobe")</f>
        <v>Adobe</v>
      </c>
      <c r="C270" t="str">
        <f>IFERROR(__xludf.DUMMYFUNCTION("""COMPUTED_VALUE"""),"Flash")</f>
        <v>Flash</v>
      </c>
      <c r="D270" t="str">
        <f>IFERROR(__xludf.DUMMYFUNCTION("""COMPUTED_VALUE"""),"Memory Corruption")</f>
        <v>Memory Corruption</v>
      </c>
      <c r="E270" t="str">
        <f>IFERROR(__xludf.DUMMYFUNCTION("""COMPUTED_VALUE"""),"Buffer overflow in BitmapData.copyPixels")</f>
        <v>Buffer overflow in BitmapData.copyPixels</v>
      </c>
      <c r="F270" t="str">
        <f>IFERROR(__xludf.DUMMYFUNCTION("""COMPUTED_VALUE"""),"???")</f>
        <v>???</v>
      </c>
      <c r="G270" s="9">
        <f>IFERROR(__xludf.DUMMYFUNCTION("""COMPUTED_VALUE"""),42439.0)</f>
        <v>42439</v>
      </c>
      <c r="H270" s="10" t="str">
        <f>IFERROR(__xludf.DUMMYFUNCTION("""COMPUTED_VALUE"""),"https://helpx.adobe.com/security/products/flash-player/apsb16-08.html")</f>
        <v>https://helpx.adobe.com/security/products/flash-player/apsb16-08.html</v>
      </c>
      <c r="I270" s="10" t="str">
        <f>IFERROR(__xludf.DUMMYFUNCTION("""COMPUTED_VALUE"""),"https://blog.trendmicro.com/trendlabs-security-intelligence/root-cause-analysis-recent-flash-zero-day-vulnerability-cve-2016-1010/")</f>
        <v>https://blog.trendmicro.com/trendlabs-security-intelligence/root-cause-analysis-recent-flash-zero-day-vulnerability-cve-2016-1010/</v>
      </c>
      <c r="J270" t="str">
        <f>IFERROR(__xludf.DUMMYFUNCTION("""COMPUTED_VALUE"""),"???")</f>
        <v>???</v>
      </c>
      <c r="K270" t="str">
        <f>IFERROR(__xludf.DUMMYFUNCTION("""COMPUTED_VALUE"""),"Anton Ivanov of Kaspersky Lab")</f>
        <v>Anton Ivanov of Kaspersky Lab</v>
      </c>
    </row>
    <row r="271">
      <c r="A271" t="str">
        <f>IFERROR(__xludf.DUMMYFUNCTION("""COMPUTED_VALUE"""),"CVE-2016-0984")</f>
        <v>CVE-2016-0984</v>
      </c>
      <c r="B271" t="str">
        <f>IFERROR(__xludf.DUMMYFUNCTION("""COMPUTED_VALUE"""),"Adobe")</f>
        <v>Adobe</v>
      </c>
      <c r="C271" t="str">
        <f>IFERROR(__xludf.DUMMYFUNCTION("""COMPUTED_VALUE"""),"Flash")</f>
        <v>Flash</v>
      </c>
      <c r="D271" t="str">
        <f>IFERROR(__xludf.DUMMYFUNCTION("""COMPUTED_VALUE"""),"Memory Corruption")</f>
        <v>Memory Corruption</v>
      </c>
      <c r="E271" t="str">
        <f>IFERROR(__xludf.DUMMYFUNCTION("""COMPUTED_VALUE"""),"Use-after-free in Sound.loadPCMFromByteArray")</f>
        <v>Use-after-free in Sound.loadPCMFromByteArray</v>
      </c>
      <c r="F271" t="str">
        <f>IFERROR(__xludf.DUMMYFUNCTION("""COMPUTED_VALUE"""),"2016-01-11")</f>
        <v>2016-01-11</v>
      </c>
      <c r="G271" s="9">
        <f>IFERROR(__xludf.DUMMYFUNCTION("""COMPUTED_VALUE"""),42409.0)</f>
        <v>42409</v>
      </c>
      <c r="H271" s="10" t="str">
        <f>IFERROR(__xludf.DUMMYFUNCTION("""COMPUTED_VALUE"""),"https://helpx.adobe.com/security/products/flash-player/apsb16-04.html")</f>
        <v>https://helpx.adobe.com/security/products/flash-player/apsb16-04.html</v>
      </c>
      <c r="I271" s="10" t="str">
        <f>IFERROR(__xludf.DUMMYFUNCTION("""COMPUTED_VALUE"""),"https://bugs.chromium.org/p/project-zero/issues/detail?id=698&amp;redir=1")</f>
        <v>https://bugs.chromium.org/p/project-zero/issues/detail?id=698&amp;redir=1</v>
      </c>
      <c r="J271" t="str">
        <f>IFERROR(__xludf.DUMMYFUNCTION("""COMPUTED_VALUE"""),"???")</f>
        <v>???</v>
      </c>
      <c r="K271" t="str">
        <f>IFERROR(__xludf.DUMMYFUNCTION("""COMPUTED_VALUE"""),"Natalie Silvanovich of Google Project Zero")</f>
        <v>Natalie Silvanovich of Google Project Zero</v>
      </c>
    </row>
    <row r="272">
      <c r="A272" t="str">
        <f>IFERROR(__xludf.DUMMYFUNCTION("""COMPUTED_VALUE"""),"CVE-2016-0034")</f>
        <v>CVE-2016-0034</v>
      </c>
      <c r="B272" t="str">
        <f>IFERROR(__xludf.DUMMYFUNCTION("""COMPUTED_VALUE"""),"Microsoft")</f>
        <v>Microsoft</v>
      </c>
      <c r="C272" t="str">
        <f>IFERROR(__xludf.DUMMYFUNCTION("""COMPUTED_VALUE"""),"Silverlight")</f>
        <v>Silverlight</v>
      </c>
      <c r="D272" t="str">
        <f>IFERROR(__xludf.DUMMYFUNCTION("""COMPUTED_VALUE"""),"Memory Corruption")</f>
        <v>Memory Corruption</v>
      </c>
      <c r="E272" t="str">
        <f>IFERROR(__xludf.DUMMYFUNCTION("""COMPUTED_VALUE"""),"Memory corruption in BinaryReader")</f>
        <v>Memory corruption in BinaryReader</v>
      </c>
      <c r="F272" t="str">
        <f>IFERROR(__xludf.DUMMYFUNCTION("""COMPUTED_VALUE"""),"2015-11-25")</f>
        <v>2015-11-25</v>
      </c>
      <c r="G272" s="9">
        <f>IFERROR(__xludf.DUMMYFUNCTION("""COMPUTED_VALUE"""),42381.0)</f>
        <v>42381</v>
      </c>
      <c r="H272" s="10" t="str">
        <f>IFERROR(__xludf.DUMMYFUNCTION("""COMPUTED_VALUE"""),"https://docs.microsoft.com/en-us/security-updates/SecurityBulletins/2016/ms16-006")</f>
        <v>https://docs.microsoft.com/en-us/security-updates/SecurityBulletins/2016/ms16-006</v>
      </c>
      <c r="I272" s="10" t="str">
        <f>IFERROR(__xludf.DUMMYFUNCTION("""COMPUTED_VALUE"""),"https://securelist.com/blog/research/73255/the-mysterious-case-of-cve-2016-0034-the-hunt-for-a-microsoft-silverlight-0-day/")</f>
        <v>https://securelist.com/blog/research/73255/the-mysterious-case-of-cve-2016-0034-the-hunt-for-a-microsoft-silverlight-0-day/</v>
      </c>
      <c r="J272" t="str">
        <f>IFERROR(__xludf.DUMMYFUNCTION("""COMPUTED_VALUE"""),"???")</f>
        <v>???</v>
      </c>
      <c r="K272" t="str">
        <f>IFERROR(__xludf.DUMMYFUNCTION("""COMPUTED_VALUE"""),"Anton Ivanov and Costin Raiu of Kaspersky Lab")</f>
        <v>Anton Ivanov and Costin Raiu of Kaspersky Lab</v>
      </c>
    </row>
    <row r="273">
      <c r="A273" t="str">
        <f>IFERROR(__xludf.DUMMYFUNCTION("""COMPUTED_VALUE"""),"CVE-2015-8651")</f>
        <v>CVE-2015-8651</v>
      </c>
      <c r="B273" t="str">
        <f>IFERROR(__xludf.DUMMYFUNCTION("""COMPUTED_VALUE"""),"Adobe")</f>
        <v>Adobe</v>
      </c>
      <c r="C273" t="str">
        <f>IFERROR(__xludf.DUMMYFUNCTION("""COMPUTED_VALUE"""),"Flash")</f>
        <v>Flash</v>
      </c>
      <c r="D273" t="str">
        <f>IFERROR(__xludf.DUMMYFUNCTION("""COMPUTED_VALUE"""),"Memory Corruption")</f>
        <v>Memory Corruption</v>
      </c>
      <c r="E273" t="str">
        <f>IFERROR(__xludf.DUMMYFUNCTION("""COMPUTED_VALUE"""),"Integer overflow in domainMemory")</f>
        <v>Integer overflow in domainMemory</v>
      </c>
      <c r="F273" t="str">
        <f>IFERROR(__xludf.DUMMYFUNCTION("""COMPUTED_VALUE"""),"???")</f>
        <v>???</v>
      </c>
      <c r="G273" s="9">
        <f>IFERROR(__xludf.DUMMYFUNCTION("""COMPUTED_VALUE"""),42366.0)</f>
        <v>42366</v>
      </c>
      <c r="H273" s="10" t="str">
        <f>IFERROR(__xludf.DUMMYFUNCTION("""COMPUTED_VALUE"""),"https://helpx.adobe.com/security/products/flash-player/apsb16-01.html")</f>
        <v>https://helpx.adobe.com/security/products/flash-player/apsb16-01.html</v>
      </c>
      <c r="I273" t="str">
        <f>IFERROR(__xludf.DUMMYFUNCTION("""COMPUTED_VALUE"""),"???")</f>
        <v>???</v>
      </c>
      <c r="J273" t="str">
        <f>IFERROR(__xludf.DUMMYFUNCTION("""COMPUTED_VALUE"""),"???")</f>
        <v>???</v>
      </c>
      <c r="K273" t="str">
        <f>IFERROR(__xludf.DUMMYFUNCTION("""COMPUTED_VALUE"""),"???")</f>
        <v>???</v>
      </c>
    </row>
    <row r="274">
      <c r="A274" t="str">
        <f>IFERROR(__xludf.DUMMYFUNCTION("""COMPUTED_VALUE"""),"CVE-2015-6175")</f>
        <v>CVE-2015-6175</v>
      </c>
      <c r="B274" t="str">
        <f>IFERROR(__xludf.DUMMYFUNCTION("""COMPUTED_VALUE"""),"Microsoft")</f>
        <v>Microsoft</v>
      </c>
      <c r="C274" t="str">
        <f>IFERROR(__xludf.DUMMYFUNCTION("""COMPUTED_VALUE"""),"Windows Kernel")</f>
        <v>Windows Kernel</v>
      </c>
      <c r="D274" t="str">
        <f>IFERROR(__xludf.DUMMYFUNCTION("""COMPUTED_VALUE"""),"Memory Corruption")</f>
        <v>Memory Corruption</v>
      </c>
      <c r="E274" t="str">
        <f>IFERROR(__xludf.DUMMYFUNCTION("""COMPUTED_VALUE"""),"Memory corruption in gpuenergydrv.sys")</f>
        <v>Memory corruption in gpuenergydrv.sys</v>
      </c>
      <c r="F274" t="str">
        <f>IFERROR(__xludf.DUMMYFUNCTION("""COMPUTED_VALUE"""),"???")</f>
        <v>???</v>
      </c>
      <c r="G274" s="9">
        <f>IFERROR(__xludf.DUMMYFUNCTION("""COMPUTED_VALUE"""),42346.0)</f>
        <v>42346</v>
      </c>
      <c r="H274" s="10" t="str">
        <f>IFERROR(__xludf.DUMMYFUNCTION("""COMPUTED_VALUE"""),"https://docs.microsoft.com/en-us/security-updates/securitybulletins/2015/ms15-135")</f>
        <v>https://docs.microsoft.com/en-us/security-updates/securitybulletins/2015/ms15-135</v>
      </c>
      <c r="I274" t="str">
        <f>IFERROR(__xludf.DUMMYFUNCTION("""COMPUTED_VALUE"""),"???")</f>
        <v>???</v>
      </c>
      <c r="J274" t="str">
        <f>IFERROR(__xludf.DUMMYFUNCTION("""COMPUTED_VALUE"""),"???")</f>
        <v>???</v>
      </c>
      <c r="K274" t="str">
        <f>IFERROR(__xludf.DUMMYFUNCTION("""COMPUTED_VALUE"""),"ChenDong Li of Tencent")</f>
        <v>ChenDong Li of Tencent</v>
      </c>
    </row>
    <row r="275">
      <c r="A275" t="str">
        <f>IFERROR(__xludf.DUMMYFUNCTION("""COMPUTED_VALUE"""),"CVE-2015-4902")</f>
        <v>CVE-2015-4902</v>
      </c>
      <c r="B275" t="str">
        <f>IFERROR(__xludf.DUMMYFUNCTION("""COMPUTED_VALUE"""),"Oracle")</f>
        <v>Oracle</v>
      </c>
      <c r="C275" t="str">
        <f>IFERROR(__xludf.DUMMYFUNCTION("""COMPUTED_VALUE"""),"Java")</f>
        <v>Java</v>
      </c>
      <c r="D275" t="str">
        <f>IFERROR(__xludf.DUMMYFUNCTION("""COMPUTED_VALUE"""),"Logic/Design Flaw")</f>
        <v>Logic/Design Flaw</v>
      </c>
      <c r="E275" t="str">
        <f>IFERROR(__xludf.DUMMYFUNCTION("""COMPUTED_VALUE"""),"Click-to-play bypass")</f>
        <v>Click-to-play bypass</v>
      </c>
      <c r="F275" t="str">
        <f>IFERROR(__xludf.DUMMYFUNCTION("""COMPUTED_VALUE"""),"???")</f>
        <v>???</v>
      </c>
      <c r="G275" s="9">
        <f>IFERROR(__xludf.DUMMYFUNCTION("""COMPUTED_VALUE"""),42297.0)</f>
        <v>42297</v>
      </c>
      <c r="H275" s="10" t="str">
        <f>IFERROR(__xludf.DUMMYFUNCTION("""COMPUTED_VALUE"""),"https://www.oracle.com/technetwork/topics/security/cpuoct2015-2367953.html")</f>
        <v>https://www.oracle.com/technetwork/topics/security/cpuoct2015-2367953.html</v>
      </c>
      <c r="I275" s="10" t="str">
        <f>IFERROR(__xludf.DUMMYFUNCTION("""COMPUTED_VALUE"""),"https://blog.trendmicro.com/trendlabs-security-intelligence/new-headaches-how-the-pawn-storm-zero-day-evaded-javas-click-to-play-protection/")</f>
        <v>https://blog.trendmicro.com/trendlabs-security-intelligence/new-headaches-how-the-pawn-storm-zero-day-evaded-javas-click-to-play-protection/</v>
      </c>
      <c r="J275" t="str">
        <f>IFERROR(__xludf.DUMMYFUNCTION("""COMPUTED_VALUE"""),"???")</f>
        <v>???</v>
      </c>
      <c r="K275" t="str">
        <f>IFERROR(__xludf.DUMMYFUNCTION("""COMPUTED_VALUE"""),"Trend Micro")</f>
        <v>Trend Micro</v>
      </c>
    </row>
    <row r="276">
      <c r="A276" t="str">
        <f>IFERROR(__xludf.DUMMYFUNCTION("""COMPUTED_VALUE"""),"CVE-2015-7645")</f>
        <v>CVE-2015-7645</v>
      </c>
      <c r="B276" t="str">
        <f>IFERROR(__xludf.DUMMYFUNCTION("""COMPUTED_VALUE"""),"Adobe")</f>
        <v>Adobe</v>
      </c>
      <c r="C276" t="str">
        <f>IFERROR(__xludf.DUMMYFUNCTION("""COMPUTED_VALUE"""),"Flash")</f>
        <v>Flash</v>
      </c>
      <c r="D276" t="str">
        <f>IFERROR(__xludf.DUMMYFUNCTION("""COMPUTED_VALUE"""),"Type Confusion")</f>
        <v>Type Confusion</v>
      </c>
      <c r="E276" t="str">
        <f>IFERROR(__xludf.DUMMYFUNCTION("""COMPUTED_VALUE"""),"Type confusion in IExternalizable.writeExternal")</f>
        <v>Type confusion in IExternalizable.writeExternal</v>
      </c>
      <c r="F276" t="str">
        <f>IFERROR(__xludf.DUMMYFUNCTION("""COMPUTED_VALUE"""),"2015-10-13")</f>
        <v>2015-10-13</v>
      </c>
      <c r="G276" s="9">
        <f>IFERROR(__xludf.DUMMYFUNCTION("""COMPUTED_VALUE"""),42293.0)</f>
        <v>42293</v>
      </c>
      <c r="H276" s="10" t="str">
        <f>IFERROR(__xludf.DUMMYFUNCTION("""COMPUTED_VALUE"""),"https://helpx.adobe.com/security/products/flash-player/apsb15-27.html")</f>
        <v>https://helpx.adobe.com/security/products/flash-player/apsb15-27.html</v>
      </c>
      <c r="I276" s="10" t="str">
        <f>IFERROR(__xludf.DUMMYFUNCTION("""COMPUTED_VALUE"""),"https://bugs.chromium.org/p/project-zero/issues/detail?id=547")</f>
        <v>https://bugs.chromium.org/p/project-zero/issues/detail?id=547</v>
      </c>
      <c r="J276" t="str">
        <f>IFERROR(__xludf.DUMMYFUNCTION("""COMPUTED_VALUE"""),"???")</f>
        <v>???</v>
      </c>
      <c r="K276" t="str">
        <f>IFERROR(__xludf.DUMMYFUNCTION("""COMPUTED_VALUE"""),"Peter Pi of Trend Micro, Natalie Silvanovich of Google Project Zero")</f>
        <v>Peter Pi of Trend Micro, Natalie Silvanovich of Google Project Zero</v>
      </c>
    </row>
    <row r="277">
      <c r="A277" t="str">
        <f>IFERROR(__xludf.DUMMYFUNCTION("""COMPUTED_VALUE"""),"CVE-2015-2546")</f>
        <v>CVE-2015-2546</v>
      </c>
      <c r="B277" t="str">
        <f>IFERROR(__xludf.DUMMYFUNCTION("""COMPUTED_VALUE"""),"Microsoft")</f>
        <v>Microsoft</v>
      </c>
      <c r="C277" t="str">
        <f>IFERROR(__xludf.DUMMYFUNCTION("""COMPUTED_VALUE"""),"Windows Kernel")</f>
        <v>Windows Kernel</v>
      </c>
      <c r="D277" t="str">
        <f>IFERROR(__xludf.DUMMYFUNCTION("""COMPUTED_VALUE"""),"Memory Corruption")</f>
        <v>Memory Corruption</v>
      </c>
      <c r="E277" t="str">
        <f>IFERROR(__xludf.DUMMYFUNCTION("""COMPUTED_VALUE"""),"Use-after-free in xxxSendMessage (tagPOPUPMENU)")</f>
        <v>Use-after-free in xxxSendMessage (tagPOPUPMENU)</v>
      </c>
      <c r="F277" t="str">
        <f>IFERROR(__xludf.DUMMYFUNCTION("""COMPUTED_VALUE"""),"???")</f>
        <v>???</v>
      </c>
      <c r="G277" s="9">
        <f>IFERROR(__xludf.DUMMYFUNCTION("""COMPUTED_VALUE"""),42255.0)</f>
        <v>42255</v>
      </c>
      <c r="H277" s="10" t="str">
        <f>IFERROR(__xludf.DUMMYFUNCTION("""COMPUTED_VALUE"""),"https://docs.microsoft.com/en-us/security-updates/securitybulletins/2015/ms15-097")</f>
        <v>https://docs.microsoft.com/en-us/security-updates/securitybulletins/2015/ms15-097</v>
      </c>
      <c r="I277" s="10" t="str">
        <f>IFERROR(__xludf.DUMMYFUNCTION("""COMPUTED_VALUE"""),"https://www.fireeye.com/content/dam/fireeye-www/blog/pdfs/twoforonefinal.pdf")</f>
        <v>https://www.fireeye.com/content/dam/fireeye-www/blog/pdfs/twoforonefinal.pdf</v>
      </c>
      <c r="J277" t="str">
        <f>IFERROR(__xludf.DUMMYFUNCTION("""COMPUTED_VALUE"""),"???")</f>
        <v>???</v>
      </c>
      <c r="K277" t="str">
        <f>IFERROR(__xludf.DUMMYFUNCTION("""COMPUTED_VALUE"""),"Wang Yu of FireEye")</f>
        <v>Wang Yu of FireEye</v>
      </c>
    </row>
    <row r="278">
      <c r="A278" t="str">
        <f>IFERROR(__xludf.DUMMYFUNCTION("""COMPUTED_VALUE"""),"CVE-2015-2545")</f>
        <v>CVE-2015-2545</v>
      </c>
      <c r="B278" t="str">
        <f>IFERROR(__xludf.DUMMYFUNCTION("""COMPUTED_VALUE"""),"Microsoft")</f>
        <v>Microsoft</v>
      </c>
      <c r="C278" t="str">
        <f>IFERROR(__xludf.DUMMYFUNCTION("""COMPUTED_VALUE"""),"Office")</f>
        <v>Office</v>
      </c>
      <c r="D278" t="str">
        <f>IFERROR(__xludf.DUMMYFUNCTION("""COMPUTED_VALUE"""),"Memory Corruption")</f>
        <v>Memory Corruption</v>
      </c>
      <c r="E278" t="str">
        <f>IFERROR(__xludf.DUMMYFUNCTION("""COMPUTED_VALUE"""),"Use-after-free in EPS forall operator")</f>
        <v>Use-after-free in EPS forall operator</v>
      </c>
      <c r="F278" t="str">
        <f>IFERROR(__xludf.DUMMYFUNCTION("""COMPUTED_VALUE"""),"???")</f>
        <v>???</v>
      </c>
      <c r="G278" s="9">
        <f>IFERROR(__xludf.DUMMYFUNCTION("""COMPUTED_VALUE"""),42255.0)</f>
        <v>42255</v>
      </c>
      <c r="H278" s="10" t="str">
        <f>IFERROR(__xludf.DUMMYFUNCTION("""COMPUTED_VALUE"""),"https://docs.microsoft.com/en-us/security-updates/securitybulletins/2015/ms15-099")</f>
        <v>https://docs.microsoft.com/en-us/security-updates/securitybulletins/2015/ms15-099</v>
      </c>
      <c r="I278" s="10" t="str">
        <f>IFERROR(__xludf.DUMMYFUNCTION("""COMPUTED_VALUE"""),"https://www.fireeye.com/content/dam/fireeye-www/blog/pdfs/twoforonefinal.pdf")</f>
        <v>https://www.fireeye.com/content/dam/fireeye-www/blog/pdfs/twoforonefinal.pdf</v>
      </c>
      <c r="J278" t="str">
        <f>IFERROR(__xludf.DUMMYFUNCTION("""COMPUTED_VALUE"""),"???")</f>
        <v>???</v>
      </c>
      <c r="K278" t="str">
        <f>IFERROR(__xludf.DUMMYFUNCTION("""COMPUTED_VALUE"""),"Genwei Jiang of FireEye")</f>
        <v>Genwei Jiang of FireEye</v>
      </c>
    </row>
    <row r="279">
      <c r="A279" t="str">
        <f>IFERROR(__xludf.DUMMYFUNCTION("""COMPUTED_VALUE"""),"CVE-2015-2502")</f>
        <v>CVE-2015-2502</v>
      </c>
      <c r="B279" t="str">
        <f>IFERROR(__xludf.DUMMYFUNCTION("""COMPUTED_VALUE"""),"Microsoft")</f>
        <v>Microsoft</v>
      </c>
      <c r="C279" t="str">
        <f>IFERROR(__xludf.DUMMYFUNCTION("""COMPUTED_VALUE"""),"Internet Explorer")</f>
        <v>Internet Explorer</v>
      </c>
      <c r="D279" t="str">
        <f>IFERROR(__xludf.DUMMYFUNCTION("""COMPUTED_VALUE"""),"Memory Corruption")</f>
        <v>Memory Corruption</v>
      </c>
      <c r="E279" t="str">
        <f>IFERROR(__xludf.DUMMYFUNCTION("""COMPUTED_VALUE"""),"Use-after-free in CMarkup::ReparentTableSection")</f>
        <v>Use-after-free in CMarkup::ReparentTableSection</v>
      </c>
      <c r="F279" t="str">
        <f>IFERROR(__xludf.DUMMYFUNCTION("""COMPUTED_VALUE"""),"???")</f>
        <v>???</v>
      </c>
      <c r="G279" s="9">
        <f>IFERROR(__xludf.DUMMYFUNCTION("""COMPUTED_VALUE"""),42234.0)</f>
        <v>42234</v>
      </c>
      <c r="H279" s="10" t="str">
        <f>IFERROR(__xludf.DUMMYFUNCTION("""COMPUTED_VALUE"""),"https://docs.microsoft.com/en-us/security-updates/securitybulletins/2015/ms15-093")</f>
        <v>https://docs.microsoft.com/en-us/security-updates/securitybulletins/2015/ms15-093</v>
      </c>
      <c r="I279" s="10" t="str">
        <f>IFERROR(__xludf.DUMMYFUNCTION("""COMPUTED_VALUE"""),"https://twitter.com/Laughing_Mantis/statuses/633839231840841728")</f>
        <v>https://twitter.com/Laughing_Mantis/statuses/633839231840841728</v>
      </c>
      <c r="J279" t="str">
        <f>IFERROR(__xludf.DUMMYFUNCTION("""COMPUTED_VALUE"""),"???")</f>
        <v>???</v>
      </c>
      <c r="K279" t="str">
        <f>IFERROR(__xludf.DUMMYFUNCTION("""COMPUTED_VALUE"""),"Clement Lecigne of Google")</f>
        <v>Clement Lecigne of Google</v>
      </c>
    </row>
    <row r="280">
      <c r="A280" t="str">
        <f>IFERROR(__xludf.DUMMYFUNCTION("""COMPUTED_VALUE"""),"CVE-2015-1642")</f>
        <v>CVE-2015-1642</v>
      </c>
      <c r="B280" t="str">
        <f>IFERROR(__xludf.DUMMYFUNCTION("""COMPUTED_VALUE"""),"Microsoft")</f>
        <v>Microsoft</v>
      </c>
      <c r="C280" t="str">
        <f>IFERROR(__xludf.DUMMYFUNCTION("""COMPUTED_VALUE"""),"Office")</f>
        <v>Office</v>
      </c>
      <c r="D280" t="str">
        <f>IFERROR(__xludf.DUMMYFUNCTION("""COMPUTED_VALUE"""),"Memory Corruption")</f>
        <v>Memory Corruption</v>
      </c>
      <c r="E280" t="str">
        <f>IFERROR(__xludf.DUMMYFUNCTION("""COMPUTED_VALUE"""),"Use-after-free in CTaskSymbol")</f>
        <v>Use-after-free in CTaskSymbol</v>
      </c>
      <c r="F280" t="str">
        <f>IFERROR(__xludf.DUMMYFUNCTION("""COMPUTED_VALUE"""),"2015-02-27")</f>
        <v>2015-02-27</v>
      </c>
      <c r="G280" s="9">
        <f>IFERROR(__xludf.DUMMYFUNCTION("""COMPUTED_VALUE"""),42227.0)</f>
        <v>42227</v>
      </c>
      <c r="H280" s="10" t="str">
        <f>IFERROR(__xludf.DUMMYFUNCTION("""COMPUTED_VALUE"""),"https://docs.microsoft.com/en-us/security-updates/securitybulletins/2015/ms15-081")</f>
        <v>https://docs.microsoft.com/en-us/security-updates/securitybulletins/2015/ms15-081</v>
      </c>
      <c r="I280" s="10" t="str">
        <f>IFERROR(__xludf.DUMMYFUNCTION("""COMPUTED_VALUE"""),"https://labs.mwrinfosecurity.com/advisories/2015/08/17/microsoft-office-ctasksymbol-use-after-free-vulnerability/")</f>
        <v>https://labs.mwrinfosecurity.com/advisories/2015/08/17/microsoft-office-ctasksymbol-use-after-free-vulnerability/</v>
      </c>
      <c r="J280" t="str">
        <f>IFERROR(__xludf.DUMMYFUNCTION("""COMPUTED_VALUE"""),"???")</f>
        <v>???</v>
      </c>
      <c r="K280" t="str">
        <f>IFERROR(__xludf.DUMMYFUNCTION("""COMPUTED_VALUE"""),"Fortinet's FortiGuard Labs, Yong Chuan Koh (@yongchuank) of MWR Labs, s3tm3m@gmail.com working with VeriSign iDefense Labs")</f>
        <v>Fortinet's FortiGuard Labs, Yong Chuan Koh (@yongchuank) of MWR Labs, s3tm3m@gmail.com working with VeriSign iDefense Labs</v>
      </c>
    </row>
    <row r="281">
      <c r="A281" t="str">
        <f>IFERROR(__xludf.DUMMYFUNCTION("""COMPUTED_VALUE"""),"CVE-2015-1769")</f>
        <v>CVE-2015-1769</v>
      </c>
      <c r="B281" t="str">
        <f>IFERROR(__xludf.DUMMYFUNCTION("""COMPUTED_VALUE"""),"Microsoft")</f>
        <v>Microsoft</v>
      </c>
      <c r="C281" t="str">
        <f>IFERROR(__xludf.DUMMYFUNCTION("""COMPUTED_VALUE"""),"Windows")</f>
        <v>Windows</v>
      </c>
      <c r="D281" t="str">
        <f>IFERROR(__xludf.DUMMYFUNCTION("""COMPUTED_VALUE"""),"Logic/Design Flaw")</f>
        <v>Logic/Design Flaw</v>
      </c>
      <c r="E281" t="str">
        <f>IFERROR(__xludf.DUMMYFUNCTION("""COMPUTED_VALUE"""),"Symbolic link attack in Mount Manager")</f>
        <v>Symbolic link attack in Mount Manager</v>
      </c>
      <c r="F281" t="str">
        <f>IFERROR(__xludf.DUMMYFUNCTION("""COMPUTED_VALUE"""),"???")</f>
        <v>???</v>
      </c>
      <c r="G281" s="9">
        <f>IFERROR(__xludf.DUMMYFUNCTION("""COMPUTED_VALUE"""),42227.0)</f>
        <v>42227</v>
      </c>
      <c r="H281" s="10" t="str">
        <f>IFERROR(__xludf.DUMMYFUNCTION("""COMPUTED_VALUE"""),"https://docs.microsoft.com/en-us/security-updates/securitybulletins/2015/ms15-085")</f>
        <v>https://docs.microsoft.com/en-us/security-updates/securitybulletins/2015/ms15-085</v>
      </c>
      <c r="I281" s="10" t="str">
        <f>IFERROR(__xludf.DUMMYFUNCTION("""COMPUTED_VALUE"""),"http://h3ysatan.blogspot.com/2016/01/cve-2015-1769-cve-2015-1769-mount.html")</f>
        <v>http://h3ysatan.blogspot.com/2016/01/cve-2015-1769-cve-2015-1769-mount.html</v>
      </c>
      <c r="J281" t="str">
        <f>IFERROR(__xludf.DUMMYFUNCTION("""COMPUTED_VALUE"""),"???")</f>
        <v>???</v>
      </c>
      <c r="K281" t="str">
        <f>IFERROR(__xludf.DUMMYFUNCTION("""COMPUTED_VALUE"""),"???")</f>
        <v>???</v>
      </c>
    </row>
    <row r="282">
      <c r="A282" t="str">
        <f>IFERROR(__xludf.DUMMYFUNCTION("""COMPUTED_VALUE"""),"CVE-2015-4495")</f>
        <v>CVE-2015-4495</v>
      </c>
      <c r="B282" t="str">
        <f>IFERROR(__xludf.DUMMYFUNCTION("""COMPUTED_VALUE"""),"Mozilla")</f>
        <v>Mozilla</v>
      </c>
      <c r="C282" t="str">
        <f>IFERROR(__xludf.DUMMYFUNCTION("""COMPUTED_VALUE"""),"Firefox")</f>
        <v>Firefox</v>
      </c>
      <c r="D282" t="str">
        <f>IFERROR(__xludf.DUMMYFUNCTION("""COMPUTED_VALUE"""),"Logic/Design Flaw")</f>
        <v>Logic/Design Flaw</v>
      </c>
      <c r="E282" t="str">
        <f>IFERROR(__xludf.DUMMYFUNCTION("""COMPUTED_VALUE"""),"Same-origin policy bypass in PDF reader")</f>
        <v>Same-origin policy bypass in PDF reader</v>
      </c>
      <c r="F282" t="str">
        <f>IFERROR(__xludf.DUMMYFUNCTION("""COMPUTED_VALUE"""),"2015-08-05")</f>
        <v>2015-08-05</v>
      </c>
      <c r="G282" s="9">
        <f>IFERROR(__xludf.DUMMYFUNCTION("""COMPUTED_VALUE"""),42222.0)</f>
        <v>42222</v>
      </c>
      <c r="H282" s="10" t="str">
        <f>IFERROR(__xludf.DUMMYFUNCTION("""COMPUTED_VALUE"""),"https://www.mozilla.org/en-US/security/advisories/mfsa2015-78/")</f>
        <v>https://www.mozilla.org/en-US/security/advisories/mfsa2015-78/</v>
      </c>
      <c r="I282" s="10" t="str">
        <f>IFERROR(__xludf.DUMMYFUNCTION("""COMPUTED_VALUE"""),"https://blog.mozilla.org/security/2015/08/06/firefox-exploit-found-in-the-wild/")</f>
        <v>https://blog.mozilla.org/security/2015/08/06/firefox-exploit-found-in-the-wild/</v>
      </c>
      <c r="J282" t="str">
        <f>IFERROR(__xludf.DUMMYFUNCTION("""COMPUTED_VALUE"""),"???")</f>
        <v>???</v>
      </c>
      <c r="K282" t="str">
        <f>IFERROR(__xludf.DUMMYFUNCTION("""COMPUTED_VALUE"""),"Cody Crews")</f>
        <v>Cody Crews</v>
      </c>
    </row>
    <row r="283">
      <c r="A283" t="str">
        <f>IFERROR(__xludf.DUMMYFUNCTION("""COMPUTED_VALUE"""),"CVE-2015-2426")</f>
        <v>CVE-2015-2426</v>
      </c>
      <c r="B283" t="str">
        <f>IFERROR(__xludf.DUMMYFUNCTION("""COMPUTED_VALUE"""),"Microsoft")</f>
        <v>Microsoft</v>
      </c>
      <c r="C283" t="str">
        <f>IFERROR(__xludf.DUMMYFUNCTION("""COMPUTED_VALUE"""),"Windows")</f>
        <v>Windows</v>
      </c>
      <c r="D283" t="str">
        <f>IFERROR(__xludf.DUMMYFUNCTION("""COMPUTED_VALUE"""),"Memory Corruption")</f>
        <v>Memory Corruption</v>
      </c>
      <c r="E283" t="str">
        <f>IFERROR(__xludf.DUMMYFUNCTION("""COMPUTED_VALUE"""),"OpenType Font Driver buffer overflow in ZwGdiAddFontMemResourceEx")</f>
        <v>OpenType Font Driver buffer overflow in ZwGdiAddFontMemResourceEx</v>
      </c>
      <c r="F283" t="str">
        <f>IFERROR(__xludf.DUMMYFUNCTION("""COMPUTED_VALUE"""),"2015-07-05")</f>
        <v>2015-07-05</v>
      </c>
      <c r="G283" s="9">
        <f>IFERROR(__xludf.DUMMYFUNCTION("""COMPUTED_VALUE"""),42205.0)</f>
        <v>42205</v>
      </c>
      <c r="H283" s="10" t="str">
        <f>IFERROR(__xludf.DUMMYFUNCTION("""COMPUTED_VALUE"""),"https://docs.microsoft.com/en-us/security-updates/securitybulletins/2015/ms15-078")</f>
        <v>https://docs.microsoft.com/en-us/security-updates/securitybulletins/2015/ms15-078</v>
      </c>
      <c r="I283" s="10" t="str">
        <f>IFERROR(__xludf.DUMMYFUNCTION("""COMPUTED_VALUE"""),"http://blog.trendmicro.com/trendlabs-security-intelligence/hacking-team-leak-uncovers-another-windows-zero-day-ms-releases-patch/")</f>
        <v>http://blog.trendmicro.com/trendlabs-security-intelligence/hacking-team-leak-uncovers-another-windows-zero-day-ms-releases-patch/</v>
      </c>
      <c r="J283" t="str">
        <f>IFERROR(__xludf.DUMMYFUNCTION("""COMPUTED_VALUE"""),"???")</f>
        <v>???</v>
      </c>
      <c r="K283" t="str">
        <f>IFERROR(__xludf.DUMMYFUNCTION("""COMPUTED_VALUE"""),"Mateusz Jurczyk of Google Project Zero, Genwei Jiang of FireEye, Moony Li of TrendMicro")</f>
        <v>Mateusz Jurczyk of Google Project Zero, Genwei Jiang of FireEye, Moony Li of TrendMicro</v>
      </c>
    </row>
    <row r="284">
      <c r="A284" t="str">
        <f>IFERROR(__xludf.DUMMYFUNCTION("""COMPUTED_VALUE"""),"CVE-2015-5122")</f>
        <v>CVE-2015-5122</v>
      </c>
      <c r="B284" t="str">
        <f>IFERROR(__xludf.DUMMYFUNCTION("""COMPUTED_VALUE"""),"Adobe")</f>
        <v>Adobe</v>
      </c>
      <c r="C284" t="str">
        <f>IFERROR(__xludf.DUMMYFUNCTION("""COMPUTED_VALUE"""),"Flash")</f>
        <v>Flash</v>
      </c>
      <c r="D284" t="str">
        <f>IFERROR(__xludf.DUMMYFUNCTION("""COMPUTED_VALUE"""),"Use-after-free")</f>
        <v>Use-after-free</v>
      </c>
      <c r="E284" t="str">
        <f>IFERROR(__xludf.DUMMYFUNCTION("""COMPUTED_VALUE"""),"Use-after-free in TextBlock")</f>
        <v>Use-after-free in TextBlock</v>
      </c>
      <c r="F284" t="str">
        <f>IFERROR(__xludf.DUMMYFUNCTION("""COMPUTED_VALUE"""),"2015-07-05")</f>
        <v>2015-07-05</v>
      </c>
      <c r="G284" s="9">
        <f>IFERROR(__xludf.DUMMYFUNCTION("""COMPUTED_VALUE"""),42199.0)</f>
        <v>42199</v>
      </c>
      <c r="H284" s="10" t="str">
        <f>IFERROR(__xludf.DUMMYFUNCTION("""COMPUTED_VALUE"""),"https://helpx.adobe.com/security/products/flash-player/apsb15-18.html")</f>
        <v>https://helpx.adobe.com/security/products/flash-player/apsb15-18.html</v>
      </c>
      <c r="I284" s="10" t="str">
        <f>IFERROR(__xludf.DUMMYFUNCTION("""COMPUTED_VALUE"""),"https://blog.trendmicro.com/trendlabs-security-intelligence/another-zero-day-vulnerability-arises-from-hacking-team-data-leak/")</f>
        <v>https://blog.trendmicro.com/trendlabs-security-intelligence/another-zero-day-vulnerability-arises-from-hacking-team-data-leak/</v>
      </c>
      <c r="J284" t="str">
        <f>IFERROR(__xludf.DUMMYFUNCTION("""COMPUTED_VALUE"""),"???")</f>
        <v>???</v>
      </c>
      <c r="K284" t="str">
        <f>IFERROR(__xludf.DUMMYFUNCTION("""COMPUTED_VALUE"""),"Dhanesh Kizhakkinan of FireEye")</f>
        <v>Dhanesh Kizhakkinan of FireEye</v>
      </c>
    </row>
    <row r="285">
      <c r="A285" t="str">
        <f>IFERROR(__xludf.DUMMYFUNCTION("""COMPUTED_VALUE"""),"CVE-2015-5123")</f>
        <v>CVE-2015-5123</v>
      </c>
      <c r="B285" t="str">
        <f>IFERROR(__xludf.DUMMYFUNCTION("""COMPUTED_VALUE"""),"Adobe")</f>
        <v>Adobe</v>
      </c>
      <c r="C285" t="str">
        <f>IFERROR(__xludf.DUMMYFUNCTION("""COMPUTED_VALUE"""),"Flash")</f>
        <v>Flash</v>
      </c>
      <c r="D285" t="str">
        <f>IFERROR(__xludf.DUMMYFUNCTION("""COMPUTED_VALUE"""),"Use-after-free")</f>
        <v>Use-after-free</v>
      </c>
      <c r="E285" t="str">
        <f>IFERROR(__xludf.DUMMYFUNCTION("""COMPUTED_VALUE"""),"Use-after-free in BitmapData")</f>
        <v>Use-after-free in BitmapData</v>
      </c>
      <c r="F285" t="str">
        <f>IFERROR(__xludf.DUMMYFUNCTION("""COMPUTED_VALUE"""),"2015-07-05")</f>
        <v>2015-07-05</v>
      </c>
      <c r="G285" s="9">
        <f>IFERROR(__xludf.DUMMYFUNCTION("""COMPUTED_VALUE"""),42199.0)</f>
        <v>42199</v>
      </c>
      <c r="H285" s="10" t="str">
        <f>IFERROR(__xludf.DUMMYFUNCTION("""COMPUTED_VALUE"""),"https://helpx.adobe.com/security/products/flash-player/apsb15-18.html")</f>
        <v>https://helpx.adobe.com/security/products/flash-player/apsb15-18.html</v>
      </c>
      <c r="I285" s="10" t="str">
        <f>IFERROR(__xludf.DUMMYFUNCTION("""COMPUTED_VALUE"""),"https://blog.trendmicro.com/trendlabs-security-intelligence/new-zero-day-vulnerability-cve-2015-5123-in-adobe-flash-emerges-from-hacking-team-leak/")</f>
        <v>https://blog.trendmicro.com/trendlabs-security-intelligence/new-zero-day-vulnerability-cve-2015-5123-in-adobe-flash-emerges-from-hacking-team-leak/</v>
      </c>
      <c r="J285" t="str">
        <f>IFERROR(__xludf.DUMMYFUNCTION("""COMPUTED_VALUE"""),"???")</f>
        <v>???</v>
      </c>
      <c r="K285" t="str">
        <f>IFERROR(__xludf.DUMMYFUNCTION("""COMPUTED_VALUE"""),"Peter Pi of TrendMicro and slipstream/RoL (@TheWack0lian)")</f>
        <v>Peter Pi of TrendMicro and slipstream/RoL (@TheWack0lian)</v>
      </c>
    </row>
    <row r="286">
      <c r="A286" t="str">
        <f>IFERROR(__xludf.DUMMYFUNCTION("""COMPUTED_VALUE"""),"CVE-2015-2387")</f>
        <v>CVE-2015-2387</v>
      </c>
      <c r="B286" t="str">
        <f>IFERROR(__xludf.DUMMYFUNCTION("""COMPUTED_VALUE"""),"Microsoft")</f>
        <v>Microsoft</v>
      </c>
      <c r="C286" t="str">
        <f>IFERROR(__xludf.DUMMYFUNCTION("""COMPUTED_VALUE"""),"Windows Kernel")</f>
        <v>Windows Kernel</v>
      </c>
      <c r="D286" t="str">
        <f>IFERROR(__xludf.DUMMYFUNCTION("""COMPUTED_VALUE"""),"Memory Corruption")</f>
        <v>Memory Corruption</v>
      </c>
      <c r="E286" t="str">
        <f>IFERROR(__xludf.DUMMYFUNCTION("""COMPUTED_VALUE"""),"ATMFD.DLL named escape memory corruption")</f>
        <v>ATMFD.DLL named escape memory corruption</v>
      </c>
      <c r="F286" t="str">
        <f>IFERROR(__xludf.DUMMYFUNCTION("""COMPUTED_VALUE"""),"2015-07-05")</f>
        <v>2015-07-05</v>
      </c>
      <c r="G286" s="9">
        <f>IFERROR(__xludf.DUMMYFUNCTION("""COMPUTED_VALUE"""),42199.0)</f>
        <v>42199</v>
      </c>
      <c r="H286" s="10" t="str">
        <f>IFERROR(__xludf.DUMMYFUNCTION("""COMPUTED_VALUE"""),"https://docs.microsoft.com/en-us/security-updates/SecurityBulletins/2015/ms15-077")</f>
        <v>https://docs.microsoft.com/en-us/security-updates/SecurityBulletins/2015/ms15-077</v>
      </c>
      <c r="I286" s="10" t="str">
        <f>IFERROR(__xludf.DUMMYFUNCTION("""COMPUTED_VALUE"""),"https://blog.trendmicro.com/trendlabs-security-intelligence/a-look-at-the-open-type-font-manager-vulnerability-from-the-hacking-team-leak/")</f>
        <v>https://blog.trendmicro.com/trendlabs-security-intelligence/a-look-at-the-open-type-font-manager-vulnerability-from-the-hacking-team-leak/</v>
      </c>
      <c r="J286" t="str">
        <f>IFERROR(__xludf.DUMMYFUNCTION("""COMPUTED_VALUE"""),"???")</f>
        <v>???</v>
      </c>
      <c r="K286" t="str">
        <f>IFERROR(__xludf.DUMMYFUNCTION("""COMPUTED_VALUE"""),"Google Project Zero and Morgan Marquis-Boire")</f>
        <v>Google Project Zero and Morgan Marquis-Boire</v>
      </c>
    </row>
    <row r="287">
      <c r="A287" t="str">
        <f>IFERROR(__xludf.DUMMYFUNCTION("""COMPUTED_VALUE"""),"CVE-2015-2425")</f>
        <v>CVE-2015-2425</v>
      </c>
      <c r="B287" t="str">
        <f>IFERROR(__xludf.DUMMYFUNCTION("""COMPUTED_VALUE"""),"Microsoft")</f>
        <v>Microsoft</v>
      </c>
      <c r="C287" t="str">
        <f>IFERROR(__xludf.DUMMYFUNCTION("""COMPUTED_VALUE"""),"Internet Explorer")</f>
        <v>Internet Explorer</v>
      </c>
      <c r="D287" t="str">
        <f>IFERROR(__xludf.DUMMYFUNCTION("""COMPUTED_VALUE"""),"Use-after-free")</f>
        <v>Use-after-free</v>
      </c>
      <c r="E287" t="str">
        <f>IFERROR(__xludf.DUMMYFUNCTION("""COMPUTED_VALUE"""),"Use-after-free in MutationObserver")</f>
        <v>Use-after-free in MutationObserver</v>
      </c>
      <c r="F287" t="str">
        <f>IFERROR(__xludf.DUMMYFUNCTION("""COMPUTED_VALUE"""),"2015-07-05")</f>
        <v>2015-07-05</v>
      </c>
      <c r="G287" s="9">
        <f>IFERROR(__xludf.DUMMYFUNCTION("""COMPUTED_VALUE"""),42199.0)</f>
        <v>42199</v>
      </c>
      <c r="H287" s="10" t="str">
        <f>IFERROR(__xludf.DUMMYFUNCTION("""COMPUTED_VALUE"""),"https://docs.microsoft.com/en-us/security-updates/SecurityBulletins/2015/ms15-065")</f>
        <v>https://docs.microsoft.com/en-us/security-updates/SecurityBulletins/2015/ms15-065</v>
      </c>
      <c r="I287" s="10" t="str">
        <f>IFERROR(__xludf.DUMMYFUNCTION("""COMPUTED_VALUE"""),"https://blog.trendmicro.com/trendlabs-security-intelligence/gifts-from-hacking-team-continue-ie-zero-day-added-to-mix/")</f>
        <v>https://blog.trendmicro.com/trendlabs-security-intelligence/gifts-from-hacking-team-continue-ie-zero-day-added-to-mix/</v>
      </c>
      <c r="J287" t="str">
        <f>IFERROR(__xludf.DUMMYFUNCTION("""COMPUTED_VALUE"""),"???")</f>
        <v>???</v>
      </c>
      <c r="K287" t="str">
        <f>IFERROR(__xludf.DUMMYFUNCTION("""COMPUTED_VALUE"""),"Bill Finlayson of Vectra Networks, Dhanesh Kizhakkinan of FireEye, Peter Pi of TrendMicro")</f>
        <v>Bill Finlayson of Vectra Networks, Dhanesh Kizhakkinan of FireEye, Peter Pi of TrendMicro</v>
      </c>
    </row>
    <row r="288">
      <c r="A288" t="str">
        <f>IFERROR(__xludf.DUMMYFUNCTION("""COMPUTED_VALUE"""),"CVE-2015-2424")</f>
        <v>CVE-2015-2424</v>
      </c>
      <c r="B288" t="str">
        <f>IFERROR(__xludf.DUMMYFUNCTION("""COMPUTED_VALUE"""),"Microsoft")</f>
        <v>Microsoft</v>
      </c>
      <c r="C288" t="str">
        <f>IFERROR(__xludf.DUMMYFUNCTION("""COMPUTED_VALUE"""),"Office")</f>
        <v>Office</v>
      </c>
      <c r="D288" t="str">
        <f>IFERROR(__xludf.DUMMYFUNCTION("""COMPUTED_VALUE"""),"Memory Corruption")</f>
        <v>Memory Corruption</v>
      </c>
      <c r="E288" t="str">
        <f>IFERROR(__xludf.DUMMYFUNCTION("""COMPUTED_VALUE"""),"Heap corruption in Forms.Image.1")</f>
        <v>Heap corruption in Forms.Image.1</v>
      </c>
      <c r="F288" t="str">
        <f>IFERROR(__xludf.DUMMYFUNCTION("""COMPUTED_VALUE"""),"2015-06-30")</f>
        <v>2015-06-30</v>
      </c>
      <c r="G288" s="9">
        <f>IFERROR(__xludf.DUMMYFUNCTION("""COMPUTED_VALUE"""),42199.0)</f>
        <v>42199</v>
      </c>
      <c r="H288" s="10" t="str">
        <f>IFERROR(__xludf.DUMMYFUNCTION("""COMPUTED_VALUE"""),"https://docs.microsoft.com/en-us/security-updates/SecurityBulletins/2015/ms15-070")</f>
        <v>https://docs.microsoft.com/en-us/security-updates/SecurityBulletins/2015/ms15-070</v>
      </c>
      <c r="I288" s="10" t="str">
        <f>IFERROR(__xludf.DUMMYFUNCTION("""COMPUTED_VALUE"""),"https://web.archive.org/web/20150717041821/http://www.isightpartners.com/2015/07/microsoft-office-zero-day-cve-2015-2424-leveraged-by-tsar-team/")</f>
        <v>https://web.archive.org/web/20150717041821/http://www.isightpartners.com/2015/07/microsoft-office-zero-day-cve-2015-2424-leveraged-by-tsar-team/</v>
      </c>
      <c r="J288" t="str">
        <f>IFERROR(__xludf.DUMMYFUNCTION("""COMPUTED_VALUE"""),"???")</f>
        <v>???</v>
      </c>
      <c r="K288" t="str">
        <f>IFERROR(__xludf.DUMMYFUNCTION("""COMPUTED_VALUE"""),"The Labs Team of iSIGHT Partners, Edward Fjellskål of Telenor CERT")</f>
        <v>The Labs Team of iSIGHT Partners, Edward Fjellskål of Telenor CERT</v>
      </c>
    </row>
    <row r="289">
      <c r="A289" t="str">
        <f>IFERROR(__xludf.DUMMYFUNCTION("""COMPUTED_VALUE"""),"CVE-2015-2590")</f>
        <v>CVE-2015-2590</v>
      </c>
      <c r="B289" t="str">
        <f>IFERROR(__xludf.DUMMYFUNCTION("""COMPUTED_VALUE"""),"Oracle")</f>
        <v>Oracle</v>
      </c>
      <c r="C289" t="str">
        <f>IFERROR(__xludf.DUMMYFUNCTION("""COMPUTED_VALUE"""),"Java")</f>
        <v>Java</v>
      </c>
      <c r="D289" t="str">
        <f>IFERROR(__xludf.DUMMYFUNCTION("""COMPUTED_VALUE"""),"Race Condition")</f>
        <v>Race Condition</v>
      </c>
      <c r="E289" t="str">
        <f>IFERROR(__xludf.DUMMYFUNCTION("""COMPUTED_VALUE"""),"Race condition in ObjectInputStream.readSerialData")</f>
        <v>Race condition in ObjectInputStream.readSerialData</v>
      </c>
      <c r="F289" t="str">
        <f>IFERROR(__xludf.DUMMYFUNCTION("""COMPUTED_VALUE"""),"???")</f>
        <v>???</v>
      </c>
      <c r="G289" s="9">
        <f>IFERROR(__xludf.DUMMYFUNCTION("""COMPUTED_VALUE"""),42199.0)</f>
        <v>42199</v>
      </c>
      <c r="H289" s="10" t="str">
        <f>IFERROR(__xludf.DUMMYFUNCTION("""COMPUTED_VALUE"""),"https://www.oracle.com/technetwork/topics/security/cpujul2015-2367936.html")</f>
        <v>https://www.oracle.com/technetwork/topics/security/cpujul2015-2367936.html</v>
      </c>
      <c r="I289" s="10" t="str">
        <f>IFERROR(__xludf.DUMMYFUNCTION("""COMPUTED_VALUE"""),"https://twitter.com/tiraniddo/status/621308239909646336")</f>
        <v>https://twitter.com/tiraniddo/status/621308239909646336</v>
      </c>
      <c r="J289" t="str">
        <f>IFERROR(__xludf.DUMMYFUNCTION("""COMPUTED_VALUE"""),"???")</f>
        <v>???</v>
      </c>
      <c r="K289" t="str">
        <f>IFERROR(__xludf.DUMMYFUNCTION("""COMPUTED_VALUE"""),"Trend Micro")</f>
        <v>Trend Micro</v>
      </c>
    </row>
    <row r="290">
      <c r="A290" t="str">
        <f>IFERROR(__xludf.DUMMYFUNCTION("""COMPUTED_VALUE"""),"CVE-2015-5119")</f>
        <v>CVE-2015-5119</v>
      </c>
      <c r="B290" t="str">
        <f>IFERROR(__xludf.DUMMYFUNCTION("""COMPUTED_VALUE"""),"Adobe")</f>
        <v>Adobe</v>
      </c>
      <c r="C290" t="str">
        <f>IFERROR(__xludf.DUMMYFUNCTION("""COMPUTED_VALUE"""),"Flash")</f>
        <v>Flash</v>
      </c>
      <c r="D290" t="str">
        <f>IFERROR(__xludf.DUMMYFUNCTION("""COMPUTED_VALUE"""),"Use-after-free")</f>
        <v>Use-after-free</v>
      </c>
      <c r="E290" t="str">
        <f>IFERROR(__xludf.DUMMYFUNCTION("""COMPUTED_VALUE"""),"Use-after-free in ByteArray ValueOf")</f>
        <v>Use-after-free in ByteArray ValueOf</v>
      </c>
      <c r="F290" t="str">
        <f>IFERROR(__xludf.DUMMYFUNCTION("""COMPUTED_VALUE"""),"2015-07-05")</f>
        <v>2015-07-05</v>
      </c>
      <c r="G290" s="9">
        <f>IFERROR(__xludf.DUMMYFUNCTION("""COMPUTED_VALUE"""),42193.0)</f>
        <v>42193</v>
      </c>
      <c r="H290" s="10" t="str">
        <f>IFERROR(__xludf.DUMMYFUNCTION("""COMPUTED_VALUE"""),"https://helpx.adobe.com/security/products/flash-player/apsb15-16.html")</f>
        <v>https://helpx.adobe.com/security/products/flash-player/apsb15-16.html</v>
      </c>
      <c r="I290" s="10" t="str">
        <f>IFERROR(__xludf.DUMMYFUNCTION("""COMPUTED_VALUE"""),"https://blog.trendmicro.com/trendlabs-security-intelligence/unpatched-flash-player-flaws-more-pocs-found-in-hacking-team-leak/")</f>
        <v>https://blog.trendmicro.com/trendlabs-security-intelligence/unpatched-flash-player-flaws-more-pocs-found-in-hacking-team-leak/</v>
      </c>
      <c r="J290" t="str">
        <f>IFERROR(__xludf.DUMMYFUNCTION("""COMPUTED_VALUE"""),"???")</f>
        <v>???</v>
      </c>
      <c r="K290" t="str">
        <f>IFERROR(__xludf.DUMMYFUNCTION("""COMPUTED_VALUE"""),"Google Project Zero and Morgan Marquis-Boire")</f>
        <v>Google Project Zero and Morgan Marquis-Boire</v>
      </c>
    </row>
    <row r="291">
      <c r="A291" t="str">
        <f>IFERROR(__xludf.DUMMYFUNCTION("""COMPUTED_VALUE"""),"CVE-2015-3113")</f>
        <v>CVE-2015-3113</v>
      </c>
      <c r="B291" t="str">
        <f>IFERROR(__xludf.DUMMYFUNCTION("""COMPUTED_VALUE"""),"Adobe")</f>
        <v>Adobe</v>
      </c>
      <c r="C291" t="str">
        <f>IFERROR(__xludf.DUMMYFUNCTION("""COMPUTED_VALUE"""),"Flash")</f>
        <v>Flash</v>
      </c>
      <c r="D291" t="str">
        <f>IFERROR(__xludf.DUMMYFUNCTION("""COMPUTED_VALUE"""),"Memory Corruption")</f>
        <v>Memory Corruption</v>
      </c>
      <c r="E291" t="str">
        <f>IFERROR(__xludf.DUMMYFUNCTION("""COMPUTED_VALUE"""),"Buffer overflow in FLV media parsing")</f>
        <v>Buffer overflow in FLV media parsing</v>
      </c>
      <c r="F291" t="str">
        <f>IFERROR(__xludf.DUMMYFUNCTION("""COMPUTED_VALUE"""),"???")</f>
        <v>???</v>
      </c>
      <c r="G291" s="9">
        <f>IFERROR(__xludf.DUMMYFUNCTION("""COMPUTED_VALUE"""),42178.0)</f>
        <v>42178</v>
      </c>
      <c r="H291" s="10" t="str">
        <f>IFERROR(__xludf.DUMMYFUNCTION("""COMPUTED_VALUE"""),"https://helpx.adobe.com/security/products/flash-player/apsb15-14.html")</f>
        <v>https://helpx.adobe.com/security/products/flash-player/apsb15-14.html</v>
      </c>
      <c r="I291" s="10" t="str">
        <f>IFERROR(__xludf.DUMMYFUNCTION("""COMPUTED_VALUE"""),"https://blog.trendmicro.com/trendlabs-security-intelligence/new-adobe-zero-day-shares-same-root-cause-as-older-flaws/")</f>
        <v>https://blog.trendmicro.com/trendlabs-security-intelligence/new-adobe-zero-day-shares-same-root-cause-as-older-flaws/</v>
      </c>
      <c r="J291" t="str">
        <f>IFERROR(__xludf.DUMMYFUNCTION("""COMPUTED_VALUE"""),"???")</f>
        <v>???</v>
      </c>
      <c r="K291" t="str">
        <f>IFERROR(__xludf.DUMMYFUNCTION("""COMPUTED_VALUE"""),"FireEye")</f>
        <v>FireEye</v>
      </c>
    </row>
    <row r="292">
      <c r="A292" t="str">
        <f>IFERROR(__xludf.DUMMYFUNCTION("""COMPUTED_VALUE"""),"CVE-2015-2360")</f>
        <v>CVE-2015-2360</v>
      </c>
      <c r="B292" t="str">
        <f>IFERROR(__xludf.DUMMYFUNCTION("""COMPUTED_VALUE"""),"Microsoft")</f>
        <v>Microsoft</v>
      </c>
      <c r="C292" t="str">
        <f>IFERROR(__xludf.DUMMYFUNCTION("""COMPUTED_VALUE"""),"Windows Kernel")</f>
        <v>Windows Kernel</v>
      </c>
      <c r="D292" t="str">
        <f>IFERROR(__xludf.DUMMYFUNCTION("""COMPUTED_VALUE"""),"Memory Corruption")</f>
        <v>Memory Corruption</v>
      </c>
      <c r="E292" t="str">
        <f>IFERROR(__xludf.DUMMYFUNCTION("""COMPUTED_VALUE"""),"Use-after-free on tagCLS object")</f>
        <v>Use-after-free on tagCLS object</v>
      </c>
      <c r="F292" t="str">
        <f>IFERROR(__xludf.DUMMYFUNCTION("""COMPUTED_VALUE"""),"???")</f>
        <v>???</v>
      </c>
      <c r="G292" s="9">
        <f>IFERROR(__xludf.DUMMYFUNCTION("""COMPUTED_VALUE"""),42164.0)</f>
        <v>42164</v>
      </c>
      <c r="H292" s="10" t="str">
        <f>IFERROR(__xludf.DUMMYFUNCTION("""COMPUTED_VALUE"""),"https://docs.microsoft.com/en-us/security-updates/securitybulletins/2015/ms15-061")</f>
        <v>https://docs.microsoft.com/en-us/security-updates/securitybulletins/2015/ms15-061</v>
      </c>
      <c r="I292" s="10" t="str">
        <f>IFERROR(__xludf.DUMMYFUNCTION("""COMPUTED_VALUE"""),"https://blog.trendmicro.com/trendlabs-security-intelligence/analysis-of-cve-2015-2360-duqu-2-0-zero-day-vulnerability/")</f>
        <v>https://blog.trendmicro.com/trendlabs-security-intelligence/analysis-of-cve-2015-2360-duqu-2-0-zero-day-vulnerability/</v>
      </c>
      <c r="J292" t="str">
        <f>IFERROR(__xludf.DUMMYFUNCTION("""COMPUTED_VALUE"""),"???")</f>
        <v>???</v>
      </c>
      <c r="K292" t="str">
        <f>IFERROR(__xludf.DUMMYFUNCTION("""COMPUTED_VALUE"""),"Maxim Golovkin of Kaspersky Lab, enSilo Research Team")</f>
        <v>Maxim Golovkin of Kaspersky Lab, enSilo Research Team</v>
      </c>
    </row>
    <row r="293">
      <c r="A293" t="str">
        <f>IFERROR(__xludf.DUMMYFUNCTION("""COMPUTED_VALUE"""),"CVE-2015-1701")</f>
        <v>CVE-2015-1701</v>
      </c>
      <c r="B293" t="str">
        <f>IFERROR(__xludf.DUMMYFUNCTION("""COMPUTED_VALUE"""),"Microsoft")</f>
        <v>Microsoft</v>
      </c>
      <c r="C293" t="str">
        <f>IFERROR(__xludf.DUMMYFUNCTION("""COMPUTED_VALUE"""),"Windows Kernel")</f>
        <v>Windows Kernel</v>
      </c>
      <c r="D293" t="str">
        <f>IFERROR(__xludf.DUMMYFUNCTION("""COMPUTED_VALUE"""),"Logic/Design Flaw")</f>
        <v>Logic/Design Flaw</v>
      </c>
      <c r="E293" t="str">
        <f>IFERROR(__xludf.DUMMYFUNCTION("""COMPUTED_VALUE"""),"CreateWindow callback validation error")</f>
        <v>CreateWindow callback validation error</v>
      </c>
      <c r="F293" t="str">
        <f>IFERROR(__xludf.DUMMYFUNCTION("""COMPUTED_VALUE"""),"2015-04-18")</f>
        <v>2015-04-18</v>
      </c>
      <c r="G293" s="9">
        <f>IFERROR(__xludf.DUMMYFUNCTION("""COMPUTED_VALUE"""),42136.0)</f>
        <v>42136</v>
      </c>
      <c r="H293" s="10" t="str">
        <f>IFERROR(__xludf.DUMMYFUNCTION("""COMPUTED_VALUE"""),"https://docs.microsoft.com/en-us/security-updates/securitybulletins/2015/ms15-051")</f>
        <v>https://docs.microsoft.com/en-us/security-updates/securitybulletins/2015/ms15-051</v>
      </c>
      <c r="I293" s="10" t="str">
        <f>IFERROR(__xludf.DUMMYFUNCTION("""COMPUTED_VALUE"""),"https://www.fireeye.com/blog/threat-research/2015/04/probable_apt28_useo.html")</f>
        <v>https://www.fireeye.com/blog/threat-research/2015/04/probable_apt28_useo.html</v>
      </c>
      <c r="J293" t="str">
        <f>IFERROR(__xludf.DUMMYFUNCTION("""COMPUTED_VALUE"""),"???")</f>
        <v>???</v>
      </c>
      <c r="K293" t="str">
        <f>IFERROR(__xludf.DUMMYFUNCTION("""COMPUTED_VALUE"""),"???")</f>
        <v>???</v>
      </c>
    </row>
    <row r="294">
      <c r="A294" t="str">
        <f>IFERROR(__xludf.DUMMYFUNCTION("""COMPUTED_VALUE"""),"CVE-2015-3043")</f>
        <v>CVE-2015-3043</v>
      </c>
      <c r="B294" t="str">
        <f>IFERROR(__xludf.DUMMYFUNCTION("""COMPUTED_VALUE"""),"Adobe")</f>
        <v>Adobe</v>
      </c>
      <c r="C294" t="str">
        <f>IFERROR(__xludf.DUMMYFUNCTION("""COMPUTED_VALUE"""),"Flash")</f>
        <v>Flash</v>
      </c>
      <c r="D294" t="str">
        <f>IFERROR(__xludf.DUMMYFUNCTION("""COMPUTED_VALUE"""),"Memory Corruption")</f>
        <v>Memory Corruption</v>
      </c>
      <c r="E294" t="str">
        <f>IFERROR(__xludf.DUMMYFUNCTION("""COMPUTED_VALUE"""),"Buffer overflow in FLV media parsing")</f>
        <v>Buffer overflow in FLV media parsing</v>
      </c>
      <c r="F294" t="str">
        <f>IFERROR(__xludf.DUMMYFUNCTION("""COMPUTED_VALUE"""),"2015-04-13")</f>
        <v>2015-04-13</v>
      </c>
      <c r="G294" s="9">
        <f>IFERROR(__xludf.DUMMYFUNCTION("""COMPUTED_VALUE"""),42108.0)</f>
        <v>42108</v>
      </c>
      <c r="H294" s="10" t="str">
        <f>IFERROR(__xludf.DUMMYFUNCTION("""COMPUTED_VALUE"""),"https://helpx.adobe.com/security/products/flash-player/apsb15-06.html")</f>
        <v>https://helpx.adobe.com/security/products/flash-player/apsb15-06.html</v>
      </c>
      <c r="I294" s="10" t="str">
        <f>IFERROR(__xludf.DUMMYFUNCTION("""COMPUTED_VALUE"""),"https://www.fireeye.com/blog/threat-research/2015/04/probable_apt28_useo.html")</f>
        <v>https://www.fireeye.com/blog/threat-research/2015/04/probable_apt28_useo.html</v>
      </c>
      <c r="J294" t="str">
        <f>IFERROR(__xludf.DUMMYFUNCTION("""COMPUTED_VALUE"""),"???")</f>
        <v>???</v>
      </c>
      <c r="K294" t="str">
        <f>IFERROR(__xludf.DUMMYFUNCTION("""COMPUTED_VALUE"""),"Anonymous")</f>
        <v>Anonymous</v>
      </c>
    </row>
    <row r="295">
      <c r="A295" t="str">
        <f>IFERROR(__xludf.DUMMYFUNCTION("""COMPUTED_VALUE"""),"CVE-2015-1641")</f>
        <v>CVE-2015-1641</v>
      </c>
      <c r="B295" t="str">
        <f>IFERROR(__xludf.DUMMYFUNCTION("""COMPUTED_VALUE"""),"Microsoft")</f>
        <v>Microsoft</v>
      </c>
      <c r="C295" t="str">
        <f>IFERROR(__xludf.DUMMYFUNCTION("""COMPUTED_VALUE"""),"Office")</f>
        <v>Office</v>
      </c>
      <c r="D295" t="str">
        <f>IFERROR(__xludf.DUMMYFUNCTION("""COMPUTED_VALUE"""),"Memory Corruption")</f>
        <v>Memory Corruption</v>
      </c>
      <c r="E295" t="str">
        <f>IFERROR(__xludf.DUMMYFUNCTION("""COMPUTED_VALUE"""),"Type confusion in SmartTag element")</f>
        <v>Type confusion in SmartTag element</v>
      </c>
      <c r="F295" t="str">
        <f>IFERROR(__xludf.DUMMYFUNCTION("""COMPUTED_VALUE"""),"???")</f>
        <v>???</v>
      </c>
      <c r="G295" s="9">
        <f>IFERROR(__xludf.DUMMYFUNCTION("""COMPUTED_VALUE"""),42108.0)</f>
        <v>42108</v>
      </c>
      <c r="H295" s="10" t="str">
        <f>IFERROR(__xludf.DUMMYFUNCTION("""COMPUTED_VALUE"""),"https://docs.microsoft.com/en-us/security-updates/SecurityBulletins/2015/ms15-033")</f>
        <v>https://docs.microsoft.com/en-us/security-updates/SecurityBulletins/2015/ms15-033</v>
      </c>
      <c r="I295" s="10" t="str">
        <f>IFERROR(__xludf.DUMMYFUNCTION("""COMPUTED_VALUE"""),"https://paper.seebug.org/351/")</f>
        <v>https://paper.seebug.org/351/</v>
      </c>
      <c r="J295" t="str">
        <f>IFERROR(__xludf.DUMMYFUNCTION("""COMPUTED_VALUE"""),"???")</f>
        <v>???</v>
      </c>
      <c r="K295" t="str">
        <f>IFERROR(__xludf.DUMMYFUNCTION("""COMPUTED_VALUE"""),"The Labs Team of iSIGHT Partners")</f>
        <v>The Labs Team of iSIGHT Partners</v>
      </c>
    </row>
    <row r="296">
      <c r="A296" t="str">
        <f>IFERROR(__xludf.DUMMYFUNCTION("""COMPUTED_VALUE"""),"CVE-2015-0071")</f>
        <v>CVE-2015-0071</v>
      </c>
      <c r="B296" t="str">
        <f>IFERROR(__xludf.DUMMYFUNCTION("""COMPUTED_VALUE"""),"Microsoft")</f>
        <v>Microsoft</v>
      </c>
      <c r="C296" t="str">
        <f>IFERROR(__xludf.DUMMYFUNCTION("""COMPUTED_VALUE"""),"Internet Explorer")</f>
        <v>Internet Explorer</v>
      </c>
      <c r="D296" t="str">
        <f>IFERROR(__xludf.DUMMYFUNCTION("""COMPUTED_VALUE"""),"Information Leak")</f>
        <v>Information Leak</v>
      </c>
      <c r="E296" t="str">
        <f>IFERROR(__xludf.DUMMYFUNCTION("""COMPUTED_VALUE"""),"Out-of-bounds read in Js::JavascriptRegExpConstructor::SetProperty")</f>
        <v>Out-of-bounds read in Js::JavascriptRegExpConstructor::SetProperty</v>
      </c>
      <c r="F296" t="str">
        <f>IFERROR(__xludf.DUMMYFUNCTION("""COMPUTED_VALUE"""),"???")</f>
        <v>???</v>
      </c>
      <c r="G296" s="9">
        <f>IFERROR(__xludf.DUMMYFUNCTION("""COMPUTED_VALUE"""),42045.0)</f>
        <v>42045</v>
      </c>
      <c r="H296" s="10" t="str">
        <f>IFERROR(__xludf.DUMMYFUNCTION("""COMPUTED_VALUE"""),"https://docs.microsoft.com/en-us/security-updates/securitybulletins/2015/ms15-009")</f>
        <v>https://docs.microsoft.com/en-us/security-updates/securitybulletins/2015/ms15-009</v>
      </c>
      <c r="I296" s="10" t="str">
        <f>IFERROR(__xludf.DUMMYFUNCTION("""COMPUTED_VALUE"""),"http://blog.trendmicro.com/trendlabs-security-intelligence/bypassing-aslr-with-cve-2015-0071-an-out-of-bounds-read-vulnerability/")</f>
        <v>http://blog.trendmicro.com/trendlabs-security-intelligence/bypassing-aslr-with-cve-2015-0071-an-out-of-bounds-read-vulnerability/</v>
      </c>
      <c r="J296" t="str">
        <f>IFERROR(__xludf.DUMMYFUNCTION("""COMPUTED_VALUE"""),"???")</f>
        <v>???</v>
      </c>
      <c r="K296" t="str">
        <f>IFERROR(__xludf.DUMMYFUNCTION("""COMPUTED_VALUE"""),"Clement Lecigne of Google, The Labs Team of iSIGHT Partners")</f>
        <v>Clement Lecigne of Google, The Labs Team of iSIGHT Partners</v>
      </c>
    </row>
    <row r="297">
      <c r="A297" t="str">
        <f>IFERROR(__xludf.DUMMYFUNCTION("""COMPUTED_VALUE"""),"CVE-2015-0313")</f>
        <v>CVE-2015-0313</v>
      </c>
      <c r="B297" t="str">
        <f>IFERROR(__xludf.DUMMYFUNCTION("""COMPUTED_VALUE"""),"Adobe")</f>
        <v>Adobe</v>
      </c>
      <c r="C297" t="str">
        <f>IFERROR(__xludf.DUMMYFUNCTION("""COMPUTED_VALUE"""),"Flash")</f>
        <v>Flash</v>
      </c>
      <c r="D297" t="str">
        <f>IFERROR(__xludf.DUMMYFUNCTION("""COMPUTED_VALUE"""),"Use-after-free")</f>
        <v>Use-after-free</v>
      </c>
      <c r="E297" t="str">
        <f>IFERROR(__xludf.DUMMYFUNCTION("""COMPUTED_VALUE"""),"Use-after-free in ByteArray::Clear")</f>
        <v>Use-after-free in ByteArray::Clear</v>
      </c>
      <c r="F297" t="str">
        <f>IFERROR(__xludf.DUMMYFUNCTION("""COMPUTED_VALUE"""),"2015-01-14")</f>
        <v>2015-01-14</v>
      </c>
      <c r="G297" s="9">
        <f>IFERROR(__xludf.DUMMYFUNCTION("""COMPUTED_VALUE"""),42040.0)</f>
        <v>42040</v>
      </c>
      <c r="H297" s="10" t="str">
        <f>IFERROR(__xludf.DUMMYFUNCTION("""COMPUTED_VALUE"""),"https://helpx.adobe.com/security/products/flash-player/apsb15-04.html")</f>
        <v>https://helpx.adobe.com/security/products/flash-player/apsb15-04.html</v>
      </c>
      <c r="I297" s="10" t="str">
        <f>IFERROR(__xludf.DUMMYFUNCTION("""COMPUTED_VALUE"""),"http://blog.trendmicro.com/trendlabs-security-intelligence/analyzing-cve-2015-0313-the-new-flash-player-zero-day/")</f>
        <v>http://blog.trendmicro.com/trendlabs-security-intelligence/analyzing-cve-2015-0313-the-new-flash-player-zero-day/</v>
      </c>
      <c r="J297" t="str">
        <f>IFERROR(__xludf.DUMMYFUNCTION("""COMPUTED_VALUE"""),"???")</f>
        <v>???</v>
      </c>
      <c r="K297" t="str">
        <f>IFERROR(__xludf.DUMMYFUNCTION("""COMPUTED_VALUE"""),"Elia Florio and Dave Weston of Microsoft, and Peter Pi of Trend Micro")</f>
        <v>Elia Florio and Dave Weston of Microsoft, and Peter Pi of Trend Micro</v>
      </c>
    </row>
    <row r="298">
      <c r="A298" t="str">
        <f>IFERROR(__xludf.DUMMYFUNCTION("""COMPUTED_VALUE"""),"CVE-2015-0311")</f>
        <v>CVE-2015-0311</v>
      </c>
      <c r="B298" t="str">
        <f>IFERROR(__xludf.DUMMYFUNCTION("""COMPUTED_VALUE"""),"Adobe")</f>
        <v>Adobe</v>
      </c>
      <c r="C298" t="str">
        <f>IFERROR(__xludf.DUMMYFUNCTION("""COMPUTED_VALUE"""),"Flash")</f>
        <v>Flash</v>
      </c>
      <c r="D298" t="str">
        <f>IFERROR(__xludf.DUMMYFUNCTION("""COMPUTED_VALUE"""),"Use-after-free")</f>
        <v>Use-after-free</v>
      </c>
      <c r="E298" t="str">
        <f>IFERROR(__xludf.DUMMYFUNCTION("""COMPUTED_VALUE"""),"Use-after-free in ByteArray::UncompressViaZlibVariant")</f>
        <v>Use-after-free in ByteArray::UncompressViaZlibVariant</v>
      </c>
      <c r="F298" t="str">
        <f>IFERROR(__xludf.DUMMYFUNCTION("""COMPUTED_VALUE"""),"2015-01-20")</f>
        <v>2015-01-20</v>
      </c>
      <c r="G298" s="9">
        <f>IFERROR(__xludf.DUMMYFUNCTION("""COMPUTED_VALUE"""),42031.0)</f>
        <v>42031</v>
      </c>
      <c r="H298" s="10" t="str">
        <f>IFERROR(__xludf.DUMMYFUNCTION("""COMPUTED_VALUE"""),"https://helpx.adobe.com/security/products/flash-player/apsb15-03.html")</f>
        <v>https://helpx.adobe.com/security/products/flash-player/apsb15-03.html</v>
      </c>
      <c r="I298" s="10" t="str">
        <f>IFERROR(__xludf.DUMMYFUNCTION("""COMPUTED_VALUE"""),"https://blog.trendmicro.com/trendlabs-security-intelligence/analyzing-cve-2015-0311-flash-zero-day-vulnerability/")</f>
        <v>https://blog.trendmicro.com/trendlabs-security-intelligence/analyzing-cve-2015-0311-flash-zero-day-vulnerability/</v>
      </c>
      <c r="J298" t="str">
        <f>IFERROR(__xludf.DUMMYFUNCTION("""COMPUTED_VALUE"""),"???")</f>
        <v>???</v>
      </c>
      <c r="K298" t="str">
        <f>IFERROR(__xludf.DUMMYFUNCTION("""COMPUTED_VALUE"""),"Kafeine of Malware don’t need Coffee and Jack Tang of Trend Micro")</f>
        <v>Kafeine of Malware don’t need Coffee and Jack Tang of Trend Micro</v>
      </c>
    </row>
    <row r="299">
      <c r="A299" t="str">
        <f>IFERROR(__xludf.DUMMYFUNCTION("""COMPUTED_VALUE"""),"CVE-2015-0310")</f>
        <v>CVE-2015-0310</v>
      </c>
      <c r="B299" t="str">
        <f>IFERROR(__xludf.DUMMYFUNCTION("""COMPUTED_VALUE"""),"Adobe")</f>
        <v>Adobe</v>
      </c>
      <c r="C299" t="str">
        <f>IFERROR(__xludf.DUMMYFUNCTION("""COMPUTED_VALUE"""),"Flash")</f>
        <v>Flash</v>
      </c>
      <c r="D299" t="str">
        <f>IFERROR(__xludf.DUMMYFUNCTION("""COMPUTED_VALUE"""),"Information Leak")</f>
        <v>Information Leak</v>
      </c>
      <c r="E299" t="str">
        <f>IFERROR(__xludf.DUMMYFUNCTION("""COMPUTED_VALUE"""),"Out-of-bounds read in RegExp::exec")</f>
        <v>Out-of-bounds read in RegExp::exec</v>
      </c>
      <c r="F299" t="str">
        <f>IFERROR(__xludf.DUMMYFUNCTION("""COMPUTED_VALUE"""),"2015-01-16")</f>
        <v>2015-01-16</v>
      </c>
      <c r="G299" s="9">
        <f>IFERROR(__xludf.DUMMYFUNCTION("""COMPUTED_VALUE"""),42026.0)</f>
        <v>42026</v>
      </c>
      <c r="H299" s="10" t="str">
        <f>IFERROR(__xludf.DUMMYFUNCTION("""COMPUTED_VALUE"""),"https://helpx.adobe.com/security/products/flash-player/apsb15-02.html")</f>
        <v>https://helpx.adobe.com/security/products/flash-player/apsb15-02.html</v>
      </c>
      <c r="I299" s="10" t="str">
        <f>IFERROR(__xludf.DUMMYFUNCTION("""COMPUTED_VALUE"""),"https://bugs.chromium.org/p/chromium/issues/detail?id=442585")</f>
        <v>https://bugs.chromium.org/p/chromium/issues/detail?id=442585</v>
      </c>
      <c r="J299" t="str">
        <f>IFERROR(__xludf.DUMMYFUNCTION("""COMPUTED_VALUE"""),"???")</f>
        <v>???</v>
      </c>
      <c r="K299" t="str">
        <f>IFERROR(__xludf.DUMMYFUNCTION("""COMPUTED_VALUE"""),"Yang Dingning, working with the Chromium Vulnerability Rewards Program, Timo Hirvonen of F-Secure and Kafeine")</f>
        <v>Yang Dingning, working with the Chromium Vulnerability Rewards Program, Timo Hirvonen of F-Secure and Kafeine</v>
      </c>
    </row>
    <row r="300">
      <c r="A300" t="str">
        <f>IFERROR(__xludf.DUMMYFUNCTION("""COMPUTED_VALUE"""),"CVE-2015-0016")</f>
        <v>CVE-2015-0016</v>
      </c>
      <c r="B300" t="str">
        <f>IFERROR(__xludf.DUMMYFUNCTION("""COMPUTED_VALUE"""),"Microsoft")</f>
        <v>Microsoft</v>
      </c>
      <c r="C300" t="str">
        <f>IFERROR(__xludf.DUMMYFUNCTION("""COMPUTED_VALUE"""),"Windows")</f>
        <v>Windows</v>
      </c>
      <c r="D300" t="str">
        <f>IFERROR(__xludf.DUMMYFUNCTION("""COMPUTED_VALUE"""),"Logic/Design Flaw")</f>
        <v>Logic/Design Flaw</v>
      </c>
      <c r="E300" t="str">
        <f>IFERROR(__xludf.DUMMYFUNCTION("""COMPUTED_VALUE"""),"Improper path validation leads to IE sandbox escape")</f>
        <v>Improper path validation leads to IE sandbox escape</v>
      </c>
      <c r="F300" t="str">
        <f>IFERROR(__xludf.DUMMYFUNCTION("""COMPUTED_VALUE"""),"???")</f>
        <v>???</v>
      </c>
      <c r="G300" s="9">
        <f>IFERROR(__xludf.DUMMYFUNCTION("""COMPUTED_VALUE"""),42017.0)</f>
        <v>42017</v>
      </c>
      <c r="H300" s="10" t="str">
        <f>IFERROR(__xludf.DUMMYFUNCTION("""COMPUTED_VALUE"""),"https://docs.microsoft.com/en-us/security-updates/securitybulletins/2015/ms15-004")</f>
        <v>https://docs.microsoft.com/en-us/security-updates/securitybulletins/2015/ms15-004</v>
      </c>
      <c r="I300" s="10" t="str">
        <f>IFERROR(__xludf.DUMMYFUNCTION("""COMPUTED_VALUE"""),"http://blog.trendmicro.com/trendlabs-security-intelligence/cve-2015-0016-escaping-the-internet-explorer-sandbox/")</f>
        <v>http://blog.trendmicro.com/trendlabs-security-intelligence/cve-2015-0016-escaping-the-internet-explorer-sandbox/</v>
      </c>
      <c r="J300" t="str">
        <f>IFERROR(__xludf.DUMMYFUNCTION("""COMPUTED_VALUE"""),"???")</f>
        <v>???</v>
      </c>
      <c r="K300" t="str">
        <f>IFERROR(__xludf.DUMMYFUNCTION("""COMPUTED_VALUE"""),"Liam O’Murchu of Symantec")</f>
        <v>Liam O’Murchu of Symantec</v>
      </c>
    </row>
    <row r="301">
      <c r="A301" t="str">
        <f>IFERROR(__xludf.DUMMYFUNCTION("""COMPUTED_VALUE"""),"CVE-2014-9163")</f>
        <v>CVE-2014-9163</v>
      </c>
      <c r="B301" t="str">
        <f>IFERROR(__xludf.DUMMYFUNCTION("""COMPUTED_VALUE"""),"Adobe")</f>
        <v>Adobe</v>
      </c>
      <c r="C301" t="str">
        <f>IFERROR(__xludf.DUMMYFUNCTION("""COMPUTED_VALUE"""),"Flash")</f>
        <v>Flash</v>
      </c>
      <c r="D301" t="str">
        <f>IFERROR(__xludf.DUMMYFUNCTION("""COMPUTED_VALUE"""),"Memory Corruption")</f>
        <v>Memory Corruption</v>
      </c>
      <c r="E301" t="str">
        <f>IFERROR(__xludf.DUMMYFUNCTION("""COMPUTED_VALUE"""),"Unspecified stack buffer overflow in Flash")</f>
        <v>Unspecified stack buffer overflow in Flash</v>
      </c>
      <c r="F301" t="str">
        <f>IFERROR(__xludf.DUMMYFUNCTION("""COMPUTED_VALUE"""),"???")</f>
        <v>???</v>
      </c>
      <c r="G301" s="9">
        <f>IFERROR(__xludf.DUMMYFUNCTION("""COMPUTED_VALUE"""),41982.0)</f>
        <v>41982</v>
      </c>
      <c r="H301" s="10" t="str">
        <f>IFERROR(__xludf.DUMMYFUNCTION("""COMPUTED_VALUE"""),"https://helpx.adobe.com/security/products/flash-player/apsb14-27.html")</f>
        <v>https://helpx.adobe.com/security/products/flash-player/apsb14-27.html</v>
      </c>
      <c r="I301" t="str">
        <f>IFERROR(__xludf.DUMMYFUNCTION("""COMPUTED_VALUE"""),"???")</f>
        <v>???</v>
      </c>
      <c r="J301" t="str">
        <f>IFERROR(__xludf.DUMMYFUNCTION("""COMPUTED_VALUE"""),"???")</f>
        <v>???</v>
      </c>
      <c r="K301" t="str">
        <f>IFERROR(__xludf.DUMMYFUNCTION("""COMPUTED_VALUE"""),"bilou working with HP’s Zero Day Initiative")</f>
        <v>bilou working with HP’s Zero Day Initiative</v>
      </c>
    </row>
    <row r="302">
      <c r="A302" t="str">
        <f>IFERROR(__xludf.DUMMYFUNCTION("""COMPUTED_VALUE"""),"CVE-2014-6324")</f>
        <v>CVE-2014-6324</v>
      </c>
      <c r="B302" t="str">
        <f>IFERROR(__xludf.DUMMYFUNCTION("""COMPUTED_VALUE"""),"Microsoft")</f>
        <v>Microsoft</v>
      </c>
      <c r="C302" t="str">
        <f>IFERROR(__xludf.DUMMYFUNCTION("""COMPUTED_VALUE"""),"Windows")</f>
        <v>Windows</v>
      </c>
      <c r="D302" t="str">
        <f>IFERROR(__xludf.DUMMYFUNCTION("""COMPUTED_VALUE"""),"Logic/Design Flaw")</f>
        <v>Logic/Design Flaw</v>
      </c>
      <c r="E302" t="str">
        <f>IFERROR(__xludf.DUMMYFUNCTION("""COMPUTED_VALUE"""),"Logic/design flaw in Kerberos KDC allowing remote domain controller escalation of privilege")</f>
        <v>Logic/design flaw in Kerberos KDC allowing remote domain controller escalation of privilege</v>
      </c>
      <c r="F302" t="str">
        <f>IFERROR(__xludf.DUMMYFUNCTION("""COMPUTED_VALUE"""),"???")</f>
        <v>???</v>
      </c>
      <c r="G302" s="9">
        <f>IFERROR(__xludf.DUMMYFUNCTION("""COMPUTED_VALUE"""),41961.0)</f>
        <v>41961</v>
      </c>
      <c r="H302" s="10" t="str">
        <f>IFERROR(__xludf.DUMMYFUNCTION("""COMPUTED_VALUE"""),"https://docs.microsoft.com/en-us/security-updates/securitybulletins/2014/ms14-068")</f>
        <v>https://docs.microsoft.com/en-us/security-updates/securitybulletins/2014/ms14-068</v>
      </c>
      <c r="I302" s="10" t="str">
        <f>IFERROR(__xludf.DUMMYFUNCTION("""COMPUTED_VALUE"""),"https://blogs.technet.microsoft.com/srd/2014/11/18/additional-information-about-cve-2014-6324/")</f>
        <v>https://blogs.technet.microsoft.com/srd/2014/11/18/additional-information-about-cve-2014-6324/</v>
      </c>
      <c r="J302" t="str">
        <f>IFERROR(__xludf.DUMMYFUNCTION("""COMPUTED_VALUE"""),"???")</f>
        <v>???</v>
      </c>
      <c r="K302" t="str">
        <f>IFERROR(__xludf.DUMMYFUNCTION("""COMPUTED_VALUE"""),"The Qualcomm Information Security &amp; Risk Management team, with special recognition for Tom Maddock")</f>
        <v>The Qualcomm Information Security &amp; Risk Management team, with special recognition for Tom Maddock</v>
      </c>
    </row>
    <row r="303">
      <c r="A303" t="str">
        <f>IFERROR(__xludf.DUMMYFUNCTION("""COMPUTED_VALUE"""),"CVE-2014-6352")</f>
        <v>CVE-2014-6352</v>
      </c>
      <c r="B303" t="str">
        <f>IFERROR(__xludf.DUMMYFUNCTION("""COMPUTED_VALUE"""),"Microsoft")</f>
        <v>Microsoft</v>
      </c>
      <c r="C303" t="str">
        <f>IFERROR(__xludf.DUMMYFUNCTION("""COMPUTED_VALUE"""),"Office")</f>
        <v>Office</v>
      </c>
      <c r="D303" t="str">
        <f>IFERROR(__xludf.DUMMYFUNCTION("""COMPUTED_VALUE"""),"Logic/Design Flaw")</f>
        <v>Logic/Design Flaw</v>
      </c>
      <c r="E303" t="str">
        <f>IFERROR(__xludf.DUMMYFUNCTION("""COMPUTED_VALUE"""),"Logic/design flaw in Packager OLE class")</f>
        <v>Logic/design flaw in Packager OLE class</v>
      </c>
      <c r="F303" t="str">
        <f>IFERROR(__xludf.DUMMYFUNCTION("""COMPUTED_VALUE"""),"???")</f>
        <v>???</v>
      </c>
      <c r="G303" s="9">
        <f>IFERROR(__xludf.DUMMYFUNCTION("""COMPUTED_VALUE"""),41954.0)</f>
        <v>41954</v>
      </c>
      <c r="H303" s="10" t="str">
        <f>IFERROR(__xludf.DUMMYFUNCTION("""COMPUTED_VALUE"""),"https://docs.microsoft.com/en-us/security-updates/securitybulletins/2014/ms14-064")</f>
        <v>https://docs.microsoft.com/en-us/security-updates/securitybulletins/2014/ms14-064</v>
      </c>
      <c r="I303" s="10" t="str">
        <f>IFERROR(__xludf.DUMMYFUNCTION("""COMPUTED_VALUE"""),"https://securingtomorrow.mcafee.com/other-blogs/mcafee-labs/bypassing-microsofts-patch-for-the-sandworm-zero-day-even-editing-can-cause-harm/")</f>
        <v>https://securingtomorrow.mcafee.com/other-blogs/mcafee-labs/bypassing-microsofts-patch-for-the-sandworm-zero-day-even-editing-can-cause-harm/</v>
      </c>
      <c r="J303" t="str">
        <f>IFERROR(__xludf.DUMMYFUNCTION("""COMPUTED_VALUE"""),"???")</f>
        <v>???</v>
      </c>
      <c r="K303" t="str">
        <f>IFERROR(__xludf.DUMMYFUNCTION("""COMPUTED_VALUE"""),"Drew Hintz, Shane Huntley, and Matty Pellegrino of Google Security Team")</f>
        <v>Drew Hintz, Shane Huntley, and Matty Pellegrino of Google Security Team</v>
      </c>
    </row>
    <row r="304">
      <c r="A304" t="str">
        <f>IFERROR(__xludf.DUMMYFUNCTION("""COMPUTED_VALUE"""),"CVE-2014-4077")</f>
        <v>CVE-2014-4077</v>
      </c>
      <c r="B304" t="str">
        <f>IFERROR(__xludf.DUMMYFUNCTION("""COMPUTED_VALUE"""),"Microsoft")</f>
        <v>Microsoft</v>
      </c>
      <c r="C304" t="str">
        <f>IFERROR(__xludf.DUMMYFUNCTION("""COMPUTED_VALUE"""),"Windows")</f>
        <v>Windows</v>
      </c>
      <c r="D304" t="str">
        <f>IFERROR(__xludf.DUMMYFUNCTION("""COMPUTED_VALUE"""),"Logic/Design Flaw")</f>
        <v>Logic/Design Flaw</v>
      </c>
      <c r="E304" t="str">
        <f>IFERROR(__xludf.DUMMYFUNCTION("""COMPUTED_VALUE"""),"Unspecified sandbox escape vulnerability in IME (Japanese)")</f>
        <v>Unspecified sandbox escape vulnerability in IME (Japanese)</v>
      </c>
      <c r="F304" t="str">
        <f>IFERROR(__xludf.DUMMYFUNCTION("""COMPUTED_VALUE"""),"???")</f>
        <v>???</v>
      </c>
      <c r="G304" s="9">
        <f>IFERROR(__xludf.DUMMYFUNCTION("""COMPUTED_VALUE"""),41954.0)</f>
        <v>41954</v>
      </c>
      <c r="H304" s="10" t="str">
        <f>IFERROR(__xludf.DUMMYFUNCTION("""COMPUTED_VALUE"""),"https://docs.microsoft.com/en-us/security-updates/securitybulletins/2014/ms14-078")</f>
        <v>https://docs.microsoft.com/en-us/security-updates/securitybulletins/2014/ms14-078</v>
      </c>
      <c r="I304" t="str">
        <f>IFERROR(__xludf.DUMMYFUNCTION("""COMPUTED_VALUE"""),"???")</f>
        <v>???</v>
      </c>
      <c r="J304" t="str">
        <f>IFERROR(__xludf.DUMMYFUNCTION("""COMPUTED_VALUE"""),"???")</f>
        <v>???</v>
      </c>
      <c r="K304" t="str">
        <f>IFERROR(__xludf.DUMMYFUNCTION("""COMPUTED_VALUE"""),"Vitaly Kamluk and Costin Raiu of Kaspersky Lab")</f>
        <v>Vitaly Kamluk and Costin Raiu of Kaspersky Lab</v>
      </c>
    </row>
    <row r="305">
      <c r="A305" t="str">
        <f>IFERROR(__xludf.DUMMYFUNCTION("""COMPUTED_VALUE"""),"CVE-2014-4113")</f>
        <v>CVE-2014-4113</v>
      </c>
      <c r="B305" t="str">
        <f>IFERROR(__xludf.DUMMYFUNCTION("""COMPUTED_VALUE"""),"Microsoft")</f>
        <v>Microsoft</v>
      </c>
      <c r="C305" t="str">
        <f>IFERROR(__xludf.DUMMYFUNCTION("""COMPUTED_VALUE"""),"Windows")</f>
        <v>Windows</v>
      </c>
      <c r="D305" t="str">
        <f>IFERROR(__xludf.DUMMYFUNCTION("""COMPUTED_VALUE"""),"Memory Corruption")</f>
        <v>Memory Corruption</v>
      </c>
      <c r="E305" t="str">
        <f>IFERROR(__xludf.DUMMYFUNCTION("""COMPUTED_VALUE"""),"NULL pointer dereference in win32k!win32k!xxxHandleMenuMessages")</f>
        <v>NULL pointer dereference in win32k!win32k!xxxHandleMenuMessages</v>
      </c>
      <c r="F305" t="str">
        <f>IFERROR(__xludf.DUMMYFUNCTION("""COMPUTED_VALUE"""),"???")</f>
        <v>???</v>
      </c>
      <c r="G305" s="9">
        <f>IFERROR(__xludf.DUMMYFUNCTION("""COMPUTED_VALUE"""),41926.0)</f>
        <v>41926</v>
      </c>
      <c r="H305" s="10" t="str">
        <f>IFERROR(__xludf.DUMMYFUNCTION("""COMPUTED_VALUE"""),"https://docs.microsoft.com/en-us/security-updates/securitybulletins/2014/ms14-058")</f>
        <v>https://docs.microsoft.com/en-us/security-updates/securitybulletins/2014/ms14-058</v>
      </c>
      <c r="I305" s="10" t="str">
        <f>IFERROR(__xludf.DUMMYFUNCTION("""COMPUTED_VALUE"""),"https://www.fireeye.com/blog/threat-research/2014/10/two-targeted-attacks-two-new-zero-days.html")</f>
        <v>https://www.fireeye.com/blog/threat-research/2014/10/two-targeted-attacks-two-new-zero-days.html</v>
      </c>
      <c r="J305" t="str">
        <f>IFERROR(__xludf.DUMMYFUNCTION("""COMPUTED_VALUE"""),"???")</f>
        <v>???</v>
      </c>
      <c r="K305" t="str">
        <f>IFERROR(__xludf.DUMMYFUNCTION("""COMPUTED_VALUE"""),"CrowdStrike Intelligence Team &amp; FireEye, Inc.")</f>
        <v>CrowdStrike Intelligence Team &amp; FireEye, Inc.</v>
      </c>
    </row>
    <row r="306">
      <c r="A306" t="str">
        <f>IFERROR(__xludf.DUMMYFUNCTION("""COMPUTED_VALUE"""),"CVE-2014-4114")</f>
        <v>CVE-2014-4114</v>
      </c>
      <c r="B306" t="str">
        <f>IFERROR(__xludf.DUMMYFUNCTION("""COMPUTED_VALUE"""),"Microsoft")</f>
        <v>Microsoft</v>
      </c>
      <c r="C306" t="str">
        <f>IFERROR(__xludf.DUMMYFUNCTION("""COMPUTED_VALUE"""),"Office")</f>
        <v>Office</v>
      </c>
      <c r="D306" t="str">
        <f>IFERROR(__xludf.DUMMYFUNCTION("""COMPUTED_VALUE"""),"Logic/Design Flaw")</f>
        <v>Logic/Design Flaw</v>
      </c>
      <c r="E306" t="str">
        <f>IFERROR(__xludf.DUMMYFUNCTION("""COMPUTED_VALUE"""),"Logic/design flaw in Packager OLE class")</f>
        <v>Logic/design flaw in Packager OLE class</v>
      </c>
      <c r="F306" t="str">
        <f>IFERROR(__xludf.DUMMYFUNCTION("""COMPUTED_VALUE"""),"???")</f>
        <v>???</v>
      </c>
      <c r="G306" s="9">
        <f>IFERROR(__xludf.DUMMYFUNCTION("""COMPUTED_VALUE"""),41926.0)</f>
        <v>41926</v>
      </c>
      <c r="H306" s="10" t="str">
        <f>IFERROR(__xludf.DUMMYFUNCTION("""COMPUTED_VALUE"""),"https://docs.microsoft.com/en-us/security-updates/securitybulletins/2014/ms14-060")</f>
        <v>https://docs.microsoft.com/en-us/security-updates/securitybulletins/2014/ms14-060</v>
      </c>
      <c r="I306" s="10" t="str">
        <f>IFERROR(__xludf.DUMMYFUNCTION("""COMPUTED_VALUE"""),"https://blog.trendmicro.com/trendlabs-security-intelligence/an-analysis-of-windows-zero-day-vulnerability-cve-2014-4114-aka-sandworm/")</f>
        <v>https://blog.trendmicro.com/trendlabs-security-intelligence/an-analysis-of-windows-zero-day-vulnerability-cve-2014-4114-aka-sandworm/</v>
      </c>
      <c r="J306" t="str">
        <f>IFERROR(__xludf.DUMMYFUNCTION("""COMPUTED_VALUE"""),"???")</f>
        <v>???</v>
      </c>
      <c r="K306" t="str">
        <f>IFERROR(__xludf.DUMMYFUNCTION("""COMPUTED_VALUE"""),"iSIGHT Partners and researchers from ESET")</f>
        <v>iSIGHT Partners and researchers from ESET</v>
      </c>
    </row>
    <row r="307">
      <c r="A307" t="str">
        <f>IFERROR(__xludf.DUMMYFUNCTION("""COMPUTED_VALUE"""),"CVE-2014-4148")</f>
        <v>CVE-2014-4148</v>
      </c>
      <c r="B307" t="str">
        <f>IFERROR(__xludf.DUMMYFUNCTION("""COMPUTED_VALUE"""),"Microsoft")</f>
        <v>Microsoft</v>
      </c>
      <c r="C307" t="str">
        <f>IFERROR(__xludf.DUMMYFUNCTION("""COMPUTED_VALUE"""),"Windows")</f>
        <v>Windows</v>
      </c>
      <c r="D307" t="str">
        <f>IFERROR(__xludf.DUMMYFUNCTION("""COMPUTED_VALUE"""),"Memory Corruption")</f>
        <v>Memory Corruption</v>
      </c>
      <c r="E307" t="str">
        <f>IFERROR(__xludf.DUMMYFUNCTION("""COMPUTED_VALUE"""),"Unspecified memory corruption in TrueType fonts")</f>
        <v>Unspecified memory corruption in TrueType fonts</v>
      </c>
      <c r="F307" t="str">
        <f>IFERROR(__xludf.DUMMYFUNCTION("""COMPUTED_VALUE"""),"???")</f>
        <v>???</v>
      </c>
      <c r="G307" s="9">
        <f>IFERROR(__xludf.DUMMYFUNCTION("""COMPUTED_VALUE"""),41926.0)</f>
        <v>41926</v>
      </c>
      <c r="H307" s="10" t="str">
        <f>IFERROR(__xludf.DUMMYFUNCTION("""COMPUTED_VALUE"""),"https://docs.microsoft.com/en-us/security-updates/securitybulletins/2014/ms14-058")</f>
        <v>https://docs.microsoft.com/en-us/security-updates/securitybulletins/2014/ms14-058</v>
      </c>
      <c r="I307" s="10" t="str">
        <f>IFERROR(__xludf.DUMMYFUNCTION("""COMPUTED_VALUE"""),"https://www.fireeye.com/blog/threat-research/2014/10/two-targeted-attacks-two-new-zero-days.html")</f>
        <v>https://www.fireeye.com/blog/threat-research/2014/10/two-targeted-attacks-two-new-zero-days.html</v>
      </c>
      <c r="J307" t="str">
        <f>IFERROR(__xludf.DUMMYFUNCTION("""COMPUTED_VALUE"""),"???")</f>
        <v>???</v>
      </c>
      <c r="K307" t="str">
        <f>IFERROR(__xludf.DUMMYFUNCTION("""COMPUTED_VALUE"""),"FireEye, Inc.")</f>
        <v>FireEye, Inc.</v>
      </c>
    </row>
    <row r="308">
      <c r="A308" t="str">
        <f>IFERROR(__xludf.DUMMYFUNCTION("""COMPUTED_VALUE"""),"CVE-2014-8439")</f>
        <v>CVE-2014-8439</v>
      </c>
      <c r="B308" t="str">
        <f>IFERROR(__xludf.DUMMYFUNCTION("""COMPUTED_VALUE"""),"Adobe")</f>
        <v>Adobe</v>
      </c>
      <c r="C308" t="str">
        <f>IFERROR(__xludf.DUMMYFUNCTION("""COMPUTED_VALUE"""),"Flash")</f>
        <v>Flash</v>
      </c>
      <c r="D308" t="str">
        <f>IFERROR(__xludf.DUMMYFUNCTION("""COMPUTED_VALUE"""),"Memory Corruption")</f>
        <v>Memory Corruption</v>
      </c>
      <c r="E308" t="str">
        <f>IFERROR(__xludf.DUMMYFUNCTION("""COMPUTED_VALUE"""),"Unspecified memory corruption in Flash")</f>
        <v>Unspecified memory corruption in Flash</v>
      </c>
      <c r="F308" t="str">
        <f>IFERROR(__xludf.DUMMYFUNCTION("""COMPUTED_VALUE"""),"???")</f>
        <v>???</v>
      </c>
      <c r="G308" s="9">
        <f>IFERROR(__xludf.DUMMYFUNCTION("""COMPUTED_VALUE"""),41926.0)</f>
        <v>41926</v>
      </c>
      <c r="H308" s="10" t="str">
        <f>IFERROR(__xludf.DUMMYFUNCTION("""COMPUTED_VALUE"""),"https://helpx.adobe.com/security/products/flash-player/apsb14-22.html")</f>
        <v>https://helpx.adobe.com/security/products/flash-player/apsb14-22.html</v>
      </c>
      <c r="I308" t="str">
        <f>IFERROR(__xludf.DUMMYFUNCTION("""COMPUTED_VALUE"""),"???")</f>
        <v>???</v>
      </c>
      <c r="J308" t="str">
        <f>IFERROR(__xludf.DUMMYFUNCTION("""COMPUTED_VALUE"""),"???")</f>
        <v>???</v>
      </c>
      <c r="K308" t="str">
        <f>IFERROR(__xludf.DUMMYFUNCTION("""COMPUTED_VALUE"""),"???")</f>
        <v>???</v>
      </c>
    </row>
    <row r="309">
      <c r="A309" t="str">
        <f>IFERROR(__xludf.DUMMYFUNCTION("""COMPUTED_VALUE"""),"CVE-2014-4123")</f>
        <v>CVE-2014-4123</v>
      </c>
      <c r="B309" t="str">
        <f>IFERROR(__xludf.DUMMYFUNCTION("""COMPUTED_VALUE"""),"Microsoft")</f>
        <v>Microsoft</v>
      </c>
      <c r="C309" t="str">
        <f>IFERROR(__xludf.DUMMYFUNCTION("""COMPUTED_VALUE"""),"Internet Explorer")</f>
        <v>Internet Explorer</v>
      </c>
      <c r="D309" t="str">
        <f>IFERROR(__xludf.DUMMYFUNCTION("""COMPUTED_VALUE"""),"Memory Corruption")</f>
        <v>Memory Corruption</v>
      </c>
      <c r="E309" t="str">
        <f>IFERROR(__xludf.DUMMYFUNCTION("""COMPUTED_VALUE"""),"Unspecified sandbox escape vulnerability")</f>
        <v>Unspecified sandbox escape vulnerability</v>
      </c>
      <c r="F309" t="str">
        <f>IFERROR(__xludf.DUMMYFUNCTION("""COMPUTED_VALUE"""),"???")</f>
        <v>???</v>
      </c>
      <c r="G309" s="9">
        <f>IFERROR(__xludf.DUMMYFUNCTION("""COMPUTED_VALUE"""),41926.0)</f>
        <v>41926</v>
      </c>
      <c r="H309" s="10" t="str">
        <f>IFERROR(__xludf.DUMMYFUNCTION("""COMPUTED_VALUE"""),"https://docs.microsoft.com/en-us/security-updates/securitybulletins/2014/ms14-056")</f>
        <v>https://docs.microsoft.com/en-us/security-updates/securitybulletins/2014/ms14-056</v>
      </c>
      <c r="I309" t="str">
        <f>IFERROR(__xludf.DUMMYFUNCTION("""COMPUTED_VALUE"""),"???")</f>
        <v>???</v>
      </c>
      <c r="J309" t="str">
        <f>IFERROR(__xludf.DUMMYFUNCTION("""COMPUTED_VALUE"""),"???")</f>
        <v>???</v>
      </c>
      <c r="K309" t="str">
        <f>IFERROR(__xludf.DUMMYFUNCTION("""COMPUTED_VALUE"""),"James Forshaw of Context Information Security")</f>
        <v>James Forshaw of Context Information Security</v>
      </c>
    </row>
    <row r="310">
      <c r="A310" t="str">
        <f>IFERROR(__xludf.DUMMYFUNCTION("""COMPUTED_VALUE"""),"CVE-2014-0546")</f>
        <v>CVE-2014-0546</v>
      </c>
      <c r="B310" t="str">
        <f>IFERROR(__xludf.DUMMYFUNCTION("""COMPUTED_VALUE"""),"Adobe")</f>
        <v>Adobe</v>
      </c>
      <c r="C310" t="str">
        <f>IFERROR(__xludf.DUMMYFUNCTION("""COMPUTED_VALUE"""),"Reader")</f>
        <v>Reader</v>
      </c>
      <c r="D310" t="str">
        <f>IFERROR(__xludf.DUMMYFUNCTION("""COMPUTED_VALUE"""),"Logic/Design Flaw")</f>
        <v>Logic/Design Flaw</v>
      </c>
      <c r="E310" t="str">
        <f>IFERROR(__xludf.DUMMYFUNCTION("""COMPUTED_VALUE"""),"Unspecified sandbox escape vulnerability")</f>
        <v>Unspecified sandbox escape vulnerability</v>
      </c>
      <c r="F310" t="str">
        <f>IFERROR(__xludf.DUMMYFUNCTION("""COMPUTED_VALUE"""),"???")</f>
        <v>???</v>
      </c>
      <c r="G310" s="9">
        <f>IFERROR(__xludf.DUMMYFUNCTION("""COMPUTED_VALUE"""),41863.0)</f>
        <v>41863</v>
      </c>
      <c r="H310" s="10" t="str">
        <f>IFERROR(__xludf.DUMMYFUNCTION("""COMPUTED_VALUE"""),"https://helpx.adobe.com/security/products/acrobat/apsb14-19.html")</f>
        <v>https://helpx.adobe.com/security/products/acrobat/apsb14-19.html</v>
      </c>
      <c r="I310" t="str">
        <f>IFERROR(__xludf.DUMMYFUNCTION("""COMPUTED_VALUE"""),"???")</f>
        <v>???</v>
      </c>
      <c r="J310" t="str">
        <f>IFERROR(__xludf.DUMMYFUNCTION("""COMPUTED_VALUE"""),"???")</f>
        <v>???</v>
      </c>
      <c r="K310" t="str">
        <f>IFERROR(__xludf.DUMMYFUNCTION("""COMPUTED_VALUE"""),"Costin Raiu and Vitaly Kamluk of Kaspersky Labs")</f>
        <v>Costin Raiu and Vitaly Kamluk of Kaspersky Labs</v>
      </c>
    </row>
    <row r="311">
      <c r="A311" t="str">
        <f>IFERROR(__xludf.DUMMYFUNCTION("""COMPUTED_VALUE"""),"CVE-2014-2817")</f>
        <v>CVE-2014-2817</v>
      </c>
      <c r="B311" t="str">
        <f>IFERROR(__xludf.DUMMYFUNCTION("""COMPUTED_VALUE"""),"Microsoft")</f>
        <v>Microsoft</v>
      </c>
      <c r="C311" t="str">
        <f>IFERROR(__xludf.DUMMYFUNCTION("""COMPUTED_VALUE"""),"Internet Explorer")</f>
        <v>Internet Explorer</v>
      </c>
      <c r="D311" t="str">
        <f>IFERROR(__xludf.DUMMYFUNCTION("""COMPUTED_VALUE"""),"Logic/Design Flaw")</f>
        <v>Logic/Design Flaw</v>
      </c>
      <c r="E311" t="str">
        <f>IFERROR(__xludf.DUMMYFUNCTION("""COMPUTED_VALUE"""),"Sandbox escape in IIEAxInstallBrokerBrokerPtr")</f>
        <v>Sandbox escape in IIEAxInstallBrokerBrokerPtr</v>
      </c>
      <c r="F311" t="str">
        <f>IFERROR(__xludf.DUMMYFUNCTION("""COMPUTED_VALUE"""),"???")</f>
        <v>???</v>
      </c>
      <c r="G311" s="9">
        <f>IFERROR(__xludf.DUMMYFUNCTION("""COMPUTED_VALUE"""),41863.0)</f>
        <v>41863</v>
      </c>
      <c r="H311" s="10" t="str">
        <f>IFERROR(__xludf.DUMMYFUNCTION("""COMPUTED_VALUE"""),"https://docs.microsoft.com/en-us/security-updates/securitybulletins/2014/ms14-051")</f>
        <v>https://docs.microsoft.com/en-us/security-updates/securitybulletins/2014/ms14-051</v>
      </c>
      <c r="I311" s="10" t="str">
        <f>IFERROR(__xludf.DUMMYFUNCTION("""COMPUTED_VALUE"""),"https://twitter.com/tiraniddo/status/522135160675127296")</f>
        <v>https://twitter.com/tiraniddo/status/522135160675127296</v>
      </c>
      <c r="J311" t="str">
        <f>IFERROR(__xludf.DUMMYFUNCTION("""COMPUTED_VALUE"""),"???")</f>
        <v>???</v>
      </c>
      <c r="K311" t="str">
        <f>IFERROR(__xludf.DUMMYFUNCTION("""COMPUTED_VALUE"""),"James Forshaw of Context Information Security")</f>
        <v>James Forshaw of Context Information Security</v>
      </c>
    </row>
    <row r="312">
      <c r="G312" s="9"/>
    </row>
    <row r="313">
      <c r="G313" s="9"/>
    </row>
    <row r="314">
      <c r="G314" s="9"/>
    </row>
    <row r="315">
      <c r="G315" s="9"/>
    </row>
    <row r="316">
      <c r="G316" s="9"/>
    </row>
    <row r="317">
      <c r="G317" s="9"/>
    </row>
    <row r="318">
      <c r="G318" s="9"/>
    </row>
    <row r="319">
      <c r="G319" s="9"/>
    </row>
    <row r="320">
      <c r="G320" s="9"/>
    </row>
    <row r="321">
      <c r="G321" s="9"/>
    </row>
    <row r="322">
      <c r="G322" s="9"/>
    </row>
    <row r="323">
      <c r="G323" s="9"/>
    </row>
    <row r="324">
      <c r="G324" s="9"/>
    </row>
    <row r="325">
      <c r="G325" s="9"/>
    </row>
    <row r="326">
      <c r="G326" s="9"/>
    </row>
    <row r="327">
      <c r="G327" s="9"/>
    </row>
    <row r="328">
      <c r="G328" s="9"/>
    </row>
    <row r="329">
      <c r="G329" s="9"/>
    </row>
    <row r="330">
      <c r="G330" s="9"/>
    </row>
    <row r="331">
      <c r="G331" s="9"/>
    </row>
    <row r="332">
      <c r="G332" s="9"/>
    </row>
    <row r="333">
      <c r="G333" s="9"/>
    </row>
    <row r="334">
      <c r="G334" s="9"/>
    </row>
    <row r="335">
      <c r="G335" s="9"/>
    </row>
    <row r="336">
      <c r="G336" s="9"/>
    </row>
    <row r="337">
      <c r="G337" s="9"/>
    </row>
    <row r="338">
      <c r="G338" s="9"/>
    </row>
    <row r="339">
      <c r="G339" s="9"/>
    </row>
    <row r="340">
      <c r="G340" s="9"/>
    </row>
    <row r="341">
      <c r="G341" s="9"/>
    </row>
    <row r="342">
      <c r="G342" s="9"/>
    </row>
    <row r="343">
      <c r="G343" s="9"/>
    </row>
    <row r="344">
      <c r="G344" s="9"/>
    </row>
    <row r="345">
      <c r="G345" s="9"/>
    </row>
    <row r="346">
      <c r="G346" s="9"/>
    </row>
    <row r="347">
      <c r="G347" s="9"/>
    </row>
    <row r="348">
      <c r="G348" s="9"/>
    </row>
    <row r="349">
      <c r="G349" s="9"/>
    </row>
    <row r="350">
      <c r="G350" s="9"/>
    </row>
    <row r="351">
      <c r="G351" s="9"/>
    </row>
    <row r="352">
      <c r="G352" s="9"/>
    </row>
    <row r="353">
      <c r="G353" s="9"/>
    </row>
    <row r="354">
      <c r="G354" s="9"/>
    </row>
    <row r="355">
      <c r="G355" s="9"/>
    </row>
    <row r="356">
      <c r="G356" s="9"/>
    </row>
    <row r="357">
      <c r="G357" s="9"/>
    </row>
    <row r="358">
      <c r="G358" s="9"/>
    </row>
    <row r="359">
      <c r="G359" s="9"/>
    </row>
    <row r="360">
      <c r="G360" s="9"/>
    </row>
    <row r="361">
      <c r="G361" s="9"/>
    </row>
    <row r="362">
      <c r="G362" s="9"/>
    </row>
    <row r="363">
      <c r="G363" s="9"/>
    </row>
    <row r="364">
      <c r="G364" s="9"/>
    </row>
    <row r="365">
      <c r="G365" s="9"/>
    </row>
    <row r="366">
      <c r="G366" s="9"/>
    </row>
    <row r="367">
      <c r="G367" s="9"/>
    </row>
    <row r="368">
      <c r="G368" s="9"/>
    </row>
    <row r="369">
      <c r="G369" s="9"/>
    </row>
    <row r="370">
      <c r="G370" s="9"/>
    </row>
    <row r="371">
      <c r="G371" s="9"/>
    </row>
    <row r="372">
      <c r="G372" s="9"/>
    </row>
    <row r="373">
      <c r="G373" s="9"/>
    </row>
    <row r="374">
      <c r="G374" s="9"/>
    </row>
    <row r="375">
      <c r="G375" s="9"/>
    </row>
    <row r="376">
      <c r="G376" s="9"/>
    </row>
    <row r="377">
      <c r="G377" s="9"/>
    </row>
    <row r="378">
      <c r="G378" s="9"/>
    </row>
    <row r="379">
      <c r="G379" s="9"/>
    </row>
    <row r="380">
      <c r="G380" s="9"/>
    </row>
    <row r="381">
      <c r="G381" s="9"/>
    </row>
    <row r="382">
      <c r="G382" s="9"/>
    </row>
    <row r="383">
      <c r="G383" s="9"/>
    </row>
    <row r="384">
      <c r="G384" s="9"/>
    </row>
    <row r="385">
      <c r="G385" s="9"/>
    </row>
    <row r="386">
      <c r="G386" s="9"/>
    </row>
    <row r="387">
      <c r="G387" s="9"/>
    </row>
    <row r="388">
      <c r="G388" s="9"/>
    </row>
    <row r="389">
      <c r="G389" s="9"/>
    </row>
    <row r="390">
      <c r="G390" s="9"/>
    </row>
    <row r="391">
      <c r="G391" s="9"/>
    </row>
    <row r="392">
      <c r="G392" s="9"/>
    </row>
    <row r="393">
      <c r="G393" s="9"/>
    </row>
    <row r="394">
      <c r="G394" s="9"/>
    </row>
    <row r="395">
      <c r="G395" s="9"/>
    </row>
    <row r="396">
      <c r="G396" s="9"/>
    </row>
    <row r="397">
      <c r="G397" s="9"/>
    </row>
    <row r="398">
      <c r="G398" s="9"/>
    </row>
    <row r="399">
      <c r="G399" s="9"/>
    </row>
    <row r="400">
      <c r="G400" s="9"/>
    </row>
    <row r="401">
      <c r="G401" s="9"/>
    </row>
    <row r="402">
      <c r="G402" s="9"/>
    </row>
    <row r="403">
      <c r="G403" s="9"/>
    </row>
    <row r="404">
      <c r="G404" s="9"/>
    </row>
    <row r="405">
      <c r="G405" s="9"/>
    </row>
    <row r="406">
      <c r="G406" s="9"/>
    </row>
    <row r="407">
      <c r="G407" s="9"/>
    </row>
    <row r="408">
      <c r="G408" s="9"/>
    </row>
    <row r="409">
      <c r="G409" s="9"/>
    </row>
    <row r="410">
      <c r="G410" s="9"/>
    </row>
    <row r="411">
      <c r="G411" s="9"/>
    </row>
    <row r="412">
      <c r="G412" s="9"/>
    </row>
    <row r="413">
      <c r="G413" s="9"/>
    </row>
    <row r="414">
      <c r="G414" s="9"/>
    </row>
    <row r="415">
      <c r="G415" s="9"/>
    </row>
    <row r="416">
      <c r="G416" s="9"/>
    </row>
    <row r="417">
      <c r="G417" s="9"/>
    </row>
    <row r="418">
      <c r="G418" s="9"/>
    </row>
    <row r="419">
      <c r="G419" s="9"/>
    </row>
    <row r="420">
      <c r="G420" s="9"/>
    </row>
    <row r="421">
      <c r="G421" s="9"/>
    </row>
    <row r="422">
      <c r="G422" s="9"/>
    </row>
    <row r="423">
      <c r="G423" s="9"/>
    </row>
    <row r="424">
      <c r="G424" s="9"/>
    </row>
    <row r="425">
      <c r="G425" s="9"/>
    </row>
    <row r="426">
      <c r="G426" s="9"/>
    </row>
    <row r="427">
      <c r="G427" s="9"/>
    </row>
    <row r="428">
      <c r="G428" s="9"/>
    </row>
    <row r="429">
      <c r="G429" s="9"/>
    </row>
    <row r="430">
      <c r="G430" s="9"/>
    </row>
    <row r="431">
      <c r="G431" s="9"/>
    </row>
    <row r="432">
      <c r="G432" s="9"/>
    </row>
    <row r="433">
      <c r="G433" s="9"/>
    </row>
    <row r="434">
      <c r="G434" s="9"/>
    </row>
    <row r="435">
      <c r="G435" s="9"/>
    </row>
    <row r="436">
      <c r="G436" s="9"/>
    </row>
    <row r="437">
      <c r="G437" s="9"/>
    </row>
    <row r="438">
      <c r="G438" s="9"/>
    </row>
    <row r="439">
      <c r="G439" s="9"/>
    </row>
    <row r="440">
      <c r="G440" s="9"/>
    </row>
    <row r="441">
      <c r="G441" s="9"/>
    </row>
    <row r="442">
      <c r="G442" s="9"/>
    </row>
    <row r="443">
      <c r="G443" s="9"/>
    </row>
    <row r="444">
      <c r="G444" s="9"/>
    </row>
    <row r="445">
      <c r="G445" s="9"/>
    </row>
    <row r="446">
      <c r="G446" s="9"/>
    </row>
    <row r="447">
      <c r="G447" s="9"/>
    </row>
    <row r="448">
      <c r="G448" s="9"/>
    </row>
    <row r="449">
      <c r="G449" s="9"/>
    </row>
    <row r="450">
      <c r="G450" s="9"/>
    </row>
    <row r="451">
      <c r="G451" s="9"/>
    </row>
    <row r="452">
      <c r="G452" s="9"/>
    </row>
    <row r="453">
      <c r="G453" s="9"/>
    </row>
    <row r="454">
      <c r="G454" s="9"/>
    </row>
    <row r="455">
      <c r="G455" s="9"/>
    </row>
    <row r="456">
      <c r="G456" s="9"/>
    </row>
    <row r="457">
      <c r="G457" s="9"/>
    </row>
    <row r="458">
      <c r="G458" s="9"/>
    </row>
    <row r="459">
      <c r="G459" s="9"/>
    </row>
    <row r="460">
      <c r="G460" s="9"/>
    </row>
    <row r="461">
      <c r="G461" s="9"/>
    </row>
    <row r="462">
      <c r="G462" s="9"/>
    </row>
    <row r="463">
      <c r="G463" s="9"/>
    </row>
    <row r="464">
      <c r="G464" s="9"/>
    </row>
    <row r="465">
      <c r="G465" s="9"/>
    </row>
    <row r="466">
      <c r="G466" s="9"/>
    </row>
    <row r="467">
      <c r="G467" s="9"/>
    </row>
    <row r="468">
      <c r="G468" s="9"/>
    </row>
    <row r="469">
      <c r="G469" s="9"/>
    </row>
    <row r="470">
      <c r="G470" s="9"/>
    </row>
    <row r="471">
      <c r="G471" s="9"/>
    </row>
    <row r="472">
      <c r="G472" s="9"/>
    </row>
    <row r="473">
      <c r="G473" s="9"/>
    </row>
    <row r="474">
      <c r="G474" s="9"/>
    </row>
    <row r="475">
      <c r="G475" s="9"/>
    </row>
    <row r="476">
      <c r="G476" s="9"/>
    </row>
    <row r="477">
      <c r="G477" s="9"/>
    </row>
    <row r="478">
      <c r="G478" s="9"/>
    </row>
    <row r="479">
      <c r="G479" s="9"/>
    </row>
    <row r="480">
      <c r="G480" s="9"/>
    </row>
    <row r="481">
      <c r="G481" s="9"/>
    </row>
    <row r="482">
      <c r="G482" s="9"/>
    </row>
    <row r="483">
      <c r="G483" s="9"/>
    </row>
    <row r="484">
      <c r="G484" s="9"/>
    </row>
    <row r="485">
      <c r="G485" s="9"/>
    </row>
    <row r="486">
      <c r="G486" s="9"/>
    </row>
    <row r="487">
      <c r="G487" s="9"/>
    </row>
    <row r="488">
      <c r="G488" s="9"/>
    </row>
    <row r="489">
      <c r="G489" s="9"/>
    </row>
    <row r="490">
      <c r="G490" s="9"/>
    </row>
    <row r="491">
      <c r="G491" s="9"/>
    </row>
    <row r="492">
      <c r="G492" s="9"/>
    </row>
    <row r="493">
      <c r="G493" s="9"/>
    </row>
    <row r="494">
      <c r="G494" s="9"/>
    </row>
    <row r="495">
      <c r="G495" s="9"/>
    </row>
    <row r="496">
      <c r="G496" s="9"/>
    </row>
    <row r="497">
      <c r="G497" s="9"/>
    </row>
    <row r="498">
      <c r="G498" s="9"/>
    </row>
    <row r="499">
      <c r="G499" s="9"/>
    </row>
    <row r="500">
      <c r="G500" s="9"/>
    </row>
    <row r="501">
      <c r="G501" s="9"/>
    </row>
    <row r="502">
      <c r="G502" s="9"/>
    </row>
    <row r="503">
      <c r="G503" s="9"/>
    </row>
    <row r="504">
      <c r="G504" s="9"/>
    </row>
    <row r="505">
      <c r="G505" s="9"/>
    </row>
    <row r="506">
      <c r="G506" s="9"/>
    </row>
    <row r="507">
      <c r="G507" s="9"/>
    </row>
    <row r="508">
      <c r="G508" s="9"/>
    </row>
    <row r="509">
      <c r="G509" s="9"/>
    </row>
    <row r="510">
      <c r="G510" s="9"/>
    </row>
    <row r="511">
      <c r="G511" s="9"/>
    </row>
    <row r="512">
      <c r="G512" s="9"/>
    </row>
    <row r="513">
      <c r="G513" s="9"/>
    </row>
    <row r="514">
      <c r="G514" s="9"/>
    </row>
    <row r="515">
      <c r="G515" s="9"/>
    </row>
    <row r="516">
      <c r="G516" s="9"/>
    </row>
    <row r="517">
      <c r="G517" s="9"/>
    </row>
    <row r="518">
      <c r="G518" s="9"/>
    </row>
    <row r="519">
      <c r="G519" s="9"/>
    </row>
    <row r="520">
      <c r="G520" s="9"/>
    </row>
    <row r="521">
      <c r="G521" s="9"/>
    </row>
    <row r="522">
      <c r="G522" s="9"/>
    </row>
    <row r="523">
      <c r="G523" s="9"/>
    </row>
    <row r="524">
      <c r="G524" s="9"/>
    </row>
    <row r="525">
      <c r="G525" s="9"/>
    </row>
    <row r="526">
      <c r="G526" s="9"/>
    </row>
    <row r="527">
      <c r="G527" s="9"/>
    </row>
    <row r="528">
      <c r="G528" s="9"/>
    </row>
    <row r="529">
      <c r="G529" s="9"/>
    </row>
    <row r="530">
      <c r="G530" s="9"/>
    </row>
    <row r="531">
      <c r="G531" s="9"/>
    </row>
    <row r="532">
      <c r="G532" s="9"/>
    </row>
    <row r="533">
      <c r="G533" s="9"/>
    </row>
    <row r="534">
      <c r="G534" s="9"/>
    </row>
    <row r="535">
      <c r="G535" s="9"/>
    </row>
    <row r="536">
      <c r="G536" s="9"/>
    </row>
    <row r="537">
      <c r="G537" s="9"/>
    </row>
    <row r="538">
      <c r="G538" s="9"/>
    </row>
    <row r="539">
      <c r="G539" s="9"/>
    </row>
    <row r="540">
      <c r="G540" s="9"/>
    </row>
    <row r="541">
      <c r="G541" s="9"/>
    </row>
    <row r="542">
      <c r="G542" s="9"/>
    </row>
    <row r="543">
      <c r="G543" s="9"/>
    </row>
    <row r="544">
      <c r="G544" s="9"/>
    </row>
    <row r="545">
      <c r="G545" s="9"/>
    </row>
    <row r="546">
      <c r="G546" s="9"/>
    </row>
    <row r="547">
      <c r="G547" s="9"/>
    </row>
    <row r="548">
      <c r="G548" s="9"/>
    </row>
    <row r="549">
      <c r="G549" s="9"/>
    </row>
    <row r="550">
      <c r="G550" s="9"/>
    </row>
    <row r="551">
      <c r="G551" s="9"/>
    </row>
    <row r="552">
      <c r="G552" s="9"/>
    </row>
    <row r="553">
      <c r="G553" s="9"/>
    </row>
    <row r="554">
      <c r="G554" s="9"/>
    </row>
    <row r="555">
      <c r="G555" s="9"/>
    </row>
    <row r="556">
      <c r="G556" s="9"/>
    </row>
    <row r="557">
      <c r="G557" s="9"/>
    </row>
    <row r="558">
      <c r="G558" s="9"/>
    </row>
    <row r="559">
      <c r="G559" s="9"/>
    </row>
    <row r="560">
      <c r="G560" s="9"/>
    </row>
    <row r="561">
      <c r="G561" s="9"/>
    </row>
    <row r="562">
      <c r="G562" s="9"/>
    </row>
    <row r="563">
      <c r="G563" s="9"/>
    </row>
    <row r="564">
      <c r="G564" s="9"/>
    </row>
    <row r="565">
      <c r="G565" s="9"/>
    </row>
    <row r="566">
      <c r="G566" s="9"/>
    </row>
    <row r="567">
      <c r="G567" s="9"/>
    </row>
    <row r="568">
      <c r="G568" s="9"/>
    </row>
    <row r="569">
      <c r="G569" s="9"/>
    </row>
    <row r="570">
      <c r="G570" s="9"/>
    </row>
    <row r="571">
      <c r="G571" s="9"/>
    </row>
    <row r="572">
      <c r="G572" s="9"/>
    </row>
    <row r="573">
      <c r="G573" s="9"/>
    </row>
    <row r="574">
      <c r="G574" s="9"/>
    </row>
    <row r="575">
      <c r="G575" s="9"/>
    </row>
    <row r="576">
      <c r="G576" s="9"/>
    </row>
    <row r="577">
      <c r="G577" s="9"/>
    </row>
    <row r="578">
      <c r="G578" s="9"/>
    </row>
    <row r="579">
      <c r="G579" s="9"/>
    </row>
    <row r="580">
      <c r="G580" s="9"/>
    </row>
    <row r="581">
      <c r="G581" s="9"/>
    </row>
    <row r="582">
      <c r="G582" s="9"/>
    </row>
    <row r="583">
      <c r="G583" s="9"/>
    </row>
    <row r="584">
      <c r="G584" s="9"/>
    </row>
    <row r="585">
      <c r="G585" s="9"/>
    </row>
    <row r="586">
      <c r="G586" s="9"/>
    </row>
    <row r="587">
      <c r="G587" s="9"/>
    </row>
    <row r="588">
      <c r="G588" s="9"/>
    </row>
    <row r="589">
      <c r="G589" s="9"/>
    </row>
    <row r="590">
      <c r="G590" s="9"/>
    </row>
    <row r="591">
      <c r="G591" s="9"/>
    </row>
    <row r="592">
      <c r="G592" s="9"/>
    </row>
    <row r="593">
      <c r="G593" s="9"/>
    </row>
    <row r="594">
      <c r="G594" s="9"/>
    </row>
    <row r="595">
      <c r="G595" s="9"/>
    </row>
    <row r="596">
      <c r="G596" s="9"/>
    </row>
    <row r="597">
      <c r="G597" s="9"/>
    </row>
    <row r="598">
      <c r="G598" s="9"/>
    </row>
    <row r="599">
      <c r="G599" s="9"/>
    </row>
    <row r="600">
      <c r="G600" s="9"/>
    </row>
    <row r="601">
      <c r="G601" s="9"/>
    </row>
    <row r="602">
      <c r="G602" s="9"/>
    </row>
    <row r="603">
      <c r="G603" s="9"/>
    </row>
    <row r="604">
      <c r="G604" s="9"/>
    </row>
    <row r="605">
      <c r="G605" s="9"/>
    </row>
    <row r="606">
      <c r="G606" s="9"/>
    </row>
    <row r="607">
      <c r="G607" s="9"/>
    </row>
    <row r="608">
      <c r="G608" s="9"/>
    </row>
    <row r="609">
      <c r="G609" s="9"/>
    </row>
    <row r="610">
      <c r="G610" s="9"/>
    </row>
    <row r="611">
      <c r="G611" s="9"/>
    </row>
    <row r="612">
      <c r="G612" s="9"/>
    </row>
    <row r="613">
      <c r="G613" s="9"/>
    </row>
    <row r="614">
      <c r="G614" s="9"/>
    </row>
    <row r="615">
      <c r="G615" s="9"/>
    </row>
    <row r="616">
      <c r="G616" s="9"/>
    </row>
    <row r="617">
      <c r="G617" s="9"/>
    </row>
    <row r="618">
      <c r="G618" s="9"/>
    </row>
    <row r="619">
      <c r="G619" s="9"/>
    </row>
    <row r="620">
      <c r="G620" s="9"/>
    </row>
    <row r="621">
      <c r="G621" s="9"/>
    </row>
    <row r="622">
      <c r="G622" s="9"/>
    </row>
    <row r="623">
      <c r="G623" s="9"/>
    </row>
    <row r="624">
      <c r="G624" s="9"/>
    </row>
    <row r="625">
      <c r="G625" s="9"/>
    </row>
    <row r="626">
      <c r="G626" s="9"/>
    </row>
    <row r="627">
      <c r="G627" s="9"/>
    </row>
    <row r="628">
      <c r="G628" s="9"/>
    </row>
    <row r="629">
      <c r="G629" s="9"/>
    </row>
    <row r="630">
      <c r="G630" s="9"/>
    </row>
    <row r="631">
      <c r="G631" s="9"/>
    </row>
    <row r="632">
      <c r="G632" s="9"/>
    </row>
    <row r="633">
      <c r="G633" s="9"/>
    </row>
    <row r="634">
      <c r="G634" s="9"/>
    </row>
    <row r="635">
      <c r="G635" s="9"/>
    </row>
    <row r="636">
      <c r="G636" s="9"/>
    </row>
    <row r="637">
      <c r="G637" s="9"/>
    </row>
    <row r="638">
      <c r="G638" s="9"/>
    </row>
    <row r="639">
      <c r="G639" s="9"/>
    </row>
    <row r="640">
      <c r="G640" s="9"/>
    </row>
    <row r="641">
      <c r="G641" s="9"/>
    </row>
    <row r="642">
      <c r="G642" s="9"/>
    </row>
    <row r="643">
      <c r="G643" s="9"/>
    </row>
    <row r="644">
      <c r="G644" s="9"/>
    </row>
    <row r="645">
      <c r="G645" s="9"/>
    </row>
    <row r="646">
      <c r="G646" s="9"/>
    </row>
    <row r="647">
      <c r="G647" s="9"/>
    </row>
    <row r="648">
      <c r="G648" s="9"/>
    </row>
    <row r="649">
      <c r="G649" s="9"/>
    </row>
    <row r="650">
      <c r="G650" s="9"/>
    </row>
    <row r="651">
      <c r="G651" s="9"/>
    </row>
    <row r="652">
      <c r="G652" s="9"/>
    </row>
    <row r="653">
      <c r="G653" s="9"/>
    </row>
    <row r="654">
      <c r="G654" s="9"/>
    </row>
    <row r="655">
      <c r="G655" s="9"/>
    </row>
    <row r="656">
      <c r="G656" s="9"/>
    </row>
    <row r="657">
      <c r="G657" s="9"/>
    </row>
    <row r="658">
      <c r="G658" s="9"/>
    </row>
    <row r="659">
      <c r="G659" s="9"/>
    </row>
    <row r="660">
      <c r="G660" s="9"/>
    </row>
    <row r="661">
      <c r="G661" s="9"/>
    </row>
    <row r="662">
      <c r="G662" s="9"/>
    </row>
    <row r="663">
      <c r="G663" s="9"/>
    </row>
    <row r="664">
      <c r="G664" s="9"/>
    </row>
    <row r="665">
      <c r="G665" s="9"/>
    </row>
    <row r="666">
      <c r="G666" s="9"/>
    </row>
    <row r="667">
      <c r="G667" s="9"/>
    </row>
    <row r="668">
      <c r="G668" s="9"/>
    </row>
    <row r="669">
      <c r="G669" s="9"/>
    </row>
    <row r="670">
      <c r="G670" s="9"/>
    </row>
    <row r="671">
      <c r="G671" s="9"/>
    </row>
    <row r="672">
      <c r="G672" s="9"/>
    </row>
    <row r="673">
      <c r="G673" s="9"/>
    </row>
    <row r="674">
      <c r="G674" s="9"/>
    </row>
    <row r="675">
      <c r="G675" s="9"/>
    </row>
    <row r="676">
      <c r="G676" s="9"/>
    </row>
    <row r="677">
      <c r="G677" s="9"/>
    </row>
    <row r="678">
      <c r="G678" s="9"/>
    </row>
    <row r="679">
      <c r="G679" s="9"/>
    </row>
    <row r="680">
      <c r="G680" s="9"/>
    </row>
    <row r="681">
      <c r="G681" s="9"/>
    </row>
    <row r="682">
      <c r="G682" s="9"/>
    </row>
    <row r="683">
      <c r="G683" s="9"/>
    </row>
    <row r="684">
      <c r="G684" s="9"/>
    </row>
    <row r="685">
      <c r="G685" s="9"/>
    </row>
    <row r="686">
      <c r="G686" s="9"/>
    </row>
    <row r="687">
      <c r="G687" s="9"/>
    </row>
    <row r="688">
      <c r="G688" s="9"/>
    </row>
    <row r="689">
      <c r="G689" s="9"/>
    </row>
    <row r="690">
      <c r="G690" s="9"/>
    </row>
    <row r="691">
      <c r="G691" s="9"/>
    </row>
    <row r="692">
      <c r="G692" s="9"/>
    </row>
    <row r="693">
      <c r="G693" s="9"/>
    </row>
    <row r="694">
      <c r="G694" s="9"/>
    </row>
    <row r="695">
      <c r="G695" s="9"/>
    </row>
    <row r="696">
      <c r="G696" s="9"/>
    </row>
    <row r="697">
      <c r="G697" s="9"/>
    </row>
    <row r="698">
      <c r="G698" s="9"/>
    </row>
    <row r="699">
      <c r="G699" s="9"/>
    </row>
    <row r="700">
      <c r="G700" s="9"/>
    </row>
    <row r="701">
      <c r="G701" s="9"/>
    </row>
    <row r="702">
      <c r="G702" s="9"/>
    </row>
    <row r="703">
      <c r="G703" s="9"/>
    </row>
    <row r="704">
      <c r="G704" s="9"/>
    </row>
    <row r="705">
      <c r="G705" s="9"/>
    </row>
    <row r="706">
      <c r="G706" s="9"/>
    </row>
    <row r="707">
      <c r="G707" s="9"/>
    </row>
    <row r="708">
      <c r="G708" s="9"/>
    </row>
    <row r="709">
      <c r="G709" s="9"/>
    </row>
    <row r="710">
      <c r="G710" s="9"/>
    </row>
    <row r="711">
      <c r="G711" s="9"/>
    </row>
    <row r="712">
      <c r="G712" s="9"/>
    </row>
    <row r="713">
      <c r="G713" s="9"/>
    </row>
    <row r="714">
      <c r="G714" s="9"/>
    </row>
    <row r="715">
      <c r="G715" s="9"/>
    </row>
    <row r="716">
      <c r="G716" s="9"/>
    </row>
    <row r="717">
      <c r="G717" s="9"/>
    </row>
    <row r="718">
      <c r="G718" s="9"/>
    </row>
    <row r="719">
      <c r="G719" s="9"/>
    </row>
    <row r="720">
      <c r="G720" s="9"/>
    </row>
    <row r="721">
      <c r="G721" s="9"/>
    </row>
    <row r="722">
      <c r="G722" s="9"/>
    </row>
    <row r="723">
      <c r="G723" s="9"/>
    </row>
    <row r="724">
      <c r="G724" s="9"/>
    </row>
    <row r="725">
      <c r="G725" s="9"/>
    </row>
    <row r="726">
      <c r="G726" s="9"/>
    </row>
    <row r="727">
      <c r="G727" s="9"/>
    </row>
    <row r="728">
      <c r="G728" s="9"/>
    </row>
    <row r="729">
      <c r="G729" s="9"/>
    </row>
    <row r="730">
      <c r="G730" s="9"/>
    </row>
    <row r="731">
      <c r="G731" s="9"/>
    </row>
    <row r="732">
      <c r="G732" s="9"/>
    </row>
    <row r="733">
      <c r="G733" s="9"/>
    </row>
    <row r="734">
      <c r="G734" s="9"/>
    </row>
    <row r="735">
      <c r="G735" s="9"/>
    </row>
    <row r="736">
      <c r="G736" s="9"/>
    </row>
    <row r="737">
      <c r="G737" s="9"/>
    </row>
    <row r="738">
      <c r="G738" s="9"/>
    </row>
    <row r="739">
      <c r="G739" s="9"/>
    </row>
    <row r="740">
      <c r="G740" s="9"/>
    </row>
    <row r="741">
      <c r="G741" s="9"/>
    </row>
    <row r="742">
      <c r="G742" s="9"/>
    </row>
    <row r="743">
      <c r="G743" s="9"/>
    </row>
    <row r="744">
      <c r="G744" s="9"/>
    </row>
    <row r="745">
      <c r="G745" s="9"/>
    </row>
    <row r="746">
      <c r="G746" s="9"/>
    </row>
    <row r="747">
      <c r="G747" s="9"/>
    </row>
    <row r="748">
      <c r="G748" s="9"/>
    </row>
    <row r="749">
      <c r="G749" s="9"/>
    </row>
    <row r="750">
      <c r="G750" s="9"/>
    </row>
    <row r="751">
      <c r="G751" s="9"/>
    </row>
    <row r="752">
      <c r="G752" s="9"/>
    </row>
    <row r="753">
      <c r="G753" s="9"/>
    </row>
    <row r="754">
      <c r="G754" s="9"/>
    </row>
    <row r="755">
      <c r="G755" s="9"/>
    </row>
    <row r="756">
      <c r="G756" s="9"/>
    </row>
    <row r="757">
      <c r="G757" s="9"/>
    </row>
    <row r="758">
      <c r="G758" s="9"/>
    </row>
    <row r="759">
      <c r="G759" s="9"/>
    </row>
    <row r="760">
      <c r="G760" s="9"/>
    </row>
    <row r="761">
      <c r="G761" s="9"/>
    </row>
    <row r="762">
      <c r="G762" s="9"/>
    </row>
    <row r="763">
      <c r="G763" s="9"/>
    </row>
    <row r="764">
      <c r="G764" s="9"/>
    </row>
    <row r="765">
      <c r="G765" s="9"/>
    </row>
    <row r="766">
      <c r="G766" s="9"/>
    </row>
    <row r="767">
      <c r="G767" s="9"/>
    </row>
    <row r="768">
      <c r="G768" s="9"/>
    </row>
    <row r="769">
      <c r="G769" s="9"/>
    </row>
    <row r="770">
      <c r="G770" s="9"/>
    </row>
    <row r="771">
      <c r="G771" s="9"/>
    </row>
    <row r="772">
      <c r="G772" s="9"/>
    </row>
    <row r="773">
      <c r="G773" s="9"/>
    </row>
    <row r="774">
      <c r="G774" s="9"/>
    </row>
    <row r="775">
      <c r="G775" s="9"/>
    </row>
    <row r="776">
      <c r="G776" s="9"/>
    </row>
    <row r="777">
      <c r="G777" s="9"/>
    </row>
    <row r="778">
      <c r="G778" s="9"/>
    </row>
    <row r="779">
      <c r="G779" s="9"/>
    </row>
    <row r="780">
      <c r="G780" s="9"/>
    </row>
    <row r="781">
      <c r="G781" s="9"/>
    </row>
    <row r="782">
      <c r="G782" s="9"/>
    </row>
    <row r="783">
      <c r="G783" s="9"/>
    </row>
    <row r="784">
      <c r="G784" s="9"/>
    </row>
    <row r="785">
      <c r="G785" s="9"/>
    </row>
    <row r="786">
      <c r="G786" s="9"/>
    </row>
    <row r="787">
      <c r="G787" s="9"/>
    </row>
    <row r="788">
      <c r="G788" s="9"/>
    </row>
    <row r="789">
      <c r="G789" s="9"/>
    </row>
    <row r="790">
      <c r="G790" s="9"/>
    </row>
    <row r="791">
      <c r="G791" s="9"/>
    </row>
    <row r="792">
      <c r="G792" s="9"/>
    </row>
    <row r="793">
      <c r="G793" s="9"/>
    </row>
    <row r="794">
      <c r="G794" s="9"/>
    </row>
    <row r="795">
      <c r="G795" s="9"/>
    </row>
    <row r="796">
      <c r="G796" s="9"/>
    </row>
    <row r="797">
      <c r="G797" s="9"/>
    </row>
    <row r="798">
      <c r="G798" s="9"/>
    </row>
    <row r="799">
      <c r="G799" s="9"/>
    </row>
    <row r="800">
      <c r="G800" s="9"/>
    </row>
    <row r="801">
      <c r="G801" s="9"/>
    </row>
    <row r="802">
      <c r="G802" s="9"/>
    </row>
    <row r="803">
      <c r="G803" s="9"/>
    </row>
    <row r="804">
      <c r="G804" s="9"/>
    </row>
    <row r="805">
      <c r="G805" s="9"/>
    </row>
    <row r="806">
      <c r="G806" s="9"/>
    </row>
    <row r="807">
      <c r="G807" s="9"/>
    </row>
    <row r="808">
      <c r="G808" s="9"/>
    </row>
    <row r="809">
      <c r="G809" s="9"/>
    </row>
    <row r="810">
      <c r="G810" s="9"/>
    </row>
    <row r="811">
      <c r="G811" s="9"/>
    </row>
    <row r="812">
      <c r="G812" s="9"/>
    </row>
    <row r="813">
      <c r="G813" s="9"/>
    </row>
    <row r="814">
      <c r="G814" s="9"/>
    </row>
    <row r="815">
      <c r="G815" s="9"/>
    </row>
    <row r="816">
      <c r="G816" s="9"/>
    </row>
    <row r="817">
      <c r="G817" s="9"/>
    </row>
    <row r="818">
      <c r="G818" s="9"/>
    </row>
    <row r="819">
      <c r="G819" s="9"/>
    </row>
    <row r="820">
      <c r="G820" s="9"/>
    </row>
    <row r="821">
      <c r="G821" s="9"/>
    </row>
    <row r="822">
      <c r="G822" s="9"/>
    </row>
    <row r="823">
      <c r="G823" s="9"/>
    </row>
    <row r="824">
      <c r="G824" s="9"/>
    </row>
    <row r="825">
      <c r="G825" s="9"/>
    </row>
    <row r="826">
      <c r="G826" s="9"/>
    </row>
    <row r="827">
      <c r="G827" s="9"/>
    </row>
    <row r="828">
      <c r="G828" s="9"/>
    </row>
    <row r="829">
      <c r="G829" s="9"/>
    </row>
    <row r="830">
      <c r="G830" s="9"/>
    </row>
    <row r="831">
      <c r="G831" s="9"/>
    </row>
    <row r="832">
      <c r="G832" s="9"/>
    </row>
    <row r="833">
      <c r="G833" s="9"/>
    </row>
    <row r="834">
      <c r="G834" s="9"/>
    </row>
    <row r="835">
      <c r="G835" s="9"/>
    </row>
    <row r="836">
      <c r="G836" s="9"/>
    </row>
    <row r="837">
      <c r="G837" s="9"/>
    </row>
    <row r="838">
      <c r="G838" s="9"/>
    </row>
    <row r="839">
      <c r="G839" s="9"/>
    </row>
    <row r="840">
      <c r="G840" s="9"/>
    </row>
    <row r="841">
      <c r="G841" s="9"/>
    </row>
    <row r="842">
      <c r="G842" s="9"/>
    </row>
    <row r="843">
      <c r="G843" s="9"/>
    </row>
    <row r="844">
      <c r="G844" s="9"/>
    </row>
    <row r="845">
      <c r="G845" s="9"/>
    </row>
    <row r="846">
      <c r="G846" s="9"/>
    </row>
    <row r="847">
      <c r="G847" s="9"/>
    </row>
    <row r="848">
      <c r="G848" s="9"/>
    </row>
    <row r="849">
      <c r="G849" s="9"/>
    </row>
    <row r="850">
      <c r="G850" s="9"/>
    </row>
    <row r="851">
      <c r="G851" s="9"/>
    </row>
    <row r="852">
      <c r="G852" s="9"/>
    </row>
    <row r="853">
      <c r="G853" s="9"/>
    </row>
    <row r="854">
      <c r="G854" s="9"/>
    </row>
    <row r="855">
      <c r="G855" s="9"/>
    </row>
    <row r="856">
      <c r="G856" s="9"/>
    </row>
    <row r="857">
      <c r="G857" s="9"/>
    </row>
    <row r="858">
      <c r="G858" s="9"/>
    </row>
    <row r="859">
      <c r="G859" s="9"/>
    </row>
    <row r="860">
      <c r="G860" s="9"/>
    </row>
    <row r="861">
      <c r="G861" s="9"/>
    </row>
    <row r="862">
      <c r="G862" s="9"/>
    </row>
    <row r="863">
      <c r="G863" s="9"/>
    </row>
    <row r="864">
      <c r="G864" s="9"/>
    </row>
    <row r="865">
      <c r="G865" s="9"/>
    </row>
    <row r="866">
      <c r="G866" s="9"/>
    </row>
    <row r="867">
      <c r="G867" s="9"/>
    </row>
    <row r="868">
      <c r="G868" s="9"/>
    </row>
    <row r="869">
      <c r="G869" s="9"/>
    </row>
    <row r="870">
      <c r="G870" s="9"/>
    </row>
    <row r="871">
      <c r="G871" s="9"/>
    </row>
    <row r="872">
      <c r="G872" s="9"/>
    </row>
    <row r="873">
      <c r="G873" s="9"/>
    </row>
    <row r="874">
      <c r="G874" s="9"/>
    </row>
    <row r="875">
      <c r="G875" s="9"/>
    </row>
    <row r="876">
      <c r="G876" s="9"/>
    </row>
    <row r="877">
      <c r="G877" s="9"/>
    </row>
    <row r="878">
      <c r="G878" s="9"/>
    </row>
    <row r="879">
      <c r="G879" s="9"/>
    </row>
    <row r="880">
      <c r="G880" s="9"/>
    </row>
    <row r="881">
      <c r="G881" s="9"/>
    </row>
    <row r="882">
      <c r="G882" s="9"/>
    </row>
    <row r="883">
      <c r="G883" s="9"/>
    </row>
    <row r="884">
      <c r="G884" s="9"/>
    </row>
    <row r="885">
      <c r="G885" s="9"/>
    </row>
    <row r="886">
      <c r="G886" s="9"/>
    </row>
    <row r="887">
      <c r="G887" s="9"/>
    </row>
    <row r="888">
      <c r="G888" s="9"/>
    </row>
    <row r="889">
      <c r="G889" s="9"/>
    </row>
    <row r="890">
      <c r="G890" s="9"/>
    </row>
    <row r="891">
      <c r="G891" s="9"/>
    </row>
    <row r="892">
      <c r="G892" s="9"/>
    </row>
    <row r="893">
      <c r="G893" s="9"/>
    </row>
    <row r="894">
      <c r="G894" s="9"/>
    </row>
    <row r="895">
      <c r="G895" s="9"/>
    </row>
    <row r="896">
      <c r="G896" s="9"/>
    </row>
    <row r="897">
      <c r="G897" s="9"/>
    </row>
    <row r="898">
      <c r="G898" s="9"/>
    </row>
    <row r="899">
      <c r="G899" s="9"/>
    </row>
    <row r="900">
      <c r="G900" s="9"/>
    </row>
    <row r="901">
      <c r="G901" s="9"/>
    </row>
    <row r="902">
      <c r="G902" s="9"/>
    </row>
    <row r="903">
      <c r="G903" s="9"/>
    </row>
    <row r="904">
      <c r="G904" s="9"/>
    </row>
    <row r="905">
      <c r="G905" s="9"/>
    </row>
    <row r="906">
      <c r="G906" s="9"/>
    </row>
    <row r="907">
      <c r="G907" s="9"/>
    </row>
    <row r="908">
      <c r="G908" s="9"/>
    </row>
    <row r="909">
      <c r="G909" s="9"/>
    </row>
    <row r="910">
      <c r="G910" s="9"/>
    </row>
    <row r="911">
      <c r="G911" s="9"/>
    </row>
    <row r="912">
      <c r="G912" s="9"/>
    </row>
    <row r="913">
      <c r="G913" s="9"/>
    </row>
    <row r="914">
      <c r="G914" s="9"/>
    </row>
    <row r="915">
      <c r="G915" s="9"/>
    </row>
    <row r="916">
      <c r="G916" s="9"/>
    </row>
    <row r="917">
      <c r="G917" s="9"/>
    </row>
    <row r="918">
      <c r="G918" s="9"/>
    </row>
    <row r="919">
      <c r="G919" s="9"/>
    </row>
    <row r="920">
      <c r="G920" s="9"/>
    </row>
    <row r="921">
      <c r="G921" s="9"/>
    </row>
    <row r="922">
      <c r="G922" s="9"/>
    </row>
    <row r="923">
      <c r="G923" s="9"/>
    </row>
    <row r="924">
      <c r="G924" s="9"/>
    </row>
    <row r="925">
      <c r="G925" s="9"/>
    </row>
    <row r="926">
      <c r="G926" s="9"/>
    </row>
    <row r="927">
      <c r="G927" s="9"/>
    </row>
    <row r="928">
      <c r="G928" s="9"/>
    </row>
    <row r="929">
      <c r="G929" s="9"/>
    </row>
    <row r="930">
      <c r="G930" s="9"/>
    </row>
    <row r="931">
      <c r="G931" s="9"/>
    </row>
    <row r="932">
      <c r="G932" s="9"/>
    </row>
    <row r="933">
      <c r="G933" s="9"/>
    </row>
    <row r="934">
      <c r="G934" s="9"/>
    </row>
    <row r="935">
      <c r="G935" s="9"/>
    </row>
    <row r="936">
      <c r="G936" s="9"/>
    </row>
    <row r="937">
      <c r="G937" s="9"/>
    </row>
    <row r="938">
      <c r="G938" s="9"/>
    </row>
    <row r="939">
      <c r="G939" s="9"/>
    </row>
    <row r="940">
      <c r="G940" s="9"/>
    </row>
    <row r="941">
      <c r="G941" s="9"/>
    </row>
    <row r="942">
      <c r="G942" s="9"/>
    </row>
    <row r="943">
      <c r="G943" s="9"/>
    </row>
    <row r="944">
      <c r="G944" s="9"/>
    </row>
    <row r="945">
      <c r="G945" s="9"/>
    </row>
    <row r="946">
      <c r="G946" s="9"/>
    </row>
    <row r="947">
      <c r="G947" s="9"/>
    </row>
    <row r="948">
      <c r="G948" s="9"/>
    </row>
    <row r="949">
      <c r="G949" s="9"/>
    </row>
    <row r="950">
      <c r="G950" s="9"/>
    </row>
    <row r="951">
      <c r="G951" s="9"/>
    </row>
    <row r="952">
      <c r="G952" s="9"/>
    </row>
    <row r="953">
      <c r="G953" s="9"/>
    </row>
    <row r="954">
      <c r="G954" s="9"/>
    </row>
    <row r="955">
      <c r="G955" s="9"/>
    </row>
    <row r="956">
      <c r="G956" s="9"/>
    </row>
    <row r="957">
      <c r="G957" s="9"/>
    </row>
    <row r="958">
      <c r="G958" s="9"/>
    </row>
    <row r="959">
      <c r="G959" s="9"/>
    </row>
    <row r="960">
      <c r="G960" s="9"/>
    </row>
    <row r="961">
      <c r="G961" s="9"/>
    </row>
    <row r="962">
      <c r="G962" s="9"/>
    </row>
    <row r="963">
      <c r="G963" s="9"/>
    </row>
    <row r="964">
      <c r="G964" s="9"/>
    </row>
    <row r="965">
      <c r="G965" s="9"/>
    </row>
    <row r="966">
      <c r="G966" s="9"/>
    </row>
    <row r="967">
      <c r="G967" s="9"/>
    </row>
    <row r="968">
      <c r="G968" s="9"/>
    </row>
    <row r="969">
      <c r="G969" s="9"/>
    </row>
    <row r="970">
      <c r="G970" s="9"/>
    </row>
    <row r="971">
      <c r="G971" s="9"/>
    </row>
    <row r="972">
      <c r="G972" s="9"/>
    </row>
    <row r="973">
      <c r="G973" s="9"/>
    </row>
    <row r="974">
      <c r="G974" s="9"/>
    </row>
    <row r="975">
      <c r="G975" s="9"/>
    </row>
    <row r="976">
      <c r="G976" s="9"/>
    </row>
    <row r="977">
      <c r="G977" s="9"/>
    </row>
    <row r="978">
      <c r="G978" s="9"/>
    </row>
    <row r="979">
      <c r="G979" s="9"/>
    </row>
    <row r="980">
      <c r="G980" s="9"/>
    </row>
    <row r="981">
      <c r="G981" s="9"/>
    </row>
    <row r="982">
      <c r="G982" s="9"/>
    </row>
    <row r="983">
      <c r="G983" s="9"/>
    </row>
    <row r="984">
      <c r="G984" s="9"/>
    </row>
    <row r="985">
      <c r="G985" s="9"/>
    </row>
    <row r="986">
      <c r="G986" s="9"/>
    </row>
    <row r="987">
      <c r="G987" s="9"/>
    </row>
    <row r="988">
      <c r="G988" s="9"/>
    </row>
    <row r="989">
      <c r="G989" s="9"/>
    </row>
    <row r="990">
      <c r="G990" s="9"/>
    </row>
    <row r="991">
      <c r="G991" s="9"/>
    </row>
    <row r="992">
      <c r="G992" s="9"/>
    </row>
    <row r="993">
      <c r="G993" s="9"/>
    </row>
    <row r="994">
      <c r="G994" s="9"/>
    </row>
    <row r="995">
      <c r="G995" s="9"/>
    </row>
    <row r="996">
      <c r="G996" s="9"/>
    </row>
    <row r="997">
      <c r="G997" s="9"/>
    </row>
    <row r="998">
      <c r="G998" s="9"/>
    </row>
    <row r="999">
      <c r="G999" s="9"/>
    </row>
    <row r="1000">
      <c r="G1000" s="9"/>
    </row>
    <row r="1001">
      <c r="G1001" s="9"/>
    </row>
    <row r="1002">
      <c r="G1002" s="9"/>
    </row>
    <row r="1003">
      <c r="G1003" s="9"/>
    </row>
    <row r="1004">
      <c r="G1004" s="9"/>
    </row>
    <row r="1005">
      <c r="G1005" s="9"/>
    </row>
    <row r="1006">
      <c r="G1006" s="9"/>
    </row>
    <row r="1007">
      <c r="G1007" s="9"/>
    </row>
    <row r="1008">
      <c r="G1008" s="9"/>
    </row>
    <row r="1009">
      <c r="G1009" s="9"/>
    </row>
    <row r="1010">
      <c r="G1010" s="9"/>
    </row>
    <row r="1011">
      <c r="G1011" s="9"/>
    </row>
    <row r="1012">
      <c r="G1012" s="9"/>
    </row>
    <row r="1013">
      <c r="G1013" s="9"/>
    </row>
    <row r="1014">
      <c r="G1014" s="9"/>
    </row>
    <row r="1015">
      <c r="G1015" s="9"/>
    </row>
    <row r="1016">
      <c r="G1016" s="9"/>
    </row>
    <row r="1017">
      <c r="G1017" s="9"/>
    </row>
    <row r="1018">
      <c r="G1018" s="9"/>
    </row>
    <row r="1019">
      <c r="G1019" s="9"/>
    </row>
    <row r="1020">
      <c r="G1020" s="9"/>
    </row>
    <row r="1021">
      <c r="G1021" s="9"/>
    </row>
    <row r="1022">
      <c r="G1022" s="9"/>
    </row>
    <row r="1023">
      <c r="G1023" s="9"/>
    </row>
    <row r="1024">
      <c r="G1024" s="9"/>
    </row>
    <row r="1025">
      <c r="G1025" s="9"/>
    </row>
    <row r="1026">
      <c r="G1026" s="9"/>
    </row>
    <row r="1027">
      <c r="G1027" s="9"/>
    </row>
    <row r="1028">
      <c r="G1028" s="9"/>
    </row>
    <row r="1029">
      <c r="G1029" s="9"/>
    </row>
    <row r="1030">
      <c r="G1030" s="9"/>
    </row>
    <row r="1031">
      <c r="G1031" s="9"/>
    </row>
    <row r="1032">
      <c r="G1032" s="9"/>
    </row>
    <row r="1033">
      <c r="G1033" s="9"/>
    </row>
    <row r="1034">
      <c r="G1034" s="9"/>
    </row>
    <row r="1035">
      <c r="G1035" s="9"/>
    </row>
    <row r="1036">
      <c r="G1036" s="9"/>
    </row>
    <row r="1037">
      <c r="G1037" s="9"/>
    </row>
    <row r="1038">
      <c r="G1038" s="9"/>
    </row>
    <row r="1039">
      <c r="G1039" s="9"/>
    </row>
    <row r="1040">
      <c r="G1040" s="9"/>
    </row>
    <row r="1041">
      <c r="G1041" s="9"/>
    </row>
    <row r="1042">
      <c r="G1042" s="9"/>
    </row>
    <row r="1043">
      <c r="G1043" s="9"/>
    </row>
    <row r="1044">
      <c r="G1044" s="9"/>
    </row>
    <row r="1045">
      <c r="G1045" s="9"/>
    </row>
    <row r="1046">
      <c r="G1046" s="9"/>
    </row>
    <row r="1047">
      <c r="G1047" s="9"/>
    </row>
    <row r="1048">
      <c r="G1048" s="9"/>
    </row>
    <row r="1049">
      <c r="G1049" s="9"/>
    </row>
    <row r="1050">
      <c r="G1050" s="9"/>
    </row>
    <row r="1051">
      <c r="G1051" s="9"/>
    </row>
    <row r="1052">
      <c r="G1052" s="9"/>
    </row>
    <row r="1053">
      <c r="G1053" s="9"/>
    </row>
    <row r="1054">
      <c r="G1054" s="9"/>
    </row>
    <row r="1055">
      <c r="G1055" s="9"/>
    </row>
    <row r="1056">
      <c r="G1056" s="9"/>
    </row>
    <row r="1057">
      <c r="G1057" s="9"/>
    </row>
    <row r="1058">
      <c r="G1058" s="9"/>
    </row>
    <row r="1059">
      <c r="G1059" s="9"/>
    </row>
    <row r="1060">
      <c r="G1060" s="9"/>
    </row>
    <row r="1061">
      <c r="G1061" s="9"/>
    </row>
    <row r="1062">
      <c r="G1062" s="9"/>
    </row>
    <row r="1063">
      <c r="G1063" s="9"/>
    </row>
    <row r="1064">
      <c r="G1064" s="9"/>
    </row>
    <row r="1065">
      <c r="G1065" s="9"/>
    </row>
    <row r="1066">
      <c r="G1066" s="9"/>
    </row>
    <row r="1067">
      <c r="G1067" s="9"/>
    </row>
    <row r="1068">
      <c r="G1068" s="9"/>
    </row>
    <row r="1069">
      <c r="G1069" s="9"/>
    </row>
    <row r="1070">
      <c r="G1070" s="9"/>
    </row>
    <row r="1071">
      <c r="G1071" s="9"/>
    </row>
    <row r="1072">
      <c r="G1072" s="9"/>
    </row>
    <row r="1073">
      <c r="G1073" s="9"/>
    </row>
    <row r="1074">
      <c r="G1074" s="9"/>
    </row>
    <row r="1075">
      <c r="G1075" s="9"/>
    </row>
    <row r="1076">
      <c r="G1076" s="9"/>
    </row>
    <row r="1077">
      <c r="G1077" s="9"/>
    </row>
    <row r="1078">
      <c r="G1078" s="9"/>
    </row>
    <row r="1079">
      <c r="G1079" s="9"/>
    </row>
    <row r="1080">
      <c r="G1080" s="9"/>
    </row>
    <row r="1081">
      <c r="G1081" s="9"/>
    </row>
    <row r="1082">
      <c r="G1082" s="9"/>
    </row>
    <row r="1083">
      <c r="G1083" s="9"/>
    </row>
    <row r="1084">
      <c r="G1084" s="9"/>
    </row>
    <row r="1085">
      <c r="G1085" s="9"/>
    </row>
    <row r="1086">
      <c r="G1086" s="9"/>
    </row>
    <row r="1087">
      <c r="G1087" s="9"/>
    </row>
    <row r="1088">
      <c r="G1088" s="9"/>
    </row>
    <row r="1089">
      <c r="G1089" s="9"/>
    </row>
    <row r="1090">
      <c r="G1090" s="9"/>
    </row>
    <row r="1091">
      <c r="G1091" s="9"/>
    </row>
    <row r="1092">
      <c r="G1092" s="9"/>
    </row>
    <row r="1093">
      <c r="G1093" s="9"/>
    </row>
    <row r="1094">
      <c r="G1094" s="9"/>
    </row>
    <row r="1095">
      <c r="G1095" s="9"/>
    </row>
    <row r="1096">
      <c r="G1096" s="9"/>
    </row>
    <row r="1097">
      <c r="G1097" s="9"/>
    </row>
    <row r="1098">
      <c r="G1098" s="9"/>
    </row>
    <row r="1099">
      <c r="G1099" s="9"/>
    </row>
    <row r="1100">
      <c r="G1100" s="9"/>
    </row>
    <row r="1101">
      <c r="G1101" s="9"/>
    </row>
    <row r="1102">
      <c r="G1102" s="9"/>
    </row>
    <row r="1103">
      <c r="G1103" s="9"/>
    </row>
    <row r="1104">
      <c r="G1104" s="9"/>
    </row>
    <row r="1105">
      <c r="G1105" s="9"/>
    </row>
    <row r="1106">
      <c r="G1106" s="9"/>
    </row>
    <row r="1107">
      <c r="G1107" s="9"/>
    </row>
    <row r="1108">
      <c r="G1108" s="9"/>
    </row>
    <row r="1109">
      <c r="G1109" s="9"/>
    </row>
    <row r="1110">
      <c r="G1110" s="9"/>
    </row>
    <row r="1111">
      <c r="G1111" s="9"/>
    </row>
    <row r="1112">
      <c r="G1112" s="9"/>
    </row>
    <row r="1113">
      <c r="G1113" s="9"/>
    </row>
    <row r="1114">
      <c r="G1114" s="9"/>
    </row>
    <row r="1115">
      <c r="G1115" s="9"/>
    </row>
    <row r="1116">
      <c r="G1116" s="9"/>
    </row>
    <row r="1117">
      <c r="G1117" s="9"/>
    </row>
    <row r="1118">
      <c r="G1118" s="9"/>
    </row>
    <row r="1119">
      <c r="G1119" s="9"/>
    </row>
    <row r="1120">
      <c r="G1120" s="9"/>
    </row>
    <row r="1121">
      <c r="G1121" s="9"/>
    </row>
    <row r="1122">
      <c r="G1122" s="9"/>
    </row>
    <row r="1123">
      <c r="G1123" s="9"/>
    </row>
    <row r="1124">
      <c r="G1124" s="9"/>
    </row>
    <row r="1125">
      <c r="G1125" s="9"/>
    </row>
    <row r="1126">
      <c r="G1126" s="9"/>
    </row>
    <row r="1127">
      <c r="G1127" s="9"/>
    </row>
    <row r="1128">
      <c r="G1128" s="9"/>
    </row>
    <row r="1129">
      <c r="G1129" s="9"/>
    </row>
    <row r="1130">
      <c r="G1130" s="9"/>
    </row>
    <row r="1131">
      <c r="G1131" s="9"/>
    </row>
    <row r="1132">
      <c r="G1132" s="9"/>
    </row>
    <row r="1133">
      <c r="G1133" s="9"/>
    </row>
    <row r="1134">
      <c r="G1134" s="9"/>
    </row>
    <row r="1135">
      <c r="G1135" s="9"/>
    </row>
    <row r="1136">
      <c r="G1136" s="9"/>
    </row>
    <row r="1137">
      <c r="G1137" s="9"/>
    </row>
    <row r="1138">
      <c r="G1138" s="9"/>
    </row>
    <row r="1139">
      <c r="G1139" s="9"/>
    </row>
    <row r="1140">
      <c r="G1140" s="9"/>
    </row>
    <row r="1141">
      <c r="G1141" s="9"/>
    </row>
    <row r="1142">
      <c r="G1142" s="9"/>
    </row>
    <row r="1143">
      <c r="G1143" s="9"/>
    </row>
    <row r="1144">
      <c r="G1144" s="9"/>
    </row>
    <row r="1145">
      <c r="G1145" s="9"/>
    </row>
    <row r="1146">
      <c r="G1146" s="9"/>
    </row>
    <row r="1147">
      <c r="G1147" s="9"/>
    </row>
    <row r="1148">
      <c r="G1148" s="9"/>
    </row>
    <row r="1149">
      <c r="G1149" s="9"/>
    </row>
    <row r="1150">
      <c r="G1150" s="9"/>
    </row>
    <row r="1151">
      <c r="G1151" s="9"/>
    </row>
    <row r="1152">
      <c r="G1152" s="9"/>
    </row>
    <row r="1153">
      <c r="G1153" s="9"/>
    </row>
    <row r="1154">
      <c r="G1154" s="9"/>
    </row>
    <row r="1155">
      <c r="G1155" s="9"/>
    </row>
    <row r="1156">
      <c r="G1156" s="9"/>
    </row>
    <row r="1157">
      <c r="G1157" s="9"/>
    </row>
    <row r="1158">
      <c r="G1158" s="9"/>
    </row>
    <row r="1159">
      <c r="G1159" s="9"/>
    </row>
    <row r="1160">
      <c r="G1160" s="9"/>
    </row>
    <row r="1161">
      <c r="G1161" s="9"/>
    </row>
    <row r="1162">
      <c r="G1162" s="9"/>
    </row>
    <row r="1163">
      <c r="G1163" s="9"/>
    </row>
    <row r="1164">
      <c r="G1164" s="9"/>
    </row>
    <row r="1165">
      <c r="G1165" s="9"/>
    </row>
    <row r="1166">
      <c r="G1166" s="9"/>
    </row>
    <row r="1167">
      <c r="G1167" s="9"/>
    </row>
    <row r="1168">
      <c r="G1168" s="9"/>
    </row>
    <row r="1169">
      <c r="G1169" s="9"/>
    </row>
    <row r="1170">
      <c r="G1170" s="9"/>
    </row>
    <row r="1171">
      <c r="G1171" s="9"/>
    </row>
    <row r="1172">
      <c r="G1172" s="9"/>
    </row>
    <row r="1173">
      <c r="G1173" s="9"/>
    </row>
    <row r="1174">
      <c r="G1174" s="9"/>
    </row>
    <row r="1175">
      <c r="G1175" s="9"/>
    </row>
    <row r="1176">
      <c r="G1176" s="9"/>
    </row>
    <row r="1177">
      <c r="G1177" s="9"/>
    </row>
    <row r="1178">
      <c r="G1178" s="9"/>
    </row>
    <row r="1179">
      <c r="G1179" s="9"/>
    </row>
    <row r="1180">
      <c r="G1180" s="9"/>
    </row>
    <row r="1181">
      <c r="G1181" s="9"/>
    </row>
    <row r="1182">
      <c r="G1182" s="9"/>
    </row>
    <row r="1183">
      <c r="G1183" s="9"/>
    </row>
    <row r="1184">
      <c r="G1184" s="9"/>
    </row>
    <row r="1185">
      <c r="G1185" s="9"/>
    </row>
    <row r="1186">
      <c r="G1186" s="9"/>
    </row>
    <row r="1187">
      <c r="G1187" s="9"/>
    </row>
    <row r="1188">
      <c r="G1188" s="9"/>
    </row>
    <row r="1189">
      <c r="G1189" s="9"/>
    </row>
    <row r="1190">
      <c r="G1190" s="9"/>
    </row>
    <row r="1191">
      <c r="G1191" s="9"/>
    </row>
    <row r="1192">
      <c r="G1192" s="9"/>
    </row>
    <row r="1193">
      <c r="G1193" s="9"/>
    </row>
    <row r="1194">
      <c r="G1194" s="9"/>
    </row>
    <row r="1195">
      <c r="G1195" s="9"/>
    </row>
    <row r="1196">
      <c r="G1196" s="9"/>
    </row>
    <row r="1197">
      <c r="G1197" s="9"/>
    </row>
    <row r="1198">
      <c r="G1198" s="9"/>
    </row>
    <row r="1199">
      <c r="G1199" s="9"/>
    </row>
    <row r="1200">
      <c r="G1200" s="9"/>
    </row>
    <row r="1201">
      <c r="G1201" s="9"/>
    </row>
    <row r="1202">
      <c r="G1202" s="9"/>
    </row>
    <row r="1203">
      <c r="G1203" s="9"/>
    </row>
    <row r="1204">
      <c r="G1204" s="9"/>
    </row>
    <row r="1205">
      <c r="G1205" s="9"/>
    </row>
    <row r="1206">
      <c r="G1206" s="9"/>
    </row>
    <row r="1207">
      <c r="G1207" s="9"/>
    </row>
    <row r="1208">
      <c r="G1208" s="9"/>
    </row>
    <row r="1209">
      <c r="G1209" s="9"/>
    </row>
    <row r="1210">
      <c r="G1210" s="9"/>
    </row>
    <row r="1211">
      <c r="G1211" s="9"/>
    </row>
    <row r="1212">
      <c r="G1212" s="9"/>
    </row>
    <row r="1213">
      <c r="G1213" s="9"/>
    </row>
    <row r="1214">
      <c r="G1214" s="9"/>
    </row>
    <row r="1215">
      <c r="G1215" s="9"/>
    </row>
    <row r="1216">
      <c r="G1216" s="9"/>
    </row>
    <row r="1217">
      <c r="G1217" s="9"/>
    </row>
    <row r="1218">
      <c r="G1218" s="9"/>
    </row>
    <row r="1219">
      <c r="G1219" s="9"/>
    </row>
    <row r="1220">
      <c r="G1220" s="9"/>
    </row>
    <row r="1221">
      <c r="G1221" s="9"/>
    </row>
    <row r="1222">
      <c r="G1222" s="9"/>
    </row>
    <row r="1223">
      <c r="G1223" s="9"/>
    </row>
    <row r="1224">
      <c r="G1224" s="9"/>
    </row>
    <row r="1225">
      <c r="G1225" s="9"/>
    </row>
    <row r="1226">
      <c r="G1226" s="9"/>
    </row>
    <row r="1227">
      <c r="G1227" s="9"/>
    </row>
    <row r="1228">
      <c r="G1228" s="9"/>
    </row>
    <row r="1229">
      <c r="G1229" s="9"/>
    </row>
    <row r="1230">
      <c r="G1230" s="9"/>
    </row>
    <row r="1231">
      <c r="G1231" s="9"/>
    </row>
    <row r="1232">
      <c r="G1232" s="9"/>
    </row>
    <row r="1233">
      <c r="G1233" s="9"/>
    </row>
    <row r="1234">
      <c r="G1234" s="9"/>
    </row>
    <row r="1235">
      <c r="G1235" s="9"/>
    </row>
    <row r="1236">
      <c r="G1236" s="9"/>
    </row>
    <row r="1237">
      <c r="G1237" s="9"/>
    </row>
    <row r="1238">
      <c r="G1238" s="9"/>
    </row>
    <row r="1239">
      <c r="G1239" s="9"/>
    </row>
    <row r="1240">
      <c r="G1240" s="9"/>
    </row>
    <row r="1241">
      <c r="G1241" s="9"/>
    </row>
    <row r="1242">
      <c r="G1242" s="9"/>
    </row>
    <row r="1243">
      <c r="G1243" s="9"/>
    </row>
    <row r="1244">
      <c r="G1244" s="9"/>
    </row>
    <row r="1245">
      <c r="G1245" s="9"/>
    </row>
    <row r="1246">
      <c r="G1246" s="9"/>
    </row>
    <row r="1247">
      <c r="G1247" s="9"/>
    </row>
    <row r="1248">
      <c r="G1248" s="9"/>
    </row>
    <row r="1249">
      <c r="G1249" s="9"/>
    </row>
    <row r="1250">
      <c r="G1250" s="9"/>
    </row>
    <row r="1251">
      <c r="G1251" s="9"/>
    </row>
    <row r="1252">
      <c r="G1252" s="9"/>
    </row>
    <row r="1253">
      <c r="G1253" s="9"/>
    </row>
    <row r="1254">
      <c r="G1254" s="9"/>
    </row>
    <row r="1255">
      <c r="G1255" s="9"/>
    </row>
    <row r="1256">
      <c r="G1256" s="9"/>
    </row>
    <row r="1257">
      <c r="G1257" s="9"/>
    </row>
    <row r="1258">
      <c r="G1258" s="9"/>
    </row>
    <row r="1259">
      <c r="G1259" s="9"/>
    </row>
    <row r="1260">
      <c r="G1260" s="9"/>
    </row>
    <row r="1261">
      <c r="G1261" s="9"/>
    </row>
    <row r="1262">
      <c r="G1262" s="9"/>
    </row>
    <row r="1263">
      <c r="G1263" s="9"/>
    </row>
    <row r="1264">
      <c r="G1264" s="9"/>
    </row>
    <row r="1265">
      <c r="G1265" s="9"/>
    </row>
    <row r="1266">
      <c r="G1266" s="9"/>
    </row>
    <row r="1267">
      <c r="G1267" s="9"/>
    </row>
    <row r="1268">
      <c r="G1268" s="9"/>
    </row>
    <row r="1269">
      <c r="G1269" s="9"/>
    </row>
    <row r="1270">
      <c r="G1270" s="9"/>
    </row>
    <row r="1271">
      <c r="G1271" s="9"/>
    </row>
    <row r="1272">
      <c r="G1272" s="9"/>
    </row>
    <row r="1273">
      <c r="G1273" s="9"/>
    </row>
    <row r="1274">
      <c r="G1274" s="9"/>
    </row>
    <row r="1275">
      <c r="G1275" s="9"/>
    </row>
    <row r="1276">
      <c r="G1276" s="9"/>
    </row>
    <row r="1277">
      <c r="G1277" s="9"/>
    </row>
    <row r="1278">
      <c r="G1278" s="9"/>
    </row>
    <row r="1279">
      <c r="G1279" s="9"/>
    </row>
    <row r="1280">
      <c r="G1280" s="9"/>
    </row>
    <row r="1281">
      <c r="G1281" s="9"/>
    </row>
    <row r="1282">
      <c r="G1282" s="9"/>
    </row>
    <row r="1283">
      <c r="G1283" s="9"/>
    </row>
    <row r="1284">
      <c r="G1284" s="9"/>
    </row>
    <row r="1285">
      <c r="G1285" s="9"/>
    </row>
    <row r="1286">
      <c r="G1286" s="9"/>
    </row>
    <row r="1287">
      <c r="G1287" s="9"/>
    </row>
    <row r="1288">
      <c r="G1288" s="9"/>
    </row>
    <row r="1289">
      <c r="G1289" s="9"/>
    </row>
    <row r="1290">
      <c r="G1290" s="9"/>
    </row>
    <row r="1291">
      <c r="G1291" s="9"/>
    </row>
    <row r="1292">
      <c r="G1292" s="9"/>
    </row>
    <row r="1293">
      <c r="G1293" s="9"/>
    </row>
    <row r="1294">
      <c r="G1294" s="9"/>
    </row>
    <row r="1295">
      <c r="G1295" s="9"/>
    </row>
    <row r="1296">
      <c r="G1296" s="9"/>
    </row>
    <row r="1297">
      <c r="G1297" s="9"/>
    </row>
    <row r="1298">
      <c r="G1298" s="9"/>
    </row>
    <row r="1299">
      <c r="G1299" s="9"/>
    </row>
    <row r="1300">
      <c r="G1300" s="9"/>
    </row>
    <row r="1301">
      <c r="G1301" s="9"/>
    </row>
    <row r="1302">
      <c r="G1302" s="9"/>
    </row>
    <row r="1303">
      <c r="G1303" s="9"/>
    </row>
    <row r="1304">
      <c r="G1304" s="9"/>
    </row>
    <row r="1305">
      <c r="G1305" s="9"/>
    </row>
    <row r="1306">
      <c r="G1306" s="9"/>
    </row>
    <row r="1307">
      <c r="G1307" s="9"/>
    </row>
    <row r="1308">
      <c r="G1308" s="9"/>
    </row>
    <row r="1309">
      <c r="G1309" s="9"/>
    </row>
    <row r="1310">
      <c r="G1310" s="9"/>
    </row>
    <row r="1311">
      <c r="G1311" s="9"/>
    </row>
    <row r="1312">
      <c r="G1312" s="9"/>
    </row>
    <row r="1313">
      <c r="G1313" s="9"/>
    </row>
    <row r="1314">
      <c r="G1314" s="9"/>
    </row>
    <row r="1315">
      <c r="G1315" s="9"/>
    </row>
    <row r="1316">
      <c r="G1316" s="9"/>
    </row>
    <row r="1317">
      <c r="G1317" s="9"/>
    </row>
    <row r="1318">
      <c r="G1318" s="9"/>
    </row>
    <row r="1319">
      <c r="G1319" s="9"/>
    </row>
    <row r="1320">
      <c r="G1320" s="9"/>
    </row>
    <row r="1321">
      <c r="G1321" s="9"/>
    </row>
    <row r="1322">
      <c r="G1322" s="9"/>
    </row>
    <row r="1323">
      <c r="G1323" s="9"/>
    </row>
    <row r="1324">
      <c r="G1324" s="9"/>
    </row>
    <row r="1325">
      <c r="G1325" s="9"/>
    </row>
    <row r="1326">
      <c r="G1326" s="9"/>
    </row>
    <row r="1327">
      <c r="G1327" s="9"/>
    </row>
    <row r="1328">
      <c r="G1328" s="9"/>
    </row>
    <row r="1329">
      <c r="G1329" s="9"/>
    </row>
    <row r="1330">
      <c r="G1330" s="9"/>
    </row>
    <row r="1331">
      <c r="G1331" s="9"/>
    </row>
    <row r="1332">
      <c r="A1332" t="str">
        <f>IFERROR(__xludf.DUMMYFUNCTION("""COMPUTED_VALUE"""),"-")</f>
        <v>-</v>
      </c>
      <c r="G1332" s="9"/>
    </row>
    <row r="1333">
      <c r="G1333" s="9"/>
    </row>
    <row r="1334">
      <c r="G1334" s="9"/>
    </row>
    <row r="1335">
      <c r="G1335" s="9"/>
    </row>
    <row r="1336">
      <c r="G1336" s="9"/>
    </row>
    <row r="1337">
      <c r="G1337" s="9"/>
    </row>
    <row r="1338">
      <c r="G1338" s="9"/>
    </row>
    <row r="1339">
      <c r="G1339" s="9"/>
    </row>
    <row r="1340">
      <c r="G1340" s="9"/>
    </row>
    <row r="1341">
      <c r="G1341" s="9"/>
    </row>
    <row r="1342">
      <c r="G1342" s="9"/>
    </row>
    <row r="1343">
      <c r="G1343" s="9"/>
    </row>
    <row r="1344">
      <c r="G1344" s="9"/>
    </row>
    <row r="1345">
      <c r="G1345" s="9"/>
    </row>
    <row r="1346">
      <c r="G1346" s="9"/>
    </row>
    <row r="1347">
      <c r="G1347" s="9"/>
    </row>
    <row r="1348">
      <c r="G1348" s="9"/>
    </row>
    <row r="1349">
      <c r="G1349" s="9"/>
    </row>
    <row r="1350">
      <c r="G1350" s="9"/>
    </row>
    <row r="1351">
      <c r="G1351" s="9"/>
    </row>
    <row r="1352">
      <c r="G1352" s="9"/>
    </row>
    <row r="1353">
      <c r="G1353" s="9"/>
    </row>
    <row r="1354">
      <c r="G1354" s="9"/>
    </row>
    <row r="1355">
      <c r="G1355" s="9"/>
    </row>
    <row r="1356">
      <c r="G1356" s="9"/>
    </row>
    <row r="1357">
      <c r="G1357" s="9"/>
    </row>
    <row r="1358">
      <c r="G1358" s="9"/>
    </row>
    <row r="1359">
      <c r="G1359" s="9"/>
    </row>
    <row r="1360">
      <c r="G1360" s="9"/>
    </row>
    <row r="1361">
      <c r="G1361" s="9"/>
    </row>
    <row r="1362">
      <c r="G1362" s="9"/>
    </row>
    <row r="1363">
      <c r="G1363" s="9"/>
    </row>
    <row r="1364">
      <c r="G1364" s="9"/>
    </row>
    <row r="1365">
      <c r="G1365" s="9"/>
    </row>
    <row r="1366">
      <c r="G1366" s="9"/>
    </row>
    <row r="1367">
      <c r="G1367" s="9"/>
    </row>
    <row r="1368">
      <c r="G1368" s="9"/>
    </row>
    <row r="1369">
      <c r="G1369" s="9"/>
    </row>
    <row r="1370">
      <c r="G1370" s="9"/>
    </row>
    <row r="1371">
      <c r="G1371" s="9"/>
    </row>
    <row r="1372">
      <c r="G1372" s="9"/>
    </row>
    <row r="1373">
      <c r="G1373" s="9"/>
    </row>
    <row r="1374">
      <c r="G1374" s="9"/>
    </row>
    <row r="1375">
      <c r="G1375" s="9"/>
    </row>
    <row r="1376">
      <c r="G1376" s="9"/>
    </row>
    <row r="1377">
      <c r="G1377" s="9"/>
    </row>
    <row r="1378">
      <c r="G1378" s="9"/>
    </row>
    <row r="1379">
      <c r="G1379" s="9"/>
    </row>
    <row r="1380">
      <c r="G1380" s="9"/>
    </row>
    <row r="1381">
      <c r="G1381" s="9"/>
    </row>
    <row r="1382">
      <c r="G1382" s="9"/>
    </row>
    <row r="1383">
      <c r="G1383" s="9"/>
    </row>
    <row r="1384">
      <c r="G1384" s="9"/>
    </row>
    <row r="1385">
      <c r="G1385" s="9"/>
    </row>
    <row r="1386">
      <c r="G1386" s="9"/>
    </row>
    <row r="1387">
      <c r="G1387" s="9"/>
    </row>
    <row r="1388">
      <c r="G1388" s="9"/>
    </row>
    <row r="1389">
      <c r="G1389" s="9"/>
    </row>
    <row r="1390">
      <c r="G1390" s="9"/>
    </row>
    <row r="1391">
      <c r="G1391" s="9"/>
    </row>
    <row r="1392">
      <c r="G1392" s="9"/>
    </row>
    <row r="1393">
      <c r="G1393" s="9"/>
    </row>
    <row r="1394">
      <c r="G1394" s="9"/>
    </row>
    <row r="1395">
      <c r="G1395" s="9"/>
    </row>
    <row r="1396">
      <c r="G1396" s="9"/>
    </row>
    <row r="1397">
      <c r="G1397" s="9"/>
    </row>
    <row r="1398">
      <c r="G1398" s="9"/>
    </row>
    <row r="1399">
      <c r="G1399" s="9"/>
    </row>
    <row r="1400">
      <c r="G1400" s="9"/>
    </row>
    <row r="1401">
      <c r="G1401" s="9"/>
    </row>
    <row r="1402">
      <c r="G1402" s="9"/>
    </row>
    <row r="1403">
      <c r="G1403" s="9"/>
    </row>
    <row r="1404">
      <c r="G1404" s="9"/>
    </row>
    <row r="1405">
      <c r="G1405" s="9"/>
    </row>
    <row r="1406">
      <c r="G1406" s="9"/>
    </row>
    <row r="1407">
      <c r="G1407" s="9"/>
    </row>
    <row r="1408">
      <c r="G1408" s="9"/>
    </row>
    <row r="1409">
      <c r="G1409" s="9"/>
    </row>
    <row r="1410">
      <c r="G1410" s="9"/>
    </row>
    <row r="1411">
      <c r="G1411" s="9"/>
    </row>
    <row r="1412">
      <c r="G1412" s="9"/>
    </row>
    <row r="1413">
      <c r="G1413" s="9"/>
    </row>
    <row r="1414">
      <c r="G1414" s="9"/>
    </row>
    <row r="1415">
      <c r="G1415" s="9"/>
    </row>
    <row r="1416">
      <c r="G1416" s="9"/>
    </row>
    <row r="1417">
      <c r="G1417" s="9"/>
    </row>
    <row r="1418">
      <c r="G1418" s="9"/>
    </row>
    <row r="1419">
      <c r="G1419" s="9"/>
    </row>
    <row r="1420">
      <c r="G1420" s="9"/>
    </row>
    <row r="1421">
      <c r="G1421" s="9"/>
    </row>
    <row r="1422">
      <c r="G1422" s="9"/>
    </row>
    <row r="1423">
      <c r="G1423" s="9"/>
    </row>
    <row r="1424">
      <c r="G1424" s="9"/>
    </row>
    <row r="1425">
      <c r="G1425" s="9"/>
    </row>
    <row r="1426">
      <c r="G1426" s="9"/>
    </row>
    <row r="1427">
      <c r="G1427" s="9"/>
    </row>
    <row r="1428">
      <c r="G1428" s="9"/>
    </row>
    <row r="1429">
      <c r="G1429" s="9"/>
    </row>
    <row r="1430">
      <c r="G1430" s="9"/>
    </row>
    <row r="1431">
      <c r="G1431" s="9"/>
    </row>
    <row r="1432">
      <c r="G1432" s="9"/>
    </row>
    <row r="1433">
      <c r="G1433" s="9"/>
    </row>
    <row r="1434">
      <c r="G1434" s="9"/>
    </row>
    <row r="1435">
      <c r="G1435" s="9"/>
    </row>
    <row r="1436">
      <c r="G1436" s="9"/>
    </row>
    <row r="1437">
      <c r="G1437" s="9"/>
    </row>
    <row r="1438">
      <c r="G1438" s="9"/>
    </row>
    <row r="1439">
      <c r="G1439" s="9"/>
    </row>
    <row r="1440">
      <c r="G1440" s="9"/>
    </row>
    <row r="1441">
      <c r="G1441" s="9"/>
    </row>
    <row r="1442">
      <c r="G1442" s="9"/>
    </row>
    <row r="1443">
      <c r="G1443" s="9"/>
    </row>
    <row r="1444">
      <c r="G1444" s="9"/>
    </row>
    <row r="1445">
      <c r="G1445" s="9"/>
    </row>
    <row r="1446">
      <c r="G1446" s="9"/>
    </row>
    <row r="1447">
      <c r="G1447" s="9"/>
    </row>
    <row r="1448">
      <c r="G1448" s="9"/>
    </row>
    <row r="1449">
      <c r="G1449" s="9"/>
    </row>
    <row r="1450">
      <c r="G1450" s="9"/>
    </row>
    <row r="1451">
      <c r="G1451" s="9"/>
    </row>
    <row r="1452">
      <c r="G1452" s="9"/>
    </row>
    <row r="1453">
      <c r="G1453" s="9"/>
    </row>
    <row r="1454">
      <c r="G1454" s="9"/>
    </row>
    <row r="1455">
      <c r="G1455" s="9"/>
    </row>
    <row r="1456">
      <c r="G1456" s="9"/>
    </row>
    <row r="1457">
      <c r="G1457" s="9"/>
    </row>
    <row r="1458">
      <c r="G1458" s="9"/>
    </row>
    <row r="1459">
      <c r="G1459" s="9"/>
    </row>
    <row r="1460">
      <c r="G1460" s="9"/>
    </row>
    <row r="1461">
      <c r="G1461" s="9"/>
    </row>
    <row r="1462">
      <c r="G1462" s="9"/>
    </row>
    <row r="1463">
      <c r="G1463" s="9"/>
    </row>
    <row r="1464">
      <c r="G1464" s="9"/>
    </row>
    <row r="1465">
      <c r="G1465" s="9"/>
    </row>
    <row r="1466">
      <c r="G1466" s="9"/>
    </row>
    <row r="1467">
      <c r="G1467" s="9"/>
    </row>
    <row r="1468">
      <c r="G1468" s="9"/>
    </row>
    <row r="1469">
      <c r="G1469" s="9"/>
    </row>
    <row r="1470">
      <c r="G1470" s="9"/>
    </row>
    <row r="1471">
      <c r="G1471" s="9"/>
    </row>
    <row r="1472">
      <c r="G1472" s="9"/>
    </row>
    <row r="1473">
      <c r="G1473" s="9"/>
    </row>
    <row r="1474">
      <c r="G1474" s="9"/>
    </row>
    <row r="1475">
      <c r="G1475" s="9"/>
    </row>
    <row r="1476">
      <c r="G1476" s="9"/>
    </row>
    <row r="1477">
      <c r="G1477" s="9"/>
    </row>
    <row r="1478">
      <c r="G1478" s="9"/>
    </row>
    <row r="1479">
      <c r="G1479" s="9"/>
    </row>
    <row r="1480">
      <c r="G1480" s="9"/>
    </row>
    <row r="1481">
      <c r="G1481" s="9"/>
    </row>
    <row r="1482">
      <c r="G1482" s="9"/>
    </row>
    <row r="1483">
      <c r="G1483" s="9"/>
    </row>
    <row r="1484">
      <c r="G1484" s="9"/>
    </row>
    <row r="1485">
      <c r="G1485" s="9"/>
    </row>
    <row r="1486">
      <c r="G1486" s="9"/>
    </row>
    <row r="1487">
      <c r="G1487" s="9"/>
    </row>
    <row r="1488">
      <c r="G1488" s="9"/>
    </row>
    <row r="1489">
      <c r="G1489" s="9"/>
    </row>
    <row r="1490">
      <c r="G1490" s="9"/>
    </row>
    <row r="1491">
      <c r="G1491" s="9"/>
    </row>
    <row r="1492">
      <c r="G1492" s="9"/>
    </row>
    <row r="1493">
      <c r="G1493" s="9"/>
    </row>
    <row r="1494">
      <c r="G1494" s="9"/>
    </row>
    <row r="1495">
      <c r="G1495" s="9"/>
    </row>
    <row r="1496">
      <c r="G1496" s="9"/>
    </row>
    <row r="1497">
      <c r="G1497" s="9"/>
    </row>
    <row r="1498">
      <c r="G1498" s="9"/>
    </row>
    <row r="1499">
      <c r="G1499" s="9"/>
    </row>
    <row r="1500">
      <c r="G1500" s="9"/>
    </row>
    <row r="1501">
      <c r="G1501" s="9"/>
    </row>
    <row r="1502">
      <c r="G1502" s="9"/>
    </row>
    <row r="1503">
      <c r="G1503" s="9"/>
    </row>
    <row r="1504">
      <c r="G1504" s="9"/>
    </row>
    <row r="1505">
      <c r="G1505" s="9"/>
    </row>
    <row r="1506">
      <c r="G1506" s="9"/>
    </row>
    <row r="1507">
      <c r="G1507" s="9"/>
    </row>
    <row r="1508">
      <c r="G1508" s="9"/>
    </row>
    <row r="1509">
      <c r="G1509" s="9"/>
    </row>
    <row r="1510">
      <c r="G1510" s="9"/>
    </row>
    <row r="1511">
      <c r="G1511" s="9"/>
    </row>
    <row r="1512">
      <c r="G1512" s="9"/>
    </row>
    <row r="1513">
      <c r="G1513" s="9"/>
    </row>
    <row r="1514">
      <c r="G1514" s="9"/>
    </row>
    <row r="1515">
      <c r="G1515" s="9"/>
    </row>
    <row r="1516">
      <c r="G1516" s="9"/>
    </row>
    <row r="1517">
      <c r="G1517" s="9"/>
    </row>
    <row r="1518">
      <c r="G1518" s="9"/>
    </row>
    <row r="1519">
      <c r="G1519" s="9"/>
    </row>
    <row r="1520">
      <c r="G1520" s="9"/>
    </row>
    <row r="1521">
      <c r="G1521" s="9"/>
    </row>
    <row r="1522">
      <c r="G1522" s="9"/>
    </row>
    <row r="1523">
      <c r="G1523" s="9"/>
    </row>
    <row r="1524">
      <c r="G1524" s="9"/>
    </row>
    <row r="1525">
      <c r="G1525" s="9"/>
    </row>
    <row r="1526">
      <c r="G1526" s="9"/>
    </row>
    <row r="1527">
      <c r="G1527" s="9"/>
    </row>
    <row r="1528">
      <c r="G1528" s="9"/>
    </row>
    <row r="1529">
      <c r="G1529" s="9"/>
    </row>
    <row r="1530">
      <c r="G1530" s="9"/>
    </row>
    <row r="1531">
      <c r="G1531" s="9"/>
    </row>
    <row r="1532">
      <c r="G1532" s="9"/>
    </row>
    <row r="1533">
      <c r="G1533" s="9"/>
    </row>
    <row r="1534">
      <c r="G1534" s="9"/>
    </row>
    <row r="1535">
      <c r="G1535" s="9"/>
    </row>
    <row r="1536">
      <c r="G1536" s="9"/>
    </row>
    <row r="1537">
      <c r="G1537" s="9"/>
    </row>
    <row r="1538">
      <c r="G1538" s="9"/>
    </row>
    <row r="1539">
      <c r="G1539" s="9"/>
    </row>
    <row r="1540">
      <c r="G1540" s="9"/>
    </row>
    <row r="1541">
      <c r="G1541" s="9"/>
    </row>
    <row r="1542">
      <c r="G1542" s="9"/>
    </row>
    <row r="1543">
      <c r="G1543" s="9"/>
    </row>
    <row r="1544">
      <c r="G1544" s="9"/>
    </row>
    <row r="1545">
      <c r="G1545" s="9"/>
    </row>
    <row r="1546">
      <c r="G1546" s="9"/>
    </row>
    <row r="1547">
      <c r="G1547" s="9"/>
    </row>
    <row r="1548">
      <c r="G1548" s="9"/>
    </row>
    <row r="1549">
      <c r="G1549" s="9"/>
    </row>
    <row r="1550">
      <c r="G1550" s="9"/>
    </row>
    <row r="1551">
      <c r="G1551" s="9"/>
    </row>
    <row r="1552">
      <c r="G1552" s="9"/>
    </row>
    <row r="1553">
      <c r="G1553" s="9"/>
    </row>
    <row r="1554">
      <c r="G1554" s="9"/>
    </row>
    <row r="1555">
      <c r="G1555" s="9"/>
    </row>
    <row r="1556">
      <c r="G1556" s="9"/>
    </row>
    <row r="1557">
      <c r="G1557" s="9"/>
    </row>
    <row r="1558">
      <c r="G1558" s="9"/>
    </row>
    <row r="1559">
      <c r="G1559" s="9"/>
    </row>
    <row r="1560">
      <c r="G1560" s="9"/>
    </row>
    <row r="1561">
      <c r="G1561" s="9"/>
    </row>
    <row r="1562">
      <c r="G1562" s="9"/>
    </row>
    <row r="1563">
      <c r="G1563" s="9"/>
    </row>
    <row r="1564">
      <c r="G1564" s="9"/>
    </row>
    <row r="1565">
      <c r="G1565" s="9"/>
    </row>
    <row r="1566">
      <c r="G1566" s="9"/>
    </row>
    <row r="1567">
      <c r="G1567" s="9"/>
    </row>
    <row r="1568">
      <c r="G1568" s="9"/>
    </row>
    <row r="1569">
      <c r="G1569" s="9"/>
    </row>
    <row r="1570">
      <c r="G1570" s="9"/>
    </row>
    <row r="1571">
      <c r="G1571" s="9"/>
    </row>
    <row r="1572">
      <c r="G1572" s="9"/>
    </row>
    <row r="1573">
      <c r="G1573" s="9"/>
    </row>
    <row r="1574">
      <c r="G1574" s="9"/>
    </row>
    <row r="1575">
      <c r="G1575" s="9"/>
    </row>
    <row r="1576">
      <c r="G1576" s="9"/>
    </row>
    <row r="1577">
      <c r="G1577" s="9"/>
    </row>
    <row r="1578">
      <c r="G1578" s="9"/>
    </row>
    <row r="1579">
      <c r="G1579" s="9"/>
    </row>
    <row r="1580">
      <c r="G1580" s="9"/>
    </row>
    <row r="1581">
      <c r="G1581" s="9"/>
    </row>
    <row r="1582">
      <c r="G1582" s="9"/>
    </row>
    <row r="1583">
      <c r="G1583" s="9"/>
    </row>
    <row r="1584">
      <c r="G1584" s="9"/>
    </row>
    <row r="1585">
      <c r="G1585" s="9"/>
    </row>
    <row r="1586">
      <c r="G1586" s="9"/>
    </row>
    <row r="1587">
      <c r="G1587" s="9"/>
    </row>
    <row r="1588">
      <c r="G1588" s="9"/>
    </row>
    <row r="1589">
      <c r="G1589" s="9"/>
    </row>
    <row r="1590">
      <c r="G1590" s="9"/>
    </row>
    <row r="1591">
      <c r="G1591" s="9"/>
    </row>
    <row r="1592">
      <c r="G1592" s="9"/>
    </row>
    <row r="1593">
      <c r="G1593" s="9"/>
    </row>
    <row r="1594">
      <c r="G1594" s="9"/>
    </row>
    <row r="1595">
      <c r="G1595" s="9"/>
    </row>
    <row r="1596">
      <c r="G1596" s="9"/>
    </row>
    <row r="1597">
      <c r="G1597" s="9"/>
    </row>
    <row r="1598">
      <c r="G1598" s="9"/>
    </row>
    <row r="1599">
      <c r="G1599" s="9"/>
    </row>
    <row r="1600">
      <c r="G1600" s="9"/>
    </row>
    <row r="1601">
      <c r="G1601" s="9"/>
    </row>
    <row r="1602">
      <c r="G1602" s="9"/>
    </row>
    <row r="1603">
      <c r="G1603" s="9"/>
    </row>
    <row r="1604">
      <c r="G1604" s="9"/>
    </row>
    <row r="1605">
      <c r="G1605" s="9"/>
    </row>
    <row r="1606">
      <c r="G1606" s="9"/>
    </row>
    <row r="1607">
      <c r="G1607" s="9"/>
    </row>
    <row r="1608">
      <c r="G1608" s="9"/>
    </row>
    <row r="1609">
      <c r="G1609" s="9"/>
    </row>
    <row r="1610">
      <c r="G1610" s="9"/>
    </row>
    <row r="1611">
      <c r="G1611" s="9"/>
    </row>
    <row r="1612">
      <c r="G1612" s="9"/>
    </row>
    <row r="1613">
      <c r="G1613" s="9"/>
    </row>
    <row r="1614">
      <c r="G1614" s="9"/>
    </row>
    <row r="1615">
      <c r="G1615" s="9"/>
    </row>
    <row r="1616">
      <c r="G1616" s="9"/>
    </row>
    <row r="1617">
      <c r="G1617" s="9"/>
    </row>
    <row r="1618">
      <c r="G1618" s="9"/>
    </row>
    <row r="1619">
      <c r="G1619" s="9"/>
    </row>
    <row r="1620">
      <c r="G1620" s="9"/>
    </row>
    <row r="1621">
      <c r="G1621" s="9"/>
    </row>
    <row r="1622">
      <c r="G1622" s="9"/>
    </row>
    <row r="1623">
      <c r="G1623" s="9"/>
    </row>
    <row r="1624">
      <c r="G1624" s="9"/>
    </row>
    <row r="1625">
      <c r="G1625" s="9"/>
    </row>
    <row r="1626">
      <c r="G1626" s="9"/>
    </row>
    <row r="1627">
      <c r="G1627" s="9"/>
    </row>
    <row r="1628">
      <c r="G1628" s="9"/>
    </row>
    <row r="1629">
      <c r="G1629" s="9"/>
    </row>
    <row r="1630">
      <c r="G1630" s="9"/>
    </row>
    <row r="1631">
      <c r="G1631" s="9"/>
    </row>
    <row r="1632">
      <c r="G1632" s="9"/>
    </row>
    <row r="1633">
      <c r="G1633" s="9"/>
    </row>
    <row r="1634">
      <c r="G1634" s="9"/>
    </row>
    <row r="1635">
      <c r="G1635" s="9"/>
    </row>
    <row r="1636">
      <c r="G1636" s="9"/>
    </row>
    <row r="1637">
      <c r="G1637" s="9"/>
    </row>
    <row r="1638">
      <c r="G1638" s="9"/>
    </row>
    <row r="1639">
      <c r="G1639" s="9"/>
    </row>
    <row r="1640">
      <c r="G1640" s="9"/>
    </row>
    <row r="1641">
      <c r="G1641" s="9"/>
    </row>
    <row r="1642">
      <c r="G1642" s="9"/>
    </row>
    <row r="1643">
      <c r="G1643" s="9"/>
    </row>
    <row r="1644">
      <c r="G1644" s="9"/>
    </row>
    <row r="1645">
      <c r="G1645" s="9"/>
    </row>
    <row r="1646">
      <c r="G1646" s="9"/>
    </row>
    <row r="1647">
      <c r="G1647" s="9"/>
    </row>
    <row r="1648">
      <c r="G1648" s="9"/>
    </row>
    <row r="1649">
      <c r="G1649" s="9"/>
    </row>
    <row r="1650">
      <c r="G1650" s="9"/>
    </row>
    <row r="1651">
      <c r="G1651" s="9"/>
    </row>
    <row r="1652">
      <c r="G1652" s="9"/>
    </row>
    <row r="1653">
      <c r="G1653" s="9"/>
    </row>
    <row r="1654">
      <c r="G1654" s="9"/>
    </row>
    <row r="1655">
      <c r="G1655" s="9"/>
    </row>
    <row r="1656">
      <c r="G1656" s="9"/>
    </row>
    <row r="1657">
      <c r="G1657" s="9"/>
    </row>
    <row r="1658">
      <c r="G1658" s="9"/>
    </row>
    <row r="1659">
      <c r="G1659" s="9"/>
    </row>
    <row r="1660">
      <c r="G1660" s="9"/>
    </row>
    <row r="1661">
      <c r="G1661" s="9"/>
    </row>
    <row r="1662">
      <c r="G1662" s="9"/>
    </row>
    <row r="1663">
      <c r="G1663" s="9"/>
    </row>
    <row r="1664">
      <c r="G1664" s="9"/>
    </row>
    <row r="1665">
      <c r="G1665" s="9"/>
    </row>
    <row r="1666">
      <c r="G1666" s="9"/>
    </row>
    <row r="1667">
      <c r="G1667" s="9"/>
    </row>
    <row r="1668">
      <c r="G1668" s="9"/>
    </row>
    <row r="1669">
      <c r="G1669" s="9"/>
    </row>
    <row r="1670">
      <c r="G1670" s="9"/>
    </row>
    <row r="1671">
      <c r="G1671" s="9"/>
    </row>
    <row r="1672">
      <c r="G1672" s="9"/>
    </row>
    <row r="1673">
      <c r="G1673" s="9"/>
    </row>
    <row r="1674">
      <c r="G1674" s="9"/>
    </row>
    <row r="1675">
      <c r="G1675" s="9"/>
    </row>
    <row r="1676">
      <c r="G1676" s="9"/>
    </row>
    <row r="1677">
      <c r="G1677" s="9"/>
    </row>
    <row r="1678">
      <c r="G1678" s="9"/>
    </row>
    <row r="1679">
      <c r="G1679" s="9"/>
    </row>
    <row r="1680">
      <c r="G1680" s="9"/>
    </row>
    <row r="1681">
      <c r="G1681" s="9"/>
    </row>
    <row r="1682">
      <c r="G1682" s="9"/>
    </row>
    <row r="1683">
      <c r="G1683" s="9"/>
    </row>
    <row r="1684">
      <c r="G1684" s="9"/>
    </row>
    <row r="1685">
      <c r="G1685" s="9"/>
    </row>
    <row r="1686">
      <c r="G1686" s="9"/>
    </row>
    <row r="1687">
      <c r="G1687" s="9"/>
    </row>
    <row r="1688">
      <c r="G1688" s="9"/>
    </row>
    <row r="1689">
      <c r="G1689" s="9"/>
    </row>
    <row r="1690">
      <c r="G1690" s="9"/>
    </row>
    <row r="1691">
      <c r="G1691" s="9"/>
    </row>
    <row r="1692">
      <c r="G1692" s="9"/>
    </row>
    <row r="1693">
      <c r="G1693" s="9"/>
    </row>
    <row r="1694">
      <c r="G1694" s="9"/>
    </row>
    <row r="1695">
      <c r="G1695" s="9"/>
    </row>
    <row r="1696">
      <c r="G1696" s="9"/>
    </row>
    <row r="1697">
      <c r="G1697" s="9"/>
    </row>
    <row r="1698">
      <c r="G1698" s="9"/>
    </row>
    <row r="1699">
      <c r="G1699" s="9"/>
    </row>
    <row r="1700">
      <c r="G1700" s="9"/>
    </row>
    <row r="1701">
      <c r="G1701" s="9"/>
    </row>
    <row r="1702">
      <c r="G1702" s="9"/>
    </row>
    <row r="1703">
      <c r="G1703" s="9"/>
    </row>
    <row r="1704">
      <c r="G1704" s="9"/>
    </row>
    <row r="1705">
      <c r="G1705" s="9"/>
    </row>
    <row r="1706">
      <c r="G1706" s="9"/>
    </row>
    <row r="1707">
      <c r="G1707" s="9"/>
    </row>
    <row r="1708">
      <c r="G1708" s="9"/>
    </row>
    <row r="1709">
      <c r="G1709" s="9"/>
    </row>
    <row r="1710">
      <c r="G1710" s="9"/>
    </row>
    <row r="1711">
      <c r="G1711" s="9"/>
    </row>
    <row r="1712">
      <c r="G1712" s="9"/>
    </row>
    <row r="1713">
      <c r="G1713" s="9"/>
    </row>
    <row r="1714">
      <c r="G1714" s="9"/>
    </row>
    <row r="1715">
      <c r="G1715" s="9"/>
    </row>
    <row r="1716">
      <c r="G1716" s="9"/>
    </row>
    <row r="1717">
      <c r="G1717" s="9"/>
    </row>
    <row r="1718">
      <c r="G1718" s="9"/>
    </row>
    <row r="1719">
      <c r="G1719" s="9"/>
    </row>
    <row r="1720">
      <c r="G1720" s="9"/>
    </row>
    <row r="1721">
      <c r="G1721" s="9"/>
    </row>
    <row r="1722">
      <c r="G1722" s="9"/>
    </row>
    <row r="1723">
      <c r="G1723" s="9"/>
    </row>
    <row r="1724">
      <c r="G1724" s="9"/>
    </row>
    <row r="1725">
      <c r="G1725" s="9"/>
    </row>
    <row r="1726">
      <c r="G1726" s="9"/>
    </row>
    <row r="1727">
      <c r="G1727" s="9"/>
    </row>
    <row r="1728">
      <c r="G1728" s="9"/>
    </row>
    <row r="1729">
      <c r="G1729" s="9"/>
    </row>
    <row r="1730">
      <c r="G1730" s="9"/>
    </row>
    <row r="1731">
      <c r="G1731" s="9"/>
    </row>
    <row r="1732">
      <c r="G1732" s="9"/>
    </row>
    <row r="1733">
      <c r="G1733" s="9"/>
    </row>
    <row r="1734">
      <c r="G1734" s="9"/>
    </row>
    <row r="1735">
      <c r="G1735" s="9"/>
    </row>
    <row r="1736">
      <c r="G1736" s="9"/>
    </row>
    <row r="1737">
      <c r="G1737" s="9"/>
    </row>
    <row r="1738">
      <c r="G1738" s="9"/>
    </row>
    <row r="1739">
      <c r="G1739" s="9"/>
    </row>
    <row r="1740">
      <c r="G1740" s="9"/>
    </row>
    <row r="1741">
      <c r="G1741" s="9"/>
    </row>
    <row r="1742">
      <c r="G1742" s="9"/>
    </row>
    <row r="1743">
      <c r="G1743" s="9"/>
    </row>
    <row r="1744">
      <c r="G1744" s="9"/>
    </row>
    <row r="1745">
      <c r="G1745" s="9"/>
    </row>
    <row r="1746">
      <c r="G1746" s="9"/>
    </row>
    <row r="1747">
      <c r="G1747" s="9"/>
    </row>
    <row r="1748">
      <c r="G1748" s="9"/>
    </row>
    <row r="1749">
      <c r="G1749" s="9"/>
    </row>
    <row r="1750">
      <c r="G1750" s="9"/>
    </row>
    <row r="1751">
      <c r="G1751" s="9"/>
    </row>
    <row r="1752">
      <c r="G1752" s="9"/>
    </row>
    <row r="1753">
      <c r="G1753" s="9"/>
    </row>
    <row r="1754">
      <c r="G1754" s="9"/>
    </row>
    <row r="1755">
      <c r="G1755" s="9"/>
    </row>
    <row r="1756">
      <c r="G1756" s="9"/>
    </row>
    <row r="1757">
      <c r="G1757" s="9"/>
    </row>
    <row r="1758">
      <c r="G1758" s="9"/>
    </row>
    <row r="1759">
      <c r="G1759" s="9"/>
    </row>
    <row r="1760">
      <c r="G1760" s="9"/>
    </row>
    <row r="1761">
      <c r="G1761" s="9"/>
    </row>
    <row r="1762">
      <c r="G1762" s="9"/>
    </row>
    <row r="1763">
      <c r="G1763" s="9"/>
    </row>
    <row r="1764">
      <c r="G1764" s="9"/>
    </row>
    <row r="1765">
      <c r="G1765" s="9"/>
    </row>
    <row r="1766">
      <c r="G1766" s="9"/>
    </row>
    <row r="1767">
      <c r="G1767" s="9"/>
    </row>
    <row r="1768">
      <c r="G1768" s="9"/>
    </row>
    <row r="1769">
      <c r="G1769" s="9"/>
    </row>
    <row r="1770">
      <c r="G1770" s="9"/>
    </row>
    <row r="1771">
      <c r="G1771" s="9"/>
    </row>
    <row r="1772">
      <c r="G1772" s="9"/>
    </row>
    <row r="1773">
      <c r="G1773" s="9"/>
    </row>
    <row r="1774">
      <c r="G1774" s="9"/>
    </row>
    <row r="1775">
      <c r="G1775" s="9"/>
    </row>
    <row r="1776">
      <c r="G1776" s="9"/>
    </row>
    <row r="1777">
      <c r="G1777" s="9"/>
    </row>
    <row r="1778">
      <c r="G1778" s="9"/>
    </row>
    <row r="1779">
      <c r="G1779" s="9"/>
    </row>
    <row r="1780">
      <c r="G1780" s="9"/>
    </row>
    <row r="1781">
      <c r="G1781" s="9"/>
    </row>
    <row r="1782">
      <c r="G1782" s="9"/>
    </row>
    <row r="1783">
      <c r="G1783" s="9"/>
    </row>
    <row r="1784">
      <c r="G1784" s="9"/>
    </row>
    <row r="1785">
      <c r="G1785" s="9"/>
    </row>
    <row r="1786">
      <c r="G1786" s="9"/>
    </row>
    <row r="1787">
      <c r="G1787" s="9"/>
    </row>
    <row r="1788">
      <c r="G1788" s="9"/>
    </row>
    <row r="1789">
      <c r="G1789" s="9"/>
    </row>
    <row r="1790">
      <c r="G1790" s="9"/>
    </row>
    <row r="1791">
      <c r="G1791" s="9"/>
    </row>
    <row r="1792">
      <c r="G1792" s="9"/>
    </row>
    <row r="1793">
      <c r="G1793" s="9"/>
    </row>
    <row r="1794">
      <c r="G1794" s="9"/>
    </row>
    <row r="1795">
      <c r="G1795" s="9"/>
    </row>
    <row r="1796">
      <c r="G1796" s="9"/>
    </row>
    <row r="1797">
      <c r="G1797" s="9"/>
    </row>
    <row r="1798">
      <c r="G1798" s="9"/>
    </row>
    <row r="1799">
      <c r="G1799" s="9"/>
    </row>
    <row r="1800">
      <c r="G1800" s="9"/>
    </row>
    <row r="1801">
      <c r="G1801" s="9"/>
    </row>
    <row r="1802">
      <c r="G1802" s="9"/>
    </row>
    <row r="1803">
      <c r="G1803" s="9"/>
    </row>
    <row r="1804">
      <c r="G1804" s="9"/>
    </row>
    <row r="1805">
      <c r="G1805" s="9"/>
    </row>
    <row r="1806">
      <c r="G1806" s="9"/>
    </row>
    <row r="1807">
      <c r="G1807" s="9"/>
    </row>
    <row r="1808">
      <c r="G1808" s="9"/>
    </row>
    <row r="1809">
      <c r="G1809" s="9"/>
    </row>
    <row r="1810">
      <c r="G1810" s="9"/>
    </row>
    <row r="1811">
      <c r="G1811" s="9"/>
    </row>
    <row r="1812">
      <c r="G1812" s="9"/>
    </row>
    <row r="1813">
      <c r="G1813" s="9"/>
    </row>
    <row r="1814">
      <c r="G1814" s="9"/>
    </row>
    <row r="1815">
      <c r="G1815" s="9"/>
    </row>
    <row r="1816">
      <c r="G1816" s="9"/>
    </row>
    <row r="1817">
      <c r="G1817" s="9"/>
    </row>
    <row r="1818">
      <c r="G1818" s="9"/>
    </row>
    <row r="1819">
      <c r="G1819" s="9"/>
    </row>
    <row r="1820">
      <c r="G1820" s="9"/>
    </row>
    <row r="1821">
      <c r="G1821" s="9"/>
    </row>
    <row r="1822">
      <c r="G1822" s="9"/>
    </row>
    <row r="1823">
      <c r="G1823" s="9"/>
    </row>
    <row r="1824">
      <c r="G1824" s="9"/>
    </row>
    <row r="1825">
      <c r="G1825" s="9"/>
    </row>
    <row r="1826">
      <c r="G1826" s="9"/>
    </row>
    <row r="1827">
      <c r="G1827" s="9"/>
    </row>
    <row r="1828">
      <c r="G1828" s="9"/>
    </row>
    <row r="1829">
      <c r="G1829" s="9"/>
    </row>
    <row r="1830">
      <c r="G1830" s="9"/>
    </row>
    <row r="1831">
      <c r="G1831" s="9"/>
    </row>
    <row r="1832">
      <c r="G1832" s="9"/>
    </row>
    <row r="1833">
      <c r="G1833" s="9"/>
    </row>
    <row r="1834">
      <c r="G1834" s="9"/>
    </row>
    <row r="1835">
      <c r="G1835" s="9"/>
    </row>
    <row r="1836">
      <c r="G1836" s="9"/>
    </row>
    <row r="1837">
      <c r="G1837" s="9"/>
    </row>
    <row r="1838">
      <c r="G1838" s="9"/>
    </row>
    <row r="1839">
      <c r="G1839" s="9"/>
    </row>
    <row r="1840">
      <c r="G1840" s="9"/>
    </row>
    <row r="1841">
      <c r="G1841" s="9"/>
    </row>
    <row r="1842">
      <c r="G1842" s="9"/>
    </row>
    <row r="1843">
      <c r="G1843" s="9"/>
    </row>
    <row r="1844">
      <c r="G1844" s="9"/>
    </row>
    <row r="1845">
      <c r="G1845" s="9"/>
    </row>
    <row r="1846">
      <c r="G1846" s="9"/>
    </row>
    <row r="1847">
      <c r="G1847" s="9"/>
    </row>
    <row r="1848">
      <c r="G1848" s="9"/>
    </row>
    <row r="1849">
      <c r="G1849" s="9"/>
    </row>
    <row r="1850">
      <c r="G1850" s="9"/>
    </row>
    <row r="1851">
      <c r="G1851" s="9"/>
    </row>
    <row r="1852">
      <c r="G1852" s="9"/>
    </row>
    <row r="1853">
      <c r="G1853" s="9"/>
    </row>
    <row r="1854">
      <c r="G1854" s="9"/>
    </row>
    <row r="1855">
      <c r="G1855" s="9"/>
    </row>
    <row r="1856">
      <c r="G1856" s="9"/>
    </row>
    <row r="1857">
      <c r="G1857" s="9"/>
    </row>
    <row r="1858">
      <c r="G1858" s="9"/>
    </row>
    <row r="1859">
      <c r="G1859" s="9"/>
    </row>
    <row r="1860">
      <c r="G1860" s="9"/>
    </row>
    <row r="1861">
      <c r="G1861" s="9"/>
    </row>
    <row r="1862">
      <c r="G1862" s="9"/>
    </row>
    <row r="1863">
      <c r="G1863" s="9"/>
    </row>
    <row r="1864">
      <c r="G1864" s="9"/>
    </row>
    <row r="1865">
      <c r="G1865" s="9"/>
    </row>
    <row r="1866">
      <c r="G1866" s="9"/>
    </row>
    <row r="1867">
      <c r="G1867" s="9"/>
    </row>
    <row r="1868">
      <c r="G1868" s="9"/>
    </row>
    <row r="1869">
      <c r="G1869" s="9"/>
    </row>
    <row r="1870">
      <c r="G1870" s="9"/>
    </row>
    <row r="1871">
      <c r="G1871" s="9"/>
    </row>
    <row r="1872">
      <c r="G1872" s="9"/>
    </row>
    <row r="1873">
      <c r="G1873" s="9"/>
    </row>
    <row r="1874">
      <c r="G1874" s="9"/>
    </row>
    <row r="1875">
      <c r="G1875" s="9"/>
    </row>
    <row r="1876">
      <c r="G1876" s="9"/>
    </row>
    <row r="1877">
      <c r="G1877" s="9"/>
    </row>
    <row r="1878">
      <c r="G1878" s="9"/>
    </row>
    <row r="1879">
      <c r="G1879" s="9"/>
    </row>
    <row r="1880">
      <c r="G1880" s="9"/>
    </row>
    <row r="1881">
      <c r="G1881" s="9"/>
    </row>
    <row r="1882">
      <c r="G1882" s="9"/>
    </row>
    <row r="1883">
      <c r="G1883" s="9"/>
    </row>
    <row r="1884">
      <c r="G1884" s="9"/>
    </row>
    <row r="1885">
      <c r="G1885" s="9"/>
    </row>
    <row r="1886">
      <c r="G1886" s="9"/>
    </row>
    <row r="1887">
      <c r="G1887" s="9"/>
    </row>
    <row r="1888">
      <c r="G1888" s="9"/>
    </row>
    <row r="1889">
      <c r="G1889" s="9"/>
    </row>
    <row r="1890">
      <c r="G1890" s="9"/>
    </row>
    <row r="1891">
      <c r="G1891" s="9"/>
    </row>
    <row r="1892">
      <c r="G1892" s="9"/>
    </row>
    <row r="1893">
      <c r="G1893" s="9"/>
    </row>
    <row r="1894">
      <c r="G1894" s="9"/>
    </row>
    <row r="1895">
      <c r="G1895" s="9"/>
    </row>
    <row r="1896">
      <c r="G1896" s="9"/>
    </row>
    <row r="1897">
      <c r="G1897" s="9"/>
    </row>
    <row r="1898">
      <c r="G1898" s="9"/>
    </row>
    <row r="1899">
      <c r="G1899" s="9"/>
    </row>
    <row r="1900">
      <c r="G1900" s="9"/>
    </row>
    <row r="1901">
      <c r="G1901" s="9"/>
    </row>
    <row r="1902">
      <c r="G1902" s="9"/>
    </row>
    <row r="1903">
      <c r="G1903" s="9"/>
    </row>
    <row r="1904">
      <c r="G1904" s="9"/>
    </row>
    <row r="1905">
      <c r="G1905" s="9"/>
    </row>
    <row r="1906">
      <c r="G1906" s="9"/>
    </row>
    <row r="1907">
      <c r="G1907" s="9"/>
    </row>
    <row r="1908">
      <c r="G1908" s="9"/>
    </row>
    <row r="1909">
      <c r="G1909" s="9"/>
    </row>
    <row r="1910">
      <c r="G1910" s="9"/>
    </row>
    <row r="1911">
      <c r="G1911" s="9"/>
    </row>
    <row r="1912">
      <c r="G1912" s="9"/>
    </row>
    <row r="1913">
      <c r="G1913" s="9"/>
    </row>
    <row r="1914">
      <c r="G1914" s="9"/>
    </row>
    <row r="1915">
      <c r="G1915" s="9"/>
    </row>
    <row r="1916">
      <c r="G1916" s="9"/>
    </row>
    <row r="1917">
      <c r="G1917" s="9"/>
    </row>
    <row r="1918">
      <c r="G1918" s="9"/>
    </row>
    <row r="1919">
      <c r="G1919" s="9"/>
    </row>
    <row r="1920">
      <c r="G1920" s="9"/>
    </row>
    <row r="1921">
      <c r="G1921" s="9"/>
    </row>
    <row r="1922">
      <c r="G1922" s="9"/>
    </row>
    <row r="1923">
      <c r="G1923" s="9"/>
    </row>
    <row r="1924">
      <c r="G1924" s="9"/>
    </row>
    <row r="1925">
      <c r="G1925" s="9"/>
    </row>
    <row r="1926">
      <c r="G1926" s="9"/>
    </row>
    <row r="1927">
      <c r="G1927" s="9"/>
    </row>
    <row r="1928">
      <c r="G1928" s="9"/>
    </row>
    <row r="1929">
      <c r="G1929" s="9"/>
    </row>
    <row r="1930">
      <c r="G1930" s="9"/>
    </row>
    <row r="1931">
      <c r="G1931" s="9"/>
    </row>
    <row r="1932">
      <c r="G1932" s="9"/>
    </row>
    <row r="1933">
      <c r="G1933" s="9"/>
    </row>
    <row r="1934">
      <c r="G1934" s="9"/>
    </row>
    <row r="1935">
      <c r="G1935" s="9"/>
    </row>
    <row r="1936">
      <c r="G1936" s="9"/>
    </row>
    <row r="1937">
      <c r="G1937" s="9"/>
    </row>
    <row r="1938">
      <c r="G1938" s="9"/>
    </row>
    <row r="1939">
      <c r="G1939" s="9"/>
    </row>
    <row r="1940">
      <c r="G1940" s="9"/>
    </row>
    <row r="1941">
      <c r="G1941" s="9"/>
    </row>
    <row r="1942">
      <c r="G1942" s="9"/>
    </row>
    <row r="1943">
      <c r="G1943" s="9"/>
    </row>
    <row r="1944">
      <c r="G1944" s="9"/>
    </row>
    <row r="1945">
      <c r="G1945" s="9"/>
    </row>
    <row r="1946">
      <c r="G1946" s="9"/>
    </row>
    <row r="1947">
      <c r="G1947" s="9"/>
    </row>
    <row r="1948">
      <c r="G1948" s="9"/>
    </row>
    <row r="1949">
      <c r="G1949" s="9"/>
    </row>
    <row r="1950">
      <c r="G1950" s="9"/>
    </row>
    <row r="1951">
      <c r="G1951" s="9"/>
    </row>
    <row r="1952">
      <c r="G1952" s="9"/>
    </row>
    <row r="1953">
      <c r="G1953" s="9"/>
    </row>
    <row r="1954">
      <c r="G1954" s="9"/>
    </row>
    <row r="1955">
      <c r="G1955" s="9"/>
    </row>
    <row r="1956">
      <c r="G1956" s="9"/>
    </row>
    <row r="1957">
      <c r="G1957" s="9"/>
    </row>
    <row r="1958">
      <c r="G1958" s="9"/>
    </row>
    <row r="1959">
      <c r="G1959" s="9"/>
    </row>
    <row r="1960">
      <c r="G1960" s="9"/>
    </row>
    <row r="1961">
      <c r="G1961" s="9"/>
    </row>
    <row r="1962">
      <c r="G1962" s="9"/>
    </row>
    <row r="1963">
      <c r="G1963" s="9"/>
    </row>
    <row r="1964">
      <c r="G1964" s="9"/>
    </row>
    <row r="1965">
      <c r="G1965" s="9"/>
    </row>
    <row r="1966">
      <c r="G1966" s="9"/>
    </row>
    <row r="1967">
      <c r="G1967" s="9"/>
    </row>
    <row r="1968">
      <c r="G1968" s="9"/>
    </row>
    <row r="1969">
      <c r="G1969" s="9"/>
    </row>
    <row r="1970">
      <c r="G1970" s="9"/>
    </row>
    <row r="1971">
      <c r="G1971" s="9"/>
    </row>
    <row r="1972">
      <c r="G1972" s="9"/>
    </row>
    <row r="1973">
      <c r="G1973" s="9"/>
    </row>
    <row r="1974">
      <c r="G1974" s="9"/>
    </row>
    <row r="1975">
      <c r="G1975" s="9"/>
    </row>
    <row r="1976">
      <c r="G1976" s="9"/>
    </row>
    <row r="1977">
      <c r="G1977" s="9"/>
    </row>
    <row r="1978">
      <c r="G1978" s="9"/>
    </row>
    <row r="1979">
      <c r="G1979" s="9"/>
    </row>
    <row r="1980">
      <c r="G1980" s="9"/>
    </row>
    <row r="1981">
      <c r="G1981" s="9"/>
    </row>
    <row r="1982">
      <c r="G1982" s="9"/>
    </row>
    <row r="1983">
      <c r="G1983" s="9"/>
    </row>
    <row r="1984">
      <c r="G1984" s="9"/>
    </row>
    <row r="1985">
      <c r="G1985" s="9"/>
    </row>
    <row r="1986">
      <c r="G1986" s="9"/>
    </row>
    <row r="1987">
      <c r="G1987" s="9"/>
    </row>
    <row r="1988">
      <c r="G1988" s="9"/>
    </row>
    <row r="1989">
      <c r="G1989" s="9"/>
    </row>
    <row r="1990">
      <c r="G1990" s="9"/>
    </row>
    <row r="1991">
      <c r="G1991" s="9"/>
    </row>
    <row r="1992">
      <c r="G1992" s="9"/>
    </row>
    <row r="1993">
      <c r="G1993" s="9"/>
    </row>
    <row r="1994">
      <c r="G1994" s="9"/>
    </row>
    <row r="1995">
      <c r="G1995" s="9"/>
    </row>
    <row r="1996">
      <c r="G1996" s="9"/>
    </row>
    <row r="1997">
      <c r="G1997" s="9"/>
    </row>
    <row r="1998">
      <c r="G1998" s="9"/>
    </row>
    <row r="1999">
      <c r="G1999" s="9"/>
    </row>
    <row r="2000">
      <c r="G2000" s="9"/>
    </row>
    <row r="2001">
      <c r="G2001" s="9"/>
    </row>
    <row r="2002">
      <c r="G2002" s="9"/>
    </row>
    <row r="2003">
      <c r="G2003" s="9"/>
    </row>
    <row r="2004">
      <c r="G2004" s="9"/>
    </row>
    <row r="2005">
      <c r="G2005" s="9"/>
    </row>
    <row r="2006">
      <c r="G2006" s="9"/>
    </row>
    <row r="2007">
      <c r="G2007" s="9"/>
    </row>
    <row r="2008">
      <c r="G2008" s="9"/>
    </row>
    <row r="2009">
      <c r="G2009" s="9"/>
    </row>
    <row r="2010">
      <c r="G2010" s="9"/>
    </row>
    <row r="2011">
      <c r="G2011" s="9"/>
    </row>
    <row r="2012">
      <c r="G2012" s="9"/>
    </row>
    <row r="2013">
      <c r="G2013" s="9"/>
    </row>
    <row r="2014">
      <c r="G2014" s="9"/>
    </row>
    <row r="2015">
      <c r="G2015" s="9"/>
    </row>
    <row r="2016">
      <c r="G2016" s="9"/>
    </row>
    <row r="2017">
      <c r="G2017" s="9"/>
    </row>
    <row r="2018">
      <c r="G2018" s="9"/>
    </row>
    <row r="2019">
      <c r="G2019" s="9"/>
    </row>
    <row r="2020">
      <c r="G2020" s="9"/>
    </row>
    <row r="2021">
      <c r="G2021" s="9"/>
    </row>
    <row r="2022">
      <c r="G2022" s="9"/>
    </row>
    <row r="2023">
      <c r="G2023" s="9"/>
    </row>
    <row r="2024">
      <c r="G2024" s="9"/>
    </row>
    <row r="2025">
      <c r="G2025" s="9"/>
    </row>
    <row r="2026">
      <c r="G2026" s="9"/>
    </row>
    <row r="2027">
      <c r="G2027" s="9"/>
    </row>
    <row r="2028">
      <c r="G2028" s="9"/>
    </row>
    <row r="2029">
      <c r="G2029" s="9"/>
    </row>
    <row r="2030">
      <c r="G2030" s="9"/>
    </row>
    <row r="2031">
      <c r="G2031" s="9"/>
    </row>
    <row r="2032">
      <c r="G2032" s="9"/>
    </row>
    <row r="2033">
      <c r="G2033" s="9"/>
    </row>
    <row r="2034">
      <c r="G2034" s="9"/>
    </row>
    <row r="2035">
      <c r="G2035" s="9"/>
    </row>
    <row r="2036">
      <c r="G2036" s="9"/>
    </row>
    <row r="2037">
      <c r="G2037" s="9"/>
    </row>
    <row r="2038">
      <c r="G2038" s="9"/>
    </row>
    <row r="2039">
      <c r="G2039" s="9"/>
    </row>
    <row r="2040">
      <c r="G2040" s="9"/>
    </row>
    <row r="2041">
      <c r="G2041" s="9"/>
    </row>
    <row r="2042">
      <c r="G2042" s="9"/>
    </row>
    <row r="2043">
      <c r="G2043" s="9"/>
    </row>
    <row r="2044">
      <c r="G2044" s="9"/>
    </row>
    <row r="2045">
      <c r="G2045" s="9"/>
    </row>
    <row r="2046">
      <c r="G2046" s="9"/>
    </row>
    <row r="2047">
      <c r="G2047" s="9"/>
    </row>
    <row r="2048">
      <c r="G2048" s="9"/>
    </row>
    <row r="2049">
      <c r="G2049" s="9"/>
    </row>
    <row r="2050">
      <c r="G2050" s="9"/>
    </row>
    <row r="2051">
      <c r="G2051" s="9"/>
    </row>
    <row r="2052">
      <c r="G2052" s="9"/>
    </row>
    <row r="2053">
      <c r="G2053" s="9"/>
    </row>
    <row r="2054">
      <c r="G2054" s="9"/>
    </row>
    <row r="2055">
      <c r="G2055" s="9"/>
    </row>
    <row r="2056">
      <c r="G2056" s="9"/>
    </row>
    <row r="2057">
      <c r="G2057" s="9"/>
    </row>
    <row r="2058">
      <c r="G2058" s="9"/>
    </row>
    <row r="2059">
      <c r="G2059" s="9"/>
    </row>
    <row r="2060">
      <c r="G2060" s="9"/>
    </row>
    <row r="2061">
      <c r="G2061" s="9"/>
    </row>
    <row r="2062">
      <c r="G2062" s="9"/>
    </row>
    <row r="2063">
      <c r="G2063" s="9"/>
    </row>
    <row r="2064">
      <c r="G2064" s="9"/>
    </row>
    <row r="2065">
      <c r="G2065" s="9"/>
    </row>
    <row r="2066">
      <c r="G2066" s="9"/>
    </row>
    <row r="2067">
      <c r="G2067" s="9"/>
    </row>
    <row r="2068">
      <c r="G2068" s="9"/>
    </row>
    <row r="2069">
      <c r="G2069" s="9"/>
    </row>
    <row r="2070">
      <c r="G2070" s="9"/>
    </row>
    <row r="2071">
      <c r="G2071" s="9"/>
    </row>
    <row r="2072">
      <c r="G2072" s="9"/>
    </row>
    <row r="2073">
      <c r="G2073" s="9"/>
    </row>
    <row r="2074">
      <c r="G2074" s="9"/>
    </row>
    <row r="2075">
      <c r="G2075" s="9"/>
    </row>
    <row r="2076">
      <c r="G2076" s="9"/>
    </row>
    <row r="2077">
      <c r="G2077" s="9"/>
    </row>
    <row r="2078">
      <c r="G2078" s="9"/>
    </row>
    <row r="2079">
      <c r="G2079" s="9"/>
    </row>
    <row r="2080">
      <c r="G2080" s="9"/>
    </row>
    <row r="2081">
      <c r="G2081" s="9"/>
    </row>
    <row r="2082">
      <c r="G2082" s="9"/>
    </row>
    <row r="2083">
      <c r="G2083" s="9"/>
    </row>
    <row r="2084">
      <c r="G2084" s="9"/>
    </row>
    <row r="2085">
      <c r="G2085" s="9"/>
    </row>
    <row r="2086">
      <c r="G2086" s="9"/>
    </row>
    <row r="2087">
      <c r="G2087" s="9"/>
    </row>
    <row r="2088">
      <c r="G2088" s="9"/>
    </row>
    <row r="2089">
      <c r="G2089" s="9"/>
    </row>
    <row r="2090">
      <c r="G2090" s="9"/>
    </row>
    <row r="2091">
      <c r="G2091" s="9"/>
    </row>
    <row r="2092">
      <c r="G2092" s="9"/>
    </row>
    <row r="2093">
      <c r="G2093" s="9"/>
    </row>
    <row r="2094">
      <c r="G2094" s="9"/>
    </row>
    <row r="2095">
      <c r="G2095" s="9"/>
    </row>
    <row r="2096">
      <c r="G2096" s="9"/>
    </row>
    <row r="2097">
      <c r="G2097" s="9"/>
    </row>
    <row r="2098">
      <c r="G2098" s="9"/>
    </row>
    <row r="2099">
      <c r="G2099" s="9"/>
    </row>
    <row r="2100">
      <c r="G2100" s="9"/>
    </row>
    <row r="2101">
      <c r="G2101" s="9"/>
    </row>
    <row r="2102">
      <c r="G2102" s="9"/>
    </row>
    <row r="2103">
      <c r="G2103" s="9"/>
    </row>
    <row r="2104">
      <c r="G2104" s="9"/>
    </row>
    <row r="2105">
      <c r="G2105" s="9"/>
    </row>
    <row r="2106">
      <c r="G2106" s="9"/>
    </row>
    <row r="2107">
      <c r="G2107" s="9"/>
    </row>
    <row r="2108">
      <c r="G2108" s="9"/>
    </row>
    <row r="2109">
      <c r="G2109" s="9"/>
    </row>
    <row r="2110">
      <c r="G2110" s="9"/>
    </row>
    <row r="2111">
      <c r="G2111" s="9"/>
    </row>
    <row r="2112">
      <c r="G2112" s="9"/>
    </row>
    <row r="2113">
      <c r="G2113" s="9"/>
    </row>
    <row r="2114">
      <c r="G2114" s="9"/>
    </row>
    <row r="2115">
      <c r="G2115" s="9"/>
    </row>
    <row r="2116">
      <c r="G2116" s="9"/>
    </row>
    <row r="2117">
      <c r="G2117" s="9"/>
    </row>
    <row r="2118">
      <c r="G2118" s="9"/>
    </row>
    <row r="2119">
      <c r="G2119" s="9"/>
    </row>
    <row r="2120">
      <c r="G2120" s="9"/>
    </row>
    <row r="2121">
      <c r="G2121" s="9"/>
    </row>
    <row r="2122">
      <c r="G2122" s="9"/>
    </row>
    <row r="2123">
      <c r="G2123" s="9"/>
    </row>
    <row r="2124">
      <c r="G2124" s="9"/>
    </row>
    <row r="2125">
      <c r="G2125" s="9"/>
    </row>
    <row r="2126">
      <c r="G2126" s="9"/>
    </row>
    <row r="2127">
      <c r="G2127" s="9"/>
    </row>
    <row r="2128">
      <c r="G2128" s="9"/>
    </row>
    <row r="2129">
      <c r="G2129" s="9"/>
    </row>
    <row r="2130">
      <c r="G2130" s="9"/>
    </row>
    <row r="2131">
      <c r="G2131" s="9"/>
    </row>
    <row r="2132">
      <c r="G2132" s="9"/>
    </row>
    <row r="2133">
      <c r="G2133" s="9"/>
    </row>
    <row r="2134">
      <c r="G2134" s="9"/>
    </row>
    <row r="2135">
      <c r="G2135" s="9"/>
    </row>
    <row r="2136">
      <c r="G2136" s="9"/>
    </row>
    <row r="2137">
      <c r="G2137" s="9"/>
    </row>
    <row r="2138">
      <c r="G2138" s="9"/>
    </row>
    <row r="2139">
      <c r="G2139" s="9"/>
    </row>
    <row r="2140">
      <c r="G2140" s="9"/>
    </row>
    <row r="2141">
      <c r="G2141" s="9"/>
    </row>
    <row r="2142">
      <c r="G2142" s="9"/>
    </row>
    <row r="2143">
      <c r="G2143" s="9"/>
    </row>
    <row r="2144">
      <c r="G2144" s="9"/>
    </row>
    <row r="2145">
      <c r="G2145" s="9"/>
    </row>
    <row r="2146">
      <c r="G2146" s="9"/>
    </row>
    <row r="2147">
      <c r="G2147" s="9"/>
    </row>
    <row r="2148">
      <c r="G2148" s="9"/>
    </row>
    <row r="2149">
      <c r="G2149" s="9"/>
    </row>
    <row r="2150">
      <c r="G2150" s="9"/>
    </row>
    <row r="2151">
      <c r="G2151" s="9"/>
    </row>
    <row r="2152">
      <c r="G2152" s="9"/>
    </row>
    <row r="2153">
      <c r="G2153" s="9"/>
    </row>
    <row r="2154">
      <c r="G2154" s="9"/>
    </row>
    <row r="2155">
      <c r="G2155" s="9"/>
    </row>
    <row r="2156">
      <c r="G2156" s="9"/>
    </row>
    <row r="2157">
      <c r="G2157" s="9"/>
    </row>
    <row r="2158">
      <c r="G2158" s="9"/>
    </row>
    <row r="2159">
      <c r="G2159" s="9"/>
    </row>
    <row r="2160">
      <c r="G2160" s="9"/>
    </row>
    <row r="2161">
      <c r="G2161" s="9"/>
    </row>
    <row r="2162">
      <c r="G2162" s="9"/>
    </row>
    <row r="2163">
      <c r="G2163" s="9"/>
    </row>
    <row r="2164">
      <c r="G2164" s="9"/>
    </row>
    <row r="2165">
      <c r="G2165" s="9"/>
    </row>
    <row r="2166">
      <c r="G2166" s="9"/>
    </row>
    <row r="2167">
      <c r="G2167" s="9"/>
    </row>
    <row r="2168">
      <c r="G2168" s="9"/>
    </row>
    <row r="2169">
      <c r="G2169" s="9"/>
    </row>
    <row r="2170">
      <c r="G2170" s="9"/>
    </row>
    <row r="2171">
      <c r="G2171" s="9"/>
    </row>
    <row r="2172">
      <c r="G2172" s="9"/>
    </row>
    <row r="2173">
      <c r="G2173" s="9"/>
    </row>
    <row r="2174">
      <c r="G2174" s="9"/>
    </row>
    <row r="2175">
      <c r="G2175" s="9"/>
    </row>
    <row r="2176">
      <c r="G2176" s="9"/>
    </row>
    <row r="2177">
      <c r="G2177" s="9"/>
    </row>
    <row r="2178">
      <c r="G2178" s="9"/>
    </row>
    <row r="2179">
      <c r="G2179" s="9"/>
    </row>
    <row r="2180">
      <c r="G2180" s="9"/>
    </row>
    <row r="2181">
      <c r="G2181" s="9"/>
    </row>
    <row r="2182">
      <c r="G2182" s="9"/>
    </row>
    <row r="2183">
      <c r="G2183" s="9"/>
    </row>
    <row r="2184">
      <c r="G2184" s="9"/>
    </row>
    <row r="2185">
      <c r="G2185" s="9"/>
    </row>
    <row r="2186">
      <c r="G2186" s="9"/>
    </row>
    <row r="2187">
      <c r="G2187" s="9"/>
    </row>
    <row r="2188">
      <c r="G2188" s="9"/>
    </row>
    <row r="2189">
      <c r="G2189" s="9"/>
    </row>
    <row r="2190">
      <c r="G2190" s="9"/>
    </row>
    <row r="2191">
      <c r="G2191" s="9"/>
    </row>
    <row r="2192">
      <c r="G2192" s="9"/>
    </row>
    <row r="2193">
      <c r="G2193" s="9"/>
    </row>
    <row r="2194">
      <c r="G2194" s="9"/>
    </row>
    <row r="2195">
      <c r="G2195" s="9"/>
    </row>
    <row r="2196">
      <c r="G2196" s="9"/>
    </row>
    <row r="2197">
      <c r="G2197" s="9"/>
    </row>
    <row r="2198">
      <c r="G2198" s="9"/>
    </row>
    <row r="2199">
      <c r="G2199" s="9"/>
    </row>
    <row r="2200">
      <c r="G2200" s="9"/>
    </row>
    <row r="2201">
      <c r="G2201" s="9"/>
    </row>
    <row r="2202">
      <c r="G2202" s="9"/>
    </row>
    <row r="2203">
      <c r="G2203" s="9"/>
    </row>
    <row r="2204">
      <c r="G2204" s="9"/>
    </row>
    <row r="2205">
      <c r="G2205" s="9"/>
    </row>
    <row r="2206">
      <c r="G2206" s="9"/>
    </row>
    <row r="2207">
      <c r="G2207" s="9"/>
    </row>
    <row r="2208">
      <c r="G2208" s="9"/>
    </row>
    <row r="2209">
      <c r="G2209" s="9"/>
    </row>
    <row r="2210">
      <c r="G2210" s="9"/>
    </row>
    <row r="2211">
      <c r="G2211" s="9"/>
    </row>
    <row r="2212">
      <c r="G2212" s="9"/>
    </row>
    <row r="2213">
      <c r="G2213" s="9"/>
    </row>
    <row r="2214">
      <c r="G2214" s="9"/>
    </row>
    <row r="2215">
      <c r="G2215" s="9"/>
    </row>
    <row r="2216">
      <c r="G2216" s="9"/>
    </row>
    <row r="2217">
      <c r="G2217" s="9"/>
    </row>
    <row r="2218">
      <c r="G2218" s="9"/>
    </row>
    <row r="2219">
      <c r="G2219" s="9"/>
    </row>
    <row r="2220">
      <c r="G2220" s="9"/>
    </row>
    <row r="2221">
      <c r="G2221" s="9"/>
    </row>
    <row r="2222">
      <c r="G2222" s="9"/>
    </row>
    <row r="2223">
      <c r="G2223" s="9"/>
    </row>
    <row r="2224">
      <c r="G2224" s="9"/>
    </row>
    <row r="2225">
      <c r="G2225" s="9"/>
    </row>
    <row r="2226">
      <c r="G2226" s="9"/>
    </row>
    <row r="2227">
      <c r="G2227" s="9"/>
    </row>
    <row r="2228">
      <c r="G2228" s="9"/>
    </row>
    <row r="2229">
      <c r="G2229" s="9"/>
    </row>
    <row r="2230">
      <c r="G2230" s="9"/>
    </row>
    <row r="2231">
      <c r="G2231" s="9"/>
    </row>
    <row r="2232">
      <c r="G2232" s="9"/>
    </row>
    <row r="2233">
      <c r="G2233" s="9"/>
    </row>
    <row r="2234">
      <c r="G2234" s="9"/>
    </row>
    <row r="2235">
      <c r="G2235" s="9"/>
    </row>
    <row r="2236">
      <c r="G2236" s="9"/>
    </row>
    <row r="2237">
      <c r="G2237" s="9"/>
    </row>
    <row r="2238">
      <c r="G2238" s="9"/>
    </row>
    <row r="2239">
      <c r="G2239" s="9"/>
    </row>
    <row r="2240">
      <c r="G2240" s="9"/>
    </row>
    <row r="2241">
      <c r="G2241" s="9"/>
    </row>
    <row r="2242">
      <c r="G2242" s="9"/>
    </row>
    <row r="2243">
      <c r="G2243" s="9"/>
    </row>
    <row r="2244">
      <c r="G2244" s="9"/>
    </row>
    <row r="2245">
      <c r="G2245" s="9"/>
    </row>
    <row r="2246">
      <c r="G2246" s="9"/>
    </row>
    <row r="2247">
      <c r="G2247" s="9"/>
    </row>
    <row r="2248">
      <c r="G2248" s="9"/>
    </row>
    <row r="2249">
      <c r="G2249" s="9"/>
    </row>
    <row r="2250">
      <c r="G2250" s="9"/>
    </row>
    <row r="2251">
      <c r="G2251" s="9"/>
    </row>
    <row r="2252">
      <c r="G2252" s="9"/>
    </row>
    <row r="2253">
      <c r="G2253" s="9"/>
    </row>
    <row r="2254">
      <c r="G2254" s="9"/>
    </row>
    <row r="2255">
      <c r="G2255" s="9"/>
    </row>
    <row r="2256">
      <c r="G2256" s="9"/>
    </row>
    <row r="2257">
      <c r="G2257" s="9"/>
    </row>
    <row r="2258">
      <c r="G2258" s="9"/>
    </row>
    <row r="2259">
      <c r="G2259" s="9"/>
    </row>
    <row r="2260">
      <c r="G2260" s="9"/>
    </row>
    <row r="2261">
      <c r="G2261" s="9"/>
    </row>
    <row r="2262">
      <c r="G2262" s="9"/>
    </row>
    <row r="2263">
      <c r="G2263" s="9"/>
    </row>
    <row r="2264">
      <c r="G2264" s="9"/>
    </row>
    <row r="2265">
      <c r="G2265" s="9"/>
    </row>
    <row r="2266">
      <c r="G2266" s="9"/>
    </row>
    <row r="2267">
      <c r="G2267" s="9"/>
    </row>
    <row r="2268">
      <c r="G2268" s="9"/>
    </row>
    <row r="2269">
      <c r="G2269" s="9"/>
    </row>
    <row r="2270">
      <c r="G2270" s="9"/>
    </row>
    <row r="2271">
      <c r="G2271" s="9"/>
    </row>
    <row r="2272">
      <c r="G2272" s="9"/>
    </row>
    <row r="2273">
      <c r="G2273" s="9"/>
    </row>
    <row r="2274">
      <c r="G2274" s="9"/>
    </row>
    <row r="2275">
      <c r="G2275" s="9"/>
    </row>
    <row r="2276">
      <c r="G2276" s="9"/>
    </row>
    <row r="2277">
      <c r="G2277" s="9"/>
    </row>
    <row r="2278">
      <c r="G2278" s="9"/>
    </row>
    <row r="2279">
      <c r="G2279" s="9"/>
    </row>
    <row r="2280">
      <c r="G2280" s="9"/>
    </row>
    <row r="2281">
      <c r="G2281" s="9"/>
    </row>
    <row r="2282">
      <c r="G2282" s="9"/>
    </row>
    <row r="2283">
      <c r="G2283" s="9"/>
    </row>
    <row r="2284">
      <c r="G2284" s="9"/>
    </row>
    <row r="2285">
      <c r="G2285" s="9"/>
    </row>
    <row r="2286">
      <c r="G2286" s="9"/>
    </row>
    <row r="2287">
      <c r="G2287" s="9"/>
    </row>
    <row r="2288">
      <c r="G2288" s="9"/>
    </row>
    <row r="2289">
      <c r="G2289" s="9"/>
    </row>
    <row r="2290">
      <c r="G2290" s="9"/>
    </row>
    <row r="2291">
      <c r="G2291" s="9"/>
    </row>
    <row r="2292">
      <c r="G2292" s="9"/>
    </row>
    <row r="2293">
      <c r="G2293" s="9"/>
    </row>
    <row r="2294">
      <c r="G2294" s="9"/>
    </row>
    <row r="2295">
      <c r="G2295" s="9"/>
    </row>
    <row r="2296">
      <c r="G2296" s="9"/>
    </row>
    <row r="2297">
      <c r="G2297" s="9"/>
    </row>
    <row r="2298">
      <c r="G2298" s="9"/>
    </row>
    <row r="2299">
      <c r="G2299" s="9"/>
    </row>
    <row r="2300">
      <c r="G2300" s="9"/>
    </row>
    <row r="2301">
      <c r="G2301" s="9"/>
    </row>
    <row r="2302">
      <c r="G2302" s="9"/>
    </row>
    <row r="2303">
      <c r="G2303" s="9"/>
    </row>
    <row r="2304">
      <c r="G2304" s="9"/>
    </row>
    <row r="2305">
      <c r="G2305" s="9"/>
    </row>
    <row r="2306">
      <c r="G2306" s="9"/>
    </row>
    <row r="2307">
      <c r="G2307" s="9"/>
    </row>
    <row r="2308">
      <c r="G2308" s="9"/>
    </row>
    <row r="2309">
      <c r="G2309" s="9"/>
    </row>
    <row r="2310">
      <c r="G2310" s="9"/>
    </row>
    <row r="2311">
      <c r="G2311" s="9"/>
    </row>
    <row r="2312">
      <c r="G2312" s="9"/>
    </row>
    <row r="2313">
      <c r="G2313" s="9"/>
    </row>
    <row r="2314">
      <c r="G2314" s="9"/>
    </row>
    <row r="2315">
      <c r="G2315" s="9"/>
    </row>
    <row r="2316">
      <c r="G2316" s="9"/>
    </row>
    <row r="2317">
      <c r="G2317" s="9"/>
    </row>
    <row r="2318">
      <c r="G2318" s="9"/>
    </row>
    <row r="2319">
      <c r="G2319" s="9"/>
    </row>
    <row r="2320">
      <c r="G2320" s="9"/>
    </row>
    <row r="2321">
      <c r="G2321" s="9"/>
    </row>
    <row r="2322">
      <c r="G2322" s="9"/>
    </row>
    <row r="2323">
      <c r="G2323" s="9"/>
    </row>
    <row r="2324">
      <c r="G2324" s="9"/>
    </row>
    <row r="2325">
      <c r="G2325" s="9"/>
    </row>
    <row r="2326">
      <c r="G2326" s="9"/>
    </row>
    <row r="2327">
      <c r="G2327" s="9"/>
    </row>
    <row r="2328">
      <c r="G2328" s="9"/>
    </row>
    <row r="2329">
      <c r="G2329" s="9"/>
    </row>
    <row r="2330">
      <c r="G2330" s="9"/>
    </row>
    <row r="2331">
      <c r="G2331" s="9"/>
    </row>
    <row r="2332">
      <c r="G2332" s="9"/>
    </row>
    <row r="2333">
      <c r="G2333" s="9"/>
    </row>
    <row r="2334">
      <c r="G2334" s="9"/>
    </row>
    <row r="2335">
      <c r="G2335" s="9"/>
    </row>
    <row r="2336">
      <c r="G2336" s="9"/>
    </row>
    <row r="2337">
      <c r="G2337" s="9"/>
    </row>
    <row r="2338">
      <c r="G2338" s="9"/>
    </row>
    <row r="2339">
      <c r="G2339" s="9"/>
    </row>
    <row r="2340">
      <c r="G2340" s="9"/>
    </row>
    <row r="2341">
      <c r="G2341" s="9"/>
    </row>
    <row r="2342">
      <c r="G2342" s="9"/>
    </row>
    <row r="2343">
      <c r="G2343" s="9"/>
    </row>
    <row r="2344">
      <c r="G2344" s="9"/>
    </row>
    <row r="2345">
      <c r="G2345" s="9"/>
    </row>
    <row r="2346">
      <c r="G2346" s="9"/>
    </row>
    <row r="2347">
      <c r="G2347" s="9"/>
    </row>
    <row r="2348">
      <c r="G2348" s="9"/>
    </row>
    <row r="2349">
      <c r="G2349" s="9"/>
    </row>
    <row r="2350">
      <c r="G2350" s="9"/>
    </row>
    <row r="2351">
      <c r="G2351" s="9"/>
    </row>
    <row r="2352">
      <c r="G2352" s="9"/>
    </row>
    <row r="2353">
      <c r="G2353" s="9"/>
    </row>
    <row r="2354">
      <c r="G2354" s="9"/>
    </row>
    <row r="2355">
      <c r="G2355" s="9"/>
    </row>
    <row r="2356">
      <c r="G2356" s="9"/>
    </row>
    <row r="2357">
      <c r="G2357" s="9"/>
    </row>
    <row r="2358">
      <c r="G2358" s="9"/>
    </row>
    <row r="2359">
      <c r="G2359" s="9"/>
    </row>
    <row r="2360">
      <c r="G2360" s="9"/>
    </row>
    <row r="2361">
      <c r="G2361" s="9"/>
    </row>
    <row r="2362">
      <c r="G2362" s="9"/>
    </row>
    <row r="2363">
      <c r="G2363" s="9"/>
    </row>
    <row r="2364">
      <c r="G2364" s="9"/>
    </row>
    <row r="2365">
      <c r="G2365" s="9"/>
    </row>
    <row r="2366">
      <c r="G2366" s="9"/>
    </row>
    <row r="2367">
      <c r="G2367" s="9"/>
    </row>
    <row r="2368">
      <c r="G2368" s="9"/>
    </row>
    <row r="2369">
      <c r="G2369" s="9"/>
    </row>
    <row r="2370">
      <c r="G2370" s="9"/>
    </row>
    <row r="2371">
      <c r="G2371" s="9"/>
    </row>
    <row r="2372">
      <c r="G2372" s="9"/>
    </row>
    <row r="2373">
      <c r="G2373" s="9"/>
    </row>
    <row r="2374">
      <c r="G2374" s="9"/>
    </row>
    <row r="2375">
      <c r="G2375" s="9"/>
    </row>
    <row r="2376">
      <c r="G2376" s="9"/>
    </row>
    <row r="2377">
      <c r="G2377" s="9"/>
    </row>
    <row r="2378">
      <c r="G2378" s="9"/>
    </row>
    <row r="2379">
      <c r="G2379" s="9"/>
    </row>
    <row r="2380">
      <c r="G2380" s="9"/>
    </row>
    <row r="2381">
      <c r="G2381" s="9"/>
    </row>
    <row r="2382">
      <c r="G2382" s="9"/>
    </row>
    <row r="2383">
      <c r="G2383" s="9"/>
    </row>
    <row r="2384">
      <c r="G2384" s="9"/>
    </row>
    <row r="2385">
      <c r="G2385" s="9"/>
    </row>
    <row r="2386">
      <c r="G2386" s="9"/>
    </row>
    <row r="2387">
      <c r="G2387" s="9"/>
    </row>
    <row r="2388">
      <c r="G2388" s="9"/>
    </row>
    <row r="2389">
      <c r="G2389" s="9"/>
    </row>
    <row r="2390">
      <c r="G2390" s="9"/>
    </row>
    <row r="2391">
      <c r="G2391" s="9"/>
    </row>
    <row r="2392">
      <c r="G2392" s="9"/>
    </row>
    <row r="2393">
      <c r="G2393" s="9"/>
    </row>
    <row r="2394">
      <c r="G2394" s="9"/>
    </row>
    <row r="2395">
      <c r="G2395" s="9"/>
    </row>
    <row r="2396">
      <c r="G2396" s="9"/>
    </row>
    <row r="2397">
      <c r="G2397" s="9"/>
    </row>
    <row r="2398">
      <c r="G2398" s="9"/>
    </row>
    <row r="2399">
      <c r="G2399" s="9"/>
    </row>
    <row r="2400">
      <c r="G2400" s="9"/>
    </row>
    <row r="2401">
      <c r="G2401" s="9"/>
    </row>
    <row r="2402">
      <c r="G2402" s="9"/>
    </row>
    <row r="2403">
      <c r="G2403" s="9"/>
    </row>
    <row r="2404">
      <c r="G2404" s="9"/>
    </row>
    <row r="2405">
      <c r="G2405" s="9"/>
    </row>
    <row r="2406">
      <c r="G2406" s="9"/>
    </row>
    <row r="2407">
      <c r="G2407" s="9"/>
    </row>
    <row r="2408">
      <c r="G2408" s="9"/>
    </row>
    <row r="2409">
      <c r="G2409" s="9"/>
    </row>
    <row r="2410">
      <c r="G2410" s="9"/>
    </row>
    <row r="2411">
      <c r="G2411" s="9"/>
    </row>
    <row r="2412">
      <c r="G2412" s="9"/>
    </row>
    <row r="2413">
      <c r="G2413" s="9"/>
    </row>
    <row r="2414">
      <c r="G2414" s="9"/>
    </row>
    <row r="2415">
      <c r="G2415" s="9"/>
    </row>
    <row r="2416">
      <c r="G2416" s="9"/>
    </row>
    <row r="2417">
      <c r="G2417" s="9"/>
    </row>
    <row r="2418">
      <c r="G2418" s="9"/>
    </row>
    <row r="2419">
      <c r="G2419" s="9"/>
    </row>
    <row r="2420">
      <c r="G2420" s="9"/>
    </row>
    <row r="2421">
      <c r="G2421" s="9"/>
    </row>
    <row r="2422">
      <c r="G2422" s="9"/>
    </row>
    <row r="2423">
      <c r="G2423" s="9"/>
    </row>
    <row r="2424">
      <c r="G2424" s="9"/>
    </row>
    <row r="2425">
      <c r="G2425" s="9"/>
    </row>
    <row r="2426">
      <c r="G2426" s="9"/>
    </row>
    <row r="2427">
      <c r="G2427" s="9"/>
    </row>
    <row r="2428">
      <c r="G2428" s="9"/>
    </row>
    <row r="2429">
      <c r="G2429" s="9"/>
    </row>
    <row r="2430">
      <c r="G2430" s="9"/>
    </row>
    <row r="2431">
      <c r="G2431" s="9"/>
    </row>
    <row r="2432">
      <c r="G2432" s="9"/>
    </row>
    <row r="2433">
      <c r="G2433" s="9"/>
    </row>
    <row r="2434">
      <c r="G2434" s="9"/>
    </row>
    <row r="2435">
      <c r="G2435" s="9"/>
    </row>
    <row r="2436">
      <c r="G2436" s="9"/>
    </row>
    <row r="2437">
      <c r="G2437" s="9"/>
    </row>
    <row r="2438">
      <c r="G2438" s="9"/>
    </row>
    <row r="2439">
      <c r="G2439" s="9"/>
    </row>
    <row r="2440">
      <c r="G2440" s="9"/>
    </row>
    <row r="2441">
      <c r="G2441" s="9"/>
    </row>
    <row r="2442">
      <c r="G2442" s="9"/>
    </row>
    <row r="2443">
      <c r="G2443" s="9"/>
    </row>
    <row r="2444">
      <c r="G2444" s="9"/>
    </row>
    <row r="2445">
      <c r="G2445" s="9"/>
    </row>
    <row r="2446">
      <c r="G2446" s="9"/>
    </row>
    <row r="2447">
      <c r="G2447" s="9"/>
    </row>
    <row r="2448">
      <c r="G2448" s="9"/>
    </row>
    <row r="2449">
      <c r="G2449" s="9"/>
    </row>
    <row r="2450">
      <c r="G2450" s="9"/>
    </row>
    <row r="2451">
      <c r="G2451" s="9"/>
    </row>
    <row r="2452">
      <c r="G2452" s="9"/>
    </row>
    <row r="2453">
      <c r="G2453" s="9"/>
    </row>
    <row r="2454">
      <c r="G2454" s="9"/>
    </row>
    <row r="2455">
      <c r="G2455" s="9"/>
    </row>
    <row r="2456">
      <c r="G2456" s="9"/>
    </row>
    <row r="2457">
      <c r="G2457" s="9"/>
    </row>
    <row r="2458">
      <c r="G2458" s="9"/>
    </row>
    <row r="2459">
      <c r="G2459" s="9"/>
    </row>
    <row r="2460">
      <c r="G2460" s="9"/>
    </row>
    <row r="2461">
      <c r="G2461" s="9"/>
    </row>
    <row r="2462">
      <c r="G2462" s="9"/>
    </row>
    <row r="2463">
      <c r="G2463" s="9"/>
    </row>
    <row r="2464">
      <c r="G2464" s="9"/>
    </row>
    <row r="2465">
      <c r="G2465" s="9"/>
    </row>
    <row r="2466">
      <c r="G2466" s="9"/>
    </row>
    <row r="2467">
      <c r="G2467" s="9"/>
    </row>
    <row r="2468">
      <c r="G2468" s="9"/>
    </row>
    <row r="2469">
      <c r="G2469" s="9"/>
    </row>
    <row r="2470">
      <c r="G2470" s="9"/>
    </row>
    <row r="2471">
      <c r="G2471" s="9"/>
    </row>
    <row r="2472">
      <c r="G2472" s="9"/>
    </row>
    <row r="2473">
      <c r="G2473" s="9"/>
    </row>
    <row r="2474">
      <c r="G2474" s="9"/>
    </row>
    <row r="2475">
      <c r="G2475" s="9"/>
    </row>
    <row r="2476">
      <c r="G2476" s="9"/>
    </row>
    <row r="2477">
      <c r="G2477" s="9"/>
    </row>
    <row r="2478">
      <c r="G2478" s="9"/>
    </row>
    <row r="2479">
      <c r="G2479" s="9"/>
    </row>
    <row r="2480">
      <c r="G2480" s="9"/>
    </row>
    <row r="2481">
      <c r="G2481" s="9"/>
    </row>
    <row r="2482">
      <c r="G2482" s="9"/>
    </row>
    <row r="2483">
      <c r="G2483" s="9"/>
    </row>
    <row r="2484">
      <c r="G2484" s="9"/>
    </row>
    <row r="2485">
      <c r="G2485" s="9"/>
    </row>
    <row r="2486">
      <c r="G2486" s="9"/>
    </row>
    <row r="2487">
      <c r="G2487" s="9"/>
    </row>
    <row r="2488">
      <c r="G2488" s="9"/>
    </row>
    <row r="2489">
      <c r="G2489" s="9"/>
    </row>
    <row r="2490">
      <c r="G2490" s="9"/>
    </row>
    <row r="2491">
      <c r="G2491" s="9"/>
    </row>
    <row r="2492">
      <c r="G2492" s="9"/>
    </row>
    <row r="2493">
      <c r="G2493" s="9"/>
    </row>
    <row r="2494">
      <c r="G2494" s="9"/>
    </row>
    <row r="2495">
      <c r="G2495" s="9"/>
    </row>
    <row r="2496">
      <c r="G2496" s="9"/>
    </row>
    <row r="2497">
      <c r="G2497" s="9"/>
    </row>
    <row r="2498">
      <c r="G2498" s="9"/>
    </row>
    <row r="2499">
      <c r="G2499" s="9"/>
    </row>
    <row r="2500">
      <c r="G2500" s="9"/>
    </row>
    <row r="2501">
      <c r="G2501" s="9"/>
    </row>
    <row r="2502">
      <c r="G2502" s="9"/>
    </row>
    <row r="2503">
      <c r="G2503" s="9"/>
    </row>
    <row r="2504">
      <c r="G2504" s="9"/>
    </row>
    <row r="2505">
      <c r="G2505" s="9"/>
    </row>
    <row r="2506">
      <c r="G2506" s="9"/>
    </row>
    <row r="2507">
      <c r="G2507" s="9"/>
    </row>
    <row r="2508">
      <c r="G2508" s="9"/>
    </row>
    <row r="2509">
      <c r="G2509" s="9"/>
    </row>
    <row r="2510">
      <c r="G2510" s="9"/>
    </row>
    <row r="2511">
      <c r="G2511" s="9"/>
    </row>
    <row r="2512">
      <c r="G2512" s="9"/>
    </row>
    <row r="2513">
      <c r="G2513" s="9"/>
    </row>
    <row r="2514">
      <c r="G2514" s="9"/>
    </row>
    <row r="2515">
      <c r="G2515" s="9"/>
    </row>
    <row r="2516">
      <c r="G2516" s="9"/>
    </row>
    <row r="2517">
      <c r="G2517" s="9"/>
    </row>
    <row r="2518">
      <c r="G2518" s="9"/>
    </row>
    <row r="2519">
      <c r="G2519" s="9"/>
    </row>
    <row r="2520">
      <c r="G2520" s="9"/>
    </row>
    <row r="2521">
      <c r="G2521" s="9"/>
    </row>
    <row r="2522">
      <c r="G2522" s="9"/>
    </row>
    <row r="2523">
      <c r="G2523" s="9"/>
    </row>
    <row r="2524">
      <c r="G2524" s="9"/>
    </row>
    <row r="2525">
      <c r="G2525" s="9"/>
    </row>
    <row r="2526">
      <c r="G2526" s="9"/>
    </row>
    <row r="2527">
      <c r="G2527" s="9"/>
    </row>
    <row r="2528">
      <c r="G2528" s="9"/>
    </row>
    <row r="2529">
      <c r="G2529" s="9"/>
    </row>
    <row r="2530">
      <c r="G2530" s="9"/>
    </row>
    <row r="2531">
      <c r="G2531" s="9"/>
    </row>
    <row r="2532">
      <c r="G2532" s="9"/>
    </row>
    <row r="2533">
      <c r="G2533" s="9"/>
    </row>
    <row r="2534">
      <c r="G2534" s="9"/>
    </row>
    <row r="2535">
      <c r="G2535" s="9"/>
    </row>
    <row r="2536">
      <c r="G2536" s="9"/>
    </row>
    <row r="2537">
      <c r="G2537" s="9"/>
    </row>
    <row r="2538">
      <c r="G2538" s="9"/>
    </row>
    <row r="2539">
      <c r="G2539" s="9"/>
    </row>
    <row r="2540">
      <c r="G2540" s="9"/>
    </row>
    <row r="2541">
      <c r="G2541" s="9"/>
    </row>
    <row r="2542">
      <c r="G2542" s="9"/>
    </row>
    <row r="2543">
      <c r="G2543" s="9"/>
    </row>
    <row r="2544">
      <c r="G2544" s="9"/>
    </row>
    <row r="2545">
      <c r="G2545" s="9"/>
    </row>
    <row r="2546">
      <c r="G2546" s="9"/>
    </row>
    <row r="2547">
      <c r="G2547" s="9"/>
    </row>
    <row r="2548">
      <c r="G2548" s="9"/>
    </row>
    <row r="2549">
      <c r="G2549" s="9"/>
    </row>
    <row r="2550">
      <c r="G2550" s="9"/>
    </row>
    <row r="2551">
      <c r="G2551" s="9"/>
    </row>
    <row r="2552">
      <c r="G2552" s="9"/>
    </row>
    <row r="2553">
      <c r="G2553" s="9"/>
    </row>
    <row r="2554">
      <c r="G2554" s="9"/>
    </row>
    <row r="2555">
      <c r="G2555" s="9"/>
    </row>
    <row r="2556">
      <c r="G2556" s="9"/>
    </row>
    <row r="2557">
      <c r="G2557" s="9"/>
    </row>
    <row r="2558">
      <c r="G2558" s="9"/>
    </row>
    <row r="2559">
      <c r="G2559" s="9"/>
    </row>
    <row r="2560">
      <c r="G2560" s="9"/>
    </row>
    <row r="2561">
      <c r="G2561" s="9"/>
    </row>
    <row r="2562">
      <c r="G2562" s="9"/>
    </row>
    <row r="2563">
      <c r="G2563" s="9"/>
    </row>
    <row r="2564">
      <c r="G2564" s="9"/>
    </row>
    <row r="2565">
      <c r="G2565" s="9"/>
    </row>
    <row r="2566">
      <c r="G2566" s="9"/>
    </row>
    <row r="2567">
      <c r="G2567" s="9"/>
    </row>
    <row r="2568">
      <c r="G2568" s="9"/>
    </row>
    <row r="2569">
      <c r="G2569" s="9"/>
    </row>
    <row r="2570">
      <c r="G2570" s="9"/>
    </row>
    <row r="2571">
      <c r="G2571" s="9"/>
    </row>
    <row r="2572">
      <c r="G2572" s="9"/>
    </row>
    <row r="2573">
      <c r="G2573" s="9"/>
    </row>
    <row r="2574">
      <c r="G2574" s="9"/>
    </row>
    <row r="2575">
      <c r="G2575" s="9"/>
    </row>
    <row r="2576">
      <c r="G2576" s="9"/>
    </row>
    <row r="2577">
      <c r="G2577" s="9"/>
    </row>
    <row r="2578">
      <c r="G2578" s="9"/>
    </row>
    <row r="2579">
      <c r="G2579" s="9"/>
    </row>
    <row r="2580">
      <c r="G2580" s="9"/>
    </row>
    <row r="2581">
      <c r="G2581" s="9"/>
    </row>
    <row r="2582">
      <c r="G2582" s="9"/>
    </row>
    <row r="2583">
      <c r="G2583" s="9"/>
    </row>
    <row r="2584">
      <c r="G2584" s="9"/>
    </row>
    <row r="2585">
      <c r="G2585" s="9"/>
    </row>
    <row r="2586">
      <c r="G2586" s="9"/>
    </row>
    <row r="2587">
      <c r="G2587" s="9"/>
    </row>
    <row r="2588">
      <c r="G2588" s="9"/>
    </row>
    <row r="2589">
      <c r="G2589" s="9"/>
    </row>
    <row r="2590">
      <c r="G2590" s="9"/>
    </row>
    <row r="2591">
      <c r="G2591" s="9"/>
    </row>
    <row r="2592">
      <c r="G2592" s="9"/>
    </row>
    <row r="2593">
      <c r="G2593" s="9"/>
    </row>
    <row r="2594">
      <c r="G2594" s="9"/>
    </row>
    <row r="2595">
      <c r="G2595" s="9"/>
    </row>
    <row r="2596">
      <c r="G2596" s="9"/>
    </row>
    <row r="2597">
      <c r="G2597" s="9"/>
    </row>
    <row r="2598">
      <c r="G2598" s="9"/>
    </row>
    <row r="2599">
      <c r="G2599" s="9"/>
    </row>
    <row r="2600">
      <c r="G2600" s="9"/>
    </row>
    <row r="2601">
      <c r="G2601" s="9"/>
    </row>
    <row r="2602">
      <c r="G2602" s="9"/>
    </row>
    <row r="2603">
      <c r="G2603" s="9"/>
    </row>
    <row r="2604">
      <c r="G2604" s="9"/>
    </row>
    <row r="2605">
      <c r="G2605" s="9"/>
    </row>
    <row r="2606">
      <c r="G2606" s="9"/>
    </row>
    <row r="2607">
      <c r="G2607" s="9"/>
    </row>
    <row r="2608">
      <c r="G2608" s="9"/>
    </row>
    <row r="2609">
      <c r="G2609" s="9"/>
    </row>
    <row r="2610">
      <c r="G2610" s="9"/>
    </row>
    <row r="2611">
      <c r="G2611" s="9"/>
    </row>
    <row r="2612">
      <c r="G2612" s="9"/>
    </row>
    <row r="2613">
      <c r="G2613" s="9"/>
    </row>
    <row r="2614">
      <c r="G2614" s="9"/>
    </row>
    <row r="2615">
      <c r="G2615" s="9"/>
    </row>
    <row r="2616">
      <c r="G2616" s="9"/>
    </row>
    <row r="2617">
      <c r="G2617" s="9"/>
    </row>
    <row r="2618">
      <c r="G2618" s="9"/>
    </row>
    <row r="2619">
      <c r="G2619" s="9"/>
    </row>
    <row r="2620">
      <c r="G2620" s="9"/>
    </row>
    <row r="2621">
      <c r="G2621" s="9"/>
    </row>
    <row r="2622">
      <c r="G2622" s="9"/>
    </row>
    <row r="2623">
      <c r="G2623" s="9"/>
    </row>
    <row r="2624">
      <c r="G2624" s="9"/>
    </row>
    <row r="2625">
      <c r="G2625" s="9"/>
    </row>
    <row r="2626">
      <c r="G2626" s="9"/>
    </row>
    <row r="2627">
      <c r="G2627" s="9"/>
    </row>
    <row r="2628">
      <c r="G2628" s="9"/>
    </row>
    <row r="2629">
      <c r="G2629" s="9"/>
    </row>
    <row r="2630">
      <c r="G2630" s="9"/>
    </row>
    <row r="2631">
      <c r="G2631" s="9"/>
    </row>
    <row r="2632">
      <c r="G2632" s="9"/>
    </row>
    <row r="2633">
      <c r="G2633" s="9"/>
    </row>
    <row r="2634">
      <c r="G2634" s="9"/>
    </row>
    <row r="2635">
      <c r="G2635" s="9"/>
    </row>
    <row r="2636">
      <c r="G2636" s="9"/>
    </row>
    <row r="2637">
      <c r="G2637" s="9"/>
    </row>
    <row r="2638">
      <c r="G2638" s="9"/>
    </row>
    <row r="2639">
      <c r="G2639" s="9"/>
    </row>
    <row r="2640">
      <c r="G2640" s="9"/>
    </row>
    <row r="2641">
      <c r="G2641" s="9"/>
    </row>
    <row r="2642">
      <c r="G2642" s="9"/>
    </row>
    <row r="2643">
      <c r="G2643" s="9"/>
    </row>
    <row r="2644">
      <c r="G2644" s="9"/>
    </row>
    <row r="2645">
      <c r="G2645" s="9"/>
    </row>
    <row r="2646">
      <c r="G2646" s="9"/>
    </row>
    <row r="2647">
      <c r="G2647" s="9"/>
    </row>
    <row r="2648">
      <c r="G2648" s="9"/>
    </row>
    <row r="2649">
      <c r="G2649" s="9"/>
    </row>
    <row r="2650">
      <c r="G2650" s="9"/>
    </row>
    <row r="2651">
      <c r="G2651" s="9"/>
    </row>
    <row r="2652">
      <c r="G2652" s="9"/>
    </row>
    <row r="2653">
      <c r="G2653" s="9"/>
    </row>
    <row r="2654">
      <c r="G2654" s="9"/>
    </row>
    <row r="2655">
      <c r="G2655" s="9"/>
    </row>
    <row r="2656">
      <c r="G2656" s="9"/>
    </row>
    <row r="2657">
      <c r="G2657" s="9"/>
    </row>
    <row r="2658">
      <c r="G2658" s="9"/>
    </row>
    <row r="2659">
      <c r="G2659" s="9"/>
    </row>
    <row r="2660">
      <c r="G2660" s="9"/>
    </row>
    <row r="2661">
      <c r="G2661" s="9"/>
    </row>
    <row r="2662">
      <c r="G2662" s="9"/>
    </row>
    <row r="2663">
      <c r="G2663" s="9"/>
    </row>
    <row r="2664">
      <c r="G2664" s="9"/>
    </row>
    <row r="2665">
      <c r="G2665" s="9"/>
    </row>
    <row r="2666">
      <c r="G2666" s="9"/>
    </row>
    <row r="2667">
      <c r="G2667" s="9"/>
    </row>
    <row r="2668">
      <c r="G2668" s="9"/>
    </row>
    <row r="2669">
      <c r="G2669" s="9"/>
    </row>
    <row r="2670">
      <c r="G2670" s="9"/>
    </row>
    <row r="2671">
      <c r="G2671" s="9"/>
    </row>
    <row r="2672">
      <c r="G2672" s="9"/>
    </row>
    <row r="2673">
      <c r="G2673" s="9"/>
    </row>
    <row r="2674">
      <c r="G2674" s="9"/>
    </row>
    <row r="2675">
      <c r="G2675" s="9"/>
    </row>
    <row r="2676">
      <c r="G2676" s="9"/>
    </row>
    <row r="2677">
      <c r="G2677" s="9"/>
    </row>
    <row r="2678">
      <c r="G2678" s="9"/>
    </row>
    <row r="2679">
      <c r="G2679" s="9"/>
    </row>
    <row r="2680">
      <c r="G2680" s="9"/>
    </row>
    <row r="2681">
      <c r="G2681" s="9"/>
    </row>
    <row r="2682">
      <c r="G2682" s="9"/>
    </row>
    <row r="2683">
      <c r="G2683" s="9"/>
    </row>
    <row r="2684">
      <c r="G2684" s="9"/>
    </row>
    <row r="2685">
      <c r="G2685" s="9"/>
    </row>
    <row r="2686">
      <c r="G2686" s="9"/>
    </row>
    <row r="2687">
      <c r="G2687" s="9"/>
    </row>
    <row r="2688">
      <c r="G2688" s="9"/>
    </row>
    <row r="2689">
      <c r="G2689" s="9"/>
    </row>
    <row r="2690">
      <c r="G2690" s="9"/>
    </row>
    <row r="2691">
      <c r="G2691" s="9"/>
    </row>
    <row r="2692">
      <c r="G2692" s="9"/>
    </row>
    <row r="2693">
      <c r="G2693" s="9"/>
    </row>
    <row r="2694">
      <c r="G2694" s="9"/>
    </row>
    <row r="2695">
      <c r="G2695" s="9"/>
    </row>
    <row r="2696">
      <c r="G2696" s="9"/>
    </row>
    <row r="2697">
      <c r="G2697" s="9"/>
    </row>
    <row r="2698">
      <c r="G2698" s="9"/>
    </row>
    <row r="2699">
      <c r="G2699" s="9"/>
    </row>
    <row r="2700">
      <c r="G2700" s="9"/>
    </row>
    <row r="2701">
      <c r="G2701" s="9"/>
    </row>
    <row r="2702">
      <c r="G2702" s="9"/>
    </row>
    <row r="2703">
      <c r="G2703" s="9"/>
    </row>
    <row r="2704">
      <c r="G2704" s="9"/>
    </row>
    <row r="2705">
      <c r="G2705" s="9"/>
    </row>
    <row r="2706">
      <c r="G2706" s="9"/>
    </row>
    <row r="2707">
      <c r="G2707" s="9"/>
    </row>
    <row r="2708">
      <c r="G2708" s="9"/>
    </row>
    <row r="2709">
      <c r="G2709" s="9"/>
    </row>
    <row r="2710">
      <c r="G2710" s="9"/>
    </row>
    <row r="2711">
      <c r="G2711" s="9"/>
    </row>
    <row r="2712">
      <c r="G2712" s="9"/>
    </row>
    <row r="2713">
      <c r="G2713" s="9"/>
    </row>
    <row r="2714">
      <c r="G2714" s="9"/>
    </row>
    <row r="2715">
      <c r="G2715" s="9"/>
    </row>
    <row r="2716">
      <c r="G2716" s="9"/>
    </row>
    <row r="2717">
      <c r="G2717" s="9"/>
    </row>
    <row r="2718">
      <c r="G2718" s="9"/>
    </row>
    <row r="2719">
      <c r="G2719" s="9"/>
    </row>
    <row r="2720">
      <c r="G2720" s="9"/>
    </row>
    <row r="2721">
      <c r="G2721" s="9"/>
    </row>
    <row r="2722">
      <c r="G2722" s="9"/>
    </row>
    <row r="2723">
      <c r="G2723" s="9"/>
    </row>
    <row r="2724">
      <c r="G2724" s="9"/>
    </row>
    <row r="2725">
      <c r="G2725" s="9"/>
    </row>
    <row r="2726">
      <c r="G2726" s="9"/>
    </row>
    <row r="2727">
      <c r="G2727" s="9"/>
    </row>
    <row r="2728">
      <c r="G2728" s="9"/>
    </row>
    <row r="2729">
      <c r="G2729" s="9"/>
    </row>
    <row r="2730">
      <c r="G2730" s="9"/>
    </row>
    <row r="2731">
      <c r="G2731" s="9"/>
    </row>
    <row r="2732">
      <c r="G2732" s="9"/>
    </row>
    <row r="2733">
      <c r="G2733" s="9"/>
    </row>
    <row r="2734">
      <c r="G2734" s="9"/>
    </row>
    <row r="2735">
      <c r="G2735" s="9"/>
    </row>
    <row r="2736">
      <c r="G2736" s="9"/>
    </row>
    <row r="2737">
      <c r="G2737" s="9"/>
    </row>
    <row r="2738">
      <c r="G2738" s="9"/>
    </row>
    <row r="2739">
      <c r="G2739" s="9"/>
    </row>
    <row r="2740">
      <c r="G2740" s="9"/>
    </row>
    <row r="2741">
      <c r="G2741" s="9"/>
    </row>
    <row r="2742">
      <c r="G2742" s="9"/>
    </row>
    <row r="2743">
      <c r="G2743" s="9"/>
    </row>
    <row r="2744">
      <c r="G2744" s="9"/>
    </row>
    <row r="2745">
      <c r="G2745" s="9"/>
    </row>
    <row r="2746">
      <c r="G2746" s="9"/>
    </row>
    <row r="2747">
      <c r="G2747" s="9"/>
    </row>
    <row r="2748">
      <c r="G2748" s="9"/>
    </row>
    <row r="2749">
      <c r="G2749" s="9"/>
    </row>
    <row r="2750">
      <c r="G2750" s="9"/>
    </row>
    <row r="2751">
      <c r="G2751" s="9"/>
    </row>
    <row r="2752">
      <c r="G2752" s="9"/>
    </row>
    <row r="2753">
      <c r="G2753" s="9"/>
    </row>
    <row r="2754">
      <c r="G2754" s="9"/>
    </row>
    <row r="2755">
      <c r="G2755" s="9"/>
    </row>
    <row r="2756">
      <c r="G2756" s="9"/>
    </row>
    <row r="2757">
      <c r="G2757" s="9"/>
    </row>
    <row r="2758">
      <c r="G2758" s="9"/>
    </row>
    <row r="2759">
      <c r="G2759" s="9"/>
    </row>
    <row r="2760">
      <c r="G2760" s="9"/>
    </row>
    <row r="2761">
      <c r="G2761" s="9"/>
    </row>
    <row r="2762">
      <c r="G2762" s="9"/>
    </row>
    <row r="2763">
      <c r="G2763" s="9"/>
    </row>
    <row r="2764">
      <c r="G2764" s="9"/>
    </row>
    <row r="2765">
      <c r="G2765" s="9"/>
    </row>
    <row r="2766">
      <c r="G2766" s="9"/>
    </row>
    <row r="2767">
      <c r="G2767" s="9"/>
    </row>
    <row r="2768">
      <c r="G2768" s="9"/>
    </row>
    <row r="2769">
      <c r="G2769" s="9"/>
    </row>
    <row r="2770">
      <c r="G2770" s="9"/>
    </row>
    <row r="2771">
      <c r="G2771" s="9"/>
    </row>
    <row r="2772">
      <c r="G2772" s="9"/>
    </row>
    <row r="2773">
      <c r="G2773" s="9"/>
    </row>
    <row r="2774">
      <c r="G2774" s="9"/>
    </row>
    <row r="2775">
      <c r="G2775" s="9"/>
    </row>
    <row r="2776">
      <c r="G2776" s="9"/>
    </row>
    <row r="2777">
      <c r="G2777" s="9"/>
    </row>
    <row r="2778">
      <c r="G2778" s="9"/>
    </row>
    <row r="2779">
      <c r="G2779" s="9"/>
    </row>
    <row r="2780">
      <c r="G2780" s="9"/>
    </row>
    <row r="2781">
      <c r="G2781" s="9"/>
    </row>
    <row r="2782">
      <c r="G2782" s="9"/>
    </row>
    <row r="2783">
      <c r="G2783" s="9"/>
    </row>
    <row r="2784">
      <c r="G2784" s="9"/>
    </row>
    <row r="2785">
      <c r="G2785" s="9"/>
    </row>
    <row r="2786">
      <c r="G2786" s="9"/>
    </row>
    <row r="2787">
      <c r="G2787" s="9"/>
    </row>
    <row r="2788">
      <c r="G2788" s="9"/>
    </row>
    <row r="2789">
      <c r="G2789" s="9"/>
    </row>
    <row r="2790">
      <c r="G2790" s="9"/>
    </row>
    <row r="2791">
      <c r="G2791" s="9"/>
    </row>
    <row r="2792">
      <c r="G2792" s="9"/>
    </row>
    <row r="2793">
      <c r="G2793" s="9"/>
    </row>
    <row r="2794">
      <c r="G2794" s="9"/>
    </row>
    <row r="2795">
      <c r="G2795" s="9"/>
    </row>
    <row r="2796">
      <c r="G2796" s="9"/>
    </row>
    <row r="2797">
      <c r="G2797" s="9"/>
    </row>
    <row r="2798">
      <c r="G2798" s="9"/>
    </row>
    <row r="2799">
      <c r="G2799" s="9"/>
    </row>
    <row r="2800">
      <c r="G2800" s="9"/>
    </row>
    <row r="2801">
      <c r="G2801" s="9"/>
    </row>
    <row r="2802">
      <c r="G2802" s="9"/>
    </row>
    <row r="2803">
      <c r="G2803" s="9"/>
    </row>
    <row r="2804">
      <c r="G2804" s="9"/>
    </row>
    <row r="2805">
      <c r="G2805" s="9"/>
    </row>
    <row r="2806">
      <c r="G2806" s="9"/>
    </row>
    <row r="2807">
      <c r="G2807" s="9"/>
    </row>
    <row r="2808">
      <c r="G2808" s="9"/>
    </row>
    <row r="2809">
      <c r="G2809" s="9"/>
    </row>
    <row r="2810">
      <c r="G2810" s="9"/>
    </row>
    <row r="2811">
      <c r="G2811" s="9"/>
    </row>
    <row r="2812">
      <c r="G2812" s="9"/>
    </row>
    <row r="2813">
      <c r="G2813" s="9"/>
    </row>
    <row r="2814">
      <c r="G2814" s="9"/>
    </row>
    <row r="2815">
      <c r="G2815" s="9"/>
    </row>
    <row r="2816">
      <c r="G2816" s="9"/>
    </row>
    <row r="2817">
      <c r="G2817" s="9"/>
    </row>
    <row r="2818">
      <c r="G2818" s="9"/>
    </row>
    <row r="2819">
      <c r="G2819" s="9"/>
    </row>
    <row r="2820">
      <c r="G2820" s="9"/>
    </row>
    <row r="2821">
      <c r="G2821" s="9"/>
    </row>
    <row r="2822">
      <c r="G2822" s="9"/>
    </row>
    <row r="2823">
      <c r="G2823" s="9"/>
    </row>
    <row r="2824">
      <c r="G2824" s="9"/>
    </row>
    <row r="2825">
      <c r="G2825" s="9"/>
    </row>
    <row r="2826">
      <c r="G2826" s="9"/>
    </row>
    <row r="2827">
      <c r="G2827" s="9"/>
    </row>
    <row r="2828">
      <c r="G2828" s="9"/>
    </row>
    <row r="2829">
      <c r="G2829" s="9"/>
    </row>
    <row r="2830">
      <c r="G2830" s="9"/>
    </row>
    <row r="2831">
      <c r="G2831" s="9"/>
    </row>
    <row r="2832">
      <c r="G2832" s="9"/>
    </row>
    <row r="2833">
      <c r="G2833" s="9"/>
    </row>
    <row r="2834">
      <c r="G2834" s="9"/>
    </row>
    <row r="2835">
      <c r="G2835" s="9"/>
    </row>
    <row r="2836">
      <c r="G2836" s="9"/>
    </row>
    <row r="2837">
      <c r="G2837" s="9"/>
    </row>
    <row r="2838">
      <c r="G2838" s="9"/>
    </row>
    <row r="2839">
      <c r="G2839" s="9"/>
    </row>
    <row r="2840">
      <c r="G2840" s="9"/>
    </row>
    <row r="2841">
      <c r="G2841" s="9"/>
    </row>
    <row r="2842">
      <c r="G2842" s="9"/>
    </row>
    <row r="2843">
      <c r="G2843" s="9"/>
    </row>
    <row r="2844">
      <c r="G2844" s="9"/>
    </row>
    <row r="2845">
      <c r="G2845" s="9"/>
    </row>
    <row r="2846">
      <c r="G2846" s="9"/>
    </row>
    <row r="2847">
      <c r="G2847" s="9"/>
    </row>
    <row r="2848">
      <c r="G2848" s="9"/>
    </row>
    <row r="2849">
      <c r="G2849" s="9"/>
    </row>
    <row r="2850">
      <c r="G2850" s="9"/>
    </row>
    <row r="2851">
      <c r="G2851" s="9"/>
    </row>
    <row r="2852">
      <c r="G2852" s="9"/>
    </row>
    <row r="2853">
      <c r="G2853" s="9"/>
    </row>
    <row r="2854">
      <c r="G2854" s="9"/>
    </row>
    <row r="2855">
      <c r="G2855" s="9"/>
    </row>
    <row r="2856">
      <c r="G2856" s="9"/>
    </row>
    <row r="2857">
      <c r="G2857" s="9"/>
    </row>
    <row r="2858">
      <c r="G2858" s="9"/>
    </row>
    <row r="2859">
      <c r="G2859" s="9"/>
    </row>
    <row r="2860">
      <c r="G2860" s="9"/>
    </row>
    <row r="2861">
      <c r="G2861" s="9"/>
    </row>
    <row r="2862">
      <c r="G2862" s="9"/>
    </row>
    <row r="2863">
      <c r="G2863" s="9"/>
    </row>
    <row r="2864">
      <c r="G2864" s="9"/>
    </row>
    <row r="2865">
      <c r="G2865" s="9"/>
    </row>
    <row r="2866">
      <c r="G2866" s="9"/>
    </row>
    <row r="2867">
      <c r="G2867" s="9"/>
    </row>
    <row r="2868">
      <c r="G2868" s="9"/>
    </row>
    <row r="2869">
      <c r="G2869" s="9"/>
    </row>
    <row r="2870">
      <c r="G2870" s="9"/>
    </row>
    <row r="2871">
      <c r="G2871" s="9"/>
    </row>
    <row r="2872">
      <c r="G2872" s="9"/>
    </row>
    <row r="2873">
      <c r="G2873" s="9"/>
    </row>
    <row r="2874">
      <c r="G2874" s="9"/>
    </row>
    <row r="2875">
      <c r="G2875" s="9"/>
    </row>
    <row r="2876">
      <c r="G2876" s="9"/>
    </row>
    <row r="2877">
      <c r="G2877" s="9"/>
    </row>
    <row r="2878">
      <c r="G2878" s="9"/>
    </row>
    <row r="2879">
      <c r="G2879" s="9"/>
    </row>
    <row r="2880">
      <c r="G2880" s="9"/>
    </row>
    <row r="2881">
      <c r="G2881" s="9"/>
    </row>
    <row r="2882">
      <c r="G2882" s="9"/>
    </row>
    <row r="2883">
      <c r="G2883" s="9"/>
    </row>
    <row r="2884">
      <c r="G2884" s="9"/>
    </row>
    <row r="2885">
      <c r="G2885" s="9"/>
    </row>
    <row r="2886">
      <c r="G2886" s="9"/>
    </row>
    <row r="2887">
      <c r="G2887" s="9"/>
    </row>
    <row r="2888">
      <c r="G2888" s="9"/>
    </row>
    <row r="2889">
      <c r="G2889" s="9"/>
    </row>
    <row r="2890">
      <c r="G2890" s="9"/>
    </row>
    <row r="2891">
      <c r="G2891" s="9"/>
    </row>
    <row r="2892">
      <c r="G2892" s="9"/>
    </row>
    <row r="2893">
      <c r="G2893" s="9"/>
    </row>
    <row r="2894">
      <c r="G2894" s="9"/>
    </row>
    <row r="2895">
      <c r="G2895" s="9"/>
    </row>
    <row r="2896">
      <c r="G2896" s="9"/>
    </row>
    <row r="2897">
      <c r="G2897" s="9"/>
    </row>
    <row r="2898">
      <c r="G2898" s="9"/>
    </row>
    <row r="2899">
      <c r="G2899" s="9"/>
    </row>
    <row r="2900">
      <c r="G2900" s="9"/>
    </row>
    <row r="2901">
      <c r="G2901" s="9"/>
    </row>
    <row r="2902">
      <c r="G2902" s="9"/>
    </row>
    <row r="2903">
      <c r="G2903" s="9"/>
    </row>
    <row r="2904">
      <c r="G2904" s="9"/>
    </row>
    <row r="2905">
      <c r="G2905" s="9"/>
    </row>
    <row r="2906">
      <c r="G2906" s="9"/>
    </row>
    <row r="2907">
      <c r="G2907" s="9"/>
    </row>
    <row r="2908">
      <c r="G2908" s="9"/>
    </row>
    <row r="2909">
      <c r="G2909" s="9"/>
    </row>
    <row r="2910">
      <c r="G2910" s="9"/>
    </row>
    <row r="2911">
      <c r="G2911" s="9"/>
    </row>
    <row r="2912">
      <c r="G2912" s="9"/>
    </row>
    <row r="2913">
      <c r="G2913" s="9"/>
    </row>
    <row r="2914">
      <c r="G2914" s="9"/>
    </row>
    <row r="2915">
      <c r="G2915" s="9"/>
    </row>
    <row r="2916">
      <c r="G2916" s="9"/>
    </row>
    <row r="2917">
      <c r="G2917" s="9"/>
    </row>
    <row r="2918">
      <c r="G2918" s="9"/>
    </row>
    <row r="2919">
      <c r="G2919" s="9"/>
    </row>
    <row r="2920">
      <c r="G2920" s="9"/>
    </row>
    <row r="2921">
      <c r="G2921" s="9"/>
    </row>
    <row r="2922">
      <c r="G2922" s="9"/>
    </row>
    <row r="2923">
      <c r="G2923" s="9"/>
    </row>
    <row r="2924">
      <c r="G2924" s="9"/>
    </row>
    <row r="2925">
      <c r="G2925" s="9"/>
    </row>
    <row r="2926">
      <c r="G2926" s="9"/>
    </row>
    <row r="2927">
      <c r="G2927" s="9"/>
    </row>
    <row r="2928">
      <c r="G2928" s="9"/>
    </row>
    <row r="2929">
      <c r="G2929" s="9"/>
    </row>
    <row r="2930">
      <c r="G2930" s="9"/>
    </row>
    <row r="2931">
      <c r="G2931" s="9"/>
    </row>
    <row r="2932">
      <c r="G2932" s="9"/>
    </row>
    <row r="2933">
      <c r="G2933" s="9"/>
    </row>
    <row r="2934">
      <c r="G2934" s="9"/>
    </row>
    <row r="2935">
      <c r="G2935" s="9"/>
    </row>
    <row r="2936">
      <c r="G2936" s="9"/>
    </row>
    <row r="2937">
      <c r="G2937" s="9"/>
    </row>
    <row r="2938">
      <c r="G2938" s="9"/>
    </row>
    <row r="2939">
      <c r="G2939" s="9"/>
    </row>
    <row r="2940">
      <c r="G2940" s="9"/>
    </row>
    <row r="2941">
      <c r="G2941" s="9"/>
    </row>
    <row r="2942">
      <c r="G2942" s="9"/>
    </row>
    <row r="2943">
      <c r="G2943" s="9"/>
    </row>
    <row r="2944">
      <c r="G2944" s="9"/>
    </row>
    <row r="2945">
      <c r="G2945" s="9"/>
    </row>
    <row r="2946">
      <c r="G2946" s="9"/>
    </row>
    <row r="2947">
      <c r="G2947" s="9"/>
    </row>
    <row r="2948">
      <c r="G2948" s="9"/>
    </row>
    <row r="2949">
      <c r="G2949" s="9"/>
    </row>
    <row r="2950">
      <c r="G2950" s="9"/>
    </row>
    <row r="2951">
      <c r="G2951" s="9"/>
    </row>
    <row r="2952">
      <c r="G2952" s="9"/>
    </row>
    <row r="2953">
      <c r="G2953" s="9"/>
    </row>
    <row r="2954">
      <c r="G2954" s="9"/>
    </row>
    <row r="2955">
      <c r="G2955" s="9"/>
    </row>
    <row r="2956">
      <c r="G2956" s="9"/>
    </row>
    <row r="2957">
      <c r="G2957" s="9"/>
    </row>
    <row r="2958">
      <c r="G2958" s="9"/>
    </row>
    <row r="2959">
      <c r="G2959" s="9"/>
    </row>
    <row r="2960">
      <c r="G2960" s="9"/>
    </row>
    <row r="2961">
      <c r="G2961" s="9"/>
    </row>
    <row r="2962">
      <c r="G2962" s="9"/>
    </row>
    <row r="2963">
      <c r="G2963" s="9"/>
    </row>
    <row r="2964">
      <c r="G2964" s="9"/>
    </row>
    <row r="2965">
      <c r="G2965" s="9"/>
    </row>
    <row r="2966">
      <c r="G2966" s="9"/>
    </row>
    <row r="2967">
      <c r="G2967" s="9"/>
    </row>
    <row r="2968">
      <c r="G2968" s="9"/>
    </row>
    <row r="2969">
      <c r="G2969" s="9"/>
    </row>
    <row r="2970">
      <c r="G2970" s="9"/>
    </row>
    <row r="2971">
      <c r="G2971" s="9"/>
    </row>
    <row r="2972">
      <c r="G2972" s="9"/>
    </row>
    <row r="2973">
      <c r="G2973" s="9"/>
    </row>
    <row r="2974">
      <c r="G2974" s="9"/>
    </row>
    <row r="2975">
      <c r="G2975" s="9"/>
    </row>
    <row r="2976">
      <c r="G2976" s="9"/>
    </row>
    <row r="2977">
      <c r="G2977" s="9"/>
    </row>
    <row r="2978">
      <c r="G2978" s="9"/>
    </row>
    <row r="2979">
      <c r="G2979" s="9"/>
    </row>
    <row r="2980">
      <c r="G2980" s="9"/>
    </row>
    <row r="2981">
      <c r="G2981" s="9"/>
    </row>
    <row r="2982">
      <c r="G2982" s="9"/>
    </row>
    <row r="2983">
      <c r="G2983" s="9"/>
    </row>
    <row r="2984">
      <c r="G2984" s="9"/>
    </row>
    <row r="2985">
      <c r="G2985" s="9"/>
    </row>
    <row r="2986">
      <c r="G2986" s="9"/>
    </row>
    <row r="2987">
      <c r="G2987" s="9"/>
    </row>
    <row r="2988">
      <c r="G2988" s="9"/>
    </row>
    <row r="2989">
      <c r="G2989" s="9"/>
    </row>
    <row r="2990">
      <c r="G2990" s="9"/>
    </row>
    <row r="2991">
      <c r="G2991" s="9"/>
    </row>
    <row r="2992">
      <c r="G2992" s="9"/>
    </row>
    <row r="2993">
      <c r="G2993" s="9"/>
    </row>
    <row r="2994">
      <c r="G2994" s="9"/>
    </row>
    <row r="2995">
      <c r="G2995" s="9"/>
    </row>
    <row r="2996">
      <c r="G2996" s="9"/>
    </row>
    <row r="2997">
      <c r="G2997" s="9"/>
    </row>
    <row r="2998">
      <c r="G2998" s="9"/>
    </row>
    <row r="2999">
      <c r="G2999" s="9"/>
    </row>
    <row r="3000">
      <c r="G3000" s="9"/>
    </row>
    <row r="3001">
      <c r="G3001" s="9"/>
    </row>
    <row r="3002">
      <c r="G3002" s="9"/>
    </row>
    <row r="3003">
      <c r="G3003" s="9"/>
    </row>
    <row r="3004">
      <c r="G3004" s="9"/>
    </row>
    <row r="3005">
      <c r="G3005" s="9"/>
    </row>
    <row r="3006">
      <c r="G3006" s="9"/>
    </row>
    <row r="3007">
      <c r="G3007" s="9"/>
    </row>
    <row r="3008">
      <c r="G3008" s="9"/>
    </row>
    <row r="3009">
      <c r="G3009" s="9"/>
    </row>
    <row r="3010">
      <c r="G3010" s="9"/>
    </row>
    <row r="3011">
      <c r="G3011" s="9"/>
    </row>
    <row r="3012">
      <c r="G3012" s="9"/>
    </row>
    <row r="3013">
      <c r="G3013" s="9"/>
    </row>
    <row r="3014">
      <c r="G3014" s="9"/>
    </row>
    <row r="3015">
      <c r="G3015" s="9"/>
    </row>
    <row r="3016">
      <c r="G3016" s="9"/>
    </row>
    <row r="3017">
      <c r="G3017" s="9"/>
    </row>
    <row r="3018">
      <c r="G3018" s="9"/>
    </row>
    <row r="3019">
      <c r="G3019" s="9"/>
    </row>
    <row r="3020">
      <c r="G3020" s="9"/>
    </row>
    <row r="3021">
      <c r="G3021" s="9"/>
    </row>
    <row r="3022">
      <c r="G3022" s="9"/>
    </row>
    <row r="3023">
      <c r="G3023" s="9"/>
    </row>
    <row r="3024">
      <c r="G3024" s="9"/>
    </row>
    <row r="3025">
      <c r="G3025" s="9"/>
    </row>
    <row r="3026">
      <c r="G3026" s="9"/>
    </row>
    <row r="3027">
      <c r="G3027" s="9"/>
    </row>
    <row r="3028">
      <c r="G3028" s="9"/>
    </row>
    <row r="3029">
      <c r="G3029" s="9"/>
    </row>
    <row r="3030">
      <c r="G3030" s="9"/>
    </row>
    <row r="3031">
      <c r="G3031" s="9"/>
    </row>
    <row r="3032">
      <c r="G3032" s="9"/>
    </row>
    <row r="3033">
      <c r="G3033" s="9"/>
    </row>
    <row r="3034">
      <c r="G3034" s="9"/>
    </row>
    <row r="3035">
      <c r="G3035" s="9"/>
    </row>
    <row r="3036">
      <c r="G3036" s="9"/>
    </row>
    <row r="3037">
      <c r="G3037" s="9"/>
    </row>
    <row r="3038">
      <c r="G3038" s="9"/>
    </row>
    <row r="3039">
      <c r="G3039" s="9"/>
    </row>
    <row r="3040">
      <c r="G3040" s="9"/>
    </row>
    <row r="3041">
      <c r="G3041" s="9"/>
    </row>
    <row r="3042">
      <c r="G3042" s="9"/>
    </row>
    <row r="3043">
      <c r="G3043" s="9"/>
    </row>
    <row r="3044">
      <c r="G3044" s="9"/>
    </row>
    <row r="3045">
      <c r="G3045" s="9"/>
    </row>
    <row r="3046">
      <c r="G3046" s="9"/>
    </row>
    <row r="3047">
      <c r="G3047" s="9"/>
    </row>
    <row r="3048">
      <c r="G3048" s="9"/>
    </row>
    <row r="3049">
      <c r="G3049" s="9"/>
    </row>
    <row r="3050">
      <c r="G3050" s="9"/>
    </row>
    <row r="3051">
      <c r="G3051" s="9"/>
    </row>
    <row r="3052">
      <c r="G3052" s="9"/>
    </row>
    <row r="3053">
      <c r="G3053" s="9"/>
    </row>
    <row r="3054">
      <c r="G3054" s="9"/>
    </row>
    <row r="3055">
      <c r="G3055" s="9"/>
    </row>
    <row r="3056">
      <c r="G3056" s="9"/>
    </row>
    <row r="3057">
      <c r="G3057" s="9"/>
    </row>
    <row r="3058">
      <c r="G3058" s="9"/>
    </row>
    <row r="3059">
      <c r="G3059" s="9"/>
    </row>
    <row r="3060">
      <c r="G3060" s="9"/>
    </row>
    <row r="3061">
      <c r="G3061" s="9"/>
    </row>
    <row r="3062">
      <c r="G3062" s="9"/>
    </row>
    <row r="3063">
      <c r="G3063" s="9"/>
    </row>
    <row r="3064">
      <c r="G3064" s="9"/>
    </row>
    <row r="3065">
      <c r="G3065" s="9"/>
    </row>
    <row r="3066">
      <c r="G3066" s="9"/>
    </row>
    <row r="3067">
      <c r="G3067" s="9"/>
    </row>
    <row r="3068">
      <c r="G3068" s="9"/>
    </row>
    <row r="3069">
      <c r="G3069" s="9"/>
    </row>
    <row r="3070">
      <c r="G3070" s="9"/>
    </row>
    <row r="3071">
      <c r="G3071" s="9"/>
    </row>
    <row r="3072">
      <c r="G3072" s="9"/>
    </row>
    <row r="3073">
      <c r="G3073" s="9"/>
    </row>
    <row r="3074">
      <c r="G3074" s="9"/>
    </row>
    <row r="3075">
      <c r="G3075" s="9"/>
    </row>
    <row r="3076">
      <c r="G3076" s="9"/>
    </row>
    <row r="3077">
      <c r="G3077" s="9"/>
    </row>
    <row r="3078">
      <c r="G3078" s="9"/>
    </row>
    <row r="3079">
      <c r="G3079" s="9"/>
    </row>
    <row r="3080">
      <c r="G3080" s="9"/>
    </row>
    <row r="3081">
      <c r="G3081" s="9"/>
    </row>
    <row r="3082">
      <c r="G3082" s="9"/>
    </row>
    <row r="3083">
      <c r="G3083" s="9"/>
    </row>
    <row r="3084">
      <c r="G3084" s="9"/>
    </row>
    <row r="3085">
      <c r="G3085" s="9"/>
    </row>
    <row r="3086">
      <c r="G3086" s="9"/>
    </row>
    <row r="3087">
      <c r="G3087" s="9"/>
    </row>
    <row r="3088">
      <c r="G3088" s="9"/>
    </row>
    <row r="3089">
      <c r="G3089" s="9"/>
    </row>
    <row r="3090">
      <c r="G3090" s="9"/>
    </row>
    <row r="3091">
      <c r="G3091" s="9"/>
    </row>
    <row r="3092">
      <c r="G3092" s="9"/>
    </row>
    <row r="3093">
      <c r="G3093" s="9"/>
    </row>
    <row r="3094">
      <c r="G3094" s="9"/>
    </row>
    <row r="3095">
      <c r="G3095" s="9"/>
    </row>
    <row r="3096">
      <c r="G3096" s="9"/>
    </row>
    <row r="3097">
      <c r="G3097" s="9"/>
    </row>
    <row r="3098">
      <c r="G3098" s="9"/>
    </row>
    <row r="3099">
      <c r="G3099" s="9"/>
    </row>
    <row r="3100">
      <c r="G3100" s="9"/>
    </row>
    <row r="3101">
      <c r="G3101" s="9"/>
    </row>
    <row r="3102">
      <c r="G3102" s="9"/>
    </row>
    <row r="3103">
      <c r="G3103" s="9"/>
    </row>
    <row r="3104">
      <c r="G3104" s="9"/>
    </row>
    <row r="3105">
      <c r="G3105" s="9"/>
    </row>
    <row r="3106">
      <c r="G3106" s="9"/>
    </row>
    <row r="3107">
      <c r="G3107" s="9"/>
    </row>
    <row r="3108">
      <c r="G3108" s="9"/>
    </row>
    <row r="3109">
      <c r="G3109" s="9"/>
    </row>
    <row r="3110">
      <c r="G3110" s="9"/>
    </row>
    <row r="3111">
      <c r="G3111" s="9"/>
    </row>
    <row r="3112">
      <c r="G3112" s="9"/>
    </row>
    <row r="3113">
      <c r="G3113" s="9"/>
    </row>
    <row r="3114">
      <c r="G3114" s="9"/>
    </row>
    <row r="3115">
      <c r="G3115" s="9"/>
    </row>
    <row r="3116">
      <c r="G3116" s="9"/>
    </row>
    <row r="3117">
      <c r="G3117" s="9"/>
    </row>
    <row r="3118">
      <c r="G3118" s="9"/>
    </row>
    <row r="3119">
      <c r="G3119" s="9"/>
    </row>
    <row r="3120">
      <c r="G3120" s="9"/>
    </row>
    <row r="3121">
      <c r="G3121" s="9"/>
    </row>
    <row r="3122">
      <c r="G3122" s="9"/>
    </row>
    <row r="3123">
      <c r="G3123" s="9"/>
    </row>
    <row r="3124">
      <c r="G3124" s="9"/>
    </row>
    <row r="3125">
      <c r="G3125" s="9"/>
    </row>
    <row r="3126">
      <c r="G3126" s="9"/>
    </row>
    <row r="3127">
      <c r="G3127" s="9"/>
    </row>
    <row r="3128">
      <c r="G3128" s="9"/>
    </row>
    <row r="3129">
      <c r="G3129" s="9"/>
    </row>
    <row r="3130">
      <c r="G3130" s="9"/>
    </row>
    <row r="3131">
      <c r="G3131" s="9"/>
    </row>
    <row r="3132">
      <c r="G3132" s="9"/>
    </row>
    <row r="3133">
      <c r="G3133" s="9"/>
    </row>
    <row r="3134">
      <c r="G3134" s="9"/>
    </row>
    <row r="3135">
      <c r="G3135" s="9"/>
    </row>
    <row r="3136">
      <c r="G3136" s="9"/>
    </row>
    <row r="3137">
      <c r="G3137" s="9"/>
    </row>
    <row r="3138">
      <c r="G3138" s="9"/>
    </row>
    <row r="3139">
      <c r="G3139" s="9"/>
    </row>
    <row r="3140">
      <c r="G3140" s="9"/>
    </row>
    <row r="3141">
      <c r="G3141" s="9"/>
    </row>
    <row r="3142">
      <c r="G3142" s="9"/>
    </row>
    <row r="3143">
      <c r="G3143" s="9"/>
    </row>
    <row r="3144">
      <c r="G3144" s="9"/>
    </row>
    <row r="3145">
      <c r="G3145" s="9"/>
    </row>
    <row r="3146">
      <c r="G3146" s="9"/>
    </row>
    <row r="3147">
      <c r="G3147" s="9"/>
    </row>
    <row r="3148">
      <c r="G3148" s="9"/>
    </row>
    <row r="3149">
      <c r="G3149" s="9"/>
    </row>
    <row r="3150">
      <c r="G3150" s="9"/>
    </row>
    <row r="3151">
      <c r="G3151" s="9"/>
    </row>
    <row r="3152">
      <c r="G3152" s="9"/>
    </row>
    <row r="3153">
      <c r="G3153" s="9"/>
    </row>
    <row r="3154">
      <c r="G3154" s="9"/>
    </row>
    <row r="3155">
      <c r="G3155" s="9"/>
    </row>
    <row r="3156">
      <c r="G3156" s="9"/>
    </row>
    <row r="3157">
      <c r="G3157" s="9"/>
    </row>
    <row r="3158">
      <c r="G3158" s="9"/>
    </row>
    <row r="3159">
      <c r="G3159" s="9"/>
    </row>
    <row r="3160">
      <c r="G3160" s="9"/>
    </row>
    <row r="3161">
      <c r="G3161" s="9"/>
    </row>
    <row r="3162">
      <c r="G3162" s="9"/>
    </row>
    <row r="3163">
      <c r="G3163" s="9"/>
    </row>
    <row r="3164">
      <c r="G3164" s="9"/>
    </row>
    <row r="3165">
      <c r="G3165" s="9"/>
    </row>
    <row r="3166">
      <c r="G3166" s="9"/>
    </row>
    <row r="3167">
      <c r="G3167" s="9"/>
    </row>
    <row r="3168">
      <c r="G3168" s="9"/>
    </row>
    <row r="3169">
      <c r="G3169" s="9"/>
    </row>
    <row r="3170">
      <c r="G3170" s="9"/>
    </row>
    <row r="3171">
      <c r="G3171" s="9"/>
    </row>
    <row r="3172">
      <c r="G3172" s="9"/>
    </row>
    <row r="3173">
      <c r="G3173" s="9"/>
    </row>
    <row r="3174">
      <c r="G3174" s="9"/>
    </row>
    <row r="3175">
      <c r="G3175" s="9"/>
    </row>
    <row r="3176">
      <c r="G3176" s="9"/>
    </row>
    <row r="3177">
      <c r="G3177" s="9"/>
    </row>
    <row r="3178">
      <c r="G3178" s="9"/>
    </row>
    <row r="3179">
      <c r="G3179" s="9"/>
    </row>
    <row r="3180">
      <c r="G3180" s="9"/>
    </row>
    <row r="3181">
      <c r="G3181" s="9"/>
    </row>
    <row r="3182">
      <c r="G3182" s="9"/>
    </row>
    <row r="3183">
      <c r="G3183" s="9"/>
    </row>
    <row r="3184">
      <c r="G3184" s="9"/>
    </row>
    <row r="3185">
      <c r="G3185" s="9"/>
    </row>
    <row r="3186">
      <c r="G3186" s="9"/>
    </row>
    <row r="3187">
      <c r="G3187" s="9"/>
    </row>
    <row r="3188">
      <c r="G3188" s="9"/>
    </row>
    <row r="3189">
      <c r="G3189" s="9"/>
    </row>
    <row r="3190">
      <c r="G3190" s="9"/>
    </row>
    <row r="3191">
      <c r="G3191" s="9"/>
    </row>
    <row r="3192">
      <c r="G3192" s="9"/>
    </row>
    <row r="3193">
      <c r="G3193" s="9"/>
    </row>
    <row r="3194">
      <c r="G3194" s="9"/>
    </row>
    <row r="3195">
      <c r="G3195" s="9"/>
    </row>
    <row r="3196">
      <c r="G3196" s="9"/>
    </row>
    <row r="3197">
      <c r="G3197" s="9"/>
    </row>
    <row r="3198">
      <c r="G3198" s="9"/>
    </row>
    <row r="3199">
      <c r="G3199" s="9"/>
    </row>
    <row r="3200">
      <c r="G3200" s="9"/>
    </row>
    <row r="3201">
      <c r="G3201" s="9"/>
    </row>
    <row r="3202">
      <c r="G3202" s="9"/>
    </row>
    <row r="3203">
      <c r="G3203" s="9"/>
    </row>
    <row r="3204">
      <c r="G3204" s="9"/>
    </row>
    <row r="3205">
      <c r="G3205" s="9"/>
    </row>
    <row r="3206">
      <c r="G3206" s="9"/>
    </row>
    <row r="3207">
      <c r="G3207" s="9"/>
    </row>
    <row r="3208">
      <c r="G3208" s="9"/>
    </row>
    <row r="3209">
      <c r="G3209" s="9"/>
    </row>
    <row r="3210">
      <c r="G3210" s="9"/>
    </row>
    <row r="3211">
      <c r="G3211" s="9"/>
    </row>
    <row r="3212">
      <c r="G3212" s="9"/>
    </row>
    <row r="3213">
      <c r="G3213" s="9"/>
    </row>
    <row r="3214">
      <c r="G3214" s="9"/>
    </row>
    <row r="3215">
      <c r="G3215" s="9"/>
    </row>
    <row r="3216">
      <c r="G3216" s="9"/>
    </row>
    <row r="3217">
      <c r="G3217" s="9"/>
    </row>
    <row r="3218">
      <c r="G3218" s="9"/>
    </row>
    <row r="3219">
      <c r="G3219" s="9"/>
    </row>
    <row r="3220">
      <c r="G3220" s="9"/>
    </row>
    <row r="3221">
      <c r="G3221" s="9"/>
    </row>
    <row r="3222">
      <c r="G3222" s="9"/>
    </row>
    <row r="3223">
      <c r="G3223" s="9"/>
    </row>
    <row r="3224">
      <c r="G3224" s="9"/>
    </row>
    <row r="3225">
      <c r="G3225" s="9"/>
    </row>
    <row r="3226">
      <c r="G3226" s="9"/>
    </row>
    <row r="3227">
      <c r="G3227" s="9"/>
      <c r="K3227" t="str">
        <f>IFERROR(__xludf.DUMMYFUNCTION("""COMPUTED_VALUE""")," ")</f>
        <v> </v>
      </c>
    </row>
    <row r="3228">
      <c r="G3228" s="9"/>
      <c r="K3228" t="str">
        <f>IFERROR(__xludf.DUMMYFUNCTION("""COMPUTED_VALUE""")," ")</f>
        <v> </v>
      </c>
    </row>
    <row r="3229">
      <c r="G3229" s="9"/>
      <c r="K3229" t="str">
        <f>IFERROR(__xludf.DUMMYFUNCTION("""COMPUTED_VALUE""")," ")</f>
        <v> </v>
      </c>
    </row>
    <row r="3230">
      <c r="G3230" s="9"/>
      <c r="K3230" t="str">
        <f>IFERROR(__xludf.DUMMYFUNCTION("""COMPUTED_VALUE""")," ")</f>
        <v> </v>
      </c>
    </row>
    <row r="3231">
      <c r="G3231" s="9"/>
      <c r="K3231" t="str">
        <f>IFERROR(__xludf.DUMMYFUNCTION("""COMPUTED_VALUE""")," ")</f>
        <v> </v>
      </c>
    </row>
    <row r="3232">
      <c r="G3232" s="9"/>
      <c r="K3232" t="str">
        <f>IFERROR(__xludf.DUMMYFUNCTION("""COMPUTED_VALUE""")," ")</f>
        <v> </v>
      </c>
    </row>
    <row r="3233">
      <c r="G3233" s="9"/>
      <c r="K3233" t="str">
        <f>IFERROR(__xludf.DUMMYFUNCTION("""COMPUTED_VALUE""")," ")</f>
        <v> </v>
      </c>
    </row>
    <row r="3234">
      <c r="G3234" s="9"/>
      <c r="K3234" t="str">
        <f>IFERROR(__xludf.DUMMYFUNCTION("""COMPUTED_VALUE""")," ")</f>
        <v> </v>
      </c>
    </row>
    <row r="3235">
      <c r="G3235" s="9"/>
      <c r="K3235" t="str">
        <f>IFERROR(__xludf.DUMMYFUNCTION("""COMPUTED_VALUE""")," ")</f>
        <v> </v>
      </c>
    </row>
    <row r="3236">
      <c r="G3236" s="9"/>
      <c r="K3236" t="str">
        <f>IFERROR(__xludf.DUMMYFUNCTION("""COMPUTED_VALUE""")," ")</f>
        <v> </v>
      </c>
    </row>
    <row r="3237">
      <c r="G3237" s="9"/>
      <c r="K3237" t="str">
        <f>IFERROR(__xludf.DUMMYFUNCTION("""COMPUTED_VALUE""")," ")</f>
        <v> </v>
      </c>
    </row>
    <row r="3238">
      <c r="G3238" s="9"/>
      <c r="K3238" t="str">
        <f>IFERROR(__xludf.DUMMYFUNCTION("""COMPUTED_VALUE""")," ")</f>
        <v> </v>
      </c>
    </row>
    <row r="3239">
      <c r="G3239" s="9"/>
      <c r="K3239" t="str">
        <f>IFERROR(__xludf.DUMMYFUNCTION("""COMPUTED_VALUE""")," ")</f>
        <v> </v>
      </c>
    </row>
    <row r="3240">
      <c r="G3240" s="9"/>
      <c r="K3240" t="str">
        <f>IFERROR(__xludf.DUMMYFUNCTION("""COMPUTED_VALUE""")," ")</f>
        <v> </v>
      </c>
    </row>
    <row r="3241">
      <c r="G3241" s="9"/>
      <c r="K3241" t="str">
        <f>IFERROR(__xludf.DUMMYFUNCTION("""COMPUTED_VALUE""")," ")</f>
        <v> </v>
      </c>
    </row>
    <row r="3242">
      <c r="G3242" s="9"/>
      <c r="K3242" t="str">
        <f>IFERROR(__xludf.DUMMYFUNCTION("""COMPUTED_VALUE""")," ")</f>
        <v> </v>
      </c>
    </row>
    <row r="3243">
      <c r="G3243" s="9"/>
      <c r="K3243" t="str">
        <f>IFERROR(__xludf.DUMMYFUNCTION("""COMPUTED_VALUE""")," ")</f>
        <v> </v>
      </c>
    </row>
    <row r="3244">
      <c r="G3244" s="9"/>
      <c r="K3244" t="str">
        <f>IFERROR(__xludf.DUMMYFUNCTION("""COMPUTED_VALUE""")," ")</f>
        <v> </v>
      </c>
    </row>
    <row r="3245">
      <c r="G3245" s="9"/>
      <c r="K3245" t="str">
        <f>IFERROR(__xludf.DUMMYFUNCTION("""COMPUTED_VALUE""")," ")</f>
        <v> </v>
      </c>
    </row>
    <row r="3246">
      <c r="G3246" s="9"/>
      <c r="K3246" t="str">
        <f>IFERROR(__xludf.DUMMYFUNCTION("""COMPUTED_VALUE""")," ")</f>
        <v> </v>
      </c>
    </row>
    <row r="3247">
      <c r="G3247" s="9"/>
      <c r="K3247" t="str">
        <f>IFERROR(__xludf.DUMMYFUNCTION("""COMPUTED_VALUE""")," ")</f>
        <v> </v>
      </c>
    </row>
    <row r="3248">
      <c r="G3248" s="9"/>
      <c r="K3248" t="str">
        <f>IFERROR(__xludf.DUMMYFUNCTION("""COMPUTED_VALUE""")," ")</f>
        <v> </v>
      </c>
    </row>
    <row r="3249">
      <c r="G3249" s="9"/>
      <c r="K3249" t="str">
        <f>IFERROR(__xludf.DUMMYFUNCTION("""COMPUTED_VALUE""")," ")</f>
        <v> </v>
      </c>
    </row>
    <row r="3250">
      <c r="G3250" s="9"/>
      <c r="K3250" t="str">
        <f>IFERROR(__xludf.DUMMYFUNCTION("""COMPUTED_VALUE""")," ")</f>
        <v> </v>
      </c>
    </row>
    <row r="3251">
      <c r="G3251" s="9"/>
      <c r="K3251" t="str">
        <f>IFERROR(__xludf.DUMMYFUNCTION("""COMPUTED_VALUE""")," ")</f>
        <v> </v>
      </c>
    </row>
    <row r="3252">
      <c r="G3252" s="9"/>
      <c r="K3252" t="str">
        <f>IFERROR(__xludf.DUMMYFUNCTION("""COMPUTED_VALUE""")," ")</f>
        <v> </v>
      </c>
    </row>
    <row r="3253">
      <c r="G3253" s="9"/>
      <c r="K3253" t="str">
        <f>IFERROR(__xludf.DUMMYFUNCTION("""COMPUTED_VALUE""")," ")</f>
        <v> </v>
      </c>
    </row>
    <row r="3254">
      <c r="G3254" s="9"/>
      <c r="K3254" t="str">
        <f>IFERROR(__xludf.DUMMYFUNCTION("""COMPUTED_VALUE""")," ")</f>
        <v> </v>
      </c>
    </row>
    <row r="3255">
      <c r="G3255" s="9"/>
      <c r="K3255" t="str">
        <f>IFERROR(__xludf.DUMMYFUNCTION("""COMPUTED_VALUE""")," ")</f>
        <v> </v>
      </c>
    </row>
    <row r="3256">
      <c r="G3256" s="9"/>
      <c r="K3256" t="str">
        <f>IFERROR(__xludf.DUMMYFUNCTION("""COMPUTED_VALUE""")," ")</f>
        <v> </v>
      </c>
    </row>
    <row r="3257">
      <c r="G3257" s="9"/>
      <c r="K3257" t="str">
        <f>IFERROR(__xludf.DUMMYFUNCTION("""COMPUTED_VALUE""")," ")</f>
        <v> </v>
      </c>
    </row>
    <row r="3258">
      <c r="G3258" s="9"/>
      <c r="K3258" t="str">
        <f>IFERROR(__xludf.DUMMYFUNCTION("""COMPUTED_VALUE""")," ")</f>
        <v> </v>
      </c>
    </row>
    <row r="3259">
      <c r="G3259" s="9"/>
      <c r="K3259" t="str">
        <f>IFERROR(__xludf.DUMMYFUNCTION("""COMPUTED_VALUE""")," ")</f>
        <v> </v>
      </c>
    </row>
    <row r="3260">
      <c r="G3260" s="9"/>
      <c r="K3260" t="str">
        <f>IFERROR(__xludf.DUMMYFUNCTION("""COMPUTED_VALUE""")," ")</f>
        <v> </v>
      </c>
    </row>
    <row r="3261">
      <c r="G3261" s="9"/>
      <c r="K3261" t="str">
        <f>IFERROR(__xludf.DUMMYFUNCTION("""COMPUTED_VALUE""")," ")</f>
        <v> </v>
      </c>
    </row>
    <row r="3262">
      <c r="G3262" s="9"/>
      <c r="K3262" t="str">
        <f>IFERROR(__xludf.DUMMYFUNCTION("""COMPUTED_VALUE""")," ")</f>
        <v> </v>
      </c>
    </row>
    <row r="3263">
      <c r="G3263" s="9"/>
      <c r="K3263" t="str">
        <f>IFERROR(__xludf.DUMMYFUNCTION("""COMPUTED_VALUE""")," ")</f>
        <v> </v>
      </c>
    </row>
    <row r="3264">
      <c r="G3264" s="9"/>
      <c r="K3264" t="str">
        <f>IFERROR(__xludf.DUMMYFUNCTION("""COMPUTED_VALUE""")," ")</f>
        <v> </v>
      </c>
    </row>
    <row r="3265">
      <c r="G3265" s="9"/>
      <c r="K3265" t="str">
        <f>IFERROR(__xludf.DUMMYFUNCTION("""COMPUTED_VALUE""")," ")</f>
        <v> </v>
      </c>
    </row>
    <row r="3266">
      <c r="G3266" s="9"/>
      <c r="K3266" t="str">
        <f>IFERROR(__xludf.DUMMYFUNCTION("""COMPUTED_VALUE""")," ")</f>
        <v> </v>
      </c>
    </row>
    <row r="3267">
      <c r="G3267" s="9"/>
      <c r="K3267" t="str">
        <f>IFERROR(__xludf.DUMMYFUNCTION("""COMPUTED_VALUE""")," ")</f>
        <v> </v>
      </c>
    </row>
    <row r="3268">
      <c r="G3268" s="9"/>
      <c r="K3268" t="str">
        <f>IFERROR(__xludf.DUMMYFUNCTION("""COMPUTED_VALUE""")," ")</f>
        <v> </v>
      </c>
    </row>
    <row r="3269">
      <c r="G3269" s="9"/>
      <c r="K3269" t="str">
        <f>IFERROR(__xludf.DUMMYFUNCTION("""COMPUTED_VALUE""")," ")</f>
        <v> </v>
      </c>
    </row>
    <row r="3270">
      <c r="G3270" s="9"/>
      <c r="K3270" t="str">
        <f>IFERROR(__xludf.DUMMYFUNCTION("""COMPUTED_VALUE""")," ")</f>
        <v> </v>
      </c>
    </row>
    <row r="3271">
      <c r="G3271" s="9"/>
      <c r="K3271" t="str">
        <f>IFERROR(__xludf.DUMMYFUNCTION("""COMPUTED_VALUE""")," ")</f>
        <v> </v>
      </c>
    </row>
    <row r="3272">
      <c r="G3272" s="9"/>
      <c r="K3272" t="str">
        <f>IFERROR(__xludf.DUMMYFUNCTION("""COMPUTED_VALUE""")," ")</f>
        <v> </v>
      </c>
    </row>
    <row r="3273">
      <c r="G3273" s="9"/>
    </row>
    <row r="3274">
      <c r="G3274" s="9"/>
    </row>
    <row r="3275">
      <c r="G3275" s="9"/>
    </row>
    <row r="3276">
      <c r="G3276" s="9"/>
    </row>
    <row r="3277">
      <c r="G3277" s="9"/>
    </row>
    <row r="3278">
      <c r="G3278" s="9"/>
    </row>
    <row r="3279">
      <c r="G3279" s="9"/>
    </row>
    <row r="3280">
      <c r="G3280" s="9"/>
    </row>
    <row r="3281">
      <c r="G3281" s="9"/>
    </row>
    <row r="3282">
      <c r="G3282" s="9"/>
    </row>
    <row r="3283">
      <c r="G3283" s="9"/>
    </row>
    <row r="3284">
      <c r="G3284" s="9"/>
    </row>
    <row r="3285">
      <c r="G3285" s="9"/>
    </row>
    <row r="3286">
      <c r="G3286" s="9"/>
    </row>
    <row r="3287">
      <c r="G3287" s="9"/>
    </row>
    <row r="3288">
      <c r="G3288" s="9"/>
    </row>
    <row r="3289">
      <c r="G3289" s="9"/>
    </row>
    <row r="3290">
      <c r="G3290" s="9"/>
    </row>
    <row r="3291">
      <c r="G3291" s="9"/>
    </row>
    <row r="3292">
      <c r="G3292" s="9"/>
    </row>
    <row r="3293">
      <c r="G3293" s="9"/>
    </row>
    <row r="3294">
      <c r="G3294" s="9"/>
    </row>
    <row r="3295">
      <c r="G3295" s="9"/>
    </row>
    <row r="3296">
      <c r="G3296" s="9"/>
    </row>
    <row r="3297">
      <c r="G3297" s="9"/>
    </row>
    <row r="3298">
      <c r="G3298" s="9"/>
    </row>
    <row r="3299">
      <c r="G3299" s="9"/>
    </row>
    <row r="3300">
      <c r="G3300" s="9"/>
    </row>
    <row r="3301">
      <c r="G3301" s="9"/>
    </row>
    <row r="3302">
      <c r="G3302" s="9"/>
    </row>
    <row r="3303">
      <c r="G3303" s="9"/>
    </row>
    <row r="3304">
      <c r="G3304" s="9"/>
    </row>
    <row r="3305">
      <c r="G3305" s="9"/>
    </row>
    <row r="3306">
      <c r="G3306" s="9"/>
    </row>
    <row r="3307">
      <c r="G3307" s="9"/>
    </row>
    <row r="3308">
      <c r="G3308" s="9"/>
    </row>
    <row r="3309">
      <c r="G3309" s="9"/>
    </row>
    <row r="3310">
      <c r="G3310" s="9"/>
    </row>
    <row r="3311">
      <c r="G3311" s="9"/>
    </row>
    <row r="3312">
      <c r="G3312" s="9"/>
    </row>
    <row r="3313">
      <c r="G3313" s="9"/>
    </row>
    <row r="3314">
      <c r="G3314" s="9"/>
    </row>
    <row r="3315">
      <c r="G3315" s="9"/>
    </row>
    <row r="3316">
      <c r="G3316" s="9"/>
    </row>
    <row r="3317">
      <c r="G3317" s="9"/>
    </row>
    <row r="3318">
      <c r="G3318" s="9"/>
    </row>
    <row r="3319">
      <c r="G3319" s="9"/>
    </row>
    <row r="3320">
      <c r="G3320" s="9"/>
    </row>
    <row r="3321">
      <c r="G3321" s="9"/>
    </row>
    <row r="3322">
      <c r="G3322" s="9"/>
    </row>
    <row r="3323">
      <c r="G3323" s="9"/>
    </row>
    <row r="3324">
      <c r="G3324" s="9"/>
    </row>
    <row r="3325">
      <c r="G3325" s="9"/>
    </row>
    <row r="3326">
      <c r="G3326" s="9"/>
    </row>
    <row r="3327">
      <c r="G3327" s="9"/>
    </row>
    <row r="3328">
      <c r="G3328" s="9"/>
    </row>
    <row r="3329">
      <c r="G3329" s="9"/>
    </row>
    <row r="3330">
      <c r="G3330" s="9"/>
    </row>
    <row r="3331">
      <c r="G3331" s="9"/>
    </row>
    <row r="3332">
      <c r="G3332" s="9"/>
    </row>
    <row r="3333">
      <c r="G3333" s="9"/>
    </row>
    <row r="3334">
      <c r="G3334" s="9"/>
    </row>
    <row r="3335">
      <c r="G3335" s="9"/>
    </row>
    <row r="3336">
      <c r="G3336" s="9"/>
    </row>
    <row r="3337">
      <c r="G3337" s="9"/>
    </row>
    <row r="3338">
      <c r="G3338" s="9"/>
    </row>
    <row r="3339">
      <c r="G3339" s="9"/>
    </row>
    <row r="3340">
      <c r="G3340" s="9"/>
    </row>
    <row r="3341">
      <c r="G3341" s="9"/>
    </row>
    <row r="3342">
      <c r="G3342" s="9"/>
    </row>
    <row r="3343">
      <c r="G3343" s="9"/>
    </row>
    <row r="3344">
      <c r="G3344" s="9"/>
    </row>
    <row r="3345">
      <c r="G3345" s="9"/>
    </row>
    <row r="3346">
      <c r="G3346" s="9"/>
    </row>
    <row r="3347">
      <c r="G3347" s="9"/>
    </row>
    <row r="3348">
      <c r="G3348" s="9"/>
    </row>
    <row r="3349">
      <c r="G3349" s="9"/>
    </row>
    <row r="3350">
      <c r="G3350" s="9"/>
    </row>
    <row r="3351">
      <c r="G3351" s="9"/>
    </row>
    <row r="3352">
      <c r="G3352" s="9"/>
    </row>
    <row r="3353">
      <c r="G3353" s="9"/>
    </row>
    <row r="3354">
      <c r="G3354" s="9"/>
    </row>
    <row r="3355">
      <c r="G3355" s="9"/>
    </row>
    <row r="3356">
      <c r="G3356" s="9"/>
    </row>
    <row r="3357">
      <c r="G3357" s="9"/>
    </row>
    <row r="3358">
      <c r="G3358" s="9"/>
    </row>
    <row r="3359">
      <c r="G3359" s="9"/>
    </row>
    <row r="3360">
      <c r="G3360" s="9"/>
    </row>
    <row r="3361">
      <c r="G3361" s="9"/>
    </row>
    <row r="3362">
      <c r="G3362" s="9"/>
    </row>
    <row r="3363">
      <c r="G3363" s="9"/>
    </row>
    <row r="3364">
      <c r="G3364" s="9"/>
    </row>
    <row r="3365">
      <c r="G3365" s="9"/>
    </row>
    <row r="3366">
      <c r="G3366" s="9"/>
    </row>
    <row r="3367">
      <c r="G3367" s="9"/>
    </row>
    <row r="3368">
      <c r="G3368" s="9"/>
    </row>
    <row r="3369">
      <c r="G3369" s="9"/>
    </row>
    <row r="3370">
      <c r="G3370" s="9"/>
    </row>
    <row r="3371">
      <c r="G3371" s="9"/>
    </row>
    <row r="3372">
      <c r="G3372" s="9"/>
    </row>
    <row r="3373">
      <c r="G3373" s="9"/>
    </row>
    <row r="3374">
      <c r="G3374" s="9"/>
    </row>
    <row r="3375">
      <c r="G3375" s="9"/>
    </row>
    <row r="3376">
      <c r="G3376" s="9"/>
    </row>
    <row r="3377">
      <c r="G3377" s="9"/>
    </row>
    <row r="3378">
      <c r="G3378" s="9"/>
    </row>
    <row r="3379">
      <c r="G3379" s="9"/>
    </row>
    <row r="3380">
      <c r="G3380" s="9"/>
    </row>
    <row r="3381">
      <c r="G3381" s="9"/>
    </row>
    <row r="3382">
      <c r="G3382" s="9"/>
    </row>
    <row r="3383">
      <c r="G3383" s="9"/>
    </row>
    <row r="3384">
      <c r="G3384" s="9"/>
    </row>
    <row r="3385">
      <c r="G3385" s="9"/>
    </row>
    <row r="3386">
      <c r="G3386" s="9"/>
    </row>
    <row r="3387">
      <c r="G3387" s="9"/>
    </row>
    <row r="3388">
      <c r="G3388" s="9"/>
    </row>
    <row r="3389">
      <c r="G3389" s="9"/>
    </row>
    <row r="3390">
      <c r="G3390" s="9"/>
    </row>
    <row r="3391">
      <c r="G3391" s="9"/>
    </row>
    <row r="3392">
      <c r="G3392" s="9"/>
    </row>
    <row r="3393">
      <c r="G3393" s="9"/>
    </row>
    <row r="3394">
      <c r="G3394" s="9"/>
    </row>
    <row r="3395">
      <c r="G3395" s="9"/>
    </row>
    <row r="3396">
      <c r="G3396" s="9"/>
    </row>
    <row r="3397">
      <c r="G3397" s="9"/>
    </row>
    <row r="3398">
      <c r="G3398" s="9"/>
    </row>
    <row r="3399">
      <c r="G3399" s="9"/>
    </row>
    <row r="3400">
      <c r="G3400" s="9"/>
    </row>
    <row r="3401">
      <c r="G3401" s="9"/>
    </row>
    <row r="3402">
      <c r="G3402" s="9"/>
    </row>
    <row r="3403">
      <c r="G3403" s="9"/>
    </row>
    <row r="3404">
      <c r="G3404" s="9"/>
    </row>
    <row r="3405">
      <c r="G3405" s="9"/>
    </row>
    <row r="3406">
      <c r="G3406" s="9"/>
    </row>
    <row r="3407">
      <c r="G3407" s="9"/>
    </row>
    <row r="3408">
      <c r="G3408" s="9"/>
    </row>
    <row r="3409">
      <c r="G3409" s="9"/>
    </row>
    <row r="3410">
      <c r="G3410" s="9"/>
    </row>
    <row r="3411">
      <c r="G3411" s="9"/>
    </row>
    <row r="3412">
      <c r="G3412" s="9"/>
    </row>
    <row r="3413">
      <c r="G3413" s="9"/>
    </row>
    <row r="3414">
      <c r="G3414" s="9"/>
    </row>
    <row r="3415">
      <c r="G3415" s="9"/>
    </row>
    <row r="3416">
      <c r="G3416" s="9"/>
    </row>
    <row r="3417">
      <c r="G3417" s="9"/>
    </row>
    <row r="3418">
      <c r="G3418" s="9"/>
    </row>
    <row r="3419">
      <c r="G3419" s="9"/>
    </row>
    <row r="3420">
      <c r="G3420" s="9"/>
    </row>
    <row r="3421">
      <c r="G3421" s="9"/>
    </row>
    <row r="3422">
      <c r="G3422" s="9"/>
    </row>
    <row r="3423">
      <c r="G3423" s="9"/>
    </row>
    <row r="3424">
      <c r="G3424" s="9"/>
    </row>
    <row r="3425">
      <c r="G3425" s="9"/>
    </row>
    <row r="3426">
      <c r="G3426" s="9"/>
    </row>
    <row r="3427">
      <c r="G3427" s="9"/>
    </row>
    <row r="3428">
      <c r="G3428" s="9"/>
    </row>
    <row r="3429">
      <c r="G3429" s="9"/>
    </row>
    <row r="3430">
      <c r="G3430" s="9"/>
    </row>
    <row r="3431">
      <c r="G3431" s="9"/>
    </row>
    <row r="3432">
      <c r="G3432" s="9"/>
    </row>
    <row r="3433">
      <c r="G3433" s="9"/>
    </row>
    <row r="3434">
      <c r="G3434" s="9"/>
    </row>
    <row r="3435">
      <c r="G3435" s="9"/>
    </row>
    <row r="3436">
      <c r="G3436" s="9"/>
    </row>
    <row r="3437">
      <c r="G3437" s="9"/>
    </row>
    <row r="3438">
      <c r="G3438" s="9"/>
    </row>
    <row r="3439">
      <c r="G3439" s="9"/>
    </row>
    <row r="3440">
      <c r="G3440" s="9"/>
    </row>
    <row r="3441">
      <c r="G3441" s="9"/>
    </row>
    <row r="3442">
      <c r="G3442" s="9"/>
    </row>
    <row r="3443">
      <c r="G3443" s="9"/>
    </row>
    <row r="3444">
      <c r="G3444" s="9"/>
    </row>
    <row r="3445">
      <c r="G3445" s="9"/>
    </row>
    <row r="3446">
      <c r="G3446" s="9"/>
    </row>
    <row r="3447">
      <c r="G3447" s="9"/>
    </row>
    <row r="3448">
      <c r="G3448" s="9"/>
    </row>
    <row r="3449">
      <c r="G3449" s="9"/>
    </row>
    <row r="3450">
      <c r="G3450" s="9"/>
    </row>
    <row r="3451">
      <c r="G3451" s="9"/>
    </row>
    <row r="3452">
      <c r="G3452" s="9"/>
    </row>
    <row r="3453">
      <c r="G3453" s="9"/>
    </row>
    <row r="3454">
      <c r="G3454" s="9"/>
    </row>
    <row r="3455">
      <c r="G3455" s="9"/>
    </row>
    <row r="3456">
      <c r="G3456" s="9"/>
    </row>
    <row r="3457">
      <c r="G3457" s="9"/>
    </row>
    <row r="3458">
      <c r="G3458" s="9"/>
    </row>
    <row r="3459">
      <c r="G3459" s="9"/>
    </row>
    <row r="3460">
      <c r="G3460" s="9"/>
    </row>
    <row r="3461">
      <c r="G3461" s="9"/>
    </row>
    <row r="3462">
      <c r="G3462" s="9"/>
    </row>
    <row r="3463">
      <c r="G3463" s="9"/>
    </row>
    <row r="3464">
      <c r="G3464" s="9"/>
    </row>
    <row r="3465">
      <c r="G3465" s="9"/>
    </row>
    <row r="3466">
      <c r="G3466" s="9"/>
    </row>
    <row r="3467">
      <c r="G3467" s="9"/>
    </row>
    <row r="3468">
      <c r="G3468" s="9"/>
    </row>
    <row r="3469">
      <c r="G3469" s="9"/>
    </row>
    <row r="3470">
      <c r="G3470" s="9"/>
    </row>
    <row r="3471">
      <c r="G3471" s="9"/>
    </row>
    <row r="3472">
      <c r="G3472" s="9"/>
    </row>
    <row r="3473">
      <c r="G3473" s="9"/>
    </row>
    <row r="3474">
      <c r="G3474" s="9"/>
    </row>
    <row r="3475">
      <c r="G3475" s="9"/>
    </row>
    <row r="3476">
      <c r="G3476" s="9"/>
    </row>
    <row r="3477">
      <c r="G3477" s="9"/>
    </row>
    <row r="3478">
      <c r="G3478" s="9"/>
    </row>
    <row r="3479">
      <c r="G3479" s="9"/>
    </row>
    <row r="3480">
      <c r="G3480" s="9"/>
    </row>
    <row r="3481">
      <c r="G3481" s="9"/>
    </row>
    <row r="3482">
      <c r="G3482" s="9"/>
    </row>
    <row r="3483">
      <c r="G3483" s="9"/>
    </row>
    <row r="3484">
      <c r="G3484" s="9"/>
    </row>
    <row r="3485">
      <c r="G3485" s="9"/>
    </row>
    <row r="3486">
      <c r="G3486" s="9"/>
    </row>
    <row r="3487">
      <c r="G3487" s="9"/>
    </row>
    <row r="3488">
      <c r="G3488" s="9"/>
    </row>
    <row r="3489">
      <c r="G3489" s="9"/>
    </row>
    <row r="3490">
      <c r="G3490" s="9"/>
    </row>
    <row r="3491">
      <c r="G3491" s="9"/>
    </row>
    <row r="3492">
      <c r="G3492" s="9"/>
    </row>
    <row r="3493">
      <c r="G3493" s="9"/>
    </row>
    <row r="3494">
      <c r="G3494" s="9"/>
    </row>
    <row r="3495">
      <c r="G3495" s="9"/>
    </row>
    <row r="3496">
      <c r="G3496" s="9"/>
    </row>
    <row r="3497">
      <c r="G3497" s="9"/>
    </row>
    <row r="3498">
      <c r="G3498" s="9"/>
    </row>
    <row r="3499">
      <c r="G3499" s="9"/>
    </row>
    <row r="3500">
      <c r="G3500" s="9"/>
    </row>
    <row r="3501">
      <c r="G3501" s="9"/>
    </row>
    <row r="3502">
      <c r="G3502" s="9"/>
    </row>
    <row r="3503">
      <c r="G3503" s="9"/>
    </row>
    <row r="3504">
      <c r="G3504" s="9"/>
    </row>
    <row r="3505">
      <c r="G3505" s="9"/>
    </row>
    <row r="3506">
      <c r="G3506" s="9"/>
    </row>
    <row r="3507">
      <c r="G3507" s="9"/>
    </row>
    <row r="3508">
      <c r="G3508" s="9"/>
    </row>
    <row r="3509">
      <c r="G3509" s="9"/>
    </row>
    <row r="3510">
      <c r="G3510" s="9"/>
    </row>
    <row r="3511">
      <c r="G3511" s="9"/>
    </row>
    <row r="3512">
      <c r="G3512" s="9"/>
    </row>
    <row r="3513">
      <c r="G3513" s="9"/>
    </row>
    <row r="3514">
      <c r="G3514" s="9"/>
    </row>
    <row r="3515">
      <c r="G3515" s="9"/>
    </row>
    <row r="3516">
      <c r="G3516" s="9"/>
    </row>
    <row r="3517">
      <c r="G3517" s="9"/>
    </row>
    <row r="3518">
      <c r="G3518" s="9"/>
    </row>
    <row r="3519">
      <c r="G3519" s="9"/>
    </row>
    <row r="3520">
      <c r="G3520" s="9"/>
    </row>
    <row r="3521">
      <c r="G3521" s="9"/>
    </row>
    <row r="3522">
      <c r="G3522" s="9"/>
    </row>
    <row r="3523">
      <c r="G3523" s="9"/>
    </row>
    <row r="3524">
      <c r="G3524" s="9"/>
    </row>
    <row r="3525">
      <c r="G3525" s="9"/>
    </row>
    <row r="3526">
      <c r="G3526" s="9"/>
    </row>
    <row r="3527">
      <c r="G3527" s="9"/>
    </row>
    <row r="3528">
      <c r="G3528" s="9"/>
    </row>
    <row r="3529">
      <c r="G3529" s="9"/>
    </row>
    <row r="3530">
      <c r="G3530" s="9"/>
    </row>
    <row r="3531">
      <c r="G3531" s="9"/>
    </row>
    <row r="3532">
      <c r="G3532" s="9"/>
    </row>
    <row r="3533">
      <c r="G3533" s="9"/>
    </row>
    <row r="3534">
      <c r="G3534" s="9"/>
    </row>
    <row r="3535">
      <c r="G3535" s="9"/>
    </row>
    <row r="3536">
      <c r="G3536" s="9"/>
    </row>
    <row r="3537">
      <c r="G3537" s="9"/>
    </row>
    <row r="3538">
      <c r="G3538" s="9"/>
    </row>
    <row r="3539">
      <c r="G3539" s="9"/>
    </row>
    <row r="3540">
      <c r="G3540" s="9"/>
    </row>
    <row r="3541">
      <c r="G3541" s="9"/>
    </row>
    <row r="3542">
      <c r="G3542" s="9"/>
    </row>
    <row r="3543">
      <c r="G3543" s="9"/>
    </row>
    <row r="3544">
      <c r="G3544" s="9"/>
    </row>
    <row r="3545">
      <c r="G3545" s="9"/>
    </row>
    <row r="3546">
      <c r="G3546" s="9"/>
    </row>
    <row r="3547">
      <c r="G3547" s="9"/>
    </row>
    <row r="3548">
      <c r="G3548" s="9"/>
    </row>
    <row r="3549">
      <c r="G3549" s="9"/>
    </row>
    <row r="3550">
      <c r="G3550" s="9"/>
    </row>
    <row r="3551">
      <c r="G3551" s="9"/>
    </row>
    <row r="3552">
      <c r="G3552" s="9"/>
    </row>
    <row r="3553">
      <c r="G3553" s="9"/>
    </row>
    <row r="3554">
      <c r="G3554" s="9"/>
    </row>
    <row r="3555">
      <c r="G3555" s="9"/>
    </row>
    <row r="3556">
      <c r="G3556" s="9"/>
    </row>
    <row r="3557">
      <c r="G3557" s="9"/>
    </row>
    <row r="3558">
      <c r="G3558" s="9"/>
    </row>
    <row r="3559">
      <c r="G3559" s="9"/>
    </row>
    <row r="3560">
      <c r="G3560" s="9"/>
    </row>
    <row r="3561">
      <c r="G3561" s="9"/>
    </row>
    <row r="3562">
      <c r="G3562" s="9"/>
    </row>
    <row r="3563">
      <c r="G3563" s="9"/>
    </row>
    <row r="3564">
      <c r="G3564" s="9"/>
    </row>
    <row r="3565">
      <c r="G3565" s="9"/>
    </row>
    <row r="3566">
      <c r="G3566" s="9"/>
    </row>
    <row r="3567">
      <c r="G3567" s="9"/>
    </row>
    <row r="3568">
      <c r="G3568" s="9"/>
    </row>
    <row r="3569">
      <c r="G3569" s="9"/>
    </row>
    <row r="3570">
      <c r="G3570" s="9"/>
    </row>
    <row r="3571">
      <c r="G3571" s="9"/>
    </row>
    <row r="3572">
      <c r="G3572" s="9"/>
    </row>
    <row r="3573">
      <c r="G3573" s="9"/>
    </row>
    <row r="3574">
      <c r="G3574" s="9"/>
    </row>
    <row r="3575">
      <c r="G3575" s="9"/>
    </row>
    <row r="3576">
      <c r="G3576" s="9"/>
    </row>
    <row r="3577">
      <c r="G3577" s="9"/>
    </row>
    <row r="3578">
      <c r="G3578" s="9"/>
    </row>
    <row r="3579">
      <c r="G3579" s="9"/>
    </row>
    <row r="3580">
      <c r="G3580" s="9"/>
    </row>
    <row r="3581">
      <c r="G3581" s="9"/>
    </row>
    <row r="3582">
      <c r="G3582" s="9"/>
    </row>
    <row r="3583">
      <c r="G3583" s="9"/>
    </row>
    <row r="3584">
      <c r="G3584" s="9"/>
    </row>
    <row r="3585">
      <c r="G3585" s="9"/>
    </row>
    <row r="3586">
      <c r="G3586" s="9"/>
    </row>
    <row r="3587">
      <c r="G3587" s="9"/>
    </row>
    <row r="3588">
      <c r="G3588" s="9"/>
    </row>
    <row r="3589">
      <c r="G3589" s="9"/>
    </row>
    <row r="3590">
      <c r="G3590" s="9"/>
    </row>
    <row r="3591">
      <c r="G3591" s="9"/>
    </row>
    <row r="3592">
      <c r="G3592" s="9"/>
    </row>
    <row r="3593">
      <c r="G3593" s="9"/>
    </row>
    <row r="3594">
      <c r="G3594" s="9"/>
    </row>
    <row r="3595">
      <c r="G3595" s="9"/>
    </row>
    <row r="3596">
      <c r="G3596" s="9"/>
    </row>
    <row r="3597">
      <c r="G3597" s="9"/>
    </row>
    <row r="3598">
      <c r="G3598" s="9"/>
    </row>
    <row r="3599">
      <c r="G3599" s="9"/>
    </row>
    <row r="3600">
      <c r="G3600" s="9"/>
    </row>
    <row r="3601">
      <c r="G3601" s="9"/>
    </row>
    <row r="3602">
      <c r="G3602" s="9"/>
    </row>
    <row r="3603">
      <c r="G3603" s="9"/>
    </row>
    <row r="3604">
      <c r="G3604" s="9"/>
    </row>
    <row r="3605">
      <c r="G3605" s="9"/>
    </row>
    <row r="3606">
      <c r="G3606" s="9"/>
    </row>
    <row r="3607">
      <c r="G3607" s="9"/>
    </row>
    <row r="3608">
      <c r="G3608" s="9"/>
    </row>
    <row r="3609">
      <c r="G3609" s="9"/>
    </row>
    <row r="3610">
      <c r="G3610" s="9"/>
    </row>
    <row r="3611">
      <c r="G3611" s="9"/>
    </row>
    <row r="3612">
      <c r="G3612" s="9"/>
    </row>
    <row r="3613">
      <c r="G3613" s="9"/>
    </row>
    <row r="3614">
      <c r="G3614" s="9"/>
    </row>
    <row r="3615">
      <c r="G3615" s="9"/>
    </row>
    <row r="3616">
      <c r="G3616" s="9"/>
    </row>
    <row r="3617">
      <c r="G3617" s="9"/>
    </row>
    <row r="3618">
      <c r="G3618" s="9"/>
    </row>
    <row r="3619">
      <c r="G3619" s="9"/>
    </row>
    <row r="3620">
      <c r="G3620" s="9"/>
    </row>
    <row r="3621">
      <c r="G3621" s="9"/>
    </row>
    <row r="3622">
      <c r="G3622" s="9"/>
    </row>
    <row r="3623">
      <c r="G3623" s="9"/>
    </row>
    <row r="3624">
      <c r="G3624" s="9"/>
    </row>
    <row r="3625">
      <c r="G3625" s="9"/>
    </row>
    <row r="3626">
      <c r="G3626" s="9"/>
    </row>
    <row r="3627">
      <c r="G3627" s="9"/>
    </row>
    <row r="3628">
      <c r="G3628" s="9"/>
    </row>
    <row r="3629">
      <c r="G3629" s="9"/>
    </row>
    <row r="3630">
      <c r="G3630" s="9"/>
    </row>
    <row r="3631">
      <c r="G3631" s="9"/>
    </row>
    <row r="3632">
      <c r="G3632" s="9"/>
    </row>
    <row r="3633">
      <c r="G3633" s="9"/>
    </row>
    <row r="3634">
      <c r="G3634" s="9"/>
    </row>
    <row r="3635">
      <c r="G3635" s="9"/>
    </row>
    <row r="3636">
      <c r="G3636" s="9"/>
    </row>
    <row r="3637">
      <c r="G3637" s="9"/>
    </row>
    <row r="3638">
      <c r="G3638" s="9"/>
    </row>
    <row r="3639">
      <c r="G3639" s="9"/>
    </row>
    <row r="3640">
      <c r="G3640" s="9"/>
    </row>
    <row r="3641">
      <c r="G3641" s="9"/>
    </row>
    <row r="3642">
      <c r="G3642" s="9"/>
    </row>
    <row r="3643">
      <c r="G3643" s="9"/>
    </row>
    <row r="3644">
      <c r="G3644" s="9"/>
    </row>
    <row r="3645">
      <c r="G3645" s="9"/>
    </row>
    <row r="3646">
      <c r="G3646" s="9"/>
    </row>
    <row r="3647">
      <c r="G3647" s="9"/>
    </row>
    <row r="3648">
      <c r="G3648" s="9"/>
    </row>
    <row r="3649">
      <c r="G3649" s="9"/>
    </row>
    <row r="3650">
      <c r="G3650" s="9"/>
    </row>
    <row r="3651">
      <c r="G3651" s="9"/>
    </row>
    <row r="3652">
      <c r="G3652" s="9"/>
    </row>
    <row r="3653">
      <c r="G3653" s="9"/>
    </row>
    <row r="3654">
      <c r="G3654" s="9"/>
    </row>
    <row r="3655">
      <c r="G3655" s="9"/>
    </row>
    <row r="3656">
      <c r="G3656" s="9"/>
    </row>
    <row r="3657">
      <c r="G3657" s="9"/>
    </row>
    <row r="3658">
      <c r="G3658" s="9"/>
    </row>
    <row r="3659">
      <c r="G3659" s="9"/>
    </row>
    <row r="3660">
      <c r="G3660" s="9"/>
    </row>
    <row r="3661">
      <c r="G3661" s="9"/>
    </row>
    <row r="3662">
      <c r="G3662" s="9"/>
    </row>
    <row r="3663">
      <c r="G3663" s="9"/>
    </row>
    <row r="3664">
      <c r="G3664" s="9"/>
    </row>
    <row r="3665">
      <c r="G3665" s="9"/>
    </row>
    <row r="3666">
      <c r="G3666" s="9"/>
    </row>
    <row r="3667">
      <c r="G3667" s="9"/>
    </row>
    <row r="3668">
      <c r="G3668" s="9"/>
    </row>
    <row r="3669">
      <c r="G3669" s="9"/>
    </row>
    <row r="3670">
      <c r="G3670" s="9"/>
    </row>
    <row r="3671">
      <c r="G3671" s="9"/>
    </row>
    <row r="3672">
      <c r="G3672" s="9"/>
    </row>
    <row r="3673">
      <c r="G3673" s="9"/>
    </row>
    <row r="3674">
      <c r="G3674" s="9"/>
    </row>
    <row r="3675">
      <c r="G3675" s="9"/>
    </row>
    <row r="3676">
      <c r="G3676" s="9"/>
    </row>
    <row r="3677">
      <c r="G3677" s="9"/>
    </row>
    <row r="3678">
      <c r="G3678" s="9"/>
    </row>
    <row r="3679">
      <c r="G3679" s="9"/>
    </row>
    <row r="3680">
      <c r="G3680" s="9"/>
    </row>
    <row r="3681">
      <c r="G3681" s="9"/>
    </row>
    <row r="3682">
      <c r="G3682" s="9"/>
    </row>
    <row r="3683">
      <c r="G3683" s="9"/>
    </row>
    <row r="3684">
      <c r="G3684" s="9"/>
    </row>
    <row r="3685">
      <c r="G3685" s="9"/>
    </row>
    <row r="3686">
      <c r="G3686" s="9"/>
    </row>
    <row r="3687">
      <c r="G3687" s="9"/>
    </row>
    <row r="3688">
      <c r="G3688" s="9"/>
    </row>
    <row r="3689">
      <c r="G3689" s="9"/>
    </row>
    <row r="3690">
      <c r="G3690" s="9"/>
    </row>
    <row r="3691">
      <c r="G3691" s="9"/>
    </row>
    <row r="3692">
      <c r="G3692" s="9"/>
    </row>
    <row r="3693">
      <c r="G3693" s="9"/>
    </row>
    <row r="3694">
      <c r="G3694" s="9"/>
    </row>
    <row r="3695">
      <c r="G3695" s="9"/>
    </row>
    <row r="3696">
      <c r="G3696" s="9"/>
    </row>
    <row r="3697">
      <c r="G3697" s="9"/>
    </row>
    <row r="3698">
      <c r="G3698" s="9"/>
    </row>
    <row r="3699">
      <c r="G3699" s="9"/>
    </row>
    <row r="3700">
      <c r="G3700" s="9"/>
    </row>
    <row r="3701">
      <c r="G3701" s="9"/>
    </row>
    <row r="3702">
      <c r="G3702" s="9"/>
    </row>
    <row r="3703">
      <c r="G3703" s="9"/>
    </row>
    <row r="3704">
      <c r="G3704" s="9"/>
    </row>
    <row r="3705">
      <c r="G3705" s="9"/>
    </row>
    <row r="3706">
      <c r="G3706" s="9"/>
    </row>
    <row r="3707">
      <c r="G3707" s="9"/>
    </row>
    <row r="3708">
      <c r="G3708" s="9"/>
    </row>
    <row r="3709">
      <c r="G3709" s="9"/>
    </row>
    <row r="3710">
      <c r="G3710" s="9"/>
    </row>
    <row r="3711">
      <c r="G3711" s="9"/>
    </row>
    <row r="3712">
      <c r="G3712" s="9"/>
    </row>
    <row r="3713">
      <c r="G3713" s="9"/>
    </row>
    <row r="3714">
      <c r="G3714" s="9"/>
    </row>
    <row r="3715">
      <c r="G3715" s="9"/>
    </row>
    <row r="3716">
      <c r="G3716" s="9"/>
    </row>
    <row r="3717">
      <c r="G3717" s="9"/>
    </row>
    <row r="3718">
      <c r="G3718" s="9"/>
    </row>
    <row r="3719">
      <c r="G3719" s="9"/>
    </row>
    <row r="3720">
      <c r="G3720" s="9"/>
    </row>
    <row r="3721">
      <c r="G3721" s="9"/>
    </row>
    <row r="3722">
      <c r="G3722" s="9"/>
    </row>
    <row r="3723">
      <c r="G3723" s="9"/>
    </row>
    <row r="3724">
      <c r="G3724" s="9"/>
    </row>
    <row r="3725">
      <c r="G3725" s="9"/>
    </row>
    <row r="3726">
      <c r="G3726" s="9"/>
    </row>
    <row r="3727">
      <c r="G3727" s="9"/>
    </row>
    <row r="3728">
      <c r="G3728" s="9"/>
    </row>
    <row r="3729">
      <c r="G3729" s="9"/>
    </row>
    <row r="3730">
      <c r="G3730" s="9"/>
    </row>
    <row r="3731">
      <c r="G3731" s="9"/>
    </row>
    <row r="3732">
      <c r="G3732" s="9"/>
    </row>
    <row r="3733">
      <c r="G3733" s="9"/>
    </row>
    <row r="3734">
      <c r="G3734" s="9"/>
    </row>
    <row r="3735">
      <c r="G3735" s="9"/>
    </row>
    <row r="3736">
      <c r="G3736" s="9"/>
    </row>
    <row r="3737">
      <c r="G3737" s="9"/>
    </row>
    <row r="3738">
      <c r="G3738" s="9"/>
    </row>
    <row r="3739">
      <c r="G3739" s="9"/>
    </row>
    <row r="3740">
      <c r="G3740" s="9"/>
    </row>
    <row r="3741">
      <c r="G3741" s="9"/>
    </row>
    <row r="3742">
      <c r="G3742" s="9"/>
    </row>
    <row r="3743">
      <c r="G3743" s="9"/>
    </row>
    <row r="3744">
      <c r="G3744" s="9"/>
    </row>
    <row r="3745">
      <c r="G3745" s="9"/>
    </row>
    <row r="3746">
      <c r="G3746" s="9"/>
    </row>
    <row r="3747">
      <c r="G3747" s="9"/>
    </row>
    <row r="3748">
      <c r="G3748" s="9"/>
    </row>
    <row r="3749">
      <c r="G3749" s="9"/>
    </row>
    <row r="3750">
      <c r="G3750" s="9"/>
    </row>
    <row r="3751">
      <c r="G3751" s="9"/>
    </row>
    <row r="3752">
      <c r="G3752" s="9"/>
    </row>
    <row r="3753">
      <c r="G3753" s="9"/>
    </row>
    <row r="3754">
      <c r="G3754" s="9"/>
    </row>
    <row r="3755">
      <c r="G3755" s="9"/>
    </row>
    <row r="3756">
      <c r="G3756" s="9"/>
    </row>
    <row r="3757">
      <c r="G3757" s="9"/>
    </row>
    <row r="3758">
      <c r="G3758" s="9"/>
    </row>
    <row r="3759">
      <c r="G3759" s="9"/>
    </row>
    <row r="3760">
      <c r="G3760" s="9"/>
    </row>
    <row r="3761">
      <c r="G3761" s="9"/>
    </row>
    <row r="3762">
      <c r="G3762" s="9"/>
    </row>
    <row r="3763">
      <c r="G3763" s="9"/>
    </row>
    <row r="3764">
      <c r="G3764" s="9"/>
    </row>
    <row r="3765">
      <c r="G3765" s="9"/>
    </row>
    <row r="3766">
      <c r="G3766" s="9"/>
    </row>
    <row r="3767">
      <c r="G3767" s="9"/>
    </row>
    <row r="3768">
      <c r="G3768" s="9"/>
    </row>
    <row r="3769">
      <c r="G3769" s="9"/>
    </row>
    <row r="3770">
      <c r="G3770" s="9"/>
    </row>
    <row r="3771">
      <c r="G3771" s="9"/>
    </row>
    <row r="3772">
      <c r="G3772" s="9"/>
    </row>
    <row r="3773">
      <c r="G3773" s="9"/>
    </row>
    <row r="3774">
      <c r="G3774" s="9"/>
    </row>
    <row r="3775">
      <c r="G3775" s="9"/>
    </row>
    <row r="3776">
      <c r="G3776" s="9"/>
    </row>
    <row r="3777">
      <c r="G3777" s="9"/>
    </row>
    <row r="3778">
      <c r="G3778" s="9"/>
    </row>
    <row r="3779">
      <c r="G3779" s="9"/>
    </row>
    <row r="3780">
      <c r="G3780" s="9"/>
    </row>
    <row r="3781">
      <c r="G3781" s="9"/>
    </row>
    <row r="3782">
      <c r="G3782" s="9"/>
    </row>
    <row r="3783">
      <c r="G3783" s="9"/>
    </row>
    <row r="3784">
      <c r="G3784" s="9"/>
    </row>
    <row r="3785">
      <c r="G3785" s="9"/>
    </row>
    <row r="3786">
      <c r="G3786" s="9"/>
    </row>
    <row r="3787">
      <c r="G3787" s="9"/>
    </row>
    <row r="3788">
      <c r="G3788" s="9"/>
    </row>
    <row r="3789">
      <c r="G3789" s="9"/>
    </row>
    <row r="3790">
      <c r="G3790" s="9"/>
    </row>
    <row r="3791">
      <c r="G3791" s="9"/>
    </row>
    <row r="3792">
      <c r="G3792" s="9"/>
    </row>
    <row r="3793">
      <c r="G3793" s="9"/>
    </row>
    <row r="3794">
      <c r="G3794" s="9"/>
    </row>
    <row r="3795">
      <c r="G3795" s="9"/>
    </row>
    <row r="3796">
      <c r="G3796" s="9"/>
    </row>
    <row r="3797">
      <c r="G3797" s="9"/>
    </row>
    <row r="3798">
      <c r="G3798" s="9"/>
    </row>
    <row r="3799">
      <c r="G3799" s="9"/>
    </row>
    <row r="3800">
      <c r="G3800" s="9"/>
    </row>
    <row r="3801">
      <c r="G3801" s="9"/>
    </row>
    <row r="3802">
      <c r="G3802" s="9"/>
    </row>
    <row r="3803">
      <c r="G3803" s="9"/>
    </row>
    <row r="3804">
      <c r="G3804" s="9"/>
    </row>
    <row r="3805">
      <c r="G3805" s="9"/>
    </row>
    <row r="3806">
      <c r="G3806" s="9"/>
    </row>
    <row r="3807">
      <c r="G3807" s="9"/>
    </row>
    <row r="3808">
      <c r="G3808" s="9"/>
    </row>
    <row r="3809">
      <c r="G3809" s="9"/>
    </row>
    <row r="3810">
      <c r="G3810" s="9"/>
    </row>
    <row r="3811">
      <c r="G3811" s="9"/>
    </row>
    <row r="3812">
      <c r="G3812" s="9"/>
    </row>
    <row r="3813">
      <c r="G3813" s="9"/>
    </row>
    <row r="3814">
      <c r="G3814" s="9"/>
    </row>
    <row r="3815">
      <c r="G3815" s="9"/>
    </row>
    <row r="3816">
      <c r="G3816" s="9"/>
    </row>
    <row r="3817">
      <c r="G3817" s="9"/>
    </row>
    <row r="3818">
      <c r="G3818" s="9"/>
    </row>
    <row r="3819">
      <c r="G3819" s="9"/>
    </row>
    <row r="3820">
      <c r="G3820" s="9"/>
    </row>
    <row r="3821">
      <c r="G3821" s="9"/>
    </row>
    <row r="3822">
      <c r="G3822" s="9"/>
    </row>
    <row r="3823">
      <c r="G3823" s="9"/>
    </row>
    <row r="3824">
      <c r="G3824" s="9"/>
    </row>
    <row r="3825">
      <c r="G3825" s="9"/>
    </row>
    <row r="3826">
      <c r="G3826" s="9"/>
    </row>
    <row r="3827">
      <c r="G3827" s="9"/>
    </row>
    <row r="3828">
      <c r="G3828" s="9"/>
    </row>
    <row r="3829">
      <c r="G3829" s="9"/>
    </row>
    <row r="3830">
      <c r="G3830" s="9"/>
    </row>
    <row r="3831">
      <c r="G3831" s="9"/>
    </row>
    <row r="3832">
      <c r="G3832" s="9"/>
    </row>
    <row r="3833">
      <c r="G3833" s="9"/>
    </row>
    <row r="3834">
      <c r="G3834" s="9"/>
    </row>
    <row r="3835">
      <c r="G3835" s="9"/>
    </row>
    <row r="3836">
      <c r="G3836" s="9"/>
    </row>
    <row r="3837">
      <c r="G3837" s="9"/>
    </row>
    <row r="3838">
      <c r="G3838" s="9"/>
    </row>
    <row r="3839">
      <c r="G3839" s="9"/>
    </row>
    <row r="3840">
      <c r="G3840" s="9"/>
    </row>
    <row r="3841">
      <c r="G3841" s="9"/>
    </row>
    <row r="3842">
      <c r="G3842" s="9"/>
    </row>
    <row r="3843">
      <c r="G3843" s="9"/>
    </row>
    <row r="3844">
      <c r="G3844" s="9"/>
    </row>
    <row r="3845">
      <c r="G3845" s="9"/>
    </row>
    <row r="3846">
      <c r="G3846" s="9"/>
    </row>
    <row r="3847">
      <c r="G3847" s="9"/>
    </row>
    <row r="3848">
      <c r="G3848" s="9"/>
    </row>
    <row r="3849">
      <c r="G3849" s="9"/>
    </row>
    <row r="3850">
      <c r="G3850" s="9"/>
    </row>
    <row r="3851">
      <c r="G3851" s="9"/>
    </row>
    <row r="3852">
      <c r="G3852" s="9"/>
    </row>
    <row r="3853">
      <c r="G3853" s="9"/>
    </row>
    <row r="3854">
      <c r="G3854" s="9"/>
    </row>
    <row r="3855">
      <c r="G3855" s="9"/>
    </row>
    <row r="3856">
      <c r="G3856" s="9"/>
    </row>
    <row r="3857">
      <c r="G3857" s="9"/>
    </row>
    <row r="3858">
      <c r="G3858" s="9"/>
    </row>
    <row r="3859">
      <c r="G3859" s="9"/>
    </row>
    <row r="3860">
      <c r="G3860" s="9"/>
    </row>
    <row r="3861">
      <c r="G3861" s="9"/>
    </row>
    <row r="3862">
      <c r="G3862" s="9"/>
    </row>
    <row r="3863">
      <c r="G3863" s="9"/>
    </row>
    <row r="3864">
      <c r="G3864" s="9"/>
    </row>
    <row r="3865">
      <c r="G3865" s="9"/>
    </row>
    <row r="3866">
      <c r="G3866" s="9"/>
    </row>
    <row r="3867">
      <c r="G3867" s="9"/>
    </row>
    <row r="3868">
      <c r="G3868" s="9"/>
    </row>
    <row r="3869">
      <c r="G3869" s="9"/>
    </row>
    <row r="3870">
      <c r="G3870" s="9"/>
    </row>
    <row r="3871">
      <c r="G3871" s="9"/>
    </row>
    <row r="3872">
      <c r="G3872" s="9"/>
    </row>
    <row r="3873">
      <c r="G3873" s="9"/>
    </row>
    <row r="3874">
      <c r="G3874" s="9"/>
    </row>
    <row r="3875">
      <c r="G3875" s="9"/>
    </row>
    <row r="3876">
      <c r="G3876" s="9"/>
    </row>
    <row r="3877">
      <c r="G3877" s="9"/>
    </row>
    <row r="3878">
      <c r="G3878" s="9"/>
    </row>
    <row r="3879">
      <c r="G3879" s="9"/>
    </row>
    <row r="3880">
      <c r="G3880" s="9"/>
    </row>
    <row r="3881">
      <c r="G3881" s="9"/>
    </row>
    <row r="3882">
      <c r="G3882" s="9"/>
    </row>
    <row r="3883">
      <c r="G3883" s="9"/>
    </row>
    <row r="3884">
      <c r="G3884" s="9"/>
    </row>
    <row r="3885">
      <c r="G3885" s="9"/>
    </row>
    <row r="3886">
      <c r="G3886" s="9"/>
    </row>
    <row r="3887">
      <c r="G3887" s="9"/>
    </row>
    <row r="3888">
      <c r="G3888" s="9"/>
    </row>
    <row r="3889">
      <c r="G3889" s="9"/>
    </row>
    <row r="3890">
      <c r="G3890" s="9"/>
    </row>
    <row r="3891">
      <c r="G3891" s="9"/>
    </row>
    <row r="3892">
      <c r="G3892" s="9"/>
    </row>
    <row r="3893">
      <c r="G3893" s="9"/>
    </row>
    <row r="3894">
      <c r="G3894" s="9"/>
    </row>
    <row r="3895">
      <c r="G3895" s="9"/>
    </row>
    <row r="3896">
      <c r="G3896" s="9"/>
    </row>
    <row r="3897">
      <c r="G3897" s="9"/>
    </row>
    <row r="3898">
      <c r="G3898" s="9"/>
    </row>
    <row r="3899">
      <c r="G3899" s="9"/>
    </row>
    <row r="3900">
      <c r="G3900" s="9"/>
    </row>
    <row r="3901">
      <c r="G3901" s="9"/>
    </row>
    <row r="3902">
      <c r="G3902" s="9"/>
    </row>
    <row r="3903">
      <c r="G3903" s="9"/>
    </row>
    <row r="3904">
      <c r="G3904" s="9"/>
    </row>
    <row r="3905">
      <c r="G3905" s="9"/>
    </row>
    <row r="3906">
      <c r="G3906" s="9"/>
    </row>
    <row r="3907">
      <c r="G3907" s="9"/>
    </row>
    <row r="3908">
      <c r="G3908" s="9"/>
    </row>
    <row r="3909">
      <c r="G3909" s="9"/>
    </row>
    <row r="3910">
      <c r="G3910" s="9"/>
    </row>
    <row r="3911">
      <c r="G3911" s="9"/>
    </row>
    <row r="3912">
      <c r="G3912" s="9"/>
    </row>
    <row r="3913">
      <c r="G3913" s="9"/>
    </row>
    <row r="3914">
      <c r="G3914" s="9"/>
    </row>
    <row r="3915">
      <c r="G3915" s="9"/>
    </row>
    <row r="3916">
      <c r="G3916" s="9"/>
    </row>
    <row r="3917">
      <c r="G3917" s="9"/>
    </row>
    <row r="3918">
      <c r="G3918" s="9"/>
    </row>
    <row r="3919">
      <c r="G3919" s="9"/>
    </row>
    <row r="3920">
      <c r="G3920" s="9"/>
    </row>
    <row r="3921">
      <c r="G3921" s="9"/>
    </row>
    <row r="3922">
      <c r="G3922" s="9"/>
    </row>
    <row r="3923">
      <c r="G3923" s="9"/>
    </row>
    <row r="3924">
      <c r="G3924" s="9"/>
    </row>
    <row r="3925">
      <c r="G3925" s="9"/>
    </row>
    <row r="3926">
      <c r="G3926" s="9"/>
    </row>
    <row r="3927">
      <c r="G3927" s="9"/>
    </row>
    <row r="3928">
      <c r="G3928" s="9"/>
    </row>
    <row r="3929">
      <c r="G3929" s="9"/>
    </row>
    <row r="3930">
      <c r="G3930" s="9"/>
    </row>
    <row r="3931">
      <c r="G3931" s="9"/>
    </row>
    <row r="3932">
      <c r="G3932" s="9"/>
    </row>
    <row r="3933">
      <c r="G3933" s="9"/>
    </row>
    <row r="3934">
      <c r="G3934" s="9"/>
    </row>
    <row r="3935">
      <c r="G3935" s="9"/>
    </row>
    <row r="3936">
      <c r="G3936" s="9"/>
    </row>
    <row r="3937">
      <c r="G3937" s="9"/>
    </row>
    <row r="3938">
      <c r="G3938" s="9"/>
    </row>
    <row r="3939">
      <c r="G3939" s="9"/>
    </row>
    <row r="3940">
      <c r="G3940" s="9"/>
    </row>
    <row r="3941">
      <c r="G3941" s="9"/>
    </row>
    <row r="3942">
      <c r="G3942" s="9"/>
    </row>
    <row r="3943">
      <c r="G3943" s="9"/>
    </row>
    <row r="3944">
      <c r="G3944" s="9"/>
    </row>
    <row r="3945">
      <c r="G3945" s="9"/>
    </row>
    <row r="3946">
      <c r="G3946" s="9"/>
    </row>
    <row r="3947">
      <c r="G3947" s="9"/>
    </row>
    <row r="3948">
      <c r="G3948" s="9"/>
    </row>
    <row r="3949">
      <c r="G3949" s="9"/>
    </row>
    <row r="3950">
      <c r="G3950" s="9"/>
    </row>
    <row r="3951">
      <c r="G3951" s="9"/>
    </row>
    <row r="3952">
      <c r="G3952" s="9"/>
    </row>
    <row r="3953">
      <c r="G3953" s="9"/>
    </row>
    <row r="3954">
      <c r="G3954" s="9"/>
    </row>
    <row r="3955">
      <c r="G3955" s="9"/>
    </row>
    <row r="3956">
      <c r="G3956" s="9"/>
    </row>
    <row r="3957">
      <c r="G3957" s="9"/>
    </row>
    <row r="3958">
      <c r="G3958" s="9"/>
    </row>
    <row r="3959">
      <c r="G3959" s="9"/>
    </row>
    <row r="3960">
      <c r="G3960" s="9"/>
    </row>
    <row r="3961">
      <c r="G3961" s="9"/>
    </row>
    <row r="3962">
      <c r="G3962" s="9"/>
    </row>
    <row r="3963">
      <c r="G3963" s="9"/>
    </row>
    <row r="3964">
      <c r="G3964" s="9"/>
    </row>
    <row r="3965">
      <c r="G3965" s="9"/>
    </row>
    <row r="3966">
      <c r="G3966" s="9"/>
    </row>
    <row r="3967">
      <c r="G3967" s="9"/>
    </row>
    <row r="3968">
      <c r="G3968" s="9"/>
    </row>
    <row r="3969">
      <c r="G3969" s="9"/>
    </row>
    <row r="3970">
      <c r="G3970" s="9"/>
    </row>
    <row r="3971">
      <c r="G3971" s="9"/>
    </row>
    <row r="3972">
      <c r="G3972" s="9"/>
    </row>
    <row r="3973">
      <c r="G3973" s="9"/>
    </row>
    <row r="3974">
      <c r="G3974" s="9"/>
    </row>
    <row r="3975">
      <c r="G3975" s="9"/>
    </row>
    <row r="3976">
      <c r="G3976" s="9"/>
    </row>
    <row r="3977">
      <c r="G3977" s="9"/>
    </row>
    <row r="3978">
      <c r="G3978" s="9"/>
    </row>
    <row r="3979">
      <c r="G3979" s="9"/>
    </row>
    <row r="3980">
      <c r="G3980" s="9"/>
    </row>
    <row r="3981">
      <c r="G3981" s="9"/>
    </row>
    <row r="3982">
      <c r="G3982" s="9"/>
    </row>
    <row r="3983">
      <c r="G3983" s="9"/>
    </row>
    <row r="3984">
      <c r="G3984" s="9"/>
    </row>
    <row r="3985">
      <c r="G3985" s="9"/>
    </row>
    <row r="3986">
      <c r="G3986" s="9"/>
    </row>
    <row r="3987">
      <c r="G3987" s="9"/>
    </row>
    <row r="3988">
      <c r="G3988" s="9"/>
    </row>
    <row r="3989">
      <c r="G3989" s="9"/>
    </row>
    <row r="3990">
      <c r="G3990" s="9"/>
    </row>
    <row r="3991">
      <c r="G3991" s="9"/>
    </row>
    <row r="3992">
      <c r="G3992" s="9"/>
    </row>
    <row r="3993">
      <c r="G3993" s="9"/>
    </row>
    <row r="3994">
      <c r="G3994" s="9"/>
    </row>
    <row r="3995">
      <c r="G3995" s="9"/>
    </row>
    <row r="3996">
      <c r="G3996" s="9"/>
    </row>
    <row r="3997">
      <c r="G3997" s="9"/>
    </row>
    <row r="3998">
      <c r="G3998" s="9"/>
    </row>
    <row r="3999">
      <c r="G3999" s="9"/>
    </row>
    <row r="4000">
      <c r="G4000" s="9"/>
    </row>
    <row r="4001">
      <c r="G4001" s="9"/>
    </row>
    <row r="4002">
      <c r="G4002" s="9"/>
    </row>
    <row r="4003">
      <c r="G4003" s="9"/>
    </row>
    <row r="4004">
      <c r="G4004" s="9"/>
    </row>
    <row r="4005">
      <c r="G4005" s="9"/>
    </row>
    <row r="4006">
      <c r="G4006" s="9"/>
    </row>
    <row r="4007">
      <c r="G4007" s="9"/>
    </row>
    <row r="4008">
      <c r="G4008" s="9"/>
    </row>
    <row r="4009">
      <c r="G4009" s="9"/>
    </row>
    <row r="4010">
      <c r="G4010" s="9"/>
    </row>
    <row r="4011">
      <c r="G4011" s="9"/>
    </row>
    <row r="4012">
      <c r="G4012" s="9"/>
    </row>
    <row r="4013">
      <c r="G4013" s="9"/>
    </row>
    <row r="4014">
      <c r="G4014" s="9"/>
    </row>
    <row r="4015">
      <c r="G4015" s="9"/>
    </row>
    <row r="4016">
      <c r="G4016" s="9"/>
    </row>
    <row r="4017">
      <c r="G4017" s="9"/>
    </row>
    <row r="4018">
      <c r="G4018" s="9"/>
    </row>
    <row r="4019">
      <c r="G4019" s="9"/>
    </row>
    <row r="4020">
      <c r="G4020" s="9"/>
    </row>
    <row r="4021">
      <c r="G4021" s="9"/>
    </row>
    <row r="4022">
      <c r="G4022" s="9"/>
    </row>
    <row r="4023">
      <c r="G4023" s="9"/>
    </row>
    <row r="4024">
      <c r="G4024" s="9"/>
    </row>
    <row r="4025">
      <c r="G4025" s="9"/>
    </row>
    <row r="4026">
      <c r="G4026" s="9"/>
    </row>
    <row r="4027">
      <c r="G4027" s="9"/>
    </row>
    <row r="4028">
      <c r="G4028" s="9"/>
    </row>
    <row r="4029">
      <c r="G4029" s="9"/>
    </row>
    <row r="4030">
      <c r="G4030" s="9"/>
    </row>
    <row r="4031">
      <c r="G4031" s="9"/>
    </row>
    <row r="4032">
      <c r="G4032" s="9"/>
    </row>
    <row r="4033">
      <c r="G4033" s="9"/>
    </row>
    <row r="4034">
      <c r="G4034" s="9"/>
    </row>
    <row r="4035">
      <c r="G4035" s="9"/>
    </row>
    <row r="4036">
      <c r="G4036" s="9"/>
    </row>
    <row r="4037">
      <c r="G4037" s="9"/>
    </row>
    <row r="4038">
      <c r="G4038" s="9"/>
    </row>
    <row r="4039">
      <c r="G4039" s="9"/>
    </row>
    <row r="4040">
      <c r="G4040" s="9"/>
    </row>
    <row r="4041">
      <c r="G4041" s="9"/>
    </row>
    <row r="4042">
      <c r="G4042" s="9"/>
    </row>
    <row r="4043">
      <c r="G4043" s="9"/>
    </row>
    <row r="4044">
      <c r="G4044" s="9"/>
    </row>
    <row r="4045">
      <c r="G4045" s="9"/>
    </row>
    <row r="4046">
      <c r="G4046" s="9"/>
    </row>
    <row r="4047">
      <c r="G4047" s="9"/>
    </row>
    <row r="4048">
      <c r="G4048" s="9"/>
    </row>
    <row r="4049">
      <c r="G4049" s="9"/>
    </row>
    <row r="4050">
      <c r="G4050" s="9"/>
    </row>
    <row r="4051">
      <c r="G4051" s="9"/>
    </row>
    <row r="4052">
      <c r="G4052" s="9"/>
    </row>
    <row r="4053">
      <c r="G4053" s="9"/>
    </row>
    <row r="4054">
      <c r="G4054" s="9"/>
    </row>
    <row r="4055">
      <c r="G4055" s="9"/>
    </row>
    <row r="4056">
      <c r="G4056" s="9"/>
    </row>
    <row r="4057">
      <c r="G4057" s="9"/>
    </row>
    <row r="4058">
      <c r="G4058" s="9"/>
    </row>
    <row r="4059">
      <c r="G4059" s="9"/>
    </row>
    <row r="4060">
      <c r="G4060" s="9"/>
    </row>
    <row r="4061">
      <c r="G4061" s="9"/>
    </row>
    <row r="4062">
      <c r="G4062" s="9"/>
    </row>
    <row r="4063">
      <c r="G4063" s="9"/>
    </row>
    <row r="4064">
      <c r="G4064" s="9"/>
    </row>
    <row r="4065">
      <c r="G4065" s="9"/>
    </row>
    <row r="4066">
      <c r="G4066" s="9"/>
    </row>
    <row r="4067">
      <c r="G4067" s="9"/>
    </row>
    <row r="4068">
      <c r="G4068" s="9"/>
    </row>
    <row r="4069">
      <c r="G4069" s="9"/>
    </row>
    <row r="4070">
      <c r="G4070" s="9"/>
    </row>
    <row r="4071">
      <c r="G4071" s="9"/>
    </row>
    <row r="4072">
      <c r="G4072" s="9"/>
    </row>
    <row r="4073">
      <c r="G4073" s="9"/>
    </row>
    <row r="4074">
      <c r="G4074" s="9"/>
    </row>
    <row r="4075">
      <c r="G4075" s="9"/>
    </row>
    <row r="4076">
      <c r="G4076" s="9"/>
    </row>
    <row r="4077">
      <c r="G4077" s="9"/>
    </row>
    <row r="4078">
      <c r="G4078" s="9"/>
    </row>
    <row r="4079">
      <c r="G4079" s="9"/>
    </row>
    <row r="4080">
      <c r="G4080" s="9"/>
    </row>
    <row r="4081">
      <c r="G4081" s="9"/>
    </row>
    <row r="4082">
      <c r="G4082" s="9"/>
    </row>
    <row r="4083">
      <c r="G4083" s="9"/>
    </row>
    <row r="4084">
      <c r="G4084" s="9"/>
    </row>
    <row r="4085">
      <c r="G4085" s="9"/>
    </row>
    <row r="4086">
      <c r="G4086" s="9"/>
    </row>
    <row r="4087">
      <c r="G4087" s="9"/>
    </row>
    <row r="4088">
      <c r="G4088" s="9"/>
    </row>
    <row r="4089">
      <c r="G4089" s="9"/>
    </row>
    <row r="4090">
      <c r="G4090" s="9"/>
    </row>
    <row r="4091">
      <c r="G4091" s="9"/>
    </row>
    <row r="4092">
      <c r="G4092" s="9"/>
    </row>
    <row r="4093">
      <c r="G4093" s="9"/>
    </row>
    <row r="4094">
      <c r="G4094" s="9"/>
    </row>
    <row r="4095">
      <c r="G4095" s="9"/>
    </row>
    <row r="4096">
      <c r="G4096" s="9"/>
    </row>
    <row r="4097">
      <c r="G4097" s="9"/>
    </row>
    <row r="4098">
      <c r="G4098" s="9"/>
    </row>
    <row r="4099">
      <c r="G4099" s="9"/>
    </row>
    <row r="4100">
      <c r="G4100" s="9"/>
    </row>
    <row r="4101">
      <c r="G4101" s="9"/>
    </row>
    <row r="4102">
      <c r="G4102" s="9"/>
    </row>
    <row r="4103">
      <c r="G4103" s="9"/>
    </row>
    <row r="4104">
      <c r="G4104" s="9"/>
    </row>
    <row r="4105">
      <c r="G4105" s="9"/>
    </row>
    <row r="4106">
      <c r="G4106" s="9"/>
    </row>
    <row r="4107">
      <c r="G4107" s="9"/>
    </row>
    <row r="4108">
      <c r="G4108" s="9"/>
    </row>
    <row r="4109">
      <c r="G4109" s="9"/>
    </row>
    <row r="4110">
      <c r="G4110" s="9"/>
    </row>
    <row r="4111">
      <c r="G4111" s="9"/>
    </row>
    <row r="4112">
      <c r="G4112" s="9"/>
    </row>
    <row r="4113">
      <c r="G4113" s="9"/>
    </row>
    <row r="4114">
      <c r="G4114" s="9"/>
    </row>
    <row r="4115">
      <c r="G4115" s="9"/>
    </row>
    <row r="4116">
      <c r="G4116" s="9"/>
    </row>
    <row r="4117">
      <c r="G4117" s="9"/>
    </row>
    <row r="4118">
      <c r="G4118" s="9"/>
    </row>
    <row r="4119">
      <c r="G4119" s="9"/>
    </row>
    <row r="4120">
      <c r="G4120" s="9"/>
    </row>
    <row r="4121">
      <c r="G4121" s="9"/>
    </row>
    <row r="4122">
      <c r="G4122" s="9"/>
    </row>
    <row r="4123">
      <c r="G4123" s="9"/>
    </row>
    <row r="4124">
      <c r="G4124" s="9"/>
    </row>
    <row r="4125">
      <c r="G4125" s="9"/>
    </row>
    <row r="4126">
      <c r="G4126" s="9"/>
    </row>
    <row r="4127">
      <c r="G4127" s="9"/>
    </row>
    <row r="4128">
      <c r="G4128" s="9"/>
    </row>
    <row r="4129">
      <c r="G4129" s="9"/>
    </row>
    <row r="4130">
      <c r="G4130" s="9"/>
    </row>
    <row r="4131">
      <c r="G4131" s="9"/>
    </row>
    <row r="4132">
      <c r="G4132" s="9"/>
    </row>
    <row r="4133">
      <c r="G4133" s="9"/>
    </row>
    <row r="4134">
      <c r="G4134" s="9"/>
    </row>
    <row r="4135">
      <c r="G4135" s="9"/>
    </row>
    <row r="4136">
      <c r="G4136" s="9"/>
    </row>
    <row r="4137">
      <c r="G4137" s="9"/>
    </row>
    <row r="4138">
      <c r="G4138" s="9"/>
    </row>
    <row r="4139">
      <c r="G4139" s="9"/>
    </row>
    <row r="4140">
      <c r="G4140" s="9"/>
    </row>
    <row r="4141">
      <c r="G4141" s="9"/>
    </row>
    <row r="4142">
      <c r="G4142" s="9"/>
    </row>
    <row r="4143">
      <c r="G4143" s="9"/>
    </row>
    <row r="4144">
      <c r="G4144" s="9"/>
    </row>
    <row r="4145">
      <c r="G4145" s="9"/>
    </row>
    <row r="4146">
      <c r="G4146" s="9"/>
    </row>
    <row r="4147">
      <c r="G4147" s="9"/>
    </row>
    <row r="4148">
      <c r="G4148" s="9"/>
    </row>
    <row r="4149">
      <c r="G4149" s="9"/>
    </row>
    <row r="4150">
      <c r="G4150" s="9"/>
    </row>
    <row r="4151">
      <c r="G4151" s="9"/>
    </row>
    <row r="4152">
      <c r="G4152" s="9"/>
    </row>
    <row r="4153">
      <c r="G4153" s="9"/>
    </row>
    <row r="4154">
      <c r="G4154" s="9"/>
    </row>
    <row r="4155">
      <c r="G4155" s="9"/>
    </row>
    <row r="4156">
      <c r="G4156" s="9"/>
    </row>
    <row r="4157">
      <c r="G4157" s="9"/>
    </row>
    <row r="4158">
      <c r="G4158" s="9"/>
    </row>
    <row r="4159">
      <c r="G4159" s="9"/>
    </row>
    <row r="4160">
      <c r="G4160" s="9"/>
    </row>
    <row r="4161">
      <c r="G4161" s="9"/>
    </row>
    <row r="4162">
      <c r="G4162" s="9"/>
    </row>
    <row r="4163">
      <c r="G4163" s="9"/>
    </row>
    <row r="4164">
      <c r="G4164" s="9"/>
    </row>
    <row r="4165">
      <c r="G4165" s="9"/>
      <c r="K4165" t="str">
        <f>IFERROR(__xludf.DUMMYFUNCTION("""COMPUTED_VALUE""")," ")</f>
        <v> </v>
      </c>
    </row>
    <row r="4166">
      <c r="G4166" s="9"/>
      <c r="K4166" t="str">
        <f>IFERROR(__xludf.DUMMYFUNCTION("""COMPUTED_VALUE""")," ")</f>
        <v> </v>
      </c>
    </row>
    <row r="4167">
      <c r="G4167" s="9"/>
      <c r="K4167" t="str">
        <f>IFERROR(__xludf.DUMMYFUNCTION("""COMPUTED_VALUE""")," ")</f>
        <v> </v>
      </c>
    </row>
    <row r="4168">
      <c r="G4168" s="9"/>
      <c r="K4168" t="str">
        <f>IFERROR(__xludf.DUMMYFUNCTION("""COMPUTED_VALUE""")," ")</f>
        <v> </v>
      </c>
    </row>
    <row r="4169">
      <c r="G4169" s="9"/>
      <c r="K4169" t="str">
        <f>IFERROR(__xludf.DUMMYFUNCTION("""COMPUTED_VALUE""")," ")</f>
        <v> </v>
      </c>
    </row>
    <row r="4170">
      <c r="G4170" s="9"/>
      <c r="K4170" t="str">
        <f>IFERROR(__xludf.DUMMYFUNCTION("""COMPUTED_VALUE""")," ")</f>
        <v> </v>
      </c>
    </row>
    <row r="4171">
      <c r="G4171" s="9"/>
      <c r="K4171" t="str">
        <f>IFERROR(__xludf.DUMMYFUNCTION("""COMPUTED_VALUE""")," ")</f>
        <v> </v>
      </c>
    </row>
    <row r="4172">
      <c r="G4172" s="9"/>
      <c r="K4172" t="str">
        <f>IFERROR(__xludf.DUMMYFUNCTION("""COMPUTED_VALUE""")," ")</f>
        <v> </v>
      </c>
    </row>
    <row r="4173">
      <c r="G4173" s="9"/>
      <c r="K4173" t="str">
        <f>IFERROR(__xludf.DUMMYFUNCTION("""COMPUTED_VALUE""")," ")</f>
        <v> </v>
      </c>
    </row>
    <row r="4174">
      <c r="G4174" s="9"/>
      <c r="K4174" t="str">
        <f>IFERROR(__xludf.DUMMYFUNCTION("""COMPUTED_VALUE""")," ")</f>
        <v> </v>
      </c>
    </row>
    <row r="4175">
      <c r="G4175" s="9"/>
      <c r="K4175" t="str">
        <f>IFERROR(__xludf.DUMMYFUNCTION("""COMPUTED_VALUE""")," ")</f>
        <v> </v>
      </c>
    </row>
    <row r="4176">
      <c r="G4176" s="9"/>
      <c r="K4176" t="str">
        <f>IFERROR(__xludf.DUMMYFUNCTION("""COMPUTED_VALUE""")," ")</f>
        <v> </v>
      </c>
    </row>
    <row r="4177">
      <c r="G4177" s="9"/>
      <c r="K4177" t="str">
        <f>IFERROR(__xludf.DUMMYFUNCTION("""COMPUTED_VALUE""")," ")</f>
        <v> </v>
      </c>
    </row>
    <row r="4178">
      <c r="G4178" s="9"/>
      <c r="K4178" t="str">
        <f>IFERROR(__xludf.DUMMYFUNCTION("""COMPUTED_VALUE""")," ")</f>
        <v> </v>
      </c>
    </row>
    <row r="4179">
      <c r="G4179" s="9"/>
      <c r="K4179" t="str">
        <f>IFERROR(__xludf.DUMMYFUNCTION("""COMPUTED_VALUE""")," ")</f>
        <v> </v>
      </c>
    </row>
    <row r="4180">
      <c r="G4180" s="9"/>
      <c r="K4180" t="str">
        <f>IFERROR(__xludf.DUMMYFUNCTION("""COMPUTED_VALUE""")," ")</f>
        <v> </v>
      </c>
    </row>
    <row r="4181">
      <c r="G4181" s="9"/>
      <c r="K4181" t="str">
        <f>IFERROR(__xludf.DUMMYFUNCTION("""COMPUTED_VALUE""")," ")</f>
        <v> </v>
      </c>
    </row>
    <row r="4182">
      <c r="G4182" s="9"/>
      <c r="K4182" t="str">
        <f>IFERROR(__xludf.DUMMYFUNCTION("""COMPUTED_VALUE""")," ")</f>
        <v> </v>
      </c>
    </row>
    <row r="4183">
      <c r="G4183" s="9"/>
      <c r="K4183" t="str">
        <f>IFERROR(__xludf.DUMMYFUNCTION("""COMPUTED_VALUE""")," ")</f>
        <v> </v>
      </c>
    </row>
    <row r="4184">
      <c r="G4184" s="9"/>
      <c r="K4184" t="str">
        <f>IFERROR(__xludf.DUMMYFUNCTION("""COMPUTED_VALUE""")," ")</f>
        <v> </v>
      </c>
    </row>
    <row r="4185">
      <c r="G4185" s="9"/>
      <c r="K4185" t="str">
        <f>IFERROR(__xludf.DUMMYFUNCTION("""COMPUTED_VALUE""")," ")</f>
        <v> </v>
      </c>
    </row>
    <row r="4186">
      <c r="G4186" s="9"/>
      <c r="K4186" t="str">
        <f>IFERROR(__xludf.DUMMYFUNCTION("""COMPUTED_VALUE""")," ")</f>
        <v> </v>
      </c>
    </row>
    <row r="4187">
      <c r="G4187" s="9"/>
      <c r="K4187" t="str">
        <f>IFERROR(__xludf.DUMMYFUNCTION("""COMPUTED_VALUE""")," ")</f>
        <v> </v>
      </c>
    </row>
    <row r="4188">
      <c r="G4188" s="9"/>
      <c r="K4188" t="str">
        <f>IFERROR(__xludf.DUMMYFUNCTION("""COMPUTED_VALUE""")," ")</f>
        <v> </v>
      </c>
    </row>
    <row r="4189">
      <c r="G4189" s="9"/>
      <c r="K4189" t="str">
        <f>IFERROR(__xludf.DUMMYFUNCTION("""COMPUTED_VALUE""")," ")</f>
        <v> </v>
      </c>
    </row>
    <row r="4190">
      <c r="G4190" s="9"/>
      <c r="K4190" t="str">
        <f>IFERROR(__xludf.DUMMYFUNCTION("""COMPUTED_VALUE""")," ")</f>
        <v> </v>
      </c>
    </row>
    <row r="4191">
      <c r="G4191" s="9"/>
      <c r="K4191" t="str">
        <f>IFERROR(__xludf.DUMMYFUNCTION("""COMPUTED_VALUE""")," ")</f>
        <v> </v>
      </c>
    </row>
    <row r="4192">
      <c r="G4192" s="9"/>
      <c r="K4192" t="str">
        <f>IFERROR(__xludf.DUMMYFUNCTION("""COMPUTED_VALUE""")," ")</f>
        <v> </v>
      </c>
    </row>
    <row r="4193">
      <c r="G4193" s="9"/>
      <c r="K4193" t="str">
        <f>IFERROR(__xludf.DUMMYFUNCTION("""COMPUTED_VALUE""")," ")</f>
        <v> </v>
      </c>
    </row>
    <row r="4194">
      <c r="G4194" s="9"/>
      <c r="K4194" t="str">
        <f>IFERROR(__xludf.DUMMYFUNCTION("""COMPUTED_VALUE""")," ")</f>
        <v> </v>
      </c>
    </row>
    <row r="4195">
      <c r="G4195" s="9"/>
      <c r="K4195" t="str">
        <f>IFERROR(__xludf.DUMMYFUNCTION("""COMPUTED_VALUE""")," ")</f>
        <v> </v>
      </c>
    </row>
    <row r="4196">
      <c r="G4196" s="9"/>
      <c r="K4196" t="str">
        <f>IFERROR(__xludf.DUMMYFUNCTION("""COMPUTED_VALUE""")," ")</f>
        <v> </v>
      </c>
    </row>
    <row r="4197">
      <c r="G4197" s="9"/>
      <c r="K4197" t="str">
        <f>IFERROR(__xludf.DUMMYFUNCTION("""COMPUTED_VALUE""")," ")</f>
        <v> </v>
      </c>
    </row>
    <row r="4198">
      <c r="G4198" s="9"/>
      <c r="K4198" t="str">
        <f>IFERROR(__xludf.DUMMYFUNCTION("""COMPUTED_VALUE""")," ")</f>
        <v> </v>
      </c>
    </row>
    <row r="4199">
      <c r="G4199" s="9"/>
      <c r="K4199" t="str">
        <f>IFERROR(__xludf.DUMMYFUNCTION("""COMPUTED_VALUE""")," ")</f>
        <v> </v>
      </c>
    </row>
    <row r="4200">
      <c r="G4200" s="9"/>
      <c r="K4200" t="str">
        <f>IFERROR(__xludf.DUMMYFUNCTION("""COMPUTED_VALUE""")," ")</f>
        <v> </v>
      </c>
    </row>
    <row r="4201">
      <c r="G4201" s="9"/>
      <c r="K4201" t="str">
        <f>IFERROR(__xludf.DUMMYFUNCTION("""COMPUTED_VALUE""")," ")</f>
        <v> </v>
      </c>
    </row>
    <row r="4202">
      <c r="G4202" s="9"/>
      <c r="K4202" t="str">
        <f>IFERROR(__xludf.DUMMYFUNCTION("""COMPUTED_VALUE""")," ")</f>
        <v> </v>
      </c>
    </row>
    <row r="4203">
      <c r="G4203" s="9"/>
      <c r="K4203" t="str">
        <f>IFERROR(__xludf.DUMMYFUNCTION("""COMPUTED_VALUE""")," ")</f>
        <v> </v>
      </c>
    </row>
    <row r="4204">
      <c r="G4204" s="9"/>
      <c r="K4204" t="str">
        <f>IFERROR(__xludf.DUMMYFUNCTION("""COMPUTED_VALUE""")," ")</f>
        <v> </v>
      </c>
    </row>
    <row r="4205">
      <c r="G4205" s="9"/>
      <c r="K4205" t="str">
        <f>IFERROR(__xludf.DUMMYFUNCTION("""COMPUTED_VALUE""")," ")</f>
        <v> </v>
      </c>
    </row>
    <row r="4206">
      <c r="G4206" s="9"/>
      <c r="K4206" t="str">
        <f>IFERROR(__xludf.DUMMYFUNCTION("""COMPUTED_VALUE""")," ")</f>
        <v> </v>
      </c>
    </row>
    <row r="4207">
      <c r="G4207" s="9"/>
      <c r="K4207" t="str">
        <f>IFERROR(__xludf.DUMMYFUNCTION("""COMPUTED_VALUE""")," ")</f>
        <v> </v>
      </c>
    </row>
    <row r="4208">
      <c r="G4208" s="9"/>
      <c r="K4208" t="str">
        <f>IFERROR(__xludf.DUMMYFUNCTION("""COMPUTED_VALUE""")," ")</f>
        <v> </v>
      </c>
    </row>
    <row r="4209">
      <c r="G4209" s="9"/>
      <c r="K4209" t="str">
        <f>IFERROR(__xludf.DUMMYFUNCTION("""COMPUTED_VALUE""")," ")</f>
        <v> </v>
      </c>
    </row>
    <row r="4210">
      <c r="G4210" s="9"/>
      <c r="K4210" t="str">
        <f>IFERROR(__xludf.DUMMYFUNCTION("""COMPUTED_VALUE""")," ")</f>
        <v> </v>
      </c>
    </row>
    <row r="4211">
      <c r="G4211" s="9"/>
      <c r="K4211" t="str">
        <f>IFERROR(__xludf.DUMMYFUNCTION("""COMPUTED_VALUE""")," ")</f>
        <v> </v>
      </c>
    </row>
    <row r="4212">
      <c r="G4212" s="9"/>
      <c r="K4212" t="str">
        <f>IFERROR(__xludf.DUMMYFUNCTION("""COMPUTED_VALUE""")," ")</f>
        <v> </v>
      </c>
    </row>
    <row r="4213">
      <c r="G4213" s="9"/>
      <c r="K4213" t="str">
        <f>IFERROR(__xludf.DUMMYFUNCTION("""COMPUTED_VALUE""")," ")</f>
        <v> </v>
      </c>
    </row>
    <row r="4214">
      <c r="G4214" s="9"/>
      <c r="K4214" t="str">
        <f>IFERROR(__xludf.DUMMYFUNCTION("""COMPUTED_VALUE""")," ")</f>
        <v> </v>
      </c>
    </row>
    <row r="4215">
      <c r="G4215" s="9"/>
      <c r="K4215" t="str">
        <f>IFERROR(__xludf.DUMMYFUNCTION("""COMPUTED_VALUE""")," ")</f>
        <v> </v>
      </c>
    </row>
    <row r="4216">
      <c r="G4216" s="9"/>
      <c r="K4216" t="str">
        <f>IFERROR(__xludf.DUMMYFUNCTION("""COMPUTED_VALUE""")," ")</f>
        <v> </v>
      </c>
    </row>
    <row r="4217">
      <c r="G4217" s="9"/>
      <c r="K4217" t="str">
        <f>IFERROR(__xludf.DUMMYFUNCTION("""COMPUTED_VALUE""")," ")</f>
        <v> </v>
      </c>
    </row>
    <row r="4218">
      <c r="G4218" s="9"/>
      <c r="K4218" t="str">
        <f>IFERROR(__xludf.DUMMYFUNCTION("""COMPUTED_VALUE""")," ")</f>
        <v> </v>
      </c>
    </row>
    <row r="4219">
      <c r="G4219" s="9"/>
      <c r="K4219" t="str">
        <f>IFERROR(__xludf.DUMMYFUNCTION("""COMPUTED_VALUE""")," ")</f>
        <v> </v>
      </c>
    </row>
    <row r="4220">
      <c r="G4220" s="9"/>
      <c r="K4220" t="str">
        <f>IFERROR(__xludf.DUMMYFUNCTION("""COMPUTED_VALUE""")," ")</f>
        <v> </v>
      </c>
    </row>
    <row r="4221">
      <c r="G4221" s="9"/>
      <c r="K4221" t="str">
        <f>IFERROR(__xludf.DUMMYFUNCTION("""COMPUTED_VALUE""")," ")</f>
        <v> </v>
      </c>
    </row>
    <row r="4222">
      <c r="G4222" s="9"/>
      <c r="K4222" t="str">
        <f>IFERROR(__xludf.DUMMYFUNCTION("""COMPUTED_VALUE""")," ")</f>
        <v> </v>
      </c>
    </row>
    <row r="4223">
      <c r="G4223" s="9"/>
      <c r="K4223" t="str">
        <f>IFERROR(__xludf.DUMMYFUNCTION("""COMPUTED_VALUE""")," ")</f>
        <v> </v>
      </c>
    </row>
    <row r="4224">
      <c r="G4224" s="9"/>
      <c r="K4224" t="str">
        <f>IFERROR(__xludf.DUMMYFUNCTION("""COMPUTED_VALUE""")," ")</f>
        <v> </v>
      </c>
    </row>
    <row r="4225">
      <c r="G4225" s="9"/>
      <c r="K4225" t="str">
        <f>IFERROR(__xludf.DUMMYFUNCTION("""COMPUTED_VALUE""")," ")</f>
        <v> </v>
      </c>
    </row>
    <row r="4226">
      <c r="G4226" s="9"/>
      <c r="K4226" t="str">
        <f>IFERROR(__xludf.DUMMYFUNCTION("""COMPUTED_VALUE""")," ")</f>
        <v> </v>
      </c>
    </row>
    <row r="4227">
      <c r="G4227" s="9"/>
      <c r="K4227" t="str">
        <f>IFERROR(__xludf.DUMMYFUNCTION("""COMPUTED_VALUE""")," ")</f>
        <v> </v>
      </c>
    </row>
    <row r="4228">
      <c r="G4228" s="9"/>
      <c r="K4228" t="str">
        <f>IFERROR(__xludf.DUMMYFUNCTION("""COMPUTED_VALUE""")," ")</f>
        <v> </v>
      </c>
    </row>
    <row r="4229">
      <c r="G4229" s="9"/>
      <c r="K4229" t="str">
        <f>IFERROR(__xludf.DUMMYFUNCTION("""COMPUTED_VALUE""")," ")</f>
        <v> </v>
      </c>
    </row>
    <row r="4230">
      <c r="G4230" s="9"/>
      <c r="K4230" t="str">
        <f>IFERROR(__xludf.DUMMYFUNCTION("""COMPUTED_VALUE""")," ")</f>
        <v> </v>
      </c>
    </row>
    <row r="4231">
      <c r="G4231" s="9"/>
      <c r="K4231" t="str">
        <f>IFERROR(__xludf.DUMMYFUNCTION("""COMPUTED_VALUE""")," ")</f>
        <v> </v>
      </c>
    </row>
    <row r="4232">
      <c r="G4232" s="9"/>
      <c r="K4232" t="str">
        <f>IFERROR(__xludf.DUMMYFUNCTION("""COMPUTED_VALUE""")," ")</f>
        <v> </v>
      </c>
    </row>
    <row r="4233">
      <c r="G4233" s="9"/>
      <c r="K4233" t="str">
        <f>IFERROR(__xludf.DUMMYFUNCTION("""COMPUTED_VALUE""")," ")</f>
        <v> </v>
      </c>
    </row>
    <row r="4234">
      <c r="G4234" s="9"/>
      <c r="K4234" t="str">
        <f>IFERROR(__xludf.DUMMYFUNCTION("""COMPUTED_VALUE""")," ")</f>
        <v> </v>
      </c>
    </row>
    <row r="4235">
      <c r="G4235" s="9"/>
      <c r="K4235" t="str">
        <f>IFERROR(__xludf.DUMMYFUNCTION("""COMPUTED_VALUE""")," ")</f>
        <v> </v>
      </c>
    </row>
    <row r="4236">
      <c r="G4236" s="9"/>
      <c r="K4236" t="str">
        <f>IFERROR(__xludf.DUMMYFUNCTION("""COMPUTED_VALUE""")," ")</f>
        <v> </v>
      </c>
    </row>
    <row r="4237">
      <c r="G4237" s="9"/>
      <c r="K4237" t="str">
        <f>IFERROR(__xludf.DUMMYFUNCTION("""COMPUTED_VALUE""")," ")</f>
        <v> </v>
      </c>
    </row>
    <row r="4238">
      <c r="G4238" s="9"/>
      <c r="K4238" t="str">
        <f>IFERROR(__xludf.DUMMYFUNCTION("""COMPUTED_VALUE""")," ")</f>
        <v> </v>
      </c>
    </row>
    <row r="4239">
      <c r="G4239" s="9"/>
      <c r="K4239" t="str">
        <f>IFERROR(__xludf.DUMMYFUNCTION("""COMPUTED_VALUE""")," ")</f>
        <v> </v>
      </c>
    </row>
    <row r="4240">
      <c r="G4240" s="9"/>
      <c r="K4240" t="str">
        <f>IFERROR(__xludf.DUMMYFUNCTION("""COMPUTED_VALUE""")," ")</f>
        <v> </v>
      </c>
    </row>
    <row r="4241">
      <c r="G4241" s="9"/>
      <c r="K4241" t="str">
        <f>IFERROR(__xludf.DUMMYFUNCTION("""COMPUTED_VALUE""")," ")</f>
        <v> </v>
      </c>
    </row>
    <row r="4242">
      <c r="G4242" s="9"/>
      <c r="K4242" t="str">
        <f>IFERROR(__xludf.DUMMYFUNCTION("""COMPUTED_VALUE""")," ")</f>
        <v> </v>
      </c>
    </row>
    <row r="4243">
      <c r="G4243" s="9"/>
      <c r="K4243" t="str">
        <f>IFERROR(__xludf.DUMMYFUNCTION("""COMPUTED_VALUE""")," ")</f>
        <v> </v>
      </c>
    </row>
    <row r="4244">
      <c r="G4244" s="9"/>
      <c r="K4244" t="str">
        <f>IFERROR(__xludf.DUMMYFUNCTION("""COMPUTED_VALUE""")," ")</f>
        <v> </v>
      </c>
    </row>
    <row r="4245">
      <c r="G4245" s="9"/>
      <c r="K4245" t="str">
        <f>IFERROR(__xludf.DUMMYFUNCTION("""COMPUTED_VALUE""")," ")</f>
        <v> </v>
      </c>
    </row>
    <row r="4246">
      <c r="G4246" s="9"/>
      <c r="K4246" t="str">
        <f>IFERROR(__xludf.DUMMYFUNCTION("""COMPUTED_VALUE""")," ")</f>
        <v> </v>
      </c>
    </row>
    <row r="4247">
      <c r="G4247" s="9"/>
      <c r="K4247" t="str">
        <f>IFERROR(__xludf.DUMMYFUNCTION("""COMPUTED_VALUE""")," ")</f>
        <v> </v>
      </c>
    </row>
    <row r="4248">
      <c r="G4248" s="9"/>
    </row>
    <row r="4249">
      <c r="G4249" s="9"/>
    </row>
    <row r="4250">
      <c r="G4250" s="9"/>
    </row>
    <row r="4251">
      <c r="G4251" s="9"/>
    </row>
    <row r="4252">
      <c r="G4252" s="9"/>
    </row>
    <row r="4253">
      <c r="G4253" s="9"/>
    </row>
    <row r="4254">
      <c r="G4254" s="9"/>
    </row>
    <row r="4255">
      <c r="G4255" s="9"/>
    </row>
    <row r="4256">
      <c r="G4256" s="9"/>
    </row>
    <row r="4257">
      <c r="G4257" s="9"/>
    </row>
    <row r="4258">
      <c r="G4258" s="9"/>
    </row>
    <row r="4259">
      <c r="G4259" s="9"/>
    </row>
    <row r="4260">
      <c r="G4260" s="9"/>
    </row>
    <row r="4261">
      <c r="G4261" s="9"/>
    </row>
    <row r="4262">
      <c r="G4262" s="9"/>
    </row>
    <row r="4263">
      <c r="G4263" s="9"/>
    </row>
    <row r="4264">
      <c r="G4264" s="9"/>
    </row>
    <row r="4265">
      <c r="G4265" s="9"/>
    </row>
    <row r="4266">
      <c r="G4266" s="9"/>
    </row>
    <row r="4267">
      <c r="G4267" s="9"/>
    </row>
    <row r="4268">
      <c r="G4268" s="9"/>
    </row>
    <row r="4269">
      <c r="G4269" s="9"/>
    </row>
    <row r="4270">
      <c r="G4270" s="9"/>
    </row>
    <row r="4271">
      <c r="G4271" s="9"/>
    </row>
    <row r="4272">
      <c r="G4272" s="9"/>
    </row>
    <row r="4273">
      <c r="G4273" s="9"/>
    </row>
    <row r="4274">
      <c r="G4274" s="9"/>
    </row>
    <row r="4275">
      <c r="G4275" s="9"/>
    </row>
    <row r="4276">
      <c r="G4276" s="9"/>
    </row>
    <row r="4277">
      <c r="G4277" s="9"/>
    </row>
    <row r="4278">
      <c r="G4278" s="9"/>
    </row>
    <row r="4279">
      <c r="G4279" s="9"/>
    </row>
    <row r="4280">
      <c r="G4280" s="9"/>
    </row>
    <row r="4281">
      <c r="G4281" s="9"/>
    </row>
    <row r="4282">
      <c r="G4282" s="9"/>
    </row>
    <row r="4283">
      <c r="G4283" s="9"/>
    </row>
    <row r="4284">
      <c r="G4284" s="9"/>
    </row>
    <row r="4285">
      <c r="G4285" s="9"/>
    </row>
    <row r="4286">
      <c r="G4286" s="9"/>
    </row>
    <row r="4287">
      <c r="G4287" s="9"/>
    </row>
    <row r="4288">
      <c r="G4288" s="9"/>
    </row>
    <row r="4289">
      <c r="G4289" s="9"/>
    </row>
    <row r="4290">
      <c r="G4290" s="9"/>
    </row>
    <row r="4291">
      <c r="G4291" s="9"/>
    </row>
    <row r="4292">
      <c r="G4292" s="9"/>
    </row>
    <row r="4293">
      <c r="G4293" s="9"/>
    </row>
    <row r="4294">
      <c r="G4294" s="9"/>
    </row>
    <row r="4295">
      <c r="G4295" s="9"/>
    </row>
    <row r="4296">
      <c r="G4296" s="9"/>
    </row>
    <row r="4297">
      <c r="G4297" s="9"/>
    </row>
    <row r="4298">
      <c r="G4298" s="9"/>
    </row>
    <row r="4299">
      <c r="G4299" s="9"/>
    </row>
    <row r="4300">
      <c r="G4300" s="9"/>
    </row>
    <row r="4301">
      <c r="G4301" s="9"/>
    </row>
    <row r="4302">
      <c r="G4302" s="9"/>
    </row>
    <row r="4303">
      <c r="G4303" s="9"/>
    </row>
    <row r="4304">
      <c r="G4304" s="9"/>
    </row>
    <row r="4305">
      <c r="G4305" s="9"/>
    </row>
    <row r="4306">
      <c r="G4306" s="9"/>
    </row>
    <row r="4307">
      <c r="G4307" s="9"/>
    </row>
    <row r="4308">
      <c r="G4308" s="9"/>
    </row>
    <row r="4309">
      <c r="G4309" s="9"/>
    </row>
    <row r="4310">
      <c r="G4310" s="9"/>
    </row>
    <row r="4311">
      <c r="G4311" s="9"/>
    </row>
    <row r="4312">
      <c r="G4312" s="9"/>
    </row>
    <row r="4313">
      <c r="G4313" s="9"/>
    </row>
    <row r="4314">
      <c r="G4314" s="9"/>
    </row>
    <row r="4315">
      <c r="G4315" s="9"/>
    </row>
    <row r="4316">
      <c r="G4316" s="9"/>
    </row>
    <row r="4317">
      <c r="G4317" s="9"/>
    </row>
    <row r="4318">
      <c r="G4318" s="9"/>
    </row>
    <row r="4319">
      <c r="G4319" s="9"/>
    </row>
    <row r="4320">
      <c r="G4320" s="9"/>
    </row>
    <row r="4321">
      <c r="G4321" s="9"/>
    </row>
    <row r="4322">
      <c r="G4322" s="9"/>
    </row>
    <row r="4323">
      <c r="G4323" s="9"/>
    </row>
    <row r="4324">
      <c r="G4324" s="9"/>
    </row>
    <row r="4325">
      <c r="G4325" s="9"/>
    </row>
    <row r="4326">
      <c r="G4326" s="9"/>
    </row>
    <row r="4327">
      <c r="G4327" s="9"/>
    </row>
    <row r="4328">
      <c r="G4328" s="9"/>
    </row>
    <row r="4329">
      <c r="G4329" s="9"/>
    </row>
    <row r="4330">
      <c r="G4330" s="9"/>
    </row>
    <row r="4331">
      <c r="G4331" s="9"/>
    </row>
    <row r="4332">
      <c r="G4332" s="9"/>
    </row>
    <row r="4333">
      <c r="G4333" s="9"/>
    </row>
    <row r="4334">
      <c r="G4334" s="9"/>
    </row>
    <row r="4335">
      <c r="G4335" s="9"/>
    </row>
    <row r="4336">
      <c r="G4336" s="9"/>
    </row>
    <row r="4337">
      <c r="G4337" s="9"/>
    </row>
    <row r="4338">
      <c r="G4338" s="9"/>
    </row>
    <row r="4339">
      <c r="G4339" s="9"/>
    </row>
    <row r="4340">
      <c r="G4340" s="9"/>
    </row>
    <row r="4341">
      <c r="G4341" s="9"/>
    </row>
    <row r="4342">
      <c r="G4342" s="9"/>
    </row>
    <row r="4343">
      <c r="G4343" s="9"/>
    </row>
    <row r="4344">
      <c r="G4344" s="9"/>
    </row>
    <row r="4345">
      <c r="G4345" s="9"/>
    </row>
    <row r="4346">
      <c r="G4346" s="9"/>
    </row>
    <row r="4347">
      <c r="G4347" s="9"/>
    </row>
    <row r="4348">
      <c r="G4348" s="9"/>
    </row>
    <row r="4349">
      <c r="G4349" s="9"/>
    </row>
    <row r="4350">
      <c r="G4350" s="9"/>
    </row>
    <row r="4351">
      <c r="G4351" s="9"/>
    </row>
    <row r="4352">
      <c r="G4352" s="9"/>
    </row>
    <row r="4353">
      <c r="G4353" s="9"/>
    </row>
    <row r="4354">
      <c r="G4354" s="9"/>
    </row>
    <row r="4355">
      <c r="G4355" s="9"/>
    </row>
    <row r="4356">
      <c r="G4356" s="9"/>
    </row>
    <row r="4357">
      <c r="G4357" s="9"/>
    </row>
    <row r="4358">
      <c r="G4358" s="9"/>
    </row>
    <row r="4359">
      <c r="G4359" s="9"/>
    </row>
    <row r="4360">
      <c r="G4360" s="9"/>
    </row>
    <row r="4361">
      <c r="G4361" s="9"/>
    </row>
    <row r="4362">
      <c r="G4362" s="9"/>
    </row>
    <row r="4363">
      <c r="G4363" s="9"/>
    </row>
    <row r="4364">
      <c r="G4364" s="9"/>
    </row>
    <row r="4365">
      <c r="G4365" s="9"/>
    </row>
    <row r="4366">
      <c r="G4366" s="9"/>
    </row>
    <row r="4367">
      <c r="G4367" s="9"/>
    </row>
    <row r="4368">
      <c r="G4368" s="9"/>
    </row>
    <row r="4369">
      <c r="G4369" s="9"/>
    </row>
    <row r="4370">
      <c r="G4370" s="9"/>
    </row>
    <row r="4371">
      <c r="G4371" s="9"/>
    </row>
    <row r="4372">
      <c r="G4372" s="9"/>
    </row>
    <row r="4373">
      <c r="G4373" s="9"/>
    </row>
    <row r="4374">
      <c r="G4374" s="9"/>
    </row>
    <row r="4375">
      <c r="G4375" s="9"/>
    </row>
    <row r="4376">
      <c r="G4376" s="9"/>
    </row>
    <row r="4377">
      <c r="G4377" s="9"/>
    </row>
    <row r="4378">
      <c r="G4378" s="9"/>
    </row>
    <row r="4379">
      <c r="G4379" s="9"/>
    </row>
    <row r="4380">
      <c r="G4380" s="9"/>
    </row>
    <row r="4381">
      <c r="G4381" s="9"/>
    </row>
    <row r="4382">
      <c r="G4382" s="9"/>
    </row>
    <row r="4383">
      <c r="G4383" s="9"/>
    </row>
    <row r="4384">
      <c r="G4384" s="9"/>
    </row>
    <row r="4385">
      <c r="G4385" s="9"/>
    </row>
    <row r="4386">
      <c r="G4386" s="9"/>
    </row>
    <row r="4387">
      <c r="G4387" s="9"/>
    </row>
    <row r="4388">
      <c r="G4388" s="9"/>
    </row>
    <row r="4389">
      <c r="G4389" s="9"/>
    </row>
    <row r="4390">
      <c r="G4390" s="9"/>
    </row>
    <row r="4391">
      <c r="G4391" s="9"/>
    </row>
    <row r="4392">
      <c r="G4392" s="9"/>
    </row>
    <row r="4393">
      <c r="G4393" s="9"/>
    </row>
    <row r="4394">
      <c r="G4394" s="9"/>
    </row>
    <row r="4395">
      <c r="G4395" s="9"/>
    </row>
    <row r="4396">
      <c r="G4396" s="9"/>
    </row>
    <row r="4397">
      <c r="G4397" s="9"/>
    </row>
    <row r="4398">
      <c r="G4398" s="9"/>
    </row>
    <row r="4399">
      <c r="G4399" s="9"/>
    </row>
    <row r="4400">
      <c r="G4400" s="9"/>
    </row>
    <row r="4401">
      <c r="G4401" s="9"/>
    </row>
    <row r="4402">
      <c r="G4402" s="9"/>
    </row>
    <row r="4403">
      <c r="G4403" s="9"/>
    </row>
    <row r="4404">
      <c r="G4404" s="9"/>
    </row>
    <row r="4405">
      <c r="G4405" s="9"/>
    </row>
    <row r="4406">
      <c r="G4406" s="9"/>
    </row>
    <row r="4407">
      <c r="G4407" s="9"/>
    </row>
    <row r="4408">
      <c r="G4408" s="9"/>
    </row>
    <row r="4409">
      <c r="G4409" s="9"/>
    </row>
    <row r="4410">
      <c r="G4410" s="9"/>
    </row>
    <row r="4411">
      <c r="G4411" s="9"/>
    </row>
    <row r="4412">
      <c r="G4412" s="9"/>
    </row>
    <row r="4413">
      <c r="G4413" s="9"/>
    </row>
    <row r="4414">
      <c r="G4414" s="9"/>
    </row>
    <row r="4415">
      <c r="G4415" s="9"/>
    </row>
    <row r="4416">
      <c r="G4416" s="9"/>
    </row>
    <row r="4417">
      <c r="G4417" s="9"/>
    </row>
    <row r="4418">
      <c r="G4418" s="9"/>
    </row>
    <row r="4419">
      <c r="G4419" s="9"/>
    </row>
    <row r="4420">
      <c r="G4420" s="9"/>
    </row>
    <row r="4421">
      <c r="G4421" s="9"/>
    </row>
    <row r="4422">
      <c r="G4422" s="9"/>
    </row>
    <row r="4423">
      <c r="G4423" s="9"/>
    </row>
    <row r="4424">
      <c r="G4424" s="9"/>
    </row>
    <row r="4425">
      <c r="G4425" s="9"/>
    </row>
    <row r="4426">
      <c r="G4426" s="9"/>
    </row>
    <row r="4427">
      <c r="G4427" s="9"/>
    </row>
    <row r="4428">
      <c r="G4428" s="9"/>
    </row>
    <row r="4429">
      <c r="G4429" s="9"/>
    </row>
    <row r="4430">
      <c r="G4430" s="9"/>
    </row>
    <row r="4431">
      <c r="G4431" s="9"/>
    </row>
    <row r="4432">
      <c r="G4432" s="9"/>
    </row>
    <row r="4433">
      <c r="G4433" s="9"/>
    </row>
    <row r="4434">
      <c r="G4434" s="9"/>
    </row>
    <row r="4435">
      <c r="G4435" s="9"/>
    </row>
    <row r="4436">
      <c r="G4436" s="9"/>
    </row>
    <row r="4437">
      <c r="G4437" s="9"/>
    </row>
    <row r="4438">
      <c r="G4438" s="9"/>
    </row>
    <row r="4439">
      <c r="G4439" s="9"/>
    </row>
    <row r="4440">
      <c r="G4440" s="9"/>
    </row>
    <row r="4441">
      <c r="G4441" s="9"/>
    </row>
    <row r="4442">
      <c r="G4442" s="9"/>
    </row>
    <row r="4443">
      <c r="G4443" s="9"/>
    </row>
    <row r="4444">
      <c r="G4444" s="9"/>
    </row>
    <row r="4445">
      <c r="G4445" s="9"/>
    </row>
    <row r="4446">
      <c r="G4446" s="9"/>
    </row>
    <row r="4447">
      <c r="G4447" s="9"/>
    </row>
    <row r="4448">
      <c r="G4448" s="9"/>
    </row>
    <row r="4449">
      <c r="G4449" s="9"/>
    </row>
    <row r="4450">
      <c r="G4450" s="9"/>
    </row>
    <row r="4451">
      <c r="G4451" s="9"/>
    </row>
    <row r="4452">
      <c r="G4452" s="9"/>
    </row>
    <row r="4453">
      <c r="G4453" s="9"/>
    </row>
    <row r="4454">
      <c r="G4454" s="9"/>
    </row>
    <row r="4455">
      <c r="G4455" s="9"/>
    </row>
    <row r="4456">
      <c r="G4456" s="9"/>
    </row>
    <row r="4457">
      <c r="G4457" s="9"/>
    </row>
    <row r="4458">
      <c r="G4458" s="9"/>
    </row>
    <row r="4459">
      <c r="G4459" s="9"/>
    </row>
    <row r="4460">
      <c r="G4460" s="9"/>
    </row>
    <row r="4461">
      <c r="G4461" s="9"/>
    </row>
    <row r="4462">
      <c r="G4462" s="9"/>
    </row>
    <row r="4463">
      <c r="G4463" s="9"/>
    </row>
    <row r="4464">
      <c r="G4464" s="9"/>
    </row>
    <row r="4465">
      <c r="G4465" s="9"/>
    </row>
    <row r="4466">
      <c r="G4466" s="9"/>
    </row>
    <row r="4467">
      <c r="G4467" s="9"/>
    </row>
    <row r="4468">
      <c r="G4468" s="9"/>
    </row>
    <row r="4469">
      <c r="G4469" s="9"/>
    </row>
    <row r="4470">
      <c r="G4470" s="9"/>
    </row>
    <row r="4471">
      <c r="G4471" s="9"/>
    </row>
    <row r="4472">
      <c r="G4472" s="9"/>
    </row>
    <row r="4473">
      <c r="G4473" s="9"/>
    </row>
    <row r="4474">
      <c r="G4474" s="9"/>
    </row>
    <row r="4475">
      <c r="G4475" s="9"/>
    </row>
    <row r="4476">
      <c r="G4476" s="9"/>
    </row>
    <row r="4477">
      <c r="G4477" s="9"/>
    </row>
    <row r="4478">
      <c r="G4478" s="9"/>
    </row>
    <row r="4479">
      <c r="G4479" s="9"/>
    </row>
    <row r="4480">
      <c r="G4480" s="9"/>
    </row>
    <row r="4481">
      <c r="G4481" s="9"/>
    </row>
    <row r="4482">
      <c r="G4482" s="9"/>
    </row>
    <row r="4483">
      <c r="G4483" s="9"/>
    </row>
    <row r="4484">
      <c r="G4484" s="9"/>
    </row>
    <row r="4485">
      <c r="G4485" s="9"/>
    </row>
    <row r="4486">
      <c r="G4486" s="9"/>
    </row>
    <row r="4487">
      <c r="G4487" s="9"/>
    </row>
    <row r="4488">
      <c r="G4488" s="9"/>
    </row>
    <row r="4489">
      <c r="G4489" s="9"/>
    </row>
    <row r="4490">
      <c r="G4490" s="9"/>
    </row>
    <row r="4491">
      <c r="G4491" s="9"/>
    </row>
    <row r="4492">
      <c r="G4492" s="9"/>
    </row>
    <row r="4493">
      <c r="G4493" s="9"/>
    </row>
    <row r="4494">
      <c r="G4494" s="9"/>
    </row>
    <row r="4495">
      <c r="G4495" s="9"/>
    </row>
    <row r="4496">
      <c r="G4496" s="9"/>
    </row>
    <row r="4497">
      <c r="G4497" s="9"/>
    </row>
    <row r="4498">
      <c r="G4498" s="9"/>
    </row>
    <row r="4499">
      <c r="G4499" s="9"/>
    </row>
    <row r="4500">
      <c r="G4500" s="9"/>
    </row>
    <row r="4501">
      <c r="G4501" s="9"/>
    </row>
    <row r="4502">
      <c r="G4502" s="9"/>
    </row>
    <row r="4503">
      <c r="G4503" s="9"/>
    </row>
    <row r="4504">
      <c r="G4504" s="9"/>
    </row>
    <row r="4505">
      <c r="G4505" s="9"/>
    </row>
    <row r="4506">
      <c r="G4506" s="9"/>
    </row>
    <row r="4507">
      <c r="G4507" s="9"/>
    </row>
    <row r="4508">
      <c r="G4508" s="9"/>
    </row>
    <row r="4509">
      <c r="G4509" s="9"/>
    </row>
    <row r="4510">
      <c r="G4510" s="9"/>
    </row>
    <row r="4511">
      <c r="G4511" s="9"/>
    </row>
    <row r="4512">
      <c r="G4512" s="9"/>
    </row>
    <row r="4513">
      <c r="G4513" s="9"/>
    </row>
    <row r="4514">
      <c r="G4514" s="9"/>
    </row>
    <row r="4515">
      <c r="G4515" s="9"/>
    </row>
    <row r="4516">
      <c r="G4516" s="9"/>
    </row>
    <row r="4517">
      <c r="G4517" s="9"/>
    </row>
    <row r="4518">
      <c r="G4518" s="9"/>
    </row>
    <row r="4519">
      <c r="G4519" s="9"/>
    </row>
    <row r="4520">
      <c r="G4520" s="9"/>
    </row>
    <row r="4521">
      <c r="G4521" s="9"/>
    </row>
    <row r="4522">
      <c r="G4522" s="9"/>
    </row>
    <row r="4523">
      <c r="G4523" s="9"/>
    </row>
    <row r="4524">
      <c r="G4524" s="9"/>
    </row>
    <row r="4525">
      <c r="G4525" s="9"/>
    </row>
    <row r="4526">
      <c r="G4526" s="9"/>
    </row>
    <row r="4527">
      <c r="G4527" s="9"/>
    </row>
    <row r="4528">
      <c r="G4528" s="9"/>
    </row>
    <row r="4529">
      <c r="G4529" s="9"/>
    </row>
    <row r="4530">
      <c r="G4530" s="9"/>
    </row>
    <row r="4531">
      <c r="G4531" s="9"/>
    </row>
    <row r="4532">
      <c r="G4532" s="9"/>
    </row>
    <row r="4533">
      <c r="G4533" s="9"/>
    </row>
    <row r="4534">
      <c r="G4534" s="9"/>
    </row>
    <row r="4535">
      <c r="G4535" s="9"/>
    </row>
    <row r="4536">
      <c r="G4536" s="9"/>
    </row>
    <row r="4537">
      <c r="G4537" s="9"/>
    </row>
    <row r="4538">
      <c r="G4538" s="9"/>
    </row>
    <row r="4539">
      <c r="G4539" s="9"/>
    </row>
    <row r="4540">
      <c r="G4540" s="9"/>
    </row>
    <row r="4541">
      <c r="G4541" s="9"/>
    </row>
    <row r="4542">
      <c r="G4542" s="9"/>
    </row>
    <row r="4543">
      <c r="G4543" s="9"/>
    </row>
    <row r="4544">
      <c r="G4544" s="9"/>
    </row>
    <row r="4545">
      <c r="G4545" s="9"/>
    </row>
    <row r="4546">
      <c r="G4546" s="9"/>
    </row>
    <row r="4547">
      <c r="G4547" s="9"/>
    </row>
    <row r="4548">
      <c r="G4548" s="9"/>
    </row>
    <row r="4549">
      <c r="G4549" s="9"/>
    </row>
    <row r="4550">
      <c r="G4550" s="9"/>
    </row>
    <row r="4551">
      <c r="G4551" s="9"/>
    </row>
    <row r="4552">
      <c r="G4552" s="9"/>
    </row>
    <row r="4553">
      <c r="G4553" s="9"/>
    </row>
    <row r="4554">
      <c r="G4554" s="9"/>
    </row>
    <row r="4555">
      <c r="G4555" s="9"/>
    </row>
    <row r="4556">
      <c r="G4556" s="9"/>
    </row>
    <row r="4557">
      <c r="G4557" s="9"/>
    </row>
    <row r="4558">
      <c r="G4558" s="9"/>
    </row>
    <row r="4559">
      <c r="G4559" s="9"/>
    </row>
    <row r="4560">
      <c r="G4560" s="9"/>
    </row>
    <row r="4561">
      <c r="G4561" s="9"/>
    </row>
    <row r="4562">
      <c r="G4562" s="9"/>
    </row>
    <row r="4563">
      <c r="G4563" s="9"/>
    </row>
    <row r="4564">
      <c r="G4564" s="9"/>
    </row>
    <row r="4565">
      <c r="G4565" s="9"/>
    </row>
    <row r="4566">
      <c r="G4566" s="9"/>
    </row>
    <row r="4567">
      <c r="G4567" s="9"/>
    </row>
    <row r="4568">
      <c r="G4568" s="9"/>
    </row>
    <row r="4569">
      <c r="G4569" s="9"/>
    </row>
    <row r="4570">
      <c r="G4570" s="9"/>
    </row>
    <row r="4571">
      <c r="G4571" s="9"/>
    </row>
    <row r="4572">
      <c r="G4572" s="9"/>
    </row>
    <row r="4573">
      <c r="G4573" s="9"/>
    </row>
    <row r="4574">
      <c r="G4574" s="9"/>
    </row>
    <row r="4575">
      <c r="G4575" s="9"/>
    </row>
    <row r="4576">
      <c r="G4576" s="9"/>
    </row>
    <row r="4577">
      <c r="G4577" s="9"/>
    </row>
    <row r="4578">
      <c r="G4578" s="9"/>
    </row>
    <row r="4579">
      <c r="G4579" s="9"/>
    </row>
    <row r="4580">
      <c r="G4580" s="9"/>
    </row>
    <row r="4581">
      <c r="G4581" s="9"/>
    </row>
    <row r="4582">
      <c r="G4582" s="9"/>
    </row>
    <row r="4583">
      <c r="G4583" s="9"/>
    </row>
    <row r="4584">
      <c r="G4584" s="9"/>
    </row>
    <row r="4585">
      <c r="G4585" s="9"/>
    </row>
    <row r="4586">
      <c r="G4586" s="9"/>
    </row>
    <row r="4587">
      <c r="G4587" s="9"/>
    </row>
    <row r="4588">
      <c r="G4588" s="9"/>
    </row>
    <row r="4589">
      <c r="G4589" s="9"/>
    </row>
    <row r="4590">
      <c r="G4590" s="9"/>
    </row>
    <row r="4591">
      <c r="G4591" s="9"/>
    </row>
    <row r="4592">
      <c r="G4592" s="9"/>
    </row>
    <row r="4593">
      <c r="G4593" s="9"/>
    </row>
    <row r="4594">
      <c r="G4594" s="9"/>
    </row>
    <row r="4595">
      <c r="G4595" s="9"/>
    </row>
    <row r="4596">
      <c r="G4596" s="9"/>
    </row>
    <row r="4597">
      <c r="G4597" s="9"/>
    </row>
    <row r="4598">
      <c r="G4598" s="9"/>
    </row>
    <row r="4599">
      <c r="G4599" s="9"/>
    </row>
    <row r="4600">
      <c r="G4600" s="9"/>
    </row>
    <row r="4601">
      <c r="G4601" s="9"/>
    </row>
    <row r="4602">
      <c r="G4602" s="9"/>
    </row>
    <row r="4603">
      <c r="G4603" s="9"/>
    </row>
    <row r="4604">
      <c r="G4604" s="9"/>
    </row>
    <row r="4605">
      <c r="G4605" s="9"/>
    </row>
    <row r="4606">
      <c r="G4606" s="9"/>
    </row>
    <row r="4607">
      <c r="G4607" s="9"/>
    </row>
    <row r="4608">
      <c r="G4608" s="9"/>
    </row>
    <row r="4609">
      <c r="G4609" s="9"/>
    </row>
    <row r="4610">
      <c r="G4610" s="9"/>
    </row>
    <row r="4611">
      <c r="G4611" s="9"/>
    </row>
    <row r="4612">
      <c r="G4612" s="9"/>
    </row>
    <row r="4613">
      <c r="G4613" s="9"/>
    </row>
    <row r="4614">
      <c r="G4614" s="9"/>
    </row>
    <row r="4615">
      <c r="G4615" s="9"/>
    </row>
    <row r="4616">
      <c r="G4616" s="9"/>
    </row>
    <row r="4617">
      <c r="G4617" s="9"/>
    </row>
    <row r="4618">
      <c r="G4618" s="9"/>
    </row>
    <row r="4619">
      <c r="G4619" s="9"/>
    </row>
    <row r="4620">
      <c r="G4620" s="9"/>
    </row>
    <row r="4621">
      <c r="G4621" s="9"/>
    </row>
    <row r="4622">
      <c r="G4622" s="9"/>
    </row>
    <row r="4623">
      <c r="G4623" s="9"/>
    </row>
    <row r="4624">
      <c r="G4624" s="9"/>
    </row>
    <row r="4625">
      <c r="G4625" s="9"/>
    </row>
    <row r="4626">
      <c r="G4626" s="9"/>
    </row>
    <row r="4627">
      <c r="G4627" s="9"/>
    </row>
    <row r="4628">
      <c r="G4628" s="9"/>
    </row>
    <row r="4629">
      <c r="G4629" s="9"/>
    </row>
    <row r="4630">
      <c r="G4630" s="9"/>
    </row>
    <row r="4631">
      <c r="G4631" s="9"/>
    </row>
    <row r="4632">
      <c r="G4632" s="9"/>
    </row>
    <row r="4633">
      <c r="G4633" s="9"/>
    </row>
    <row r="4634">
      <c r="G4634" s="9"/>
    </row>
    <row r="4635">
      <c r="G4635" s="9"/>
    </row>
    <row r="4636">
      <c r="G4636" s="9"/>
    </row>
    <row r="4637">
      <c r="G4637" s="9"/>
    </row>
    <row r="4638">
      <c r="G4638" s="9"/>
    </row>
    <row r="4639">
      <c r="G4639" s="9"/>
    </row>
    <row r="4640">
      <c r="G4640" s="9"/>
    </row>
    <row r="4641">
      <c r="G4641" s="9"/>
    </row>
    <row r="4642">
      <c r="G4642" s="9"/>
    </row>
    <row r="4643">
      <c r="G4643" s="9"/>
    </row>
    <row r="4644">
      <c r="G4644" s="9"/>
    </row>
    <row r="4645">
      <c r="G4645" s="9"/>
    </row>
    <row r="4646">
      <c r="G4646" s="9"/>
    </row>
    <row r="4647">
      <c r="G4647" s="9"/>
    </row>
    <row r="4648">
      <c r="G4648" s="9"/>
    </row>
    <row r="4649">
      <c r="G4649" s="9"/>
    </row>
    <row r="4650">
      <c r="G4650" s="9"/>
    </row>
    <row r="4651">
      <c r="G4651" s="9"/>
    </row>
    <row r="4652">
      <c r="G4652" s="9"/>
    </row>
    <row r="4653">
      <c r="G4653" s="9"/>
    </row>
    <row r="4654">
      <c r="G4654" s="9"/>
    </row>
    <row r="4655">
      <c r="G4655" s="9"/>
    </row>
    <row r="4656">
      <c r="G4656" s="9"/>
    </row>
    <row r="4657">
      <c r="G4657" s="9"/>
    </row>
    <row r="4658">
      <c r="G4658" s="9"/>
    </row>
    <row r="4659">
      <c r="G4659" s="9"/>
    </row>
    <row r="4660">
      <c r="G4660" s="9"/>
    </row>
    <row r="4661">
      <c r="G4661" s="9"/>
    </row>
    <row r="4662">
      <c r="G4662" s="9"/>
    </row>
    <row r="4663">
      <c r="G4663" s="9"/>
    </row>
    <row r="4664">
      <c r="G4664" s="9"/>
    </row>
    <row r="4665">
      <c r="G4665" s="9"/>
    </row>
    <row r="4666">
      <c r="G4666" s="9"/>
    </row>
    <row r="4667">
      <c r="G4667" s="9"/>
    </row>
    <row r="4668">
      <c r="G4668" s="9"/>
    </row>
    <row r="4669">
      <c r="G4669" s="9"/>
    </row>
    <row r="4670">
      <c r="G4670" s="9"/>
    </row>
    <row r="4671">
      <c r="G4671" s="9"/>
    </row>
    <row r="4672">
      <c r="G4672" s="9"/>
    </row>
    <row r="4673">
      <c r="G4673" s="9"/>
    </row>
    <row r="4674">
      <c r="G4674" s="9"/>
    </row>
    <row r="4675">
      <c r="G4675" s="9"/>
    </row>
    <row r="4676">
      <c r="G4676" s="9"/>
    </row>
    <row r="4677">
      <c r="G4677" s="9"/>
    </row>
    <row r="4678">
      <c r="G4678" s="9"/>
    </row>
    <row r="4679">
      <c r="G4679" s="9"/>
    </row>
    <row r="4680">
      <c r="G4680" s="9"/>
    </row>
    <row r="4681">
      <c r="G4681" s="9"/>
    </row>
    <row r="4682">
      <c r="G4682" s="9"/>
    </row>
    <row r="4683">
      <c r="G4683" s="9"/>
    </row>
    <row r="4684">
      <c r="G4684" s="9"/>
    </row>
    <row r="4685">
      <c r="G4685" s="9"/>
    </row>
    <row r="4686">
      <c r="G4686" s="9"/>
    </row>
    <row r="4687">
      <c r="G4687" s="9"/>
    </row>
    <row r="4688">
      <c r="G4688" s="9"/>
    </row>
    <row r="4689">
      <c r="G4689" s="9"/>
    </row>
    <row r="4690">
      <c r="G4690" s="9"/>
    </row>
    <row r="4691">
      <c r="G4691" s="9"/>
    </row>
    <row r="4692">
      <c r="G4692" s="9"/>
    </row>
    <row r="4693">
      <c r="G4693" s="9"/>
    </row>
    <row r="4694">
      <c r="G4694" s="9"/>
    </row>
    <row r="4695">
      <c r="G4695" s="9"/>
    </row>
    <row r="4696">
      <c r="G4696" s="9"/>
    </row>
    <row r="4697">
      <c r="G4697" s="9"/>
    </row>
    <row r="4698">
      <c r="G4698" s="9"/>
    </row>
    <row r="4699">
      <c r="G4699" s="9"/>
    </row>
    <row r="4700">
      <c r="G4700" s="9"/>
    </row>
    <row r="4701">
      <c r="G4701" s="9"/>
    </row>
    <row r="4702">
      <c r="G4702" s="9"/>
    </row>
    <row r="4703">
      <c r="G4703" s="9"/>
    </row>
    <row r="4704">
      <c r="G4704" s="9"/>
    </row>
    <row r="4705">
      <c r="G4705" s="9"/>
    </row>
    <row r="4706">
      <c r="G4706" s="9"/>
    </row>
    <row r="4707">
      <c r="G4707" s="9"/>
    </row>
    <row r="4708">
      <c r="G4708" s="9"/>
    </row>
    <row r="4709">
      <c r="G4709" s="9"/>
    </row>
    <row r="4710">
      <c r="G4710" s="9"/>
    </row>
    <row r="4711">
      <c r="G4711" s="9"/>
    </row>
    <row r="4712">
      <c r="G4712" s="9"/>
    </row>
    <row r="4713">
      <c r="G4713" s="9"/>
    </row>
    <row r="4714">
      <c r="G4714" s="9"/>
    </row>
    <row r="4715">
      <c r="G4715" s="9"/>
    </row>
    <row r="4716">
      <c r="G4716" s="9"/>
    </row>
    <row r="4717">
      <c r="G4717" s="9"/>
    </row>
    <row r="4718">
      <c r="G4718" s="9"/>
    </row>
    <row r="4719">
      <c r="G4719" s="9"/>
    </row>
    <row r="4720">
      <c r="G4720" s="9"/>
    </row>
    <row r="4721">
      <c r="G4721" s="9"/>
    </row>
    <row r="4722">
      <c r="G4722" s="9"/>
    </row>
    <row r="4723">
      <c r="G4723" s="9"/>
    </row>
    <row r="4724">
      <c r="G4724" s="9"/>
    </row>
    <row r="4725">
      <c r="G4725" s="9"/>
    </row>
    <row r="4726">
      <c r="G4726" s="9"/>
    </row>
    <row r="4727">
      <c r="G4727" s="9"/>
    </row>
    <row r="4728">
      <c r="G4728" s="9"/>
    </row>
    <row r="4729">
      <c r="G4729" s="9"/>
    </row>
    <row r="4730">
      <c r="G4730" s="9"/>
    </row>
    <row r="4731">
      <c r="G4731" s="9"/>
    </row>
    <row r="4732">
      <c r="G4732" s="9"/>
    </row>
    <row r="4733">
      <c r="G4733" s="9"/>
    </row>
    <row r="4734">
      <c r="G4734" s="9"/>
    </row>
    <row r="4735">
      <c r="G4735" s="9"/>
    </row>
    <row r="4736">
      <c r="G4736" s="9"/>
    </row>
    <row r="4737">
      <c r="G4737" s="9"/>
    </row>
    <row r="4738">
      <c r="G4738" s="9"/>
    </row>
    <row r="4739">
      <c r="G4739" s="9"/>
    </row>
    <row r="4740">
      <c r="G4740" s="9"/>
    </row>
    <row r="4741">
      <c r="G4741" s="9"/>
    </row>
    <row r="4742">
      <c r="G4742" s="9"/>
    </row>
    <row r="4743">
      <c r="G4743" s="9"/>
    </row>
    <row r="4744">
      <c r="G4744" s="9"/>
    </row>
    <row r="4745">
      <c r="G4745" s="9"/>
    </row>
    <row r="4746">
      <c r="G4746" s="9"/>
    </row>
    <row r="4747">
      <c r="G4747" s="9"/>
    </row>
    <row r="4748">
      <c r="G4748" s="9"/>
    </row>
    <row r="4749">
      <c r="G4749" s="9"/>
    </row>
    <row r="4750">
      <c r="G4750" s="9"/>
    </row>
    <row r="4751">
      <c r="G4751" s="9"/>
    </row>
    <row r="4752">
      <c r="G4752" s="9"/>
    </row>
    <row r="4753">
      <c r="G4753" s="9"/>
    </row>
    <row r="4754">
      <c r="G4754" s="9"/>
    </row>
    <row r="4755">
      <c r="G4755" s="9"/>
    </row>
    <row r="4756">
      <c r="G4756" s="9"/>
    </row>
    <row r="4757">
      <c r="G4757" s="9"/>
    </row>
    <row r="4758">
      <c r="G4758" s="9"/>
    </row>
    <row r="4759">
      <c r="G4759" s="9"/>
    </row>
    <row r="4760">
      <c r="G4760" s="9"/>
    </row>
    <row r="4761">
      <c r="G4761" s="9"/>
    </row>
    <row r="4762">
      <c r="G4762" s="9"/>
    </row>
    <row r="4763">
      <c r="G4763" s="9"/>
    </row>
    <row r="4764">
      <c r="G4764" s="9"/>
    </row>
    <row r="4765">
      <c r="G4765" s="9"/>
    </row>
    <row r="4766">
      <c r="G4766" s="9"/>
    </row>
    <row r="4767">
      <c r="G4767" s="9"/>
    </row>
    <row r="4768">
      <c r="G4768" s="9"/>
    </row>
    <row r="4769">
      <c r="G4769" s="9"/>
    </row>
    <row r="4770">
      <c r="G4770" s="9"/>
    </row>
    <row r="4771">
      <c r="G4771" s="9"/>
    </row>
    <row r="4772">
      <c r="G4772" s="9"/>
    </row>
    <row r="4773">
      <c r="G4773" s="9"/>
    </row>
    <row r="4774">
      <c r="G4774" s="9"/>
    </row>
    <row r="4775">
      <c r="G4775" s="9"/>
    </row>
    <row r="4776">
      <c r="G4776" s="9"/>
    </row>
    <row r="4777">
      <c r="G4777" s="9"/>
    </row>
    <row r="4778">
      <c r="G4778" s="9"/>
    </row>
    <row r="4779">
      <c r="G4779" s="9"/>
    </row>
    <row r="4780">
      <c r="G4780" s="9"/>
    </row>
    <row r="4781">
      <c r="G4781" s="9"/>
    </row>
    <row r="4782">
      <c r="G4782" s="9"/>
    </row>
    <row r="4783">
      <c r="G4783" s="9"/>
    </row>
    <row r="4784">
      <c r="G4784" s="9"/>
    </row>
    <row r="4785">
      <c r="G4785" s="9"/>
    </row>
    <row r="4786">
      <c r="G4786" s="9"/>
    </row>
    <row r="4787">
      <c r="G4787" s="9"/>
    </row>
    <row r="4788">
      <c r="G4788" s="9"/>
    </row>
    <row r="4789">
      <c r="G4789" s="9"/>
    </row>
    <row r="4790">
      <c r="G4790" s="9"/>
    </row>
    <row r="4791">
      <c r="G4791" s="9"/>
    </row>
    <row r="4792">
      <c r="G4792" s="9"/>
    </row>
    <row r="4793">
      <c r="G4793" s="9"/>
    </row>
    <row r="4794">
      <c r="G4794" s="9"/>
    </row>
    <row r="4795">
      <c r="G4795" s="9"/>
    </row>
    <row r="4796">
      <c r="G4796" s="9"/>
    </row>
    <row r="4797">
      <c r="G4797" s="9"/>
    </row>
    <row r="4798">
      <c r="G4798" s="9"/>
    </row>
    <row r="4799">
      <c r="G4799" s="9"/>
    </row>
    <row r="4800">
      <c r="G4800" s="9"/>
    </row>
    <row r="4801">
      <c r="G4801" s="9"/>
    </row>
    <row r="4802">
      <c r="G4802" s="9"/>
    </row>
    <row r="4803">
      <c r="G4803" s="9"/>
    </row>
    <row r="4804">
      <c r="G4804" s="9"/>
    </row>
    <row r="4805">
      <c r="G4805" s="9"/>
    </row>
    <row r="4806">
      <c r="G4806" s="9"/>
    </row>
    <row r="4807">
      <c r="G4807" s="9"/>
    </row>
    <row r="4808">
      <c r="G4808" s="9"/>
    </row>
    <row r="4809">
      <c r="G4809" s="9"/>
    </row>
    <row r="4810">
      <c r="G4810" s="9"/>
    </row>
    <row r="4811">
      <c r="G4811" s="9"/>
    </row>
    <row r="4812">
      <c r="G4812" s="9"/>
    </row>
    <row r="4813">
      <c r="G4813" s="9"/>
    </row>
    <row r="4814">
      <c r="G4814" s="9"/>
    </row>
    <row r="4815">
      <c r="G4815" s="9"/>
    </row>
    <row r="4816">
      <c r="G4816" s="9"/>
    </row>
    <row r="4817">
      <c r="G4817" s="9"/>
    </row>
    <row r="4818">
      <c r="G4818" s="9"/>
    </row>
    <row r="4819">
      <c r="G4819" s="9"/>
    </row>
    <row r="4820">
      <c r="G4820" s="9"/>
    </row>
    <row r="4821">
      <c r="G4821" s="9"/>
    </row>
    <row r="4822">
      <c r="G4822" s="9"/>
    </row>
    <row r="4823">
      <c r="G4823" s="9"/>
    </row>
    <row r="4824">
      <c r="G4824" s="9"/>
    </row>
    <row r="4825">
      <c r="G4825" s="9"/>
    </row>
    <row r="4826">
      <c r="G4826" s="9"/>
    </row>
    <row r="4827">
      <c r="G4827" s="9"/>
    </row>
    <row r="4828">
      <c r="G4828" s="9"/>
    </row>
    <row r="4829">
      <c r="G4829" s="9"/>
    </row>
    <row r="4830">
      <c r="G4830" s="9"/>
    </row>
    <row r="4831">
      <c r="G4831" s="9"/>
    </row>
    <row r="4832">
      <c r="G4832" s="9"/>
    </row>
    <row r="4833">
      <c r="G4833" s="9"/>
    </row>
    <row r="4834">
      <c r="G4834" s="9"/>
    </row>
    <row r="4835">
      <c r="G4835" s="9"/>
    </row>
    <row r="4836">
      <c r="G4836" s="9"/>
    </row>
    <row r="4837">
      <c r="G4837" s="9"/>
    </row>
    <row r="4838">
      <c r="G4838" s="9"/>
    </row>
    <row r="4839">
      <c r="G4839" s="9"/>
    </row>
    <row r="4840">
      <c r="G4840" s="9"/>
    </row>
    <row r="4841">
      <c r="G4841" s="9"/>
    </row>
    <row r="4842">
      <c r="G4842" s="9"/>
    </row>
    <row r="4843">
      <c r="G4843" s="9"/>
    </row>
    <row r="4844">
      <c r="G4844" s="9"/>
    </row>
    <row r="4845">
      <c r="G4845" s="9"/>
    </row>
    <row r="4846">
      <c r="G4846" s="9"/>
    </row>
    <row r="4847">
      <c r="G4847" s="9"/>
    </row>
    <row r="4848">
      <c r="G4848" s="9"/>
    </row>
    <row r="4849">
      <c r="G4849" s="9"/>
    </row>
    <row r="4850">
      <c r="G4850" s="9"/>
    </row>
    <row r="4851">
      <c r="G4851" s="9"/>
    </row>
    <row r="4852">
      <c r="G4852" s="9"/>
    </row>
    <row r="4853">
      <c r="G4853" s="9"/>
    </row>
    <row r="4854">
      <c r="G4854" s="9"/>
    </row>
    <row r="4855">
      <c r="G4855" s="9"/>
    </row>
    <row r="4856">
      <c r="G4856" s="9"/>
    </row>
    <row r="4857">
      <c r="G4857" s="9"/>
    </row>
    <row r="4858">
      <c r="G4858" s="9"/>
    </row>
    <row r="4859">
      <c r="G4859" s="9"/>
    </row>
    <row r="4860">
      <c r="G4860" s="9"/>
    </row>
    <row r="4861">
      <c r="G4861" s="9"/>
    </row>
    <row r="4862">
      <c r="G4862" s="9"/>
    </row>
    <row r="4863">
      <c r="G4863" s="9"/>
    </row>
    <row r="4864">
      <c r="G4864" s="9"/>
    </row>
    <row r="4865">
      <c r="G4865" s="9"/>
    </row>
    <row r="4866">
      <c r="G4866" s="9"/>
    </row>
    <row r="4867">
      <c r="G4867" s="9"/>
    </row>
    <row r="4868">
      <c r="G4868" s="9"/>
    </row>
    <row r="4869">
      <c r="G4869" s="9"/>
    </row>
    <row r="4870">
      <c r="G4870" s="9"/>
    </row>
    <row r="4871">
      <c r="G4871" s="9"/>
    </row>
    <row r="4872">
      <c r="G4872" s="9"/>
    </row>
    <row r="4873">
      <c r="G4873" s="9"/>
    </row>
    <row r="4874">
      <c r="G4874" s="9"/>
    </row>
    <row r="4875">
      <c r="G4875" s="9"/>
    </row>
    <row r="4876">
      <c r="G4876" s="9"/>
    </row>
    <row r="4877">
      <c r="G4877" s="9"/>
    </row>
    <row r="4878">
      <c r="G4878" s="9"/>
    </row>
    <row r="4879">
      <c r="G4879" s="9"/>
    </row>
    <row r="4880">
      <c r="G4880" s="9"/>
    </row>
    <row r="4881">
      <c r="G4881" s="9"/>
    </row>
    <row r="4882">
      <c r="G4882" s="9"/>
    </row>
    <row r="4883">
      <c r="G4883" s="9"/>
    </row>
    <row r="4884">
      <c r="G4884" s="9"/>
    </row>
    <row r="4885">
      <c r="G4885" s="9"/>
    </row>
    <row r="4886">
      <c r="G4886" s="9"/>
    </row>
    <row r="4887">
      <c r="G4887" s="9"/>
    </row>
    <row r="4888">
      <c r="G4888" s="9"/>
    </row>
    <row r="4889">
      <c r="G4889" s="9"/>
    </row>
    <row r="4890">
      <c r="G4890" s="9"/>
    </row>
    <row r="4891">
      <c r="G4891" s="9"/>
    </row>
    <row r="4892">
      <c r="G4892" s="9"/>
    </row>
    <row r="4893">
      <c r="G4893" s="9"/>
    </row>
    <row r="4894">
      <c r="G4894" s="9"/>
    </row>
    <row r="4895">
      <c r="G4895" s="9"/>
    </row>
    <row r="4896">
      <c r="G4896" s="9"/>
    </row>
    <row r="4897">
      <c r="G4897" s="9"/>
    </row>
    <row r="4898">
      <c r="G4898" s="9"/>
    </row>
    <row r="4899">
      <c r="G4899" s="9"/>
    </row>
    <row r="4900">
      <c r="G4900" s="9"/>
    </row>
    <row r="4901">
      <c r="G4901" s="9"/>
    </row>
    <row r="4902">
      <c r="G4902" s="9"/>
    </row>
    <row r="4903">
      <c r="G4903" s="9"/>
    </row>
    <row r="4904">
      <c r="G4904" s="9"/>
    </row>
    <row r="4905">
      <c r="G4905" s="9"/>
    </row>
    <row r="4906">
      <c r="G4906" s="9"/>
    </row>
    <row r="4907">
      <c r="G4907" s="9"/>
    </row>
    <row r="4908">
      <c r="G4908" s="9"/>
    </row>
    <row r="4909">
      <c r="G4909" s="9"/>
    </row>
    <row r="4910">
      <c r="G4910" s="9"/>
    </row>
    <row r="4911">
      <c r="G4911" s="9"/>
    </row>
    <row r="4912">
      <c r="G4912" s="9"/>
    </row>
    <row r="4913">
      <c r="G4913" s="9"/>
    </row>
    <row r="4914">
      <c r="G4914" s="9"/>
    </row>
    <row r="4915">
      <c r="G4915" s="9"/>
    </row>
    <row r="4916">
      <c r="G4916" s="9"/>
    </row>
    <row r="4917">
      <c r="G4917" s="9"/>
    </row>
    <row r="4918">
      <c r="G4918" s="9"/>
    </row>
    <row r="4919">
      <c r="G4919" s="9"/>
    </row>
    <row r="4920">
      <c r="G4920" s="9"/>
    </row>
    <row r="4921">
      <c r="G4921" s="9"/>
    </row>
    <row r="4922">
      <c r="G4922" s="9"/>
    </row>
    <row r="4923">
      <c r="G4923" s="9"/>
    </row>
    <row r="4924">
      <c r="G4924" s="9"/>
    </row>
    <row r="4925">
      <c r="G4925" s="9"/>
    </row>
    <row r="4926">
      <c r="G4926" s="9"/>
    </row>
    <row r="4927">
      <c r="G4927" s="9"/>
    </row>
    <row r="4928">
      <c r="G4928" s="9"/>
    </row>
    <row r="4929">
      <c r="G4929" s="9"/>
    </row>
    <row r="4930">
      <c r="G4930" s="9"/>
    </row>
    <row r="4931">
      <c r="G4931" s="9"/>
    </row>
    <row r="4932">
      <c r="G4932" s="9"/>
    </row>
    <row r="4933">
      <c r="G4933" s="9"/>
    </row>
    <row r="4934">
      <c r="G4934" s="9"/>
    </row>
    <row r="4935">
      <c r="G4935" s="9"/>
    </row>
    <row r="4936">
      <c r="G4936" s="9"/>
    </row>
    <row r="4937">
      <c r="G4937" s="9"/>
    </row>
    <row r="4938">
      <c r="G4938" s="9"/>
    </row>
    <row r="4939">
      <c r="G4939" s="9"/>
    </row>
    <row r="4940">
      <c r="G4940" s="9"/>
    </row>
    <row r="4941">
      <c r="G4941" s="9"/>
    </row>
    <row r="4942">
      <c r="G4942" s="9"/>
    </row>
    <row r="4943">
      <c r="G4943" s="9"/>
    </row>
    <row r="4944">
      <c r="G4944" s="9"/>
    </row>
    <row r="4945">
      <c r="G4945" s="9"/>
    </row>
    <row r="4946">
      <c r="G4946" s="9"/>
    </row>
    <row r="4947">
      <c r="G4947" s="9"/>
    </row>
    <row r="4948">
      <c r="G4948" s="9"/>
    </row>
    <row r="4949">
      <c r="G4949" s="9"/>
    </row>
    <row r="4950">
      <c r="G4950" s="9"/>
    </row>
    <row r="4951">
      <c r="G4951" s="9"/>
    </row>
    <row r="4952">
      <c r="G4952" s="9"/>
    </row>
    <row r="4953">
      <c r="G4953" s="9"/>
    </row>
    <row r="4954">
      <c r="G4954" s="9"/>
    </row>
    <row r="4955">
      <c r="G4955" s="9"/>
    </row>
    <row r="4956">
      <c r="G4956" s="9"/>
    </row>
    <row r="4957">
      <c r="G4957" s="9"/>
    </row>
    <row r="4958">
      <c r="G4958" s="9"/>
    </row>
    <row r="4959">
      <c r="G4959" s="9"/>
    </row>
    <row r="4960">
      <c r="G4960" s="9"/>
    </row>
    <row r="4961">
      <c r="G4961" s="9"/>
    </row>
    <row r="4962">
      <c r="G4962" s="9"/>
    </row>
    <row r="4963">
      <c r="G4963" s="9"/>
    </row>
    <row r="4964">
      <c r="G4964" s="9"/>
    </row>
    <row r="4965">
      <c r="G4965" s="9"/>
    </row>
    <row r="4966">
      <c r="G4966" s="9"/>
    </row>
    <row r="4967">
      <c r="G4967" s="9"/>
    </row>
    <row r="4968">
      <c r="G4968" s="9"/>
    </row>
    <row r="4969">
      <c r="G4969" s="9"/>
    </row>
    <row r="4970">
      <c r="G4970" s="9"/>
    </row>
    <row r="4971">
      <c r="G4971" s="9"/>
    </row>
    <row r="4972">
      <c r="G4972" s="9"/>
    </row>
    <row r="4973">
      <c r="G4973" s="9"/>
    </row>
    <row r="4974">
      <c r="G4974" s="9"/>
    </row>
    <row r="4975">
      <c r="G4975" s="9"/>
    </row>
    <row r="4976">
      <c r="G4976" s="9"/>
    </row>
    <row r="4977">
      <c r="G4977" s="9"/>
    </row>
    <row r="4978">
      <c r="G4978" s="9"/>
    </row>
    <row r="4979">
      <c r="G4979" s="9"/>
    </row>
    <row r="4980">
      <c r="G4980" s="9"/>
    </row>
    <row r="4981">
      <c r="G4981" s="9"/>
    </row>
    <row r="4982">
      <c r="G4982" s="9"/>
    </row>
    <row r="4983">
      <c r="G4983" s="9"/>
    </row>
    <row r="4984">
      <c r="G4984" s="9"/>
    </row>
    <row r="4985">
      <c r="G4985" s="9"/>
    </row>
    <row r="4986">
      <c r="G4986" s="9"/>
    </row>
    <row r="4987">
      <c r="G4987" s="9"/>
    </row>
    <row r="4988">
      <c r="G4988" s="9"/>
    </row>
    <row r="4989">
      <c r="G4989" s="9"/>
    </row>
    <row r="4990">
      <c r="G4990" s="9"/>
    </row>
    <row r="4991">
      <c r="G4991" s="9"/>
    </row>
    <row r="4992">
      <c r="G4992" s="9"/>
    </row>
    <row r="4993">
      <c r="G4993" s="9"/>
    </row>
    <row r="4994">
      <c r="G4994" s="9"/>
    </row>
    <row r="4995">
      <c r="G4995" s="9"/>
    </row>
    <row r="4996">
      <c r="G4996" s="9"/>
    </row>
    <row r="4997">
      <c r="G4997" s="9"/>
    </row>
    <row r="4998">
      <c r="G4998" s="9"/>
    </row>
    <row r="4999">
      <c r="G4999" s="9"/>
    </row>
    <row r="5000">
      <c r="G5000" s="9"/>
    </row>
    <row r="5001">
      <c r="G5001" s="9"/>
    </row>
    <row r="5002">
      <c r="G5002" s="9"/>
    </row>
    <row r="5003">
      <c r="G5003" s="9"/>
    </row>
    <row r="5004">
      <c r="G5004" s="9"/>
    </row>
    <row r="5005">
      <c r="G5005" s="9"/>
    </row>
    <row r="5006">
      <c r="G5006" s="9"/>
    </row>
    <row r="5007">
      <c r="G5007" s="9"/>
    </row>
    <row r="5008">
      <c r="G5008" s="9"/>
    </row>
    <row r="5009">
      <c r="G5009" s="9"/>
    </row>
    <row r="5010">
      <c r="G5010" s="9"/>
    </row>
    <row r="5011">
      <c r="G5011" s="9"/>
    </row>
    <row r="5012">
      <c r="G5012" s="9"/>
    </row>
    <row r="5013">
      <c r="G5013" s="9"/>
    </row>
    <row r="5014">
      <c r="G5014" s="9"/>
    </row>
    <row r="5015">
      <c r="G5015" s="9"/>
    </row>
    <row r="5016">
      <c r="G5016" s="9"/>
    </row>
    <row r="5017">
      <c r="G5017" s="9"/>
    </row>
    <row r="5018">
      <c r="G5018" s="9"/>
    </row>
    <row r="5019">
      <c r="G5019" s="9"/>
    </row>
    <row r="5020">
      <c r="G5020" s="9"/>
    </row>
    <row r="5021">
      <c r="G5021" s="9"/>
    </row>
    <row r="5022">
      <c r="G5022" s="9"/>
    </row>
    <row r="5023">
      <c r="G5023" s="9"/>
    </row>
    <row r="5024">
      <c r="G5024" s="9"/>
    </row>
    <row r="5025">
      <c r="G5025" s="9"/>
    </row>
    <row r="5026">
      <c r="G5026" s="9"/>
    </row>
    <row r="5027">
      <c r="G5027" s="9"/>
    </row>
    <row r="5028">
      <c r="G5028" s="9"/>
    </row>
    <row r="5029">
      <c r="G5029" s="9"/>
    </row>
    <row r="5030">
      <c r="G5030" s="9"/>
    </row>
    <row r="5031">
      <c r="G5031" s="9"/>
    </row>
    <row r="5032">
      <c r="G5032" s="9"/>
    </row>
    <row r="5033">
      <c r="G5033" s="9"/>
    </row>
    <row r="5034">
      <c r="G5034" s="9"/>
    </row>
    <row r="5035">
      <c r="G5035" s="9"/>
    </row>
    <row r="5036">
      <c r="G5036" s="9"/>
    </row>
    <row r="5037">
      <c r="G5037" s="9"/>
    </row>
    <row r="5038">
      <c r="G5038" s="9"/>
    </row>
    <row r="5039">
      <c r="G5039" s="9"/>
    </row>
    <row r="5040">
      <c r="G5040" s="9"/>
    </row>
    <row r="5041">
      <c r="G5041" s="9"/>
    </row>
    <row r="5042">
      <c r="G5042" s="9"/>
    </row>
    <row r="5043">
      <c r="G5043" s="9"/>
    </row>
    <row r="5044">
      <c r="G5044" s="9"/>
    </row>
    <row r="5045">
      <c r="G5045" s="9"/>
    </row>
    <row r="5046">
      <c r="G5046" s="9"/>
    </row>
    <row r="5047">
      <c r="G5047" s="9"/>
    </row>
    <row r="5048">
      <c r="G5048" s="9"/>
    </row>
    <row r="5049">
      <c r="G5049" s="9"/>
    </row>
    <row r="5050">
      <c r="G5050" s="9"/>
    </row>
    <row r="5051">
      <c r="G5051" s="9"/>
    </row>
    <row r="5052">
      <c r="G5052" s="9"/>
    </row>
    <row r="5053">
      <c r="G5053" s="9"/>
    </row>
    <row r="5054">
      <c r="G5054" s="9"/>
    </row>
    <row r="5055">
      <c r="G5055" s="9"/>
    </row>
    <row r="5056">
      <c r="G5056" s="9"/>
    </row>
    <row r="5057">
      <c r="G5057" s="9"/>
    </row>
    <row r="5058">
      <c r="G5058" s="9"/>
    </row>
    <row r="5059">
      <c r="G5059" s="9"/>
    </row>
    <row r="5060">
      <c r="G5060" s="9"/>
    </row>
    <row r="5061">
      <c r="G5061" s="9"/>
    </row>
    <row r="5062">
      <c r="G5062" s="9"/>
    </row>
    <row r="5063">
      <c r="G5063" s="9"/>
    </row>
    <row r="5064">
      <c r="G5064" s="9"/>
    </row>
    <row r="5065">
      <c r="G5065" s="9"/>
    </row>
    <row r="5066">
      <c r="G5066" s="9"/>
    </row>
    <row r="5067">
      <c r="G5067" s="9"/>
    </row>
    <row r="5068">
      <c r="G5068" s="9"/>
    </row>
    <row r="5069">
      <c r="G5069" s="9"/>
    </row>
    <row r="5070">
      <c r="G5070" s="9"/>
    </row>
    <row r="5071">
      <c r="G5071" s="9"/>
    </row>
    <row r="5072">
      <c r="G5072" s="9"/>
    </row>
    <row r="5073">
      <c r="G5073" s="9"/>
    </row>
    <row r="5074">
      <c r="G5074" s="9"/>
    </row>
    <row r="5075">
      <c r="G5075" s="9"/>
    </row>
    <row r="5076">
      <c r="G5076" s="9"/>
    </row>
    <row r="5077">
      <c r="G5077" s="9"/>
    </row>
    <row r="5078">
      <c r="G5078" s="9"/>
    </row>
    <row r="5079">
      <c r="G5079" s="9"/>
    </row>
    <row r="5080">
      <c r="G5080" s="9"/>
    </row>
    <row r="5081">
      <c r="G5081" s="9"/>
    </row>
    <row r="5082">
      <c r="G5082" s="9"/>
    </row>
    <row r="5083">
      <c r="G5083" s="9"/>
    </row>
    <row r="5084">
      <c r="G5084" s="9"/>
    </row>
    <row r="5085">
      <c r="G5085" s="9"/>
    </row>
    <row r="5086">
      <c r="G5086" s="9"/>
    </row>
    <row r="5087">
      <c r="G5087" s="9"/>
    </row>
    <row r="5088">
      <c r="G5088" s="9"/>
    </row>
    <row r="5089">
      <c r="G5089" s="9"/>
    </row>
    <row r="5090">
      <c r="G5090" s="9"/>
    </row>
    <row r="5091">
      <c r="G5091" s="9"/>
    </row>
    <row r="5092">
      <c r="G5092" s="9"/>
    </row>
    <row r="5093">
      <c r="G5093" s="9"/>
    </row>
    <row r="5094">
      <c r="G5094" s="9"/>
    </row>
    <row r="5095">
      <c r="G5095" s="9"/>
    </row>
    <row r="5096">
      <c r="G5096" s="9"/>
    </row>
    <row r="5097">
      <c r="G5097" s="9"/>
    </row>
    <row r="5098">
      <c r="G5098" s="9"/>
    </row>
    <row r="5099">
      <c r="G5099" s="9"/>
    </row>
    <row r="5100">
      <c r="G5100" s="9"/>
    </row>
    <row r="5101">
      <c r="G5101" s="9"/>
    </row>
    <row r="5102">
      <c r="G5102" s="9"/>
    </row>
    <row r="5103">
      <c r="G5103" s="9"/>
    </row>
    <row r="5104">
      <c r="G5104" s="9"/>
    </row>
    <row r="5105">
      <c r="G5105" s="9"/>
    </row>
    <row r="5106">
      <c r="G5106" s="9"/>
    </row>
    <row r="5107">
      <c r="G5107" s="9"/>
    </row>
    <row r="5108">
      <c r="G5108" s="9"/>
    </row>
    <row r="5109">
      <c r="G5109" s="9"/>
    </row>
    <row r="5110">
      <c r="G5110" s="9"/>
    </row>
    <row r="5111">
      <c r="G5111" s="9"/>
    </row>
    <row r="5112">
      <c r="G5112" s="9"/>
    </row>
    <row r="5113">
      <c r="G5113" s="9"/>
    </row>
    <row r="5114">
      <c r="G5114" s="9"/>
    </row>
    <row r="5115">
      <c r="G5115" s="9"/>
    </row>
    <row r="5116">
      <c r="G5116" s="9"/>
    </row>
    <row r="5117">
      <c r="G5117" s="9"/>
    </row>
    <row r="5118">
      <c r="G5118" s="9"/>
    </row>
    <row r="5119">
      <c r="G5119" s="9"/>
    </row>
    <row r="5120">
      <c r="G5120" s="9"/>
    </row>
    <row r="5121">
      <c r="G5121" s="9"/>
    </row>
    <row r="5122">
      <c r="G5122" s="9"/>
    </row>
    <row r="5123">
      <c r="G5123" s="9"/>
    </row>
    <row r="5124">
      <c r="G5124" s="9"/>
    </row>
    <row r="5125">
      <c r="G5125" s="9"/>
    </row>
    <row r="5126">
      <c r="G5126" s="9"/>
    </row>
    <row r="5127">
      <c r="G5127" s="9"/>
    </row>
    <row r="5128">
      <c r="G5128" s="9"/>
    </row>
    <row r="5129">
      <c r="G5129" s="9"/>
    </row>
    <row r="5130">
      <c r="G5130" s="9"/>
    </row>
    <row r="5131">
      <c r="G5131" s="9"/>
    </row>
    <row r="5132">
      <c r="G5132" s="9"/>
    </row>
    <row r="5133">
      <c r="G5133" s="9"/>
    </row>
    <row r="5134">
      <c r="G5134" s="9"/>
    </row>
    <row r="5135">
      <c r="G5135" s="9"/>
    </row>
    <row r="5136">
      <c r="G5136" s="9"/>
    </row>
    <row r="5137">
      <c r="G5137" s="9"/>
    </row>
    <row r="5138">
      <c r="G5138" s="9"/>
    </row>
    <row r="5139">
      <c r="G5139" s="9"/>
      <c r="K5139" t="str">
        <f>IFERROR(__xludf.DUMMYFUNCTION("""COMPUTED_VALUE""")," ")</f>
        <v> </v>
      </c>
    </row>
    <row r="5140">
      <c r="G5140" s="9"/>
      <c r="K5140" t="str">
        <f>IFERROR(__xludf.DUMMYFUNCTION("""COMPUTED_VALUE""")," ")</f>
        <v> </v>
      </c>
    </row>
    <row r="5141">
      <c r="G5141" s="9"/>
      <c r="K5141" t="str">
        <f>IFERROR(__xludf.DUMMYFUNCTION("""COMPUTED_VALUE""")," ")</f>
        <v> </v>
      </c>
    </row>
    <row r="5142">
      <c r="G5142" s="9"/>
      <c r="K5142" t="str">
        <f>IFERROR(__xludf.DUMMYFUNCTION("""COMPUTED_VALUE""")," ")</f>
        <v> </v>
      </c>
    </row>
    <row r="5143">
      <c r="G5143" s="9"/>
      <c r="K5143" t="str">
        <f>IFERROR(__xludf.DUMMYFUNCTION("""COMPUTED_VALUE""")," ")</f>
        <v> </v>
      </c>
    </row>
    <row r="5144">
      <c r="G5144" s="9"/>
      <c r="K5144" t="str">
        <f>IFERROR(__xludf.DUMMYFUNCTION("""COMPUTED_VALUE""")," ")</f>
        <v> </v>
      </c>
    </row>
    <row r="5145">
      <c r="G5145" s="9"/>
      <c r="K5145" t="str">
        <f>IFERROR(__xludf.DUMMYFUNCTION("""COMPUTED_VALUE""")," ")</f>
        <v> </v>
      </c>
    </row>
    <row r="5146">
      <c r="G5146" s="9"/>
      <c r="K5146" t="str">
        <f>IFERROR(__xludf.DUMMYFUNCTION("""COMPUTED_VALUE""")," ")</f>
        <v> </v>
      </c>
    </row>
    <row r="5147">
      <c r="G5147" s="9"/>
      <c r="K5147" t="str">
        <f>IFERROR(__xludf.DUMMYFUNCTION("""COMPUTED_VALUE""")," ")</f>
        <v> </v>
      </c>
    </row>
    <row r="5148">
      <c r="G5148" s="9"/>
      <c r="K5148" t="str">
        <f>IFERROR(__xludf.DUMMYFUNCTION("""COMPUTED_VALUE""")," ")</f>
        <v> </v>
      </c>
    </row>
    <row r="5149">
      <c r="G5149" s="9"/>
      <c r="K5149" t="str">
        <f>IFERROR(__xludf.DUMMYFUNCTION("""COMPUTED_VALUE""")," ")</f>
        <v> </v>
      </c>
    </row>
    <row r="5150">
      <c r="G5150" s="9"/>
      <c r="K5150" t="str">
        <f>IFERROR(__xludf.DUMMYFUNCTION("""COMPUTED_VALUE""")," ")</f>
        <v> </v>
      </c>
    </row>
    <row r="5151">
      <c r="G5151" s="9"/>
      <c r="K5151" t="str">
        <f>IFERROR(__xludf.DUMMYFUNCTION("""COMPUTED_VALUE""")," ")</f>
        <v> </v>
      </c>
    </row>
    <row r="5152">
      <c r="G5152" s="9"/>
      <c r="K5152" t="str">
        <f>IFERROR(__xludf.DUMMYFUNCTION("""COMPUTED_VALUE""")," ")</f>
        <v> </v>
      </c>
    </row>
    <row r="5153">
      <c r="G5153" s="9"/>
      <c r="K5153" t="str">
        <f>IFERROR(__xludf.DUMMYFUNCTION("""COMPUTED_VALUE""")," ")</f>
        <v> </v>
      </c>
    </row>
    <row r="5154">
      <c r="G5154" s="9"/>
      <c r="K5154" t="str">
        <f>IFERROR(__xludf.DUMMYFUNCTION("""COMPUTED_VALUE""")," ")</f>
        <v> </v>
      </c>
    </row>
    <row r="5155">
      <c r="G5155" s="9"/>
      <c r="K5155" t="str">
        <f>IFERROR(__xludf.DUMMYFUNCTION("""COMPUTED_VALUE""")," ")</f>
        <v> </v>
      </c>
    </row>
    <row r="5156">
      <c r="G5156" s="9"/>
      <c r="K5156" t="str">
        <f>IFERROR(__xludf.DUMMYFUNCTION("""COMPUTED_VALUE""")," ")</f>
        <v> </v>
      </c>
    </row>
    <row r="5157">
      <c r="G5157" s="9"/>
      <c r="K5157" t="str">
        <f>IFERROR(__xludf.DUMMYFUNCTION("""COMPUTED_VALUE""")," ")</f>
        <v> </v>
      </c>
    </row>
    <row r="5158">
      <c r="G5158" s="9"/>
      <c r="K5158" t="str">
        <f>IFERROR(__xludf.DUMMYFUNCTION("""COMPUTED_VALUE""")," ")</f>
        <v> </v>
      </c>
    </row>
    <row r="5159">
      <c r="G5159" s="9"/>
      <c r="K5159" t="str">
        <f>IFERROR(__xludf.DUMMYFUNCTION("""COMPUTED_VALUE""")," ")</f>
        <v> </v>
      </c>
    </row>
    <row r="5160">
      <c r="G5160" s="9"/>
      <c r="K5160" t="str">
        <f>IFERROR(__xludf.DUMMYFUNCTION("""COMPUTED_VALUE""")," ")</f>
        <v> </v>
      </c>
    </row>
    <row r="5161">
      <c r="G5161" s="9"/>
      <c r="K5161" t="str">
        <f>IFERROR(__xludf.DUMMYFUNCTION("""COMPUTED_VALUE""")," ")</f>
        <v> </v>
      </c>
    </row>
    <row r="5162">
      <c r="G5162" s="9"/>
      <c r="K5162" t="str">
        <f>IFERROR(__xludf.DUMMYFUNCTION("""COMPUTED_VALUE""")," ")</f>
        <v> </v>
      </c>
    </row>
    <row r="5163">
      <c r="G5163" s="9"/>
      <c r="K5163" t="str">
        <f>IFERROR(__xludf.DUMMYFUNCTION("""COMPUTED_VALUE""")," ")</f>
        <v> </v>
      </c>
    </row>
    <row r="5164">
      <c r="G5164" s="9"/>
      <c r="K5164" t="str">
        <f>IFERROR(__xludf.DUMMYFUNCTION("""COMPUTED_VALUE""")," ")</f>
        <v> </v>
      </c>
    </row>
    <row r="5165">
      <c r="G5165" s="9"/>
      <c r="K5165" t="str">
        <f>IFERROR(__xludf.DUMMYFUNCTION("""COMPUTED_VALUE""")," ")</f>
        <v> </v>
      </c>
    </row>
    <row r="5166">
      <c r="G5166" s="9"/>
      <c r="K5166" t="str">
        <f>IFERROR(__xludf.DUMMYFUNCTION("""COMPUTED_VALUE""")," ")</f>
        <v> </v>
      </c>
    </row>
    <row r="5167">
      <c r="G5167" s="9"/>
      <c r="K5167" t="str">
        <f>IFERROR(__xludf.DUMMYFUNCTION("""COMPUTED_VALUE""")," ")</f>
        <v> </v>
      </c>
    </row>
    <row r="5168">
      <c r="G5168" s="9"/>
      <c r="K5168" t="str">
        <f>IFERROR(__xludf.DUMMYFUNCTION("""COMPUTED_VALUE""")," ")</f>
        <v> </v>
      </c>
    </row>
    <row r="5169">
      <c r="G5169" s="9"/>
      <c r="K5169" t="str">
        <f>IFERROR(__xludf.DUMMYFUNCTION("""COMPUTED_VALUE""")," ")</f>
        <v> </v>
      </c>
    </row>
    <row r="5170">
      <c r="G5170" s="9"/>
      <c r="K5170" t="str">
        <f>IFERROR(__xludf.DUMMYFUNCTION("""COMPUTED_VALUE""")," ")</f>
        <v> </v>
      </c>
    </row>
    <row r="5171">
      <c r="G5171" s="9"/>
      <c r="K5171" t="str">
        <f>IFERROR(__xludf.DUMMYFUNCTION("""COMPUTED_VALUE""")," ")</f>
        <v> </v>
      </c>
    </row>
    <row r="5172">
      <c r="G5172" s="9"/>
      <c r="K5172" t="str">
        <f>IFERROR(__xludf.DUMMYFUNCTION("""COMPUTED_VALUE""")," ")</f>
        <v> </v>
      </c>
    </row>
    <row r="5173">
      <c r="G5173" s="9"/>
      <c r="K5173" t="str">
        <f>IFERROR(__xludf.DUMMYFUNCTION("""COMPUTED_VALUE""")," ")</f>
        <v> </v>
      </c>
    </row>
    <row r="5174">
      <c r="G5174" s="9"/>
      <c r="K5174" t="str">
        <f>IFERROR(__xludf.DUMMYFUNCTION("""COMPUTED_VALUE""")," ")</f>
        <v> </v>
      </c>
    </row>
    <row r="5175">
      <c r="G5175" s="9"/>
      <c r="K5175" t="str">
        <f>IFERROR(__xludf.DUMMYFUNCTION("""COMPUTED_VALUE""")," ")</f>
        <v> </v>
      </c>
    </row>
    <row r="5176">
      <c r="G5176" s="9"/>
      <c r="K5176" t="str">
        <f>IFERROR(__xludf.DUMMYFUNCTION("""COMPUTED_VALUE""")," ")</f>
        <v> </v>
      </c>
    </row>
    <row r="5177">
      <c r="G5177" s="9"/>
      <c r="K5177" t="str">
        <f>IFERROR(__xludf.DUMMYFUNCTION("""COMPUTED_VALUE""")," ")</f>
        <v> </v>
      </c>
    </row>
    <row r="5178">
      <c r="G5178" s="9"/>
      <c r="K5178" t="str">
        <f>IFERROR(__xludf.DUMMYFUNCTION("""COMPUTED_VALUE""")," ")</f>
        <v> </v>
      </c>
    </row>
    <row r="5179">
      <c r="G5179" s="9"/>
      <c r="K5179" t="str">
        <f>IFERROR(__xludf.DUMMYFUNCTION("""COMPUTED_VALUE""")," ")</f>
        <v> </v>
      </c>
    </row>
    <row r="5180">
      <c r="G5180" s="9"/>
      <c r="K5180" t="str">
        <f>IFERROR(__xludf.DUMMYFUNCTION("""COMPUTED_VALUE""")," ")</f>
        <v> </v>
      </c>
    </row>
    <row r="5181">
      <c r="G5181" s="9"/>
      <c r="K5181" t="str">
        <f>IFERROR(__xludf.DUMMYFUNCTION("""COMPUTED_VALUE""")," ")</f>
        <v> </v>
      </c>
    </row>
    <row r="5182">
      <c r="G5182" s="9"/>
      <c r="K5182" t="str">
        <f>IFERROR(__xludf.DUMMYFUNCTION("""COMPUTED_VALUE""")," ")</f>
        <v> </v>
      </c>
    </row>
    <row r="5183">
      <c r="G5183" s="9"/>
      <c r="K5183" t="str">
        <f>IFERROR(__xludf.DUMMYFUNCTION("""COMPUTED_VALUE""")," ")</f>
        <v> </v>
      </c>
    </row>
    <row r="5184">
      <c r="G5184" s="9"/>
      <c r="K5184" t="str">
        <f>IFERROR(__xludf.DUMMYFUNCTION("""COMPUTED_VALUE""")," ")</f>
        <v> </v>
      </c>
    </row>
    <row r="5185">
      <c r="G5185" s="9"/>
      <c r="K5185" t="str">
        <f>IFERROR(__xludf.DUMMYFUNCTION("""COMPUTED_VALUE""")," ")</f>
        <v> </v>
      </c>
    </row>
    <row r="5186">
      <c r="G5186" s="9"/>
      <c r="K5186" t="str">
        <f>IFERROR(__xludf.DUMMYFUNCTION("""COMPUTED_VALUE""")," ")</f>
        <v> </v>
      </c>
    </row>
    <row r="5187">
      <c r="G5187" s="9"/>
      <c r="K5187" t="str">
        <f>IFERROR(__xludf.DUMMYFUNCTION("""COMPUTED_VALUE""")," ")</f>
        <v> </v>
      </c>
    </row>
    <row r="5188">
      <c r="G5188" s="9"/>
      <c r="K5188" t="str">
        <f>IFERROR(__xludf.DUMMYFUNCTION("""COMPUTED_VALUE""")," ")</f>
        <v> </v>
      </c>
    </row>
    <row r="5189">
      <c r="G5189" s="9"/>
      <c r="K5189" t="str">
        <f>IFERROR(__xludf.DUMMYFUNCTION("""COMPUTED_VALUE""")," ")</f>
        <v> </v>
      </c>
    </row>
    <row r="5190">
      <c r="G5190" s="9"/>
      <c r="K5190" t="str">
        <f>IFERROR(__xludf.DUMMYFUNCTION("""COMPUTED_VALUE""")," ")</f>
        <v> </v>
      </c>
    </row>
    <row r="5191">
      <c r="G5191" s="9"/>
      <c r="K5191" t="str">
        <f>IFERROR(__xludf.DUMMYFUNCTION("""COMPUTED_VALUE""")," ")</f>
        <v> </v>
      </c>
    </row>
    <row r="5192">
      <c r="G5192" s="9"/>
      <c r="K5192" t="str">
        <f>IFERROR(__xludf.DUMMYFUNCTION("""COMPUTED_VALUE""")," ")</f>
        <v> </v>
      </c>
    </row>
    <row r="5193">
      <c r="G5193" s="9"/>
      <c r="K5193" t="str">
        <f>IFERROR(__xludf.DUMMYFUNCTION("""COMPUTED_VALUE""")," ")</f>
        <v> </v>
      </c>
    </row>
    <row r="5194">
      <c r="G5194" s="9"/>
      <c r="K5194" t="str">
        <f>IFERROR(__xludf.DUMMYFUNCTION("""COMPUTED_VALUE""")," ")</f>
        <v> </v>
      </c>
    </row>
    <row r="5195">
      <c r="G5195" s="9"/>
      <c r="K5195" t="str">
        <f>IFERROR(__xludf.DUMMYFUNCTION("""COMPUTED_VALUE""")," ")</f>
        <v> </v>
      </c>
    </row>
    <row r="5196">
      <c r="G5196" s="9"/>
      <c r="K5196" t="str">
        <f>IFERROR(__xludf.DUMMYFUNCTION("""COMPUTED_VALUE""")," ")</f>
        <v> </v>
      </c>
    </row>
    <row r="5197">
      <c r="G5197" s="9"/>
      <c r="K5197" t="str">
        <f>IFERROR(__xludf.DUMMYFUNCTION("""COMPUTED_VALUE""")," ")</f>
        <v> </v>
      </c>
    </row>
    <row r="5198">
      <c r="G5198" s="9"/>
      <c r="K5198" t="str">
        <f>IFERROR(__xludf.DUMMYFUNCTION("""COMPUTED_VALUE""")," ")</f>
        <v> </v>
      </c>
    </row>
    <row r="5199">
      <c r="G5199" s="9"/>
      <c r="K5199" t="str">
        <f>IFERROR(__xludf.DUMMYFUNCTION("""COMPUTED_VALUE""")," ")</f>
        <v> </v>
      </c>
    </row>
    <row r="5200">
      <c r="G5200" s="9"/>
      <c r="K5200" t="str">
        <f>IFERROR(__xludf.DUMMYFUNCTION("""COMPUTED_VALUE""")," ")</f>
        <v> </v>
      </c>
    </row>
    <row r="5201">
      <c r="G5201" s="9"/>
      <c r="K5201" t="str">
        <f>IFERROR(__xludf.DUMMYFUNCTION("""COMPUTED_VALUE""")," ")</f>
        <v> </v>
      </c>
    </row>
    <row r="5202">
      <c r="G5202" s="9"/>
      <c r="K5202" t="str">
        <f>IFERROR(__xludf.DUMMYFUNCTION("""COMPUTED_VALUE""")," ")</f>
        <v> </v>
      </c>
    </row>
    <row r="5203">
      <c r="G5203" s="9"/>
      <c r="K5203" t="str">
        <f>IFERROR(__xludf.DUMMYFUNCTION("""COMPUTED_VALUE""")," ")</f>
        <v> </v>
      </c>
    </row>
    <row r="5204">
      <c r="G5204" s="9"/>
      <c r="K5204" t="str">
        <f>IFERROR(__xludf.DUMMYFUNCTION("""COMPUTED_VALUE""")," ")</f>
        <v> </v>
      </c>
    </row>
    <row r="5205">
      <c r="G5205" s="9"/>
      <c r="K5205" t="str">
        <f>IFERROR(__xludf.DUMMYFUNCTION("""COMPUTED_VALUE""")," ")</f>
        <v> </v>
      </c>
    </row>
    <row r="5206">
      <c r="G5206" s="9"/>
      <c r="K5206" t="str">
        <f>IFERROR(__xludf.DUMMYFUNCTION("""COMPUTED_VALUE""")," ")</f>
        <v> </v>
      </c>
    </row>
    <row r="5207">
      <c r="G5207" s="9"/>
      <c r="K5207" t="str">
        <f>IFERROR(__xludf.DUMMYFUNCTION("""COMPUTED_VALUE""")," ")</f>
        <v> </v>
      </c>
    </row>
    <row r="5208">
      <c r="G5208" s="9"/>
      <c r="K5208" t="str">
        <f>IFERROR(__xludf.DUMMYFUNCTION("""COMPUTED_VALUE""")," ")</f>
        <v> </v>
      </c>
    </row>
    <row r="5209">
      <c r="G5209" s="9"/>
      <c r="K5209" t="str">
        <f>IFERROR(__xludf.DUMMYFUNCTION("""COMPUTED_VALUE""")," ")</f>
        <v> </v>
      </c>
    </row>
    <row r="5210">
      <c r="G5210" s="9"/>
      <c r="K5210" t="str">
        <f>IFERROR(__xludf.DUMMYFUNCTION("""COMPUTED_VALUE""")," ")</f>
        <v> </v>
      </c>
    </row>
    <row r="5211">
      <c r="G5211" s="9"/>
      <c r="K5211" t="str">
        <f>IFERROR(__xludf.DUMMYFUNCTION("""COMPUTED_VALUE""")," ")</f>
        <v> </v>
      </c>
    </row>
    <row r="5212">
      <c r="G5212" s="9"/>
      <c r="K5212" t="str">
        <f>IFERROR(__xludf.DUMMYFUNCTION("""COMPUTED_VALUE""")," ")</f>
        <v> </v>
      </c>
    </row>
    <row r="5213">
      <c r="G5213" s="9"/>
      <c r="K5213" t="str">
        <f>IFERROR(__xludf.DUMMYFUNCTION("""COMPUTED_VALUE""")," ")</f>
        <v> </v>
      </c>
    </row>
    <row r="5214">
      <c r="G5214" s="9"/>
      <c r="K5214" t="str">
        <f>IFERROR(__xludf.DUMMYFUNCTION("""COMPUTED_VALUE""")," ")</f>
        <v> </v>
      </c>
    </row>
    <row r="5215">
      <c r="G5215" s="9"/>
      <c r="K5215" t="str">
        <f>IFERROR(__xludf.DUMMYFUNCTION("""COMPUTED_VALUE""")," ")</f>
        <v> </v>
      </c>
    </row>
    <row r="5216">
      <c r="G5216" s="9"/>
      <c r="K5216" t="str">
        <f>IFERROR(__xludf.DUMMYFUNCTION("""COMPUTED_VALUE""")," ")</f>
        <v> </v>
      </c>
    </row>
    <row r="5217">
      <c r="G5217" s="9"/>
      <c r="K5217" t="str">
        <f>IFERROR(__xludf.DUMMYFUNCTION("""COMPUTED_VALUE""")," ")</f>
        <v> </v>
      </c>
    </row>
    <row r="5218">
      <c r="G5218" s="9"/>
      <c r="K5218" t="str">
        <f>IFERROR(__xludf.DUMMYFUNCTION("""COMPUTED_VALUE""")," ")</f>
        <v> </v>
      </c>
    </row>
    <row r="5219">
      <c r="G5219" s="9"/>
      <c r="K5219" t="str">
        <f>IFERROR(__xludf.DUMMYFUNCTION("""COMPUTED_VALUE""")," ")</f>
        <v> </v>
      </c>
    </row>
    <row r="5220">
      <c r="G5220" s="9"/>
      <c r="K5220" t="str">
        <f>IFERROR(__xludf.DUMMYFUNCTION("""COMPUTED_VALUE""")," ")</f>
        <v> </v>
      </c>
    </row>
    <row r="5221">
      <c r="G5221" s="9"/>
      <c r="K5221" t="str">
        <f>IFERROR(__xludf.DUMMYFUNCTION("""COMPUTED_VALUE""")," ")</f>
        <v> </v>
      </c>
    </row>
    <row r="5222">
      <c r="G5222" s="9"/>
      <c r="K5222" t="str">
        <f>IFERROR(__xludf.DUMMYFUNCTION("""COMPUTED_VALUE""")," ")</f>
        <v> </v>
      </c>
    </row>
    <row r="5223">
      <c r="G5223" s="9"/>
      <c r="K5223" t="str">
        <f>IFERROR(__xludf.DUMMYFUNCTION("""COMPUTED_VALUE""")," ")</f>
        <v> </v>
      </c>
    </row>
    <row r="5224">
      <c r="G5224" s="9"/>
      <c r="K5224" t="str">
        <f>IFERROR(__xludf.DUMMYFUNCTION("""COMPUTED_VALUE""")," ")</f>
        <v> </v>
      </c>
    </row>
    <row r="5225">
      <c r="G5225" s="9"/>
      <c r="K5225" t="str">
        <f>IFERROR(__xludf.DUMMYFUNCTION("""COMPUTED_VALUE""")," ")</f>
        <v> </v>
      </c>
    </row>
    <row r="5226">
      <c r="G5226" s="9"/>
      <c r="K5226" t="str">
        <f>IFERROR(__xludf.DUMMYFUNCTION("""COMPUTED_VALUE""")," ")</f>
        <v> </v>
      </c>
    </row>
    <row r="5227">
      <c r="G5227" s="9"/>
      <c r="K5227" t="str">
        <f>IFERROR(__xludf.DUMMYFUNCTION("""COMPUTED_VALUE""")," ")</f>
        <v> </v>
      </c>
    </row>
    <row r="5228">
      <c r="G5228" s="9"/>
    </row>
    <row r="5229">
      <c r="G5229" s="9"/>
    </row>
    <row r="5230">
      <c r="G5230" s="9"/>
    </row>
    <row r="5231">
      <c r="G5231" s="9"/>
    </row>
    <row r="5232">
      <c r="G5232" s="9"/>
    </row>
    <row r="5233">
      <c r="G5233" s="9"/>
    </row>
    <row r="5234">
      <c r="G5234" s="9"/>
    </row>
    <row r="5235">
      <c r="G5235" s="9"/>
    </row>
    <row r="5236">
      <c r="G5236" s="9"/>
    </row>
    <row r="5237">
      <c r="G5237" s="9"/>
    </row>
    <row r="5238">
      <c r="G5238" s="9"/>
    </row>
    <row r="5239">
      <c r="G5239" s="9"/>
    </row>
    <row r="5240">
      <c r="G5240" s="9"/>
    </row>
    <row r="5241">
      <c r="G5241" s="9"/>
    </row>
    <row r="5242">
      <c r="G5242" s="9"/>
    </row>
    <row r="5243">
      <c r="G5243" s="9"/>
    </row>
    <row r="5244">
      <c r="G5244" s="9"/>
    </row>
    <row r="5245">
      <c r="G5245" s="9"/>
    </row>
    <row r="5246">
      <c r="G5246" s="9"/>
    </row>
    <row r="5247">
      <c r="G5247" s="9"/>
    </row>
    <row r="5248">
      <c r="G5248" s="9"/>
    </row>
    <row r="5249">
      <c r="G5249" s="9"/>
    </row>
    <row r="5250">
      <c r="G5250" s="9"/>
    </row>
    <row r="5251">
      <c r="G5251" s="9"/>
    </row>
    <row r="5252">
      <c r="G5252" s="9"/>
    </row>
    <row r="5253">
      <c r="G5253" s="9"/>
    </row>
    <row r="5254">
      <c r="G5254" s="9"/>
    </row>
    <row r="5255">
      <c r="G5255" s="9"/>
    </row>
    <row r="5256">
      <c r="G5256" s="9"/>
    </row>
    <row r="5257">
      <c r="G5257" s="9"/>
    </row>
    <row r="5258">
      <c r="G5258" s="9"/>
    </row>
    <row r="5259">
      <c r="G5259" s="9"/>
    </row>
    <row r="5260">
      <c r="G5260" s="9"/>
    </row>
    <row r="5261">
      <c r="G5261" s="9"/>
    </row>
    <row r="5262">
      <c r="G5262" s="9"/>
    </row>
    <row r="5263">
      <c r="G5263" s="9"/>
    </row>
    <row r="5264">
      <c r="G5264" s="9"/>
    </row>
    <row r="5265">
      <c r="G5265" s="9"/>
    </row>
    <row r="5266">
      <c r="G5266" s="9"/>
    </row>
    <row r="5267">
      <c r="G5267" s="9"/>
    </row>
    <row r="5268">
      <c r="G5268" s="9"/>
    </row>
    <row r="5269">
      <c r="G5269" s="9"/>
    </row>
    <row r="5270">
      <c r="G5270" s="9"/>
    </row>
    <row r="5271">
      <c r="G5271" s="9"/>
    </row>
    <row r="5272">
      <c r="G5272" s="9"/>
    </row>
    <row r="5273">
      <c r="G5273" s="9"/>
    </row>
    <row r="5274">
      <c r="G5274" s="9"/>
    </row>
    <row r="5275">
      <c r="G5275" s="9"/>
    </row>
    <row r="5276">
      <c r="G5276" s="9"/>
    </row>
    <row r="5277">
      <c r="G5277" s="9"/>
    </row>
    <row r="5278">
      <c r="G5278" s="9"/>
    </row>
    <row r="5279">
      <c r="G5279" s="9"/>
    </row>
    <row r="5280">
      <c r="G5280" s="9"/>
    </row>
    <row r="5281">
      <c r="G5281" s="9"/>
    </row>
    <row r="5282">
      <c r="G5282" s="9"/>
    </row>
    <row r="5283">
      <c r="G5283" s="9"/>
    </row>
    <row r="5284">
      <c r="G5284" s="9"/>
    </row>
    <row r="5285">
      <c r="G5285" s="9"/>
    </row>
    <row r="5286">
      <c r="G5286" s="9"/>
    </row>
    <row r="5287">
      <c r="G5287" s="9"/>
    </row>
    <row r="5288">
      <c r="G5288" s="9"/>
    </row>
    <row r="5289">
      <c r="G5289" s="9"/>
    </row>
    <row r="5290">
      <c r="G5290" s="9"/>
    </row>
    <row r="5291">
      <c r="G5291" s="9"/>
    </row>
    <row r="5292">
      <c r="G5292" s="9"/>
    </row>
    <row r="5293">
      <c r="G5293" s="9"/>
    </row>
    <row r="5294">
      <c r="G5294" s="9"/>
    </row>
    <row r="5295">
      <c r="G5295" s="9"/>
    </row>
    <row r="5296">
      <c r="G5296" s="9"/>
    </row>
    <row r="5297">
      <c r="G5297" s="9"/>
    </row>
    <row r="5298">
      <c r="G5298" s="9"/>
    </row>
    <row r="5299">
      <c r="G5299" s="9"/>
    </row>
    <row r="5300">
      <c r="G5300" s="9"/>
    </row>
    <row r="5301">
      <c r="G5301" s="9"/>
    </row>
    <row r="5302">
      <c r="G5302" s="9"/>
    </row>
    <row r="5303">
      <c r="G5303" s="9"/>
    </row>
    <row r="5304">
      <c r="G5304" s="9"/>
    </row>
    <row r="5305">
      <c r="G5305" s="9"/>
    </row>
    <row r="5306">
      <c r="G5306" s="9"/>
    </row>
    <row r="5307">
      <c r="G5307" s="9"/>
    </row>
    <row r="5308">
      <c r="G5308" s="9"/>
    </row>
    <row r="5309">
      <c r="G5309" s="9"/>
    </row>
    <row r="5310">
      <c r="G5310" s="9"/>
    </row>
    <row r="5311">
      <c r="G5311" s="9"/>
    </row>
    <row r="5312">
      <c r="G5312" s="9"/>
    </row>
    <row r="5313">
      <c r="G5313" s="9"/>
    </row>
    <row r="5314">
      <c r="G5314" s="9"/>
    </row>
    <row r="5315">
      <c r="G5315" s="9"/>
    </row>
    <row r="5316">
      <c r="G5316" s="9"/>
    </row>
    <row r="5317">
      <c r="G5317" s="9"/>
    </row>
    <row r="5318">
      <c r="G5318" s="9"/>
    </row>
    <row r="5319">
      <c r="G5319" s="9"/>
    </row>
    <row r="5320">
      <c r="G5320" s="9"/>
    </row>
    <row r="5321">
      <c r="G5321" s="9"/>
    </row>
    <row r="5322">
      <c r="G5322" s="9"/>
    </row>
    <row r="5323">
      <c r="G5323" s="9"/>
    </row>
    <row r="5324">
      <c r="G5324" s="9"/>
    </row>
    <row r="5325">
      <c r="G5325" s="9"/>
    </row>
    <row r="5326">
      <c r="G5326" s="9"/>
    </row>
    <row r="5327">
      <c r="G5327" s="9"/>
    </row>
    <row r="5328">
      <c r="G5328" s="9"/>
    </row>
    <row r="5329">
      <c r="G5329" s="9"/>
    </row>
    <row r="5330">
      <c r="G5330" s="9"/>
    </row>
    <row r="5331">
      <c r="G5331" s="9"/>
    </row>
    <row r="5332">
      <c r="G5332" s="9"/>
    </row>
    <row r="5333">
      <c r="G5333" s="9"/>
    </row>
    <row r="5334">
      <c r="G5334" s="9"/>
    </row>
    <row r="5335">
      <c r="G5335" s="9"/>
    </row>
    <row r="5336">
      <c r="G5336" s="9"/>
    </row>
    <row r="5337">
      <c r="G5337" s="9"/>
    </row>
    <row r="5338">
      <c r="G5338" s="9"/>
    </row>
    <row r="5339">
      <c r="G5339" s="9"/>
    </row>
    <row r="5340">
      <c r="G5340" s="9"/>
    </row>
    <row r="5341">
      <c r="G5341" s="9"/>
    </row>
    <row r="5342">
      <c r="G5342" s="9"/>
    </row>
    <row r="5343">
      <c r="G5343" s="9"/>
    </row>
    <row r="5344">
      <c r="G5344" s="9"/>
    </row>
    <row r="5345">
      <c r="G5345" s="9"/>
    </row>
    <row r="5346">
      <c r="G5346" s="9"/>
    </row>
    <row r="5347">
      <c r="G5347" s="9"/>
    </row>
    <row r="5348">
      <c r="G5348" s="9"/>
    </row>
    <row r="5349">
      <c r="G5349" s="9"/>
    </row>
    <row r="5350">
      <c r="G5350" s="9"/>
    </row>
    <row r="5351">
      <c r="G5351" s="9"/>
    </row>
    <row r="5352">
      <c r="G5352" s="9"/>
    </row>
    <row r="5353">
      <c r="G5353" s="9"/>
    </row>
    <row r="5354">
      <c r="G5354" s="9"/>
    </row>
    <row r="5355">
      <c r="G5355" s="9"/>
    </row>
    <row r="5356">
      <c r="G5356" s="9"/>
    </row>
    <row r="5357">
      <c r="G5357" s="9"/>
    </row>
    <row r="5358">
      <c r="G5358" s="9"/>
    </row>
    <row r="5359">
      <c r="G5359" s="9"/>
    </row>
    <row r="5360">
      <c r="G5360" s="9"/>
    </row>
    <row r="5361">
      <c r="G5361" s="9"/>
    </row>
    <row r="5362">
      <c r="G5362" s="9"/>
    </row>
    <row r="5363">
      <c r="G5363" s="9"/>
    </row>
    <row r="5364">
      <c r="G5364" s="9"/>
    </row>
    <row r="5365">
      <c r="G5365" s="9"/>
    </row>
    <row r="5366">
      <c r="G5366" s="9"/>
    </row>
    <row r="5367">
      <c r="G5367" s="9"/>
    </row>
    <row r="5368">
      <c r="G5368" s="9"/>
    </row>
    <row r="5369">
      <c r="G5369" s="9"/>
    </row>
    <row r="5370">
      <c r="G5370" s="9"/>
    </row>
    <row r="5371">
      <c r="G5371" s="9"/>
    </row>
    <row r="5372">
      <c r="G5372" s="9"/>
    </row>
    <row r="5373">
      <c r="G5373" s="9"/>
    </row>
    <row r="5374">
      <c r="G5374" s="9"/>
    </row>
    <row r="5375">
      <c r="G5375" s="9"/>
    </row>
    <row r="5376">
      <c r="G5376" s="9"/>
    </row>
    <row r="5377">
      <c r="G5377" s="9"/>
    </row>
    <row r="5378">
      <c r="G5378" s="9"/>
    </row>
    <row r="5379">
      <c r="G5379" s="9"/>
    </row>
    <row r="5380">
      <c r="G5380" s="9"/>
    </row>
    <row r="5381">
      <c r="G5381" s="9"/>
    </row>
    <row r="5382">
      <c r="G5382" s="9"/>
    </row>
    <row r="5383">
      <c r="G5383" s="9"/>
    </row>
    <row r="5384">
      <c r="G5384" s="9"/>
    </row>
    <row r="5385">
      <c r="G5385" s="9"/>
    </row>
    <row r="5386">
      <c r="G5386" s="9"/>
    </row>
    <row r="5387">
      <c r="G5387" s="9"/>
    </row>
    <row r="5388">
      <c r="G5388" s="9"/>
    </row>
    <row r="5389">
      <c r="G5389" s="9"/>
    </row>
    <row r="5390">
      <c r="G5390" s="9"/>
    </row>
    <row r="5391">
      <c r="G5391" s="9"/>
    </row>
    <row r="5392">
      <c r="G5392" s="9"/>
    </row>
    <row r="5393">
      <c r="G5393" s="9"/>
    </row>
    <row r="5394">
      <c r="G5394" s="9"/>
    </row>
    <row r="5395">
      <c r="G5395" s="9"/>
    </row>
    <row r="5396">
      <c r="G5396" s="9"/>
    </row>
    <row r="5397">
      <c r="G5397" s="9"/>
    </row>
    <row r="5398">
      <c r="G5398" s="9"/>
    </row>
    <row r="5399">
      <c r="G5399" s="9"/>
    </row>
    <row r="5400">
      <c r="G5400" s="9"/>
    </row>
    <row r="5401">
      <c r="G5401" s="9"/>
    </row>
    <row r="5402">
      <c r="G5402" s="9"/>
    </row>
    <row r="5403">
      <c r="G5403" s="9"/>
    </row>
    <row r="5404">
      <c r="G5404" s="9"/>
    </row>
    <row r="5405">
      <c r="G5405" s="9"/>
    </row>
    <row r="5406">
      <c r="G5406" s="9"/>
    </row>
    <row r="5407">
      <c r="G5407" s="9"/>
    </row>
    <row r="5408">
      <c r="G5408" s="9"/>
    </row>
    <row r="5409">
      <c r="G5409" s="9"/>
    </row>
    <row r="5410">
      <c r="G5410" s="9"/>
    </row>
    <row r="5411">
      <c r="G5411" s="9"/>
    </row>
    <row r="5412">
      <c r="G5412" s="9"/>
    </row>
    <row r="5413">
      <c r="G5413" s="9"/>
    </row>
    <row r="5414">
      <c r="G5414" s="9"/>
    </row>
    <row r="5415">
      <c r="G5415" s="9"/>
    </row>
    <row r="5416">
      <c r="G5416" s="9"/>
    </row>
    <row r="5417">
      <c r="G5417" s="9"/>
    </row>
    <row r="5418">
      <c r="G5418" s="9"/>
    </row>
    <row r="5419">
      <c r="G5419" s="9"/>
    </row>
    <row r="5420">
      <c r="G5420" s="9"/>
    </row>
    <row r="5421">
      <c r="G5421" s="9"/>
    </row>
    <row r="5422">
      <c r="G5422" s="9"/>
    </row>
    <row r="5423">
      <c r="G5423" s="9"/>
    </row>
    <row r="5424">
      <c r="G5424" s="9"/>
    </row>
    <row r="5425">
      <c r="G5425" s="9"/>
    </row>
    <row r="5426">
      <c r="G5426" s="9"/>
    </row>
    <row r="5427">
      <c r="G5427" s="9"/>
    </row>
    <row r="5428">
      <c r="G5428" s="9"/>
    </row>
    <row r="5429">
      <c r="G5429" s="9"/>
    </row>
    <row r="5430">
      <c r="G5430" s="9"/>
    </row>
    <row r="5431">
      <c r="G5431" s="9"/>
    </row>
    <row r="5432">
      <c r="G5432" s="9"/>
    </row>
    <row r="5433">
      <c r="G5433" s="9"/>
    </row>
    <row r="5434">
      <c r="G5434" s="9"/>
    </row>
    <row r="5435">
      <c r="G5435" s="9"/>
    </row>
    <row r="5436">
      <c r="G5436" s="9"/>
    </row>
    <row r="5437">
      <c r="G5437" s="9"/>
    </row>
    <row r="5438">
      <c r="G5438" s="9"/>
    </row>
    <row r="5439">
      <c r="G5439" s="9"/>
    </row>
    <row r="5440">
      <c r="G5440" s="9"/>
    </row>
    <row r="5441">
      <c r="G5441" s="9"/>
    </row>
    <row r="5442">
      <c r="G5442" s="9"/>
    </row>
    <row r="5443">
      <c r="G5443" s="9"/>
    </row>
    <row r="5444">
      <c r="G5444" s="9"/>
    </row>
    <row r="5445">
      <c r="G5445" s="9"/>
    </row>
    <row r="5446">
      <c r="G5446" s="9"/>
    </row>
    <row r="5447">
      <c r="G5447" s="9"/>
    </row>
    <row r="5448">
      <c r="G5448" s="9"/>
    </row>
    <row r="5449">
      <c r="G5449" s="9"/>
    </row>
    <row r="5450">
      <c r="G5450" s="9"/>
    </row>
    <row r="5451">
      <c r="G5451" s="9"/>
    </row>
    <row r="5452">
      <c r="G5452" s="9"/>
    </row>
    <row r="5453">
      <c r="G5453" s="9"/>
    </row>
    <row r="5454">
      <c r="G5454" s="9"/>
    </row>
    <row r="5455">
      <c r="G5455" s="9"/>
    </row>
    <row r="5456">
      <c r="G5456" s="9"/>
    </row>
    <row r="5457">
      <c r="G5457" s="9"/>
    </row>
    <row r="5458">
      <c r="G5458" s="9"/>
    </row>
    <row r="5459">
      <c r="G5459" s="9"/>
    </row>
    <row r="5460">
      <c r="G5460" s="9"/>
    </row>
    <row r="5461">
      <c r="G5461" s="9"/>
    </row>
    <row r="5462">
      <c r="G5462" s="9"/>
    </row>
    <row r="5463">
      <c r="G5463" s="9"/>
    </row>
    <row r="5464">
      <c r="G5464" s="9"/>
    </row>
    <row r="5465">
      <c r="G5465" s="9"/>
    </row>
    <row r="5466">
      <c r="G5466" s="9"/>
    </row>
    <row r="5467">
      <c r="G5467" s="9"/>
    </row>
    <row r="5468">
      <c r="G5468" s="9"/>
    </row>
    <row r="5469">
      <c r="G5469" s="9"/>
    </row>
    <row r="5470">
      <c r="G5470" s="9"/>
    </row>
    <row r="5471">
      <c r="G5471" s="9"/>
    </row>
    <row r="5472">
      <c r="G5472" s="9"/>
    </row>
    <row r="5473">
      <c r="G5473" s="9"/>
    </row>
    <row r="5474">
      <c r="G5474" s="9"/>
    </row>
    <row r="5475">
      <c r="G5475" s="9"/>
    </row>
    <row r="5476">
      <c r="G5476" s="9"/>
    </row>
    <row r="5477">
      <c r="G5477" s="9"/>
    </row>
    <row r="5478">
      <c r="G5478" s="9"/>
    </row>
    <row r="5479">
      <c r="G5479" s="9"/>
    </row>
    <row r="5480">
      <c r="G5480" s="9"/>
    </row>
    <row r="5481">
      <c r="G5481" s="9"/>
    </row>
    <row r="5482">
      <c r="G5482" s="9"/>
    </row>
    <row r="5483">
      <c r="G5483" s="9"/>
    </row>
    <row r="5484">
      <c r="G5484" s="9"/>
    </row>
    <row r="5485">
      <c r="G5485" s="9"/>
    </row>
    <row r="5486">
      <c r="G5486" s="9"/>
    </row>
    <row r="5487">
      <c r="G5487" s="9"/>
    </row>
    <row r="5488">
      <c r="G5488" s="9"/>
    </row>
    <row r="5489">
      <c r="G5489" s="9"/>
    </row>
    <row r="5490">
      <c r="G5490" s="9"/>
    </row>
    <row r="5491">
      <c r="G5491" s="9"/>
    </row>
    <row r="5492">
      <c r="G5492" s="9"/>
    </row>
    <row r="5493">
      <c r="G5493" s="9"/>
    </row>
    <row r="5494">
      <c r="G5494" s="9"/>
    </row>
    <row r="5495">
      <c r="G5495" s="9"/>
    </row>
    <row r="5496">
      <c r="G5496" s="9"/>
    </row>
    <row r="5497">
      <c r="G5497" s="9"/>
    </row>
    <row r="5498">
      <c r="G5498" s="9"/>
    </row>
    <row r="5499">
      <c r="G5499" s="9"/>
    </row>
    <row r="5500">
      <c r="G5500" s="9"/>
    </row>
    <row r="5501">
      <c r="G5501" s="9"/>
    </row>
    <row r="5502">
      <c r="G5502" s="9"/>
    </row>
    <row r="5503">
      <c r="G5503" s="9"/>
    </row>
    <row r="5504">
      <c r="G5504" s="9"/>
    </row>
    <row r="5505">
      <c r="G5505" s="9"/>
    </row>
    <row r="5506">
      <c r="G5506" s="9"/>
    </row>
    <row r="5507">
      <c r="G5507" s="9"/>
    </row>
    <row r="5508">
      <c r="G5508" s="9"/>
    </row>
    <row r="5509">
      <c r="G5509" s="9"/>
    </row>
    <row r="5510">
      <c r="G5510" s="9"/>
    </row>
    <row r="5511">
      <c r="G5511" s="9"/>
    </row>
    <row r="5512">
      <c r="G5512" s="9"/>
    </row>
    <row r="5513">
      <c r="G5513" s="9"/>
    </row>
    <row r="5514">
      <c r="G5514" s="9"/>
    </row>
    <row r="5515">
      <c r="G5515" s="9"/>
    </row>
    <row r="5516">
      <c r="G5516" s="9"/>
    </row>
    <row r="5517">
      <c r="G5517" s="9"/>
    </row>
    <row r="5518">
      <c r="G5518" s="9"/>
    </row>
    <row r="5519">
      <c r="G5519" s="9"/>
    </row>
    <row r="5520">
      <c r="G5520" s="9"/>
    </row>
    <row r="5521">
      <c r="G5521" s="9"/>
    </row>
    <row r="5522">
      <c r="G5522" s="9"/>
    </row>
    <row r="5523">
      <c r="G5523" s="9"/>
    </row>
    <row r="5524">
      <c r="G5524" s="9"/>
    </row>
    <row r="5525">
      <c r="G5525" s="9"/>
    </row>
    <row r="5526">
      <c r="G5526" s="9"/>
    </row>
    <row r="5527">
      <c r="G5527" s="9"/>
    </row>
    <row r="5528">
      <c r="G5528" s="9"/>
    </row>
    <row r="5529">
      <c r="G5529" s="9"/>
    </row>
    <row r="5530">
      <c r="G5530" s="9"/>
    </row>
    <row r="5531">
      <c r="G5531" s="9"/>
    </row>
    <row r="5532">
      <c r="G5532" s="9"/>
    </row>
    <row r="5533">
      <c r="G5533" s="9"/>
    </row>
    <row r="5534">
      <c r="G5534" s="9"/>
    </row>
    <row r="5535">
      <c r="G5535" s="9"/>
    </row>
    <row r="5536">
      <c r="G5536" s="9"/>
    </row>
    <row r="5537">
      <c r="G5537" s="9"/>
    </row>
    <row r="5538">
      <c r="G5538" s="9"/>
    </row>
    <row r="5539">
      <c r="G5539" s="9"/>
    </row>
    <row r="5540">
      <c r="G5540" s="9"/>
    </row>
    <row r="5541">
      <c r="G5541" s="9"/>
    </row>
    <row r="5542">
      <c r="G5542" s="9"/>
    </row>
    <row r="5543">
      <c r="G5543" s="9"/>
    </row>
    <row r="5544">
      <c r="G5544" s="9"/>
    </row>
    <row r="5545">
      <c r="G5545" s="9"/>
    </row>
    <row r="5546">
      <c r="G5546" s="9"/>
    </row>
    <row r="5547">
      <c r="G5547" s="9"/>
    </row>
    <row r="5548">
      <c r="G5548" s="9"/>
    </row>
    <row r="5549">
      <c r="G5549" s="9"/>
    </row>
    <row r="5550">
      <c r="G5550" s="9"/>
    </row>
    <row r="5551">
      <c r="G5551" s="9"/>
    </row>
    <row r="5552">
      <c r="G5552" s="9"/>
    </row>
    <row r="5553">
      <c r="G5553" s="9"/>
    </row>
    <row r="5554">
      <c r="G5554" s="9"/>
    </row>
    <row r="5555">
      <c r="G5555" s="9"/>
    </row>
    <row r="5556">
      <c r="G5556" s="9"/>
    </row>
    <row r="5557">
      <c r="G5557" s="9"/>
    </row>
    <row r="5558">
      <c r="G5558" s="9"/>
    </row>
    <row r="5559">
      <c r="G5559" s="9"/>
    </row>
    <row r="5560">
      <c r="G5560" s="9"/>
    </row>
    <row r="5561">
      <c r="G5561" s="9"/>
    </row>
    <row r="5562">
      <c r="G5562" s="9"/>
    </row>
    <row r="5563">
      <c r="G5563" s="9"/>
    </row>
    <row r="5564">
      <c r="G5564" s="9"/>
    </row>
    <row r="5565">
      <c r="G5565" s="9"/>
    </row>
    <row r="5566">
      <c r="G5566" s="9"/>
    </row>
    <row r="5567">
      <c r="G5567" s="9"/>
    </row>
    <row r="5568">
      <c r="G5568" s="9"/>
    </row>
    <row r="5569">
      <c r="G5569" s="9"/>
    </row>
    <row r="5570">
      <c r="G5570" s="9"/>
    </row>
    <row r="5571">
      <c r="G5571" s="9"/>
    </row>
    <row r="5572">
      <c r="G5572" s="9"/>
    </row>
    <row r="5573">
      <c r="G5573" s="9"/>
    </row>
    <row r="5574">
      <c r="G5574" s="9"/>
    </row>
    <row r="5575">
      <c r="G5575" s="9"/>
    </row>
    <row r="5576">
      <c r="G5576" s="9"/>
    </row>
    <row r="5577">
      <c r="G5577" s="9"/>
    </row>
    <row r="5578">
      <c r="G5578" s="9"/>
    </row>
    <row r="5579">
      <c r="G5579" s="9"/>
    </row>
    <row r="5580">
      <c r="G5580" s="9"/>
    </row>
    <row r="5581">
      <c r="G5581" s="9"/>
    </row>
    <row r="5582">
      <c r="G5582" s="9"/>
    </row>
    <row r="5583">
      <c r="G5583" s="9"/>
    </row>
    <row r="5584">
      <c r="G5584" s="9"/>
    </row>
    <row r="5585">
      <c r="G5585" s="9"/>
    </row>
    <row r="5586">
      <c r="G5586" s="9"/>
    </row>
    <row r="5587">
      <c r="G5587" s="9"/>
    </row>
    <row r="5588">
      <c r="G5588" s="9"/>
    </row>
    <row r="5589">
      <c r="G5589" s="9"/>
    </row>
    <row r="5590">
      <c r="G5590" s="9"/>
    </row>
    <row r="5591">
      <c r="G5591" s="9"/>
    </row>
    <row r="5592">
      <c r="G5592" s="9"/>
    </row>
    <row r="5593">
      <c r="G5593" s="9"/>
    </row>
    <row r="5594">
      <c r="G5594" s="9"/>
    </row>
    <row r="5595">
      <c r="G5595" s="9"/>
    </row>
    <row r="5596">
      <c r="G5596" s="9"/>
    </row>
    <row r="5597">
      <c r="G5597" s="9"/>
    </row>
    <row r="5598">
      <c r="G5598" s="9"/>
    </row>
    <row r="5599">
      <c r="G5599" s="9"/>
    </row>
    <row r="5600">
      <c r="G5600" s="9"/>
    </row>
    <row r="5601">
      <c r="G5601" s="9"/>
    </row>
    <row r="5602">
      <c r="G5602" s="9"/>
    </row>
    <row r="5603">
      <c r="G5603" s="9"/>
    </row>
    <row r="5604">
      <c r="G5604" s="9"/>
    </row>
    <row r="5605">
      <c r="G5605" s="9"/>
    </row>
    <row r="5606">
      <c r="G5606" s="9"/>
    </row>
    <row r="5607">
      <c r="G5607" s="9"/>
    </row>
    <row r="5608">
      <c r="G5608" s="9"/>
    </row>
    <row r="5609">
      <c r="G5609" s="9"/>
    </row>
    <row r="5610">
      <c r="G5610" s="9"/>
    </row>
    <row r="5611">
      <c r="G5611" s="9"/>
    </row>
    <row r="5612">
      <c r="G5612" s="9"/>
    </row>
    <row r="5613">
      <c r="G5613" s="9"/>
    </row>
    <row r="5614">
      <c r="G5614" s="9"/>
    </row>
    <row r="5615">
      <c r="G5615" s="9"/>
    </row>
    <row r="5616">
      <c r="G5616" s="9"/>
    </row>
    <row r="5617">
      <c r="G5617" s="9"/>
    </row>
    <row r="5618">
      <c r="G5618" s="9"/>
    </row>
    <row r="5619">
      <c r="G5619" s="9"/>
    </row>
    <row r="5620">
      <c r="G5620" s="9"/>
    </row>
    <row r="5621">
      <c r="G5621" s="9"/>
    </row>
    <row r="5622">
      <c r="G5622" s="9"/>
    </row>
    <row r="5623">
      <c r="G5623" s="9"/>
    </row>
    <row r="5624">
      <c r="G5624" s="9"/>
    </row>
    <row r="5625">
      <c r="G5625" s="9"/>
    </row>
    <row r="5626">
      <c r="G5626" s="9"/>
    </row>
    <row r="5627">
      <c r="G5627" s="9"/>
    </row>
    <row r="5628">
      <c r="G5628" s="9"/>
    </row>
    <row r="5629">
      <c r="G5629" s="9"/>
    </row>
    <row r="5630">
      <c r="G5630" s="9"/>
    </row>
    <row r="5631">
      <c r="G5631" s="9"/>
    </row>
    <row r="5632">
      <c r="G5632" s="9"/>
    </row>
    <row r="5633">
      <c r="G5633" s="9"/>
    </row>
    <row r="5634">
      <c r="G5634" s="9"/>
    </row>
    <row r="5635">
      <c r="G5635" s="9"/>
    </row>
    <row r="5636">
      <c r="G5636" s="9"/>
    </row>
    <row r="5637">
      <c r="G5637" s="9"/>
    </row>
    <row r="5638">
      <c r="G5638" s="9"/>
    </row>
    <row r="5639">
      <c r="G5639" s="9"/>
    </row>
    <row r="5640">
      <c r="G5640" s="9"/>
    </row>
    <row r="5641">
      <c r="G5641" s="9"/>
    </row>
    <row r="5642">
      <c r="G5642" s="9"/>
    </row>
    <row r="5643">
      <c r="G5643" s="9"/>
    </row>
    <row r="5644">
      <c r="G5644" s="9"/>
    </row>
    <row r="5645">
      <c r="G5645" s="9"/>
    </row>
    <row r="5646">
      <c r="G5646" s="9"/>
    </row>
    <row r="5647">
      <c r="G5647" s="9"/>
    </row>
    <row r="5648">
      <c r="G5648" s="9"/>
    </row>
    <row r="5649">
      <c r="G5649" s="9"/>
    </row>
    <row r="5650">
      <c r="G5650" s="9"/>
    </row>
    <row r="5651">
      <c r="G5651" s="9"/>
    </row>
    <row r="5652">
      <c r="G5652" s="9"/>
    </row>
    <row r="5653">
      <c r="G5653" s="9"/>
    </row>
    <row r="5654">
      <c r="G5654" s="9"/>
    </row>
    <row r="5655">
      <c r="G5655" s="9"/>
    </row>
    <row r="5656">
      <c r="G5656" s="9"/>
    </row>
    <row r="5657">
      <c r="G5657" s="9"/>
    </row>
    <row r="5658">
      <c r="G5658" s="9"/>
    </row>
    <row r="5659">
      <c r="G5659" s="9"/>
    </row>
    <row r="5660">
      <c r="G5660" s="9"/>
    </row>
    <row r="5661">
      <c r="G5661" s="9"/>
    </row>
    <row r="5662">
      <c r="G5662" s="9"/>
    </row>
    <row r="5663">
      <c r="G5663" s="9"/>
    </row>
    <row r="5664">
      <c r="G5664" s="9"/>
    </row>
    <row r="5665">
      <c r="G5665" s="9"/>
    </row>
    <row r="5666">
      <c r="G5666" s="9"/>
    </row>
    <row r="5667">
      <c r="G5667" s="9"/>
    </row>
    <row r="5668">
      <c r="G5668" s="9"/>
    </row>
    <row r="5669">
      <c r="G5669" s="9"/>
    </row>
    <row r="5670">
      <c r="G5670" s="9"/>
    </row>
    <row r="5671">
      <c r="G5671" s="9"/>
    </row>
    <row r="5672">
      <c r="G5672" s="9"/>
    </row>
    <row r="5673">
      <c r="G5673" s="9"/>
    </row>
    <row r="5674">
      <c r="G5674" s="9"/>
    </row>
    <row r="5675">
      <c r="G5675" s="9"/>
    </row>
    <row r="5676">
      <c r="G5676" s="9"/>
    </row>
    <row r="5677">
      <c r="G5677" s="9"/>
    </row>
    <row r="5678">
      <c r="G5678" s="9"/>
    </row>
    <row r="5679">
      <c r="G5679" s="9"/>
    </row>
    <row r="5680">
      <c r="G5680" s="9"/>
    </row>
    <row r="5681">
      <c r="G5681" s="9"/>
    </row>
    <row r="5682">
      <c r="G5682" s="9"/>
    </row>
    <row r="5683">
      <c r="G5683" s="9"/>
    </row>
    <row r="5684">
      <c r="G5684" s="9"/>
    </row>
    <row r="5685">
      <c r="G5685" s="9"/>
    </row>
    <row r="5686">
      <c r="G5686" s="9"/>
    </row>
    <row r="5687">
      <c r="G5687" s="9"/>
    </row>
    <row r="5688">
      <c r="G5688" s="9"/>
    </row>
    <row r="5689">
      <c r="G5689" s="9"/>
    </row>
    <row r="5690">
      <c r="G5690" s="9"/>
    </row>
    <row r="5691">
      <c r="G5691" s="9"/>
    </row>
    <row r="5692">
      <c r="G5692" s="9"/>
    </row>
    <row r="5693">
      <c r="G5693" s="9"/>
    </row>
    <row r="5694">
      <c r="G5694" s="9"/>
    </row>
    <row r="5695">
      <c r="G5695" s="9"/>
    </row>
    <row r="5696">
      <c r="G5696" s="9"/>
    </row>
    <row r="5697">
      <c r="G5697" s="9"/>
    </row>
    <row r="5698">
      <c r="G5698" s="9"/>
    </row>
    <row r="5699">
      <c r="G5699" s="9"/>
    </row>
    <row r="5700">
      <c r="G5700" s="9"/>
    </row>
    <row r="5701">
      <c r="G5701" s="9"/>
    </row>
    <row r="5702">
      <c r="G5702" s="9"/>
    </row>
    <row r="5703">
      <c r="G5703" s="9"/>
    </row>
    <row r="5704">
      <c r="G5704" s="9"/>
    </row>
    <row r="5705">
      <c r="G5705" s="9"/>
    </row>
    <row r="5706">
      <c r="G5706" s="9"/>
    </row>
    <row r="5707">
      <c r="G5707" s="9"/>
    </row>
    <row r="5708">
      <c r="G5708" s="9"/>
    </row>
    <row r="5709">
      <c r="G5709" s="9"/>
    </row>
    <row r="5710">
      <c r="G5710" s="9"/>
    </row>
    <row r="5711">
      <c r="G5711" s="9"/>
    </row>
    <row r="5712">
      <c r="G5712" s="9"/>
    </row>
    <row r="5713">
      <c r="G5713" s="9"/>
    </row>
    <row r="5714">
      <c r="G5714" s="9"/>
    </row>
    <row r="5715">
      <c r="G5715" s="9"/>
    </row>
    <row r="5716">
      <c r="G5716" s="9"/>
    </row>
    <row r="5717">
      <c r="G5717" s="9"/>
    </row>
    <row r="5718">
      <c r="G5718" s="9"/>
    </row>
    <row r="5719">
      <c r="G5719" s="9"/>
    </row>
    <row r="5720">
      <c r="G5720" s="9"/>
    </row>
    <row r="5721">
      <c r="G5721" s="9"/>
    </row>
    <row r="5722">
      <c r="G5722" s="9"/>
    </row>
    <row r="5723">
      <c r="G5723" s="9"/>
    </row>
    <row r="5724">
      <c r="G5724" s="9"/>
    </row>
    <row r="5725">
      <c r="G5725" s="9"/>
    </row>
    <row r="5726">
      <c r="G5726" s="9"/>
    </row>
    <row r="5727">
      <c r="G5727" s="9"/>
    </row>
    <row r="5728">
      <c r="G5728" s="9"/>
    </row>
    <row r="5729">
      <c r="G5729" s="9"/>
    </row>
    <row r="5730">
      <c r="G5730" s="9"/>
    </row>
    <row r="5731">
      <c r="G5731" s="9"/>
    </row>
    <row r="5732">
      <c r="G5732" s="9"/>
    </row>
    <row r="5733">
      <c r="G5733" s="9"/>
    </row>
    <row r="5734">
      <c r="G5734" s="9"/>
    </row>
    <row r="5735">
      <c r="G5735" s="9"/>
    </row>
    <row r="5736">
      <c r="G5736" s="9"/>
    </row>
    <row r="5737">
      <c r="G5737" s="9"/>
    </row>
    <row r="5738">
      <c r="G5738" s="9"/>
    </row>
    <row r="5739">
      <c r="G5739" s="9"/>
    </row>
    <row r="5740">
      <c r="G5740" s="9"/>
    </row>
    <row r="5741">
      <c r="G5741" s="9"/>
    </row>
    <row r="5742">
      <c r="G5742" s="9"/>
    </row>
    <row r="5743">
      <c r="G5743" s="9"/>
    </row>
    <row r="5744">
      <c r="G5744" s="9"/>
    </row>
    <row r="5745">
      <c r="G5745" s="9"/>
    </row>
    <row r="5746">
      <c r="G5746" s="9"/>
    </row>
    <row r="5747">
      <c r="G5747" s="9"/>
    </row>
    <row r="5748">
      <c r="G5748" s="9"/>
    </row>
    <row r="5749">
      <c r="G5749" s="9"/>
    </row>
    <row r="5750">
      <c r="G5750" s="9"/>
    </row>
    <row r="5751">
      <c r="G5751" s="9"/>
    </row>
    <row r="5752">
      <c r="G5752" s="9"/>
    </row>
    <row r="5753">
      <c r="G5753" s="9"/>
    </row>
    <row r="5754">
      <c r="G5754" s="9"/>
    </row>
    <row r="5755">
      <c r="G5755" s="9"/>
    </row>
    <row r="5756">
      <c r="G5756" s="9"/>
    </row>
    <row r="5757">
      <c r="G5757" s="9"/>
    </row>
    <row r="5758">
      <c r="G5758" s="9"/>
    </row>
    <row r="5759">
      <c r="G5759" s="9"/>
    </row>
    <row r="5760">
      <c r="G5760" s="9"/>
    </row>
    <row r="5761">
      <c r="G5761" s="9"/>
    </row>
    <row r="5762">
      <c r="G5762" s="9"/>
    </row>
    <row r="5763">
      <c r="G5763" s="9"/>
    </row>
    <row r="5764">
      <c r="G5764" s="9"/>
    </row>
    <row r="5765">
      <c r="G5765" s="9"/>
    </row>
    <row r="5766">
      <c r="G5766" s="9"/>
    </row>
    <row r="5767">
      <c r="G5767" s="9"/>
    </row>
    <row r="5768">
      <c r="G5768" s="9"/>
    </row>
    <row r="5769">
      <c r="G5769" s="9"/>
    </row>
    <row r="5770">
      <c r="G5770" s="9"/>
    </row>
    <row r="5771">
      <c r="G5771" s="9"/>
    </row>
    <row r="5772">
      <c r="G5772" s="9"/>
    </row>
    <row r="5773">
      <c r="G5773" s="9"/>
    </row>
    <row r="5774">
      <c r="G5774" s="9"/>
    </row>
    <row r="5775">
      <c r="G5775" s="9"/>
    </row>
    <row r="5776">
      <c r="G5776" s="9"/>
    </row>
    <row r="5777">
      <c r="G5777" s="9"/>
    </row>
    <row r="5778">
      <c r="G5778" s="9"/>
    </row>
    <row r="5779">
      <c r="G5779" s="9"/>
    </row>
    <row r="5780">
      <c r="G5780" s="9"/>
    </row>
    <row r="5781">
      <c r="G5781" s="9"/>
    </row>
    <row r="5782">
      <c r="G5782" s="9"/>
    </row>
    <row r="5783">
      <c r="G5783" s="9"/>
    </row>
    <row r="5784">
      <c r="G5784" s="9"/>
    </row>
    <row r="5785">
      <c r="G5785" s="9"/>
    </row>
    <row r="5786">
      <c r="G5786" s="9"/>
    </row>
    <row r="5787">
      <c r="G5787" s="9"/>
    </row>
    <row r="5788">
      <c r="G5788" s="9"/>
    </row>
    <row r="5789">
      <c r="G5789" s="9"/>
    </row>
    <row r="5790">
      <c r="G5790" s="9"/>
    </row>
    <row r="5791">
      <c r="G5791" s="9"/>
    </row>
    <row r="5792">
      <c r="G5792" s="9"/>
    </row>
    <row r="5793">
      <c r="G5793" s="9"/>
    </row>
    <row r="5794">
      <c r="G5794" s="9"/>
    </row>
    <row r="5795">
      <c r="G5795" s="9"/>
    </row>
    <row r="5796">
      <c r="G5796" s="9"/>
    </row>
    <row r="5797">
      <c r="G5797" s="9"/>
    </row>
    <row r="5798">
      <c r="G5798" s="9"/>
    </row>
    <row r="5799">
      <c r="G5799" s="9"/>
    </row>
    <row r="5800">
      <c r="G5800" s="9"/>
    </row>
    <row r="5801">
      <c r="G5801" s="9"/>
    </row>
    <row r="5802">
      <c r="G5802" s="9"/>
    </row>
    <row r="5803">
      <c r="G5803" s="9"/>
    </row>
    <row r="5804">
      <c r="G5804" s="9"/>
    </row>
    <row r="5805">
      <c r="G5805" s="9"/>
    </row>
    <row r="5806">
      <c r="G5806" s="9"/>
    </row>
    <row r="5807">
      <c r="G5807" s="9"/>
    </row>
    <row r="5808">
      <c r="G5808" s="9"/>
    </row>
    <row r="5809">
      <c r="G5809" s="9"/>
    </row>
    <row r="5810">
      <c r="G5810" s="9"/>
    </row>
    <row r="5811">
      <c r="G5811" s="9"/>
    </row>
    <row r="5812">
      <c r="G5812" s="9"/>
    </row>
    <row r="5813">
      <c r="G5813" s="9"/>
    </row>
    <row r="5814">
      <c r="G5814" s="9"/>
    </row>
    <row r="5815">
      <c r="G5815" s="9"/>
    </row>
    <row r="5816">
      <c r="G5816" s="9"/>
    </row>
    <row r="5817">
      <c r="G5817" s="9"/>
    </row>
    <row r="5818">
      <c r="G5818" s="9"/>
    </row>
    <row r="5819">
      <c r="G5819" s="9"/>
    </row>
    <row r="5820">
      <c r="G5820" s="9"/>
    </row>
    <row r="5821">
      <c r="G5821" s="9"/>
    </row>
    <row r="5822">
      <c r="G5822" s="9"/>
    </row>
    <row r="5823">
      <c r="G5823" s="9"/>
    </row>
    <row r="5824">
      <c r="G5824" s="9"/>
    </row>
    <row r="5825">
      <c r="G5825" s="9"/>
    </row>
    <row r="5826">
      <c r="G5826" s="9"/>
    </row>
    <row r="5827">
      <c r="G5827" s="9"/>
    </row>
    <row r="5828">
      <c r="G5828" s="9"/>
    </row>
    <row r="5829">
      <c r="G5829" s="9"/>
    </row>
    <row r="5830">
      <c r="G5830" s="9"/>
    </row>
    <row r="5831">
      <c r="G5831" s="9"/>
    </row>
    <row r="5832">
      <c r="G5832" s="9"/>
    </row>
    <row r="5833">
      <c r="G5833" s="9"/>
    </row>
    <row r="5834">
      <c r="G5834" s="9"/>
    </row>
    <row r="5835">
      <c r="G5835" s="9"/>
    </row>
    <row r="5836">
      <c r="G5836" s="9"/>
    </row>
    <row r="5837">
      <c r="G5837" s="9"/>
    </row>
    <row r="5838">
      <c r="G5838" s="9"/>
    </row>
    <row r="5839">
      <c r="G5839" s="9"/>
    </row>
    <row r="5840">
      <c r="G5840" s="9"/>
    </row>
    <row r="5841">
      <c r="G5841" s="9"/>
    </row>
    <row r="5842">
      <c r="G5842" s="9"/>
    </row>
    <row r="5843">
      <c r="G5843" s="9"/>
    </row>
    <row r="5844">
      <c r="G5844" s="9"/>
    </row>
    <row r="5845">
      <c r="G5845" s="9"/>
    </row>
    <row r="5846">
      <c r="G5846" s="9"/>
    </row>
    <row r="5847">
      <c r="G5847" s="9"/>
    </row>
    <row r="5848">
      <c r="G5848" s="9"/>
    </row>
    <row r="5849">
      <c r="G5849" s="9"/>
    </row>
    <row r="5850">
      <c r="G5850" s="9"/>
    </row>
    <row r="5851">
      <c r="G5851" s="9"/>
    </row>
    <row r="5852">
      <c r="G5852" s="9"/>
    </row>
    <row r="5853">
      <c r="G5853" s="9"/>
    </row>
    <row r="5854">
      <c r="G5854" s="9"/>
    </row>
    <row r="5855">
      <c r="G5855" s="9"/>
    </row>
    <row r="5856">
      <c r="G5856" s="9"/>
    </row>
    <row r="5857">
      <c r="G5857" s="9"/>
    </row>
    <row r="5858">
      <c r="G5858" s="9"/>
    </row>
    <row r="5859">
      <c r="G5859" s="9"/>
    </row>
    <row r="5860">
      <c r="G5860" s="9"/>
    </row>
    <row r="5861">
      <c r="G5861" s="9"/>
    </row>
    <row r="5862">
      <c r="G5862" s="9"/>
    </row>
    <row r="5863">
      <c r="G5863" s="9"/>
    </row>
    <row r="5864">
      <c r="G5864" s="9"/>
    </row>
    <row r="5865">
      <c r="G5865" s="9"/>
    </row>
    <row r="5866">
      <c r="G5866" s="9"/>
    </row>
    <row r="5867">
      <c r="G5867" s="9"/>
    </row>
    <row r="5868">
      <c r="G5868" s="9"/>
    </row>
    <row r="5869">
      <c r="G5869" s="9"/>
    </row>
    <row r="5870">
      <c r="G5870" s="9"/>
    </row>
    <row r="5871">
      <c r="G5871" s="9"/>
    </row>
    <row r="5872">
      <c r="G5872" s="9"/>
    </row>
    <row r="5873">
      <c r="G5873" s="9"/>
    </row>
    <row r="5874">
      <c r="G5874" s="9"/>
    </row>
    <row r="5875">
      <c r="G5875" s="9"/>
    </row>
    <row r="5876">
      <c r="G5876" s="9"/>
    </row>
    <row r="5877">
      <c r="G5877" s="9"/>
    </row>
    <row r="5878">
      <c r="G5878" s="9"/>
    </row>
    <row r="5879">
      <c r="G5879" s="9"/>
    </row>
    <row r="5880">
      <c r="G5880" s="9"/>
    </row>
    <row r="5881">
      <c r="G5881" s="9"/>
    </row>
    <row r="5882">
      <c r="G5882" s="9"/>
    </row>
    <row r="5883">
      <c r="G5883" s="9"/>
    </row>
    <row r="5884">
      <c r="G5884" s="9"/>
    </row>
    <row r="5885">
      <c r="G5885" s="9"/>
    </row>
    <row r="5886">
      <c r="G5886" s="9"/>
    </row>
    <row r="5887">
      <c r="G5887" s="9"/>
    </row>
    <row r="5888">
      <c r="G5888" s="9"/>
    </row>
    <row r="5889">
      <c r="G5889" s="9"/>
    </row>
    <row r="5890">
      <c r="G5890" s="9"/>
    </row>
    <row r="5891">
      <c r="G5891" s="9"/>
    </row>
    <row r="5892">
      <c r="G5892" s="9"/>
    </row>
    <row r="5893">
      <c r="G5893" s="9"/>
    </row>
    <row r="5894">
      <c r="G5894" s="9"/>
    </row>
    <row r="5895">
      <c r="G5895" s="9"/>
    </row>
    <row r="5896">
      <c r="G5896" s="9"/>
    </row>
    <row r="5897">
      <c r="G5897" s="9"/>
    </row>
    <row r="5898">
      <c r="G5898" s="9"/>
    </row>
    <row r="5899">
      <c r="G5899" s="9"/>
    </row>
    <row r="5900">
      <c r="G5900" s="9"/>
    </row>
    <row r="5901">
      <c r="G5901" s="9"/>
    </row>
    <row r="5902">
      <c r="G5902" s="9"/>
    </row>
    <row r="5903">
      <c r="G5903" s="9"/>
    </row>
    <row r="5904">
      <c r="G5904" s="9"/>
    </row>
    <row r="5905">
      <c r="G5905" s="9"/>
    </row>
    <row r="5906">
      <c r="G5906" s="9"/>
    </row>
    <row r="5907">
      <c r="G5907" s="9"/>
    </row>
    <row r="5908">
      <c r="G5908" s="9"/>
    </row>
    <row r="5909">
      <c r="G5909" s="9"/>
    </row>
    <row r="5910">
      <c r="G5910" s="9"/>
    </row>
    <row r="5911">
      <c r="G5911" s="9"/>
    </row>
    <row r="5912">
      <c r="G5912" s="9"/>
    </row>
    <row r="5913">
      <c r="G5913" s="9"/>
    </row>
    <row r="5914">
      <c r="G5914" s="9"/>
    </row>
    <row r="5915">
      <c r="G5915" s="9"/>
    </row>
    <row r="5916">
      <c r="G5916" s="9"/>
    </row>
    <row r="5917">
      <c r="G5917" s="9"/>
    </row>
    <row r="5918">
      <c r="G5918" s="9"/>
    </row>
    <row r="5919">
      <c r="G5919" s="9"/>
    </row>
    <row r="5920">
      <c r="G5920" s="9"/>
    </row>
    <row r="5921">
      <c r="G5921" s="9"/>
    </row>
    <row r="5922">
      <c r="G5922" s="9"/>
    </row>
    <row r="5923">
      <c r="G5923" s="9"/>
    </row>
    <row r="5924">
      <c r="G5924" s="9"/>
    </row>
    <row r="5925">
      <c r="G5925" s="9"/>
    </row>
    <row r="5926">
      <c r="G5926" s="9"/>
    </row>
    <row r="5927">
      <c r="G5927" s="9"/>
    </row>
    <row r="5928">
      <c r="G5928" s="9"/>
    </row>
    <row r="5929">
      <c r="G5929" s="9"/>
    </row>
    <row r="5930">
      <c r="G5930" s="9"/>
    </row>
    <row r="5931">
      <c r="G5931" s="9"/>
    </row>
    <row r="5932">
      <c r="G5932" s="9"/>
    </row>
    <row r="5933">
      <c r="G5933" s="9"/>
    </row>
    <row r="5934">
      <c r="G5934" s="9"/>
    </row>
    <row r="5935">
      <c r="G5935" s="9"/>
    </row>
    <row r="5936">
      <c r="G5936" s="9"/>
    </row>
    <row r="5937">
      <c r="G5937" s="9"/>
    </row>
    <row r="5938">
      <c r="G5938" s="9"/>
    </row>
    <row r="5939">
      <c r="G5939" s="9"/>
    </row>
    <row r="5940">
      <c r="G5940" s="9"/>
    </row>
    <row r="5941">
      <c r="G5941" s="9"/>
    </row>
    <row r="5942">
      <c r="G5942" s="9"/>
    </row>
    <row r="5943">
      <c r="G5943" s="9"/>
    </row>
    <row r="5944">
      <c r="G5944" s="9"/>
    </row>
    <row r="5945">
      <c r="G5945" s="9"/>
    </row>
    <row r="5946">
      <c r="G5946" s="9"/>
    </row>
    <row r="5947">
      <c r="G5947" s="9"/>
    </row>
    <row r="5948">
      <c r="G5948" s="9"/>
    </row>
    <row r="5949">
      <c r="G5949" s="9"/>
    </row>
    <row r="5950">
      <c r="G5950" s="9"/>
    </row>
    <row r="5951">
      <c r="G5951" s="9"/>
    </row>
    <row r="5952">
      <c r="G5952" s="9"/>
    </row>
    <row r="5953">
      <c r="G5953" s="9"/>
    </row>
    <row r="5954">
      <c r="G5954" s="9"/>
    </row>
    <row r="5955">
      <c r="G5955" s="9"/>
    </row>
    <row r="5956">
      <c r="G5956" s="9"/>
    </row>
    <row r="5957">
      <c r="G5957" s="9"/>
    </row>
    <row r="5958">
      <c r="G5958" s="9"/>
    </row>
    <row r="5959">
      <c r="G5959" s="9"/>
    </row>
    <row r="5960">
      <c r="G5960" s="9"/>
    </row>
    <row r="5961">
      <c r="G5961" s="9"/>
    </row>
    <row r="5962">
      <c r="G5962" s="9"/>
    </row>
    <row r="5963">
      <c r="G5963" s="9"/>
    </row>
    <row r="5964">
      <c r="G5964" s="9"/>
    </row>
    <row r="5965">
      <c r="G5965" s="9"/>
    </row>
    <row r="5966">
      <c r="G5966" s="9"/>
    </row>
    <row r="5967">
      <c r="G5967" s="9"/>
    </row>
    <row r="5968">
      <c r="G5968" s="9"/>
    </row>
    <row r="5969">
      <c r="G5969" s="9"/>
    </row>
    <row r="5970">
      <c r="G5970" s="9"/>
    </row>
    <row r="5971">
      <c r="G5971" s="9"/>
    </row>
    <row r="5972">
      <c r="G5972" s="9"/>
    </row>
    <row r="5973">
      <c r="G5973" s="9"/>
    </row>
    <row r="5974">
      <c r="G5974" s="9"/>
    </row>
    <row r="5975">
      <c r="G5975" s="9"/>
    </row>
    <row r="5976">
      <c r="G5976" s="9"/>
    </row>
    <row r="5977">
      <c r="G5977" s="9"/>
    </row>
    <row r="5978">
      <c r="G5978" s="9"/>
    </row>
    <row r="5979">
      <c r="G5979" s="9"/>
    </row>
    <row r="5980">
      <c r="G5980" s="9"/>
    </row>
    <row r="5981">
      <c r="G5981" s="9"/>
    </row>
    <row r="5982">
      <c r="G5982" s="9"/>
    </row>
    <row r="5983">
      <c r="G5983" s="9"/>
    </row>
    <row r="5984">
      <c r="G5984" s="9"/>
    </row>
    <row r="5985">
      <c r="G5985" s="9"/>
    </row>
    <row r="5986">
      <c r="G5986" s="9"/>
    </row>
    <row r="5987">
      <c r="G5987" s="9"/>
    </row>
    <row r="5988">
      <c r="G5988" s="9"/>
    </row>
    <row r="5989">
      <c r="G5989" s="9"/>
    </row>
    <row r="5990">
      <c r="G5990" s="9"/>
    </row>
    <row r="5991">
      <c r="G5991" s="9"/>
    </row>
    <row r="5992">
      <c r="G5992" s="9"/>
    </row>
    <row r="5993">
      <c r="G5993" s="9"/>
    </row>
    <row r="5994">
      <c r="G5994" s="9"/>
    </row>
    <row r="5995">
      <c r="G5995" s="9"/>
    </row>
    <row r="5996">
      <c r="G5996" s="9"/>
    </row>
    <row r="5997">
      <c r="G5997" s="9"/>
    </row>
    <row r="5998">
      <c r="G5998" s="9"/>
    </row>
    <row r="5999">
      <c r="G5999" s="9"/>
    </row>
    <row r="6000">
      <c r="G6000" s="9"/>
    </row>
    <row r="6001">
      <c r="G6001" s="9"/>
    </row>
    <row r="6002">
      <c r="G6002" s="9"/>
    </row>
    <row r="6003">
      <c r="G6003" s="9"/>
    </row>
    <row r="6004">
      <c r="G6004" s="9"/>
    </row>
    <row r="6005">
      <c r="G6005" s="9"/>
    </row>
    <row r="6006">
      <c r="G6006" s="9"/>
    </row>
    <row r="6007">
      <c r="G6007" s="9"/>
    </row>
    <row r="6008">
      <c r="G6008" s="9"/>
    </row>
    <row r="6009">
      <c r="G6009" s="9"/>
    </row>
    <row r="6010">
      <c r="G6010" s="9"/>
    </row>
    <row r="6011">
      <c r="G6011" s="9"/>
    </row>
    <row r="6012">
      <c r="G6012" s="9"/>
    </row>
    <row r="6013">
      <c r="G6013" s="9"/>
    </row>
    <row r="6014">
      <c r="G6014" s="9"/>
    </row>
    <row r="6015">
      <c r="G6015" s="9"/>
    </row>
    <row r="6016">
      <c r="G6016" s="9"/>
    </row>
    <row r="6017">
      <c r="G6017" s="9"/>
    </row>
    <row r="6018">
      <c r="G6018" s="9"/>
    </row>
    <row r="6019">
      <c r="G6019" s="9"/>
    </row>
    <row r="6020">
      <c r="G6020" s="9"/>
    </row>
    <row r="6021">
      <c r="G6021" s="9"/>
    </row>
    <row r="6022">
      <c r="G6022" s="9"/>
    </row>
    <row r="6023">
      <c r="G6023" s="9"/>
    </row>
    <row r="6024">
      <c r="G6024" s="9"/>
    </row>
    <row r="6025">
      <c r="G6025" s="9"/>
    </row>
    <row r="6026">
      <c r="G6026" s="9"/>
    </row>
    <row r="6027">
      <c r="G6027" s="9"/>
    </row>
    <row r="6028">
      <c r="G6028" s="9"/>
    </row>
    <row r="6029">
      <c r="G6029" s="9"/>
    </row>
    <row r="6030">
      <c r="G6030" s="9"/>
    </row>
    <row r="6031">
      <c r="G6031" s="9"/>
    </row>
    <row r="6032">
      <c r="G6032" s="9"/>
    </row>
    <row r="6033">
      <c r="G6033" s="9"/>
    </row>
    <row r="6034">
      <c r="G6034" s="9"/>
    </row>
    <row r="6035">
      <c r="G6035" s="9"/>
    </row>
    <row r="6036">
      <c r="G6036" s="9"/>
    </row>
    <row r="6037">
      <c r="G6037" s="9"/>
    </row>
    <row r="6038">
      <c r="G6038" s="9"/>
    </row>
    <row r="6039">
      <c r="G6039" s="9"/>
    </row>
    <row r="6040">
      <c r="G6040" s="9"/>
    </row>
    <row r="6041">
      <c r="G6041" s="9"/>
    </row>
    <row r="6042">
      <c r="G6042" s="9"/>
    </row>
    <row r="6043">
      <c r="G6043" s="9"/>
    </row>
    <row r="6044">
      <c r="G6044" s="9"/>
    </row>
    <row r="6045">
      <c r="G6045" s="9"/>
    </row>
    <row r="6046">
      <c r="G6046" s="9"/>
    </row>
    <row r="6047">
      <c r="G6047" s="9"/>
    </row>
    <row r="6048">
      <c r="G6048" s="9"/>
    </row>
    <row r="6049">
      <c r="G6049" s="9"/>
    </row>
    <row r="6050">
      <c r="G6050" s="9"/>
    </row>
    <row r="6051">
      <c r="G6051" s="9"/>
    </row>
    <row r="6052">
      <c r="G6052" s="9"/>
    </row>
    <row r="6053">
      <c r="G6053" s="9"/>
    </row>
    <row r="6054">
      <c r="G6054" s="9"/>
    </row>
    <row r="6055">
      <c r="G6055" s="9"/>
    </row>
    <row r="6056">
      <c r="G6056" s="9"/>
    </row>
    <row r="6057">
      <c r="G6057" s="9"/>
    </row>
    <row r="6058">
      <c r="G6058" s="9"/>
    </row>
    <row r="6059">
      <c r="G6059" s="9"/>
    </row>
    <row r="6060">
      <c r="G6060" s="9"/>
    </row>
    <row r="6061">
      <c r="G6061" s="9"/>
    </row>
    <row r="6062">
      <c r="G6062" s="9"/>
    </row>
    <row r="6063">
      <c r="G6063" s="9"/>
    </row>
    <row r="6064">
      <c r="G6064" s="9"/>
    </row>
    <row r="6065">
      <c r="G6065" s="9"/>
    </row>
    <row r="6066">
      <c r="G6066" s="9"/>
    </row>
    <row r="6067">
      <c r="G6067" s="9"/>
    </row>
    <row r="6068">
      <c r="G6068" s="9"/>
    </row>
    <row r="6069">
      <c r="G6069" s="9"/>
    </row>
    <row r="6070">
      <c r="G6070" s="9"/>
    </row>
    <row r="6071">
      <c r="G6071" s="9"/>
    </row>
    <row r="6072">
      <c r="G6072" s="9"/>
    </row>
    <row r="6073">
      <c r="G6073" s="9"/>
    </row>
    <row r="6074">
      <c r="G6074" s="9"/>
    </row>
    <row r="6075">
      <c r="G6075" s="9"/>
    </row>
    <row r="6076">
      <c r="G6076" s="9"/>
    </row>
    <row r="6077">
      <c r="G6077" s="9"/>
    </row>
    <row r="6078">
      <c r="G6078" s="9"/>
    </row>
    <row r="6079">
      <c r="G6079" s="9"/>
    </row>
    <row r="6080">
      <c r="G6080" s="9"/>
    </row>
    <row r="6081">
      <c r="G6081" s="9"/>
    </row>
    <row r="6082">
      <c r="G6082" s="9"/>
    </row>
    <row r="6083">
      <c r="G6083" s="9"/>
    </row>
    <row r="6084">
      <c r="G6084" s="9"/>
    </row>
    <row r="6085">
      <c r="G6085" s="9"/>
    </row>
    <row r="6086">
      <c r="G6086" s="9"/>
    </row>
    <row r="6087">
      <c r="G6087" s="9"/>
    </row>
    <row r="6088">
      <c r="G6088" s="9"/>
    </row>
    <row r="6089">
      <c r="G6089" s="9"/>
    </row>
    <row r="6090">
      <c r="G6090" s="9"/>
    </row>
    <row r="6091">
      <c r="G6091" s="9"/>
    </row>
    <row r="6092">
      <c r="G6092" s="9"/>
    </row>
    <row r="6093">
      <c r="G6093" s="9"/>
    </row>
    <row r="6094">
      <c r="G6094" s="9"/>
    </row>
    <row r="6095">
      <c r="G6095" s="9"/>
    </row>
    <row r="6096">
      <c r="G6096" s="9"/>
    </row>
    <row r="6097">
      <c r="G6097" s="9"/>
    </row>
    <row r="6098">
      <c r="G6098" s="9"/>
    </row>
    <row r="6099">
      <c r="G6099" s="9"/>
    </row>
    <row r="6100">
      <c r="G6100" s="9"/>
    </row>
    <row r="6101">
      <c r="G6101" s="9"/>
    </row>
    <row r="6102">
      <c r="G6102" s="9"/>
    </row>
    <row r="6103">
      <c r="G6103" s="9"/>
    </row>
    <row r="6104">
      <c r="G6104" s="9"/>
    </row>
    <row r="6105">
      <c r="G6105" s="9"/>
    </row>
    <row r="6106">
      <c r="G6106" s="9"/>
    </row>
    <row r="6107">
      <c r="G6107" s="9"/>
    </row>
    <row r="6108">
      <c r="G6108" s="9"/>
    </row>
    <row r="6109">
      <c r="G6109" s="9"/>
    </row>
    <row r="6110">
      <c r="G6110" s="9"/>
    </row>
    <row r="6111">
      <c r="G6111" s="9"/>
    </row>
    <row r="6112">
      <c r="G6112" s="9"/>
    </row>
    <row r="6113">
      <c r="G6113" s="9"/>
    </row>
    <row r="6114">
      <c r="G6114" s="9"/>
    </row>
    <row r="6115">
      <c r="G6115" s="9"/>
    </row>
    <row r="6116">
      <c r="G6116" s="9"/>
    </row>
    <row r="6117">
      <c r="G6117" s="9"/>
    </row>
    <row r="6118">
      <c r="G6118" s="9"/>
    </row>
    <row r="6119">
      <c r="G6119" s="9"/>
      <c r="K6119" t="str">
        <f>IFERROR(__xludf.DUMMYFUNCTION("""COMPUTED_VALUE""")," ")</f>
        <v> </v>
      </c>
    </row>
    <row r="6120">
      <c r="G6120" s="9"/>
      <c r="K6120" t="str">
        <f>IFERROR(__xludf.DUMMYFUNCTION("""COMPUTED_VALUE""")," ")</f>
        <v> </v>
      </c>
    </row>
    <row r="6121">
      <c r="G6121" s="9"/>
      <c r="K6121" t="str">
        <f>IFERROR(__xludf.DUMMYFUNCTION("""COMPUTED_VALUE""")," ")</f>
        <v> </v>
      </c>
    </row>
    <row r="6122">
      <c r="G6122" s="9"/>
      <c r="K6122" t="str">
        <f>IFERROR(__xludf.DUMMYFUNCTION("""COMPUTED_VALUE""")," ")</f>
        <v> </v>
      </c>
    </row>
    <row r="6123">
      <c r="G6123" s="9"/>
      <c r="K6123" t="str">
        <f>IFERROR(__xludf.DUMMYFUNCTION("""COMPUTED_VALUE""")," ")</f>
        <v> </v>
      </c>
    </row>
    <row r="6124">
      <c r="G6124" s="9"/>
      <c r="K6124" t="str">
        <f>IFERROR(__xludf.DUMMYFUNCTION("""COMPUTED_VALUE""")," ")</f>
        <v> </v>
      </c>
    </row>
    <row r="6125">
      <c r="G6125" s="9"/>
      <c r="K6125" t="str">
        <f>IFERROR(__xludf.DUMMYFUNCTION("""COMPUTED_VALUE""")," ")</f>
        <v> </v>
      </c>
    </row>
    <row r="6126">
      <c r="G6126" s="9"/>
      <c r="K6126" t="str">
        <f>IFERROR(__xludf.DUMMYFUNCTION("""COMPUTED_VALUE""")," ")</f>
        <v> </v>
      </c>
    </row>
    <row r="6127">
      <c r="G6127" s="9"/>
      <c r="K6127" t="str">
        <f>IFERROR(__xludf.DUMMYFUNCTION("""COMPUTED_VALUE""")," ")</f>
        <v> </v>
      </c>
    </row>
    <row r="6128">
      <c r="G6128" s="9"/>
      <c r="K6128" t="str">
        <f>IFERROR(__xludf.DUMMYFUNCTION("""COMPUTED_VALUE""")," ")</f>
        <v> </v>
      </c>
    </row>
    <row r="6129">
      <c r="G6129" s="9"/>
      <c r="K6129" t="str">
        <f>IFERROR(__xludf.DUMMYFUNCTION("""COMPUTED_VALUE""")," ")</f>
        <v> </v>
      </c>
    </row>
    <row r="6130">
      <c r="G6130" s="9"/>
      <c r="K6130" t="str">
        <f>IFERROR(__xludf.DUMMYFUNCTION("""COMPUTED_VALUE""")," ")</f>
        <v> </v>
      </c>
    </row>
    <row r="6131">
      <c r="G6131" s="9"/>
      <c r="K6131" t="str">
        <f>IFERROR(__xludf.DUMMYFUNCTION("""COMPUTED_VALUE""")," ")</f>
        <v> </v>
      </c>
    </row>
    <row r="6132">
      <c r="G6132" s="9"/>
      <c r="K6132" t="str">
        <f>IFERROR(__xludf.DUMMYFUNCTION("""COMPUTED_VALUE""")," ")</f>
        <v> </v>
      </c>
    </row>
    <row r="6133">
      <c r="G6133" s="9"/>
      <c r="K6133" t="str">
        <f>IFERROR(__xludf.DUMMYFUNCTION("""COMPUTED_VALUE""")," ")</f>
        <v> </v>
      </c>
    </row>
    <row r="6134">
      <c r="G6134" s="9"/>
      <c r="K6134" t="str">
        <f>IFERROR(__xludf.DUMMYFUNCTION("""COMPUTED_VALUE""")," ")</f>
        <v> </v>
      </c>
    </row>
    <row r="6135">
      <c r="G6135" s="9"/>
      <c r="K6135" t="str">
        <f>IFERROR(__xludf.DUMMYFUNCTION("""COMPUTED_VALUE""")," ")</f>
        <v> </v>
      </c>
    </row>
    <row r="6136">
      <c r="G6136" s="9"/>
      <c r="K6136" t="str">
        <f>IFERROR(__xludf.DUMMYFUNCTION("""COMPUTED_VALUE""")," ")</f>
        <v> </v>
      </c>
    </row>
    <row r="6137">
      <c r="G6137" s="9"/>
      <c r="K6137" t="str">
        <f>IFERROR(__xludf.DUMMYFUNCTION("""COMPUTED_VALUE""")," ")</f>
        <v> </v>
      </c>
    </row>
    <row r="6138">
      <c r="G6138" s="9"/>
      <c r="K6138" t="str">
        <f>IFERROR(__xludf.DUMMYFUNCTION("""COMPUTED_VALUE""")," ")</f>
        <v> </v>
      </c>
    </row>
    <row r="6139">
      <c r="G6139" s="9"/>
      <c r="K6139" t="str">
        <f>IFERROR(__xludf.DUMMYFUNCTION("""COMPUTED_VALUE""")," ")</f>
        <v> </v>
      </c>
    </row>
    <row r="6140">
      <c r="G6140" s="9"/>
      <c r="K6140" t="str">
        <f>IFERROR(__xludf.DUMMYFUNCTION("""COMPUTED_VALUE""")," ")</f>
        <v> </v>
      </c>
    </row>
    <row r="6141">
      <c r="G6141" s="9"/>
      <c r="K6141" t="str">
        <f>IFERROR(__xludf.DUMMYFUNCTION("""COMPUTED_VALUE""")," ")</f>
        <v> </v>
      </c>
    </row>
    <row r="6142">
      <c r="G6142" s="9"/>
      <c r="K6142" t="str">
        <f>IFERROR(__xludf.DUMMYFUNCTION("""COMPUTED_VALUE""")," ")</f>
        <v> </v>
      </c>
    </row>
    <row r="6143">
      <c r="G6143" s="9"/>
      <c r="K6143" t="str">
        <f>IFERROR(__xludf.DUMMYFUNCTION("""COMPUTED_VALUE""")," ")</f>
        <v> </v>
      </c>
    </row>
    <row r="6144">
      <c r="G6144" s="9"/>
      <c r="K6144" t="str">
        <f>IFERROR(__xludf.DUMMYFUNCTION("""COMPUTED_VALUE""")," ")</f>
        <v> </v>
      </c>
    </row>
    <row r="6145">
      <c r="G6145" s="9"/>
      <c r="K6145" t="str">
        <f>IFERROR(__xludf.DUMMYFUNCTION("""COMPUTED_VALUE""")," ")</f>
        <v> </v>
      </c>
    </row>
    <row r="6146">
      <c r="G6146" s="9"/>
      <c r="K6146" t="str">
        <f>IFERROR(__xludf.DUMMYFUNCTION("""COMPUTED_VALUE""")," ")</f>
        <v> </v>
      </c>
    </row>
    <row r="6147">
      <c r="G6147" s="9"/>
      <c r="K6147" t="str">
        <f>IFERROR(__xludf.DUMMYFUNCTION("""COMPUTED_VALUE""")," ")</f>
        <v> </v>
      </c>
    </row>
    <row r="6148">
      <c r="G6148" s="9"/>
      <c r="K6148" t="str">
        <f>IFERROR(__xludf.DUMMYFUNCTION("""COMPUTED_VALUE""")," ")</f>
        <v> </v>
      </c>
    </row>
    <row r="6149">
      <c r="G6149" s="9"/>
      <c r="K6149" t="str">
        <f>IFERROR(__xludf.DUMMYFUNCTION("""COMPUTED_VALUE""")," ")</f>
        <v> </v>
      </c>
    </row>
    <row r="6150">
      <c r="G6150" s="9"/>
      <c r="K6150" t="str">
        <f>IFERROR(__xludf.DUMMYFUNCTION("""COMPUTED_VALUE""")," ")</f>
        <v> </v>
      </c>
    </row>
    <row r="6151">
      <c r="G6151" s="9"/>
      <c r="K6151" t="str">
        <f>IFERROR(__xludf.DUMMYFUNCTION("""COMPUTED_VALUE""")," ")</f>
        <v> </v>
      </c>
    </row>
    <row r="6152">
      <c r="G6152" s="9"/>
      <c r="K6152" t="str">
        <f>IFERROR(__xludf.DUMMYFUNCTION("""COMPUTED_VALUE""")," ")</f>
        <v> </v>
      </c>
    </row>
    <row r="6153">
      <c r="G6153" s="9"/>
      <c r="K6153" t="str">
        <f>IFERROR(__xludf.DUMMYFUNCTION("""COMPUTED_VALUE""")," ")</f>
        <v> </v>
      </c>
    </row>
    <row r="6154">
      <c r="G6154" s="9"/>
      <c r="K6154" t="str">
        <f>IFERROR(__xludf.DUMMYFUNCTION("""COMPUTED_VALUE""")," ")</f>
        <v> </v>
      </c>
    </row>
    <row r="6155">
      <c r="G6155" s="9"/>
      <c r="K6155" t="str">
        <f>IFERROR(__xludf.DUMMYFUNCTION("""COMPUTED_VALUE""")," ")</f>
        <v> </v>
      </c>
    </row>
    <row r="6156">
      <c r="G6156" s="9"/>
      <c r="K6156" t="str">
        <f>IFERROR(__xludf.DUMMYFUNCTION("""COMPUTED_VALUE""")," ")</f>
        <v> </v>
      </c>
    </row>
    <row r="6157">
      <c r="G6157" s="9"/>
      <c r="K6157" t="str">
        <f>IFERROR(__xludf.DUMMYFUNCTION("""COMPUTED_VALUE""")," ")</f>
        <v> </v>
      </c>
    </row>
    <row r="6158">
      <c r="G6158" s="9"/>
      <c r="K6158" t="str">
        <f>IFERROR(__xludf.DUMMYFUNCTION("""COMPUTED_VALUE""")," ")</f>
        <v> </v>
      </c>
    </row>
    <row r="6159">
      <c r="G6159" s="9"/>
      <c r="K6159" t="str">
        <f>IFERROR(__xludf.DUMMYFUNCTION("""COMPUTED_VALUE""")," ")</f>
        <v> </v>
      </c>
    </row>
    <row r="6160">
      <c r="G6160" s="9"/>
      <c r="K6160" t="str">
        <f>IFERROR(__xludf.DUMMYFUNCTION("""COMPUTED_VALUE""")," ")</f>
        <v> </v>
      </c>
    </row>
    <row r="6161">
      <c r="G6161" s="9"/>
      <c r="K6161" t="str">
        <f>IFERROR(__xludf.DUMMYFUNCTION("""COMPUTED_VALUE""")," ")</f>
        <v> </v>
      </c>
    </row>
    <row r="6162">
      <c r="G6162" s="9"/>
      <c r="K6162" t="str">
        <f>IFERROR(__xludf.DUMMYFUNCTION("""COMPUTED_VALUE""")," ")</f>
        <v> </v>
      </c>
    </row>
    <row r="6163">
      <c r="G6163" s="9"/>
      <c r="K6163" t="str">
        <f>IFERROR(__xludf.DUMMYFUNCTION("""COMPUTED_VALUE""")," ")</f>
        <v> </v>
      </c>
    </row>
    <row r="6164">
      <c r="G6164" s="9"/>
      <c r="K6164" t="str">
        <f>IFERROR(__xludf.DUMMYFUNCTION("""COMPUTED_VALUE""")," ")</f>
        <v> </v>
      </c>
    </row>
    <row r="6165">
      <c r="G6165" s="9"/>
      <c r="K6165" t="str">
        <f>IFERROR(__xludf.DUMMYFUNCTION("""COMPUTED_VALUE""")," ")</f>
        <v> </v>
      </c>
    </row>
    <row r="6166">
      <c r="G6166" s="9"/>
      <c r="K6166" t="str">
        <f>IFERROR(__xludf.DUMMYFUNCTION("""COMPUTED_VALUE""")," ")</f>
        <v> </v>
      </c>
    </row>
    <row r="6167">
      <c r="G6167" s="9"/>
      <c r="K6167" t="str">
        <f>IFERROR(__xludf.DUMMYFUNCTION("""COMPUTED_VALUE""")," ")</f>
        <v> </v>
      </c>
    </row>
    <row r="6168">
      <c r="G6168" s="9"/>
      <c r="K6168" t="str">
        <f>IFERROR(__xludf.DUMMYFUNCTION("""COMPUTED_VALUE""")," ")</f>
        <v> </v>
      </c>
    </row>
    <row r="6169">
      <c r="G6169" s="9"/>
      <c r="K6169" t="str">
        <f>IFERROR(__xludf.DUMMYFUNCTION("""COMPUTED_VALUE""")," ")</f>
        <v> </v>
      </c>
    </row>
    <row r="6170">
      <c r="G6170" s="9"/>
      <c r="K6170" t="str">
        <f>IFERROR(__xludf.DUMMYFUNCTION("""COMPUTED_VALUE""")," ")</f>
        <v> </v>
      </c>
    </row>
    <row r="6171">
      <c r="G6171" s="9"/>
      <c r="K6171" t="str">
        <f>IFERROR(__xludf.DUMMYFUNCTION("""COMPUTED_VALUE""")," ")</f>
        <v> </v>
      </c>
    </row>
    <row r="6172">
      <c r="G6172" s="9"/>
      <c r="K6172" t="str">
        <f>IFERROR(__xludf.DUMMYFUNCTION("""COMPUTED_VALUE""")," ")</f>
        <v> </v>
      </c>
    </row>
    <row r="6173">
      <c r="G6173" s="9"/>
      <c r="K6173" t="str">
        <f>IFERROR(__xludf.DUMMYFUNCTION("""COMPUTED_VALUE""")," ")</f>
        <v> </v>
      </c>
    </row>
    <row r="6174">
      <c r="G6174" s="9"/>
      <c r="K6174" t="str">
        <f>IFERROR(__xludf.DUMMYFUNCTION("""COMPUTED_VALUE""")," ")</f>
        <v> </v>
      </c>
    </row>
    <row r="6175">
      <c r="G6175" s="9"/>
      <c r="K6175" t="str">
        <f>IFERROR(__xludf.DUMMYFUNCTION("""COMPUTED_VALUE""")," ")</f>
        <v> </v>
      </c>
    </row>
    <row r="6176">
      <c r="G6176" s="9"/>
      <c r="K6176" t="str">
        <f>IFERROR(__xludf.DUMMYFUNCTION("""COMPUTED_VALUE""")," ")</f>
        <v> </v>
      </c>
    </row>
    <row r="6177">
      <c r="G6177" s="9"/>
      <c r="K6177" t="str">
        <f>IFERROR(__xludf.DUMMYFUNCTION("""COMPUTED_VALUE""")," ")</f>
        <v> </v>
      </c>
    </row>
    <row r="6178">
      <c r="G6178" s="9"/>
      <c r="K6178" t="str">
        <f>IFERROR(__xludf.DUMMYFUNCTION("""COMPUTED_VALUE""")," ")</f>
        <v> </v>
      </c>
    </row>
    <row r="6179">
      <c r="G6179" s="9"/>
      <c r="K6179" t="str">
        <f>IFERROR(__xludf.DUMMYFUNCTION("""COMPUTED_VALUE""")," ")</f>
        <v> </v>
      </c>
    </row>
    <row r="6180">
      <c r="G6180" s="9"/>
      <c r="K6180" t="str">
        <f>IFERROR(__xludf.DUMMYFUNCTION("""COMPUTED_VALUE""")," ")</f>
        <v> </v>
      </c>
    </row>
    <row r="6181">
      <c r="G6181" s="9"/>
      <c r="K6181" t="str">
        <f>IFERROR(__xludf.DUMMYFUNCTION("""COMPUTED_VALUE""")," ")</f>
        <v> </v>
      </c>
    </row>
    <row r="6182">
      <c r="G6182" s="9"/>
      <c r="K6182" t="str">
        <f>IFERROR(__xludf.DUMMYFUNCTION("""COMPUTED_VALUE""")," ")</f>
        <v> </v>
      </c>
    </row>
    <row r="6183">
      <c r="G6183" s="9"/>
      <c r="K6183" t="str">
        <f>IFERROR(__xludf.DUMMYFUNCTION("""COMPUTED_VALUE""")," ")</f>
        <v> </v>
      </c>
    </row>
    <row r="6184">
      <c r="G6184" s="9"/>
      <c r="K6184" t="str">
        <f>IFERROR(__xludf.DUMMYFUNCTION("""COMPUTED_VALUE""")," ")</f>
        <v> </v>
      </c>
    </row>
    <row r="6185">
      <c r="G6185" s="9"/>
      <c r="K6185" t="str">
        <f>IFERROR(__xludf.DUMMYFUNCTION("""COMPUTED_VALUE""")," ")</f>
        <v> </v>
      </c>
    </row>
    <row r="6186">
      <c r="G6186" s="9"/>
      <c r="K6186" t="str">
        <f>IFERROR(__xludf.DUMMYFUNCTION("""COMPUTED_VALUE""")," ")</f>
        <v> </v>
      </c>
    </row>
    <row r="6187">
      <c r="G6187" s="9"/>
      <c r="K6187" t="str">
        <f>IFERROR(__xludf.DUMMYFUNCTION("""COMPUTED_VALUE""")," ")</f>
        <v> </v>
      </c>
    </row>
    <row r="6188">
      <c r="G6188" s="9"/>
      <c r="K6188" t="str">
        <f>IFERROR(__xludf.DUMMYFUNCTION("""COMPUTED_VALUE""")," ")</f>
        <v> </v>
      </c>
    </row>
    <row r="6189">
      <c r="G6189" s="9"/>
      <c r="K6189" t="str">
        <f>IFERROR(__xludf.DUMMYFUNCTION("""COMPUTED_VALUE""")," ")</f>
        <v> </v>
      </c>
    </row>
    <row r="6190">
      <c r="G6190" s="9"/>
      <c r="K6190" t="str">
        <f>IFERROR(__xludf.DUMMYFUNCTION("""COMPUTED_VALUE""")," ")</f>
        <v> </v>
      </c>
    </row>
    <row r="6191">
      <c r="G6191" s="9"/>
      <c r="K6191" t="str">
        <f>IFERROR(__xludf.DUMMYFUNCTION("""COMPUTED_VALUE""")," ")</f>
        <v> </v>
      </c>
    </row>
    <row r="6192">
      <c r="G6192" s="9"/>
      <c r="K6192" t="str">
        <f>IFERROR(__xludf.DUMMYFUNCTION("""COMPUTED_VALUE""")," ")</f>
        <v> </v>
      </c>
    </row>
    <row r="6193">
      <c r="G6193" s="9"/>
      <c r="K6193" t="str">
        <f>IFERROR(__xludf.DUMMYFUNCTION("""COMPUTED_VALUE""")," ")</f>
        <v> </v>
      </c>
    </row>
    <row r="6194">
      <c r="G6194" s="9"/>
      <c r="K6194" t="str">
        <f>IFERROR(__xludf.DUMMYFUNCTION("""COMPUTED_VALUE""")," ")</f>
        <v> </v>
      </c>
    </row>
    <row r="6195">
      <c r="G6195" s="9"/>
      <c r="K6195" t="str">
        <f>IFERROR(__xludf.DUMMYFUNCTION("""COMPUTED_VALUE""")," ")</f>
        <v> </v>
      </c>
    </row>
    <row r="6196">
      <c r="G6196" s="9"/>
      <c r="K6196" t="str">
        <f>IFERROR(__xludf.DUMMYFUNCTION("""COMPUTED_VALUE""")," ")</f>
        <v> </v>
      </c>
    </row>
    <row r="6197">
      <c r="G6197" s="9"/>
      <c r="K6197" t="str">
        <f>IFERROR(__xludf.DUMMYFUNCTION("""COMPUTED_VALUE""")," ")</f>
        <v> </v>
      </c>
    </row>
    <row r="6198">
      <c r="G6198" s="9"/>
      <c r="K6198" t="str">
        <f>IFERROR(__xludf.DUMMYFUNCTION("""COMPUTED_VALUE""")," ")</f>
        <v> </v>
      </c>
    </row>
    <row r="6199">
      <c r="G6199" s="9"/>
      <c r="K6199" t="str">
        <f>IFERROR(__xludf.DUMMYFUNCTION("""COMPUTED_VALUE""")," ")</f>
        <v> </v>
      </c>
    </row>
    <row r="6200">
      <c r="G6200" s="9"/>
      <c r="K6200" t="str">
        <f>IFERROR(__xludf.DUMMYFUNCTION("""COMPUTED_VALUE""")," ")</f>
        <v> </v>
      </c>
    </row>
    <row r="6201">
      <c r="G6201" s="9"/>
      <c r="K6201" t="str">
        <f>IFERROR(__xludf.DUMMYFUNCTION("""COMPUTED_VALUE""")," ")</f>
        <v> </v>
      </c>
    </row>
    <row r="6202">
      <c r="G6202" s="9"/>
      <c r="K6202" t="str">
        <f>IFERROR(__xludf.DUMMYFUNCTION("""COMPUTED_VALUE""")," ")</f>
        <v> </v>
      </c>
    </row>
    <row r="6203">
      <c r="G6203" s="9"/>
      <c r="K6203" t="str">
        <f>IFERROR(__xludf.DUMMYFUNCTION("""COMPUTED_VALUE""")," ")</f>
        <v> </v>
      </c>
    </row>
    <row r="6204">
      <c r="G6204" s="9"/>
      <c r="K6204" t="str">
        <f>IFERROR(__xludf.DUMMYFUNCTION("""COMPUTED_VALUE""")," ")</f>
        <v> </v>
      </c>
    </row>
    <row r="6205">
      <c r="G6205" s="9"/>
      <c r="K6205" t="str">
        <f>IFERROR(__xludf.DUMMYFUNCTION("""COMPUTED_VALUE""")," ")</f>
        <v> </v>
      </c>
    </row>
    <row r="6206">
      <c r="G6206" s="9"/>
      <c r="K6206" t="str">
        <f>IFERROR(__xludf.DUMMYFUNCTION("""COMPUTED_VALUE""")," ")</f>
        <v> </v>
      </c>
    </row>
    <row r="6207">
      <c r="G6207" s="9"/>
      <c r="K6207" t="str">
        <f>IFERROR(__xludf.DUMMYFUNCTION("""COMPUTED_VALUE""")," ")</f>
        <v> </v>
      </c>
    </row>
    <row r="6208">
      <c r="G6208" s="9"/>
      <c r="K6208" t="str">
        <f>IFERROR(__xludf.DUMMYFUNCTION("""COMPUTED_VALUE""")," ")</f>
        <v> </v>
      </c>
    </row>
    <row r="6209">
      <c r="G6209" s="9"/>
      <c r="K6209" t="str">
        <f>IFERROR(__xludf.DUMMYFUNCTION("""COMPUTED_VALUE""")," ")</f>
        <v> </v>
      </c>
    </row>
    <row r="6210">
      <c r="G6210" s="9"/>
      <c r="K6210" t="str">
        <f>IFERROR(__xludf.DUMMYFUNCTION("""COMPUTED_VALUE""")," ")</f>
        <v> </v>
      </c>
    </row>
    <row r="6211">
      <c r="G6211" s="9"/>
      <c r="K6211" t="str">
        <f>IFERROR(__xludf.DUMMYFUNCTION("""COMPUTED_VALUE""")," ")</f>
        <v> </v>
      </c>
    </row>
    <row r="6212">
      <c r="G6212" s="9"/>
      <c r="K6212" t="str">
        <f>IFERROR(__xludf.DUMMYFUNCTION("""COMPUTED_VALUE""")," ")</f>
        <v> </v>
      </c>
    </row>
    <row r="6213">
      <c r="G6213" s="9"/>
      <c r="K6213" t="str">
        <f>IFERROR(__xludf.DUMMYFUNCTION("""COMPUTED_VALUE""")," ")</f>
        <v> </v>
      </c>
    </row>
    <row r="6214">
      <c r="G6214" s="9"/>
      <c r="K6214" t="str">
        <f>IFERROR(__xludf.DUMMYFUNCTION("""COMPUTED_VALUE""")," ")</f>
        <v> </v>
      </c>
    </row>
    <row r="6215">
      <c r="G6215" s="9"/>
    </row>
    <row r="6216">
      <c r="G6216" s="9"/>
    </row>
    <row r="6217">
      <c r="G6217" s="9"/>
    </row>
    <row r="6218">
      <c r="G6218" s="9"/>
    </row>
    <row r="6219">
      <c r="G6219" s="9"/>
    </row>
    <row r="6220">
      <c r="G6220" s="9"/>
    </row>
    <row r="6221">
      <c r="G6221" s="9"/>
    </row>
    <row r="6222">
      <c r="G6222" s="9"/>
    </row>
    <row r="6223">
      <c r="G6223" s="9"/>
    </row>
    <row r="6224">
      <c r="G6224" s="9"/>
    </row>
    <row r="6225">
      <c r="G6225" s="9"/>
    </row>
    <row r="6226">
      <c r="G6226" s="9"/>
    </row>
    <row r="6227">
      <c r="G6227" s="9"/>
    </row>
    <row r="6228">
      <c r="G6228" s="9"/>
    </row>
    <row r="6229">
      <c r="G6229" s="9"/>
    </row>
    <row r="6230">
      <c r="G6230" s="9"/>
    </row>
    <row r="6231">
      <c r="G6231" s="9"/>
    </row>
    <row r="6232">
      <c r="G6232" s="9"/>
    </row>
    <row r="6233">
      <c r="G6233" s="9"/>
    </row>
    <row r="6234">
      <c r="G6234" s="9"/>
    </row>
    <row r="6235">
      <c r="G6235" s="9"/>
    </row>
    <row r="6236">
      <c r="G6236" s="9"/>
    </row>
    <row r="6237">
      <c r="G6237" s="9"/>
    </row>
    <row r="6238">
      <c r="G6238" s="9"/>
    </row>
    <row r="6239">
      <c r="G6239" s="9"/>
    </row>
    <row r="6240">
      <c r="G6240" s="9"/>
    </row>
    <row r="6241">
      <c r="G6241" s="9"/>
    </row>
    <row r="6242">
      <c r="G6242" s="9"/>
    </row>
    <row r="6243">
      <c r="G6243" s="9"/>
    </row>
    <row r="6244">
      <c r="G6244" s="9"/>
    </row>
    <row r="6245">
      <c r="G6245" s="9"/>
    </row>
    <row r="6246">
      <c r="G6246" s="9"/>
    </row>
    <row r="6247">
      <c r="G6247" s="9"/>
    </row>
    <row r="6248">
      <c r="G6248" s="9"/>
    </row>
    <row r="6249">
      <c r="G6249" s="9"/>
    </row>
    <row r="6250">
      <c r="G6250" s="9"/>
    </row>
    <row r="6251">
      <c r="G6251" s="9"/>
    </row>
    <row r="6252">
      <c r="G6252" s="9"/>
    </row>
    <row r="6253">
      <c r="G6253" s="9"/>
    </row>
    <row r="6254">
      <c r="G6254" s="9"/>
    </row>
    <row r="6255">
      <c r="G6255" s="9"/>
    </row>
    <row r="6256">
      <c r="G6256" s="9"/>
    </row>
    <row r="6257">
      <c r="G6257" s="9"/>
    </row>
    <row r="6258">
      <c r="G6258" s="9"/>
    </row>
    <row r="6259">
      <c r="G6259" s="9"/>
    </row>
    <row r="6260">
      <c r="G6260" s="9"/>
    </row>
    <row r="6261">
      <c r="G6261" s="9"/>
    </row>
    <row r="6262">
      <c r="G6262" s="9"/>
    </row>
    <row r="6263">
      <c r="G6263" s="9"/>
    </row>
    <row r="6264">
      <c r="G6264" s="9"/>
    </row>
    <row r="6265">
      <c r="G6265" s="9"/>
    </row>
    <row r="6266">
      <c r="G6266" s="9"/>
    </row>
    <row r="6267">
      <c r="G6267" s="9"/>
    </row>
    <row r="6268">
      <c r="G6268" s="9"/>
    </row>
    <row r="6269">
      <c r="G6269" s="9"/>
    </row>
    <row r="6270">
      <c r="G6270" s="9"/>
    </row>
    <row r="6271">
      <c r="G6271" s="9"/>
    </row>
    <row r="6272">
      <c r="G6272" s="9"/>
    </row>
    <row r="6273">
      <c r="G6273" s="9"/>
    </row>
    <row r="6274">
      <c r="G6274" s="9"/>
    </row>
    <row r="6275">
      <c r="G6275" s="9"/>
    </row>
    <row r="6276">
      <c r="G6276" s="9"/>
    </row>
    <row r="6277">
      <c r="G6277" s="9"/>
    </row>
    <row r="6278">
      <c r="G6278" s="9"/>
    </row>
    <row r="6279">
      <c r="G6279" s="9"/>
    </row>
    <row r="6280">
      <c r="G6280" s="9"/>
    </row>
    <row r="6281">
      <c r="G6281" s="9"/>
    </row>
    <row r="6282">
      <c r="G6282" s="9"/>
    </row>
    <row r="6283">
      <c r="G6283" s="9"/>
    </row>
    <row r="6284">
      <c r="G6284" s="9"/>
    </row>
    <row r="6285">
      <c r="G6285" s="9"/>
    </row>
    <row r="6286">
      <c r="G6286" s="9"/>
    </row>
    <row r="6287">
      <c r="G6287" s="9"/>
    </row>
    <row r="6288">
      <c r="G6288" s="9"/>
    </row>
    <row r="6289">
      <c r="G6289" s="9"/>
    </row>
    <row r="6290">
      <c r="G6290" s="9"/>
    </row>
    <row r="6291">
      <c r="G6291" s="9"/>
    </row>
    <row r="6292">
      <c r="G6292" s="9"/>
    </row>
    <row r="6293">
      <c r="G6293" s="9"/>
    </row>
    <row r="6294">
      <c r="G6294" s="9"/>
    </row>
    <row r="6295">
      <c r="G6295" s="9"/>
    </row>
    <row r="6296">
      <c r="G6296" s="9"/>
    </row>
    <row r="6297">
      <c r="G6297" s="9"/>
    </row>
    <row r="6298">
      <c r="G6298" s="9"/>
    </row>
    <row r="6299">
      <c r="G6299" s="9"/>
    </row>
    <row r="6300">
      <c r="G6300" s="9"/>
    </row>
    <row r="6301">
      <c r="G6301" s="9"/>
    </row>
    <row r="6302">
      <c r="G6302" s="9"/>
    </row>
    <row r="6303">
      <c r="G6303" s="9"/>
    </row>
    <row r="6304">
      <c r="G6304" s="9"/>
    </row>
    <row r="6305">
      <c r="G6305" s="9"/>
    </row>
    <row r="6306">
      <c r="G6306" s="9"/>
    </row>
    <row r="6307">
      <c r="G6307" s="9"/>
    </row>
    <row r="6308">
      <c r="G6308" s="9"/>
    </row>
    <row r="6309">
      <c r="G6309" s="9"/>
    </row>
    <row r="6310">
      <c r="G6310" s="9"/>
    </row>
    <row r="6311">
      <c r="G6311" s="9"/>
    </row>
    <row r="6312">
      <c r="G6312" s="9"/>
    </row>
    <row r="6313">
      <c r="G6313" s="9"/>
    </row>
    <row r="6314">
      <c r="G6314" s="9"/>
    </row>
    <row r="6315">
      <c r="G6315" s="9"/>
    </row>
    <row r="6316">
      <c r="G6316" s="9"/>
    </row>
    <row r="6317">
      <c r="G6317" s="9"/>
    </row>
    <row r="6318">
      <c r="G6318" s="9"/>
    </row>
    <row r="6319">
      <c r="G6319" s="9"/>
    </row>
    <row r="6320">
      <c r="G6320" s="9"/>
    </row>
    <row r="6321">
      <c r="G6321" s="9"/>
    </row>
    <row r="6322">
      <c r="G6322" s="9"/>
    </row>
    <row r="6323">
      <c r="G6323" s="9"/>
    </row>
    <row r="6324">
      <c r="G6324" s="9"/>
    </row>
    <row r="6325">
      <c r="G6325" s="9"/>
    </row>
    <row r="6326">
      <c r="G6326" s="9"/>
    </row>
    <row r="6327">
      <c r="G6327" s="9"/>
    </row>
    <row r="6328">
      <c r="G6328" s="9"/>
    </row>
    <row r="6329">
      <c r="G6329" s="9"/>
    </row>
    <row r="6330">
      <c r="G6330" s="9"/>
    </row>
    <row r="6331">
      <c r="G6331" s="9"/>
    </row>
    <row r="6332">
      <c r="G6332" s="9"/>
    </row>
    <row r="6333">
      <c r="G6333" s="9"/>
    </row>
    <row r="6334">
      <c r="G6334" s="9"/>
    </row>
    <row r="6335">
      <c r="G6335" s="9"/>
    </row>
    <row r="6336">
      <c r="G6336" s="9"/>
    </row>
    <row r="6337">
      <c r="G6337" s="9"/>
    </row>
    <row r="6338">
      <c r="G6338" s="9"/>
    </row>
    <row r="6339">
      <c r="G6339" s="9"/>
    </row>
    <row r="6340">
      <c r="G6340" s="9"/>
    </row>
    <row r="6341">
      <c r="G6341" s="9"/>
    </row>
    <row r="6342">
      <c r="G6342" s="9"/>
    </row>
    <row r="6343">
      <c r="G6343" s="9"/>
    </row>
    <row r="6344">
      <c r="G6344" s="9"/>
    </row>
    <row r="6345">
      <c r="G6345" s="9"/>
    </row>
    <row r="6346">
      <c r="G6346" s="9"/>
    </row>
    <row r="6347">
      <c r="G6347" s="9"/>
    </row>
    <row r="6348">
      <c r="G6348" s="9"/>
    </row>
    <row r="6349">
      <c r="G6349" s="9"/>
    </row>
    <row r="6350">
      <c r="G6350" s="9"/>
    </row>
    <row r="6351">
      <c r="G6351" s="9"/>
    </row>
    <row r="6352">
      <c r="G6352" s="9"/>
    </row>
    <row r="6353">
      <c r="G6353" s="9"/>
    </row>
    <row r="6354">
      <c r="G6354" s="9"/>
    </row>
    <row r="6355">
      <c r="G6355" s="9"/>
    </row>
    <row r="6356">
      <c r="G6356" s="9"/>
    </row>
    <row r="6357">
      <c r="G6357" s="9"/>
    </row>
    <row r="6358">
      <c r="G6358" s="9"/>
    </row>
    <row r="6359">
      <c r="G6359" s="9"/>
    </row>
    <row r="6360">
      <c r="G6360" s="9"/>
    </row>
    <row r="6361">
      <c r="G6361" s="9"/>
    </row>
    <row r="6362">
      <c r="G6362" s="9"/>
    </row>
    <row r="6363">
      <c r="G6363" s="9"/>
    </row>
    <row r="6364">
      <c r="G6364" s="9"/>
    </row>
    <row r="6365">
      <c r="G6365" s="9"/>
    </row>
    <row r="6366">
      <c r="G6366" s="9"/>
    </row>
    <row r="6367">
      <c r="G6367" s="9"/>
    </row>
    <row r="6368">
      <c r="G6368" s="9"/>
    </row>
    <row r="6369">
      <c r="G6369" s="9"/>
    </row>
    <row r="6370">
      <c r="G6370" s="9"/>
    </row>
    <row r="6371">
      <c r="G6371" s="9"/>
    </row>
    <row r="6372">
      <c r="G6372" s="9"/>
    </row>
    <row r="6373">
      <c r="G6373" s="9"/>
    </row>
    <row r="6374">
      <c r="G6374" s="9"/>
    </row>
    <row r="6375">
      <c r="G6375" s="9"/>
    </row>
    <row r="6376">
      <c r="G6376" s="9"/>
    </row>
    <row r="6377">
      <c r="G6377" s="9"/>
    </row>
    <row r="6378">
      <c r="G6378" s="9"/>
    </row>
    <row r="6379">
      <c r="G6379" s="9"/>
    </row>
    <row r="6380">
      <c r="G6380" s="9"/>
    </row>
    <row r="6381">
      <c r="G6381" s="9"/>
    </row>
    <row r="6382">
      <c r="G6382" s="9"/>
    </row>
    <row r="6383">
      <c r="G6383" s="9"/>
    </row>
    <row r="6384">
      <c r="G6384" s="9"/>
    </row>
    <row r="6385">
      <c r="G6385" s="9"/>
    </row>
    <row r="6386">
      <c r="G6386" s="9"/>
    </row>
    <row r="6387">
      <c r="G6387" s="9"/>
    </row>
    <row r="6388">
      <c r="G6388" s="9"/>
    </row>
    <row r="6389">
      <c r="G6389" s="9"/>
    </row>
    <row r="6390">
      <c r="G6390" s="9"/>
    </row>
    <row r="6391">
      <c r="G6391" s="9"/>
    </row>
    <row r="6392">
      <c r="G6392" s="9"/>
    </row>
    <row r="6393">
      <c r="G6393" s="9"/>
    </row>
    <row r="6394">
      <c r="G6394" s="9"/>
    </row>
    <row r="6395">
      <c r="G6395" s="9"/>
    </row>
    <row r="6396">
      <c r="G6396" s="9"/>
    </row>
    <row r="6397">
      <c r="G6397" s="9"/>
    </row>
    <row r="6398">
      <c r="G6398" s="9"/>
    </row>
    <row r="6399">
      <c r="G6399" s="9"/>
    </row>
    <row r="6400">
      <c r="G6400" s="9"/>
    </row>
    <row r="6401">
      <c r="G6401" s="9"/>
    </row>
    <row r="6402">
      <c r="G6402" s="9"/>
    </row>
    <row r="6403">
      <c r="G6403" s="9"/>
    </row>
    <row r="6404">
      <c r="G6404" s="9"/>
    </row>
    <row r="6405">
      <c r="G6405" s="9"/>
    </row>
    <row r="6406">
      <c r="G6406" s="9"/>
    </row>
    <row r="6407">
      <c r="G6407" s="9"/>
    </row>
    <row r="6408">
      <c r="G6408" s="9"/>
    </row>
    <row r="6409">
      <c r="G6409" s="9"/>
    </row>
    <row r="6410">
      <c r="G6410" s="9"/>
    </row>
    <row r="6411">
      <c r="G6411" s="9"/>
    </row>
    <row r="6412">
      <c r="G6412" s="9"/>
    </row>
    <row r="6413">
      <c r="G6413" s="9"/>
    </row>
    <row r="6414">
      <c r="G6414" s="9"/>
    </row>
    <row r="6415">
      <c r="G6415" s="9"/>
    </row>
    <row r="6416">
      <c r="G6416" s="9"/>
    </row>
    <row r="6417">
      <c r="G6417" s="9"/>
    </row>
    <row r="6418">
      <c r="G6418" s="9"/>
    </row>
    <row r="6419">
      <c r="G6419" s="9"/>
    </row>
    <row r="6420">
      <c r="G6420" s="9"/>
    </row>
    <row r="6421">
      <c r="G6421" s="9"/>
    </row>
    <row r="6422">
      <c r="G6422" s="9"/>
    </row>
    <row r="6423">
      <c r="G6423" s="9"/>
    </row>
    <row r="6424">
      <c r="G6424" s="9"/>
    </row>
    <row r="6425">
      <c r="G6425" s="9"/>
    </row>
    <row r="6426">
      <c r="G6426" s="9"/>
    </row>
    <row r="6427">
      <c r="G6427" s="9"/>
    </row>
    <row r="6428">
      <c r="G6428" s="9"/>
    </row>
    <row r="6429">
      <c r="G6429" s="9"/>
    </row>
    <row r="6430">
      <c r="G6430" s="9"/>
    </row>
    <row r="6431">
      <c r="G6431" s="9"/>
    </row>
    <row r="6432">
      <c r="G6432" s="9"/>
    </row>
    <row r="6433">
      <c r="G6433" s="9"/>
    </row>
    <row r="6434">
      <c r="G6434" s="9"/>
    </row>
    <row r="6435">
      <c r="G6435" s="9"/>
    </row>
    <row r="6436">
      <c r="G6436" s="9"/>
    </row>
    <row r="6437">
      <c r="G6437" s="9"/>
    </row>
    <row r="6438">
      <c r="G6438" s="9"/>
    </row>
    <row r="6439">
      <c r="G6439" s="9"/>
    </row>
    <row r="6440">
      <c r="G6440" s="9"/>
    </row>
    <row r="6441">
      <c r="G6441" s="9"/>
    </row>
    <row r="6442">
      <c r="G6442" s="9"/>
    </row>
    <row r="6443">
      <c r="G6443" s="9"/>
    </row>
    <row r="6444">
      <c r="G6444" s="9"/>
    </row>
    <row r="6445">
      <c r="G6445" s="9"/>
    </row>
    <row r="6446">
      <c r="G6446" s="9"/>
    </row>
    <row r="6447">
      <c r="G6447" s="9"/>
    </row>
    <row r="6448">
      <c r="G6448" s="9"/>
    </row>
    <row r="6449">
      <c r="G6449" s="9"/>
    </row>
    <row r="6450">
      <c r="G6450" s="9"/>
    </row>
    <row r="6451">
      <c r="G6451" s="9"/>
    </row>
    <row r="6452">
      <c r="G6452" s="9"/>
    </row>
    <row r="6453">
      <c r="G6453" s="9"/>
    </row>
    <row r="6454">
      <c r="G6454" s="9"/>
    </row>
    <row r="6455">
      <c r="G6455" s="9"/>
    </row>
    <row r="6456">
      <c r="G6456" s="9"/>
    </row>
    <row r="6457">
      <c r="G6457" s="9"/>
    </row>
    <row r="6458">
      <c r="G6458" s="9"/>
    </row>
    <row r="6459">
      <c r="G6459" s="9"/>
    </row>
    <row r="6460">
      <c r="G6460" s="9"/>
    </row>
    <row r="6461">
      <c r="G6461" s="9"/>
    </row>
    <row r="6462">
      <c r="G6462" s="9"/>
    </row>
    <row r="6463">
      <c r="G6463" s="9"/>
    </row>
    <row r="6464">
      <c r="G6464" s="9"/>
    </row>
    <row r="6465">
      <c r="G6465" s="9"/>
    </row>
    <row r="6466">
      <c r="G6466" s="9"/>
    </row>
    <row r="6467">
      <c r="G6467" s="9"/>
    </row>
    <row r="6468">
      <c r="G6468" s="9"/>
    </row>
    <row r="6469">
      <c r="G6469" s="9"/>
    </row>
    <row r="6470">
      <c r="G6470" s="9"/>
    </row>
    <row r="6471">
      <c r="G6471" s="9"/>
    </row>
    <row r="6472">
      <c r="G6472" s="9"/>
    </row>
    <row r="6473">
      <c r="G6473" s="9"/>
    </row>
    <row r="6474">
      <c r="G6474" s="9"/>
    </row>
    <row r="6475">
      <c r="G6475" s="9"/>
    </row>
    <row r="6476">
      <c r="G6476" s="9"/>
    </row>
    <row r="6477">
      <c r="G6477" s="9"/>
    </row>
    <row r="6478">
      <c r="G6478" s="9"/>
    </row>
    <row r="6479">
      <c r="G6479" s="9"/>
    </row>
    <row r="6480">
      <c r="G6480" s="9"/>
    </row>
    <row r="6481">
      <c r="G6481" s="9"/>
    </row>
    <row r="6482">
      <c r="G6482" s="9"/>
    </row>
    <row r="6483">
      <c r="G6483" s="9"/>
    </row>
    <row r="6484">
      <c r="G6484" s="9"/>
    </row>
    <row r="6485">
      <c r="G6485" s="9"/>
    </row>
    <row r="6486">
      <c r="G6486" s="9"/>
    </row>
    <row r="6487">
      <c r="G6487" s="9"/>
    </row>
    <row r="6488">
      <c r="G6488" s="9"/>
    </row>
    <row r="6489">
      <c r="G6489" s="9"/>
    </row>
    <row r="6490">
      <c r="G6490" s="9"/>
    </row>
    <row r="6491">
      <c r="G6491" s="9"/>
    </row>
    <row r="6492">
      <c r="G6492" s="9"/>
    </row>
    <row r="6493">
      <c r="G6493" s="9"/>
    </row>
    <row r="6494">
      <c r="G6494" s="9"/>
    </row>
    <row r="6495">
      <c r="G6495" s="9"/>
    </row>
    <row r="6496">
      <c r="G6496" s="9"/>
    </row>
    <row r="6497">
      <c r="G6497" s="9"/>
    </row>
    <row r="6498">
      <c r="G6498" s="9"/>
    </row>
    <row r="6499">
      <c r="G6499" s="9"/>
    </row>
    <row r="6500">
      <c r="G6500" s="9"/>
    </row>
    <row r="6501">
      <c r="G6501" s="9"/>
    </row>
    <row r="6502">
      <c r="G6502" s="9"/>
    </row>
    <row r="6503">
      <c r="G6503" s="9"/>
    </row>
    <row r="6504">
      <c r="G6504" s="9"/>
    </row>
    <row r="6505">
      <c r="G6505" s="9"/>
    </row>
    <row r="6506">
      <c r="G6506" s="9"/>
    </row>
    <row r="6507">
      <c r="G6507" s="9"/>
    </row>
    <row r="6508">
      <c r="G6508" s="9"/>
    </row>
    <row r="6509">
      <c r="G6509" s="9"/>
    </row>
    <row r="6510">
      <c r="G6510" s="9"/>
    </row>
    <row r="6511">
      <c r="G6511" s="9"/>
    </row>
    <row r="6512">
      <c r="G6512" s="9"/>
    </row>
    <row r="6513">
      <c r="G6513" s="9"/>
    </row>
    <row r="6514">
      <c r="G6514" s="9"/>
    </row>
    <row r="6515">
      <c r="G6515" s="9"/>
    </row>
    <row r="6516">
      <c r="G6516" s="9"/>
    </row>
    <row r="6517">
      <c r="G6517" s="9"/>
    </row>
    <row r="6518">
      <c r="G6518" s="9"/>
    </row>
    <row r="6519">
      <c r="G6519" s="9"/>
    </row>
    <row r="6520">
      <c r="G6520" s="9"/>
    </row>
    <row r="6521">
      <c r="G6521" s="9"/>
    </row>
    <row r="6522">
      <c r="G6522" s="9"/>
    </row>
    <row r="6523">
      <c r="G6523" s="9"/>
    </row>
    <row r="6524">
      <c r="G6524" s="9"/>
    </row>
    <row r="6525">
      <c r="G6525" s="9"/>
    </row>
    <row r="6526">
      <c r="G6526" s="9"/>
    </row>
    <row r="6527">
      <c r="G6527" s="9"/>
    </row>
    <row r="6528">
      <c r="G6528" s="9"/>
    </row>
    <row r="6529">
      <c r="G6529" s="9"/>
    </row>
    <row r="6530">
      <c r="G6530" s="9"/>
    </row>
    <row r="6531">
      <c r="G6531" s="9"/>
    </row>
    <row r="6532">
      <c r="G6532" s="9"/>
    </row>
    <row r="6533">
      <c r="G6533" s="9"/>
    </row>
    <row r="6534">
      <c r="G6534" s="9"/>
    </row>
    <row r="6535">
      <c r="G6535" s="9"/>
    </row>
    <row r="6536">
      <c r="G6536" s="9"/>
    </row>
    <row r="6537">
      <c r="G6537" s="9"/>
    </row>
    <row r="6538">
      <c r="G6538" s="9"/>
    </row>
    <row r="6539">
      <c r="G6539" s="9"/>
    </row>
    <row r="6540">
      <c r="G6540" s="9"/>
    </row>
    <row r="6541">
      <c r="G6541" s="9"/>
    </row>
    <row r="6542">
      <c r="G6542" s="9"/>
    </row>
    <row r="6543">
      <c r="G6543" s="9"/>
    </row>
    <row r="6544">
      <c r="G6544" s="9"/>
    </row>
    <row r="6545">
      <c r="G6545" s="9"/>
    </row>
    <row r="6546">
      <c r="G6546" s="9"/>
    </row>
    <row r="6547">
      <c r="G6547" s="9"/>
    </row>
    <row r="6548">
      <c r="G6548" s="9"/>
    </row>
    <row r="6549">
      <c r="G6549" s="9"/>
    </row>
    <row r="6550">
      <c r="G6550" s="9"/>
    </row>
    <row r="6551">
      <c r="G6551" s="9"/>
    </row>
    <row r="6552">
      <c r="G6552" s="9"/>
    </row>
    <row r="6553">
      <c r="G6553" s="9"/>
    </row>
    <row r="6554">
      <c r="G6554" s="9"/>
    </row>
    <row r="6555">
      <c r="G6555" s="9"/>
    </row>
    <row r="6556">
      <c r="G6556" s="9"/>
    </row>
    <row r="6557">
      <c r="G6557" s="9"/>
    </row>
    <row r="6558">
      <c r="G6558" s="9"/>
    </row>
    <row r="6559">
      <c r="G6559" s="9"/>
    </row>
    <row r="6560">
      <c r="G6560" s="9"/>
    </row>
    <row r="6561">
      <c r="G6561" s="9"/>
    </row>
    <row r="6562">
      <c r="G6562" s="9"/>
    </row>
    <row r="6563">
      <c r="G6563" s="9"/>
    </row>
    <row r="6564">
      <c r="G6564" s="9"/>
    </row>
    <row r="6565">
      <c r="G6565" s="9"/>
    </row>
    <row r="6566">
      <c r="G6566" s="9"/>
    </row>
    <row r="6567">
      <c r="G6567" s="9"/>
    </row>
    <row r="6568">
      <c r="G6568" s="9"/>
    </row>
    <row r="6569">
      <c r="G6569" s="9"/>
    </row>
    <row r="6570">
      <c r="G6570" s="9"/>
    </row>
    <row r="6571">
      <c r="G6571" s="9"/>
    </row>
    <row r="6572">
      <c r="G6572" s="9"/>
    </row>
    <row r="6573">
      <c r="G6573" s="9"/>
    </row>
    <row r="6574">
      <c r="G6574" s="9"/>
    </row>
    <row r="6575">
      <c r="G6575" s="9"/>
    </row>
    <row r="6576">
      <c r="G6576" s="9"/>
    </row>
    <row r="6577">
      <c r="G6577" s="9"/>
    </row>
    <row r="6578">
      <c r="G6578" s="9"/>
    </row>
    <row r="6579">
      <c r="G6579" s="9"/>
    </row>
    <row r="6580">
      <c r="G6580" s="9"/>
    </row>
    <row r="6581">
      <c r="G6581" s="9"/>
    </row>
    <row r="6582">
      <c r="G6582" s="9"/>
    </row>
    <row r="6583">
      <c r="G6583" s="9"/>
    </row>
    <row r="6584">
      <c r="G6584" s="9"/>
    </row>
    <row r="6585">
      <c r="G6585" s="9"/>
    </row>
    <row r="6586">
      <c r="G6586" s="9"/>
    </row>
    <row r="6587">
      <c r="G6587" s="9"/>
    </row>
    <row r="6588">
      <c r="G6588" s="9"/>
    </row>
    <row r="6589">
      <c r="G6589" s="9"/>
    </row>
    <row r="6590">
      <c r="G6590" s="9"/>
    </row>
    <row r="6591">
      <c r="G6591" s="9"/>
    </row>
    <row r="6592">
      <c r="G6592" s="9"/>
    </row>
    <row r="6593">
      <c r="G6593" s="9"/>
    </row>
    <row r="6594">
      <c r="G6594" s="9"/>
    </row>
    <row r="6595">
      <c r="G6595" s="9"/>
    </row>
    <row r="6596">
      <c r="G6596" s="9"/>
    </row>
    <row r="6597">
      <c r="G6597" s="9"/>
    </row>
    <row r="6598">
      <c r="G6598" s="9"/>
    </row>
    <row r="6599">
      <c r="G6599" s="9"/>
    </row>
    <row r="6600">
      <c r="G6600" s="9"/>
    </row>
    <row r="6601">
      <c r="G6601" s="9"/>
    </row>
    <row r="6602">
      <c r="G6602" s="9"/>
    </row>
    <row r="6603">
      <c r="G6603" s="9"/>
    </row>
    <row r="6604">
      <c r="G6604" s="9"/>
    </row>
    <row r="6605">
      <c r="G6605" s="9"/>
    </row>
    <row r="6606">
      <c r="G6606" s="9"/>
    </row>
    <row r="6607">
      <c r="G6607" s="9"/>
    </row>
    <row r="6608">
      <c r="G6608" s="9"/>
    </row>
    <row r="6609">
      <c r="G6609" s="9"/>
    </row>
    <row r="6610">
      <c r="G6610" s="9"/>
    </row>
    <row r="6611">
      <c r="G6611" s="9"/>
    </row>
    <row r="6612">
      <c r="G6612" s="9"/>
    </row>
    <row r="6613">
      <c r="G6613" s="9"/>
    </row>
    <row r="6614">
      <c r="G6614" s="9"/>
    </row>
    <row r="6615">
      <c r="G6615" s="9"/>
    </row>
    <row r="6616">
      <c r="G6616" s="9"/>
    </row>
    <row r="6617">
      <c r="G6617" s="9"/>
    </row>
    <row r="6618">
      <c r="G6618" s="9"/>
    </row>
    <row r="6619">
      <c r="G6619" s="9"/>
    </row>
    <row r="6620">
      <c r="G6620" s="9"/>
    </row>
    <row r="6621">
      <c r="G6621" s="9"/>
    </row>
    <row r="6622">
      <c r="G6622" s="9"/>
    </row>
    <row r="6623">
      <c r="G6623" s="9"/>
    </row>
    <row r="6624">
      <c r="G6624" s="9"/>
    </row>
    <row r="6625">
      <c r="G6625" s="9"/>
    </row>
    <row r="6626">
      <c r="G6626" s="9"/>
    </row>
    <row r="6627">
      <c r="G6627" s="9"/>
    </row>
    <row r="6628">
      <c r="G6628" s="9"/>
    </row>
    <row r="6629">
      <c r="G6629" s="9"/>
    </row>
    <row r="6630">
      <c r="G6630" s="9"/>
    </row>
    <row r="6631">
      <c r="G6631" s="9"/>
    </row>
    <row r="6632">
      <c r="G6632" s="9"/>
    </row>
    <row r="6633">
      <c r="G6633" s="9"/>
    </row>
    <row r="6634">
      <c r="G6634" s="9"/>
    </row>
    <row r="6635">
      <c r="G6635" s="9"/>
    </row>
    <row r="6636">
      <c r="G6636" s="9"/>
    </row>
    <row r="6637">
      <c r="G6637" s="9"/>
    </row>
    <row r="6638">
      <c r="G6638" s="9"/>
    </row>
    <row r="6639">
      <c r="G6639" s="9"/>
    </row>
    <row r="6640">
      <c r="G6640" s="9"/>
    </row>
    <row r="6641">
      <c r="G6641" s="9"/>
    </row>
    <row r="6642">
      <c r="G6642" s="9"/>
    </row>
    <row r="6643">
      <c r="G6643" s="9"/>
    </row>
    <row r="6644">
      <c r="G6644" s="9"/>
    </row>
    <row r="6645">
      <c r="G6645" s="9"/>
    </row>
    <row r="6646">
      <c r="G6646" s="9"/>
    </row>
    <row r="6647">
      <c r="G6647" s="9"/>
    </row>
    <row r="6648">
      <c r="G6648" s="9"/>
    </row>
    <row r="6649">
      <c r="G6649" s="9"/>
    </row>
    <row r="6650">
      <c r="G6650" s="9"/>
    </row>
    <row r="6651">
      <c r="G6651" s="9"/>
    </row>
    <row r="6652">
      <c r="G6652" s="9"/>
    </row>
    <row r="6653">
      <c r="G6653" s="9"/>
    </row>
    <row r="6654">
      <c r="G6654" s="9"/>
    </row>
    <row r="6655">
      <c r="G6655" s="9"/>
    </row>
    <row r="6656">
      <c r="G6656" s="9"/>
    </row>
    <row r="6657">
      <c r="G6657" s="9"/>
    </row>
    <row r="6658">
      <c r="G6658" s="9"/>
    </row>
    <row r="6659">
      <c r="G6659" s="9"/>
    </row>
    <row r="6660">
      <c r="G6660" s="9"/>
    </row>
    <row r="6661">
      <c r="G6661" s="9"/>
    </row>
    <row r="6662">
      <c r="G6662" s="9"/>
    </row>
    <row r="6663">
      <c r="G6663" s="9"/>
    </row>
    <row r="6664">
      <c r="G6664" s="9"/>
    </row>
    <row r="6665">
      <c r="G6665" s="9"/>
    </row>
    <row r="6666">
      <c r="G6666" s="9"/>
    </row>
    <row r="6667">
      <c r="G6667" s="9"/>
    </row>
    <row r="6668">
      <c r="G6668" s="9"/>
    </row>
    <row r="6669">
      <c r="G6669" s="9"/>
    </row>
    <row r="6670">
      <c r="G6670" s="9"/>
    </row>
    <row r="6671">
      <c r="G6671" s="9"/>
    </row>
    <row r="6672">
      <c r="G6672" s="9"/>
    </row>
    <row r="6673">
      <c r="G6673" s="9"/>
    </row>
    <row r="6674">
      <c r="G6674" s="9"/>
    </row>
    <row r="6675">
      <c r="G6675" s="9"/>
    </row>
    <row r="6676">
      <c r="G6676" s="9"/>
    </row>
    <row r="6677">
      <c r="G6677" s="9"/>
    </row>
    <row r="6678">
      <c r="G6678" s="9"/>
    </row>
    <row r="6679">
      <c r="G6679" s="9"/>
    </row>
    <row r="6680">
      <c r="G6680" s="9"/>
    </row>
    <row r="6681">
      <c r="G6681" s="9"/>
    </row>
    <row r="6682">
      <c r="G6682" s="9"/>
    </row>
    <row r="6683">
      <c r="G6683" s="9"/>
    </row>
    <row r="6684">
      <c r="G6684" s="9"/>
    </row>
    <row r="6685">
      <c r="G6685" s="9"/>
    </row>
    <row r="6686">
      <c r="G6686" s="9"/>
    </row>
    <row r="6687">
      <c r="G6687" s="9"/>
    </row>
    <row r="6688">
      <c r="G6688" s="9"/>
    </row>
    <row r="6689">
      <c r="G6689" s="9"/>
    </row>
    <row r="6690">
      <c r="G6690" s="9"/>
    </row>
    <row r="6691">
      <c r="G6691" s="9"/>
    </row>
    <row r="6692">
      <c r="G6692" s="9"/>
    </row>
    <row r="6693">
      <c r="G6693" s="9"/>
    </row>
    <row r="6694">
      <c r="G6694" s="9"/>
    </row>
    <row r="6695">
      <c r="G6695" s="9"/>
    </row>
    <row r="6696">
      <c r="G6696" s="9"/>
    </row>
    <row r="6697">
      <c r="G6697" s="9"/>
    </row>
    <row r="6698">
      <c r="G6698" s="9"/>
    </row>
    <row r="6699">
      <c r="G6699" s="9"/>
    </row>
    <row r="6700">
      <c r="G6700" s="9"/>
    </row>
    <row r="6701">
      <c r="G6701" s="9"/>
    </row>
    <row r="6702">
      <c r="G6702" s="9"/>
    </row>
    <row r="6703">
      <c r="G6703" s="9"/>
    </row>
    <row r="6704">
      <c r="G6704" s="9"/>
    </row>
    <row r="6705">
      <c r="G6705" s="9"/>
    </row>
    <row r="6706">
      <c r="G6706" s="9"/>
    </row>
    <row r="6707">
      <c r="G6707" s="9"/>
    </row>
    <row r="6708">
      <c r="G6708" s="9"/>
    </row>
    <row r="6709">
      <c r="G6709" s="9"/>
    </row>
    <row r="6710">
      <c r="G6710" s="9"/>
    </row>
    <row r="6711">
      <c r="G6711" s="9"/>
    </row>
    <row r="6712">
      <c r="G6712" s="9"/>
    </row>
    <row r="6713">
      <c r="G6713" s="9"/>
    </row>
    <row r="6714">
      <c r="G6714" s="9"/>
    </row>
    <row r="6715">
      <c r="G6715" s="9"/>
    </row>
    <row r="6716">
      <c r="G6716" s="9"/>
    </row>
    <row r="6717">
      <c r="G6717" s="9"/>
    </row>
    <row r="6718">
      <c r="G6718" s="9"/>
    </row>
    <row r="6719">
      <c r="G6719" s="9"/>
    </row>
    <row r="6720">
      <c r="G6720" s="9"/>
    </row>
    <row r="6721">
      <c r="G6721" s="9"/>
    </row>
    <row r="6722">
      <c r="G6722" s="9"/>
    </row>
    <row r="6723">
      <c r="G6723" s="9"/>
    </row>
    <row r="6724">
      <c r="G6724" s="9"/>
    </row>
    <row r="6725">
      <c r="G6725" s="9"/>
    </row>
    <row r="6726">
      <c r="G6726" s="9"/>
    </row>
    <row r="6727">
      <c r="G6727" s="9"/>
    </row>
    <row r="6728">
      <c r="G6728" s="9"/>
    </row>
    <row r="6729">
      <c r="G6729" s="9"/>
    </row>
    <row r="6730">
      <c r="G6730" s="9"/>
    </row>
    <row r="6731">
      <c r="G6731" s="9"/>
    </row>
    <row r="6732">
      <c r="G6732" s="9"/>
    </row>
    <row r="6733">
      <c r="G6733" s="9"/>
    </row>
    <row r="6734">
      <c r="G6734" s="9"/>
    </row>
    <row r="6735">
      <c r="G6735" s="9"/>
    </row>
    <row r="6736">
      <c r="G6736" s="9"/>
    </row>
    <row r="6737">
      <c r="G6737" s="9"/>
    </row>
    <row r="6738">
      <c r="G6738" s="9"/>
    </row>
    <row r="6739">
      <c r="G6739" s="9"/>
    </row>
    <row r="6740">
      <c r="G6740" s="9"/>
    </row>
    <row r="6741">
      <c r="G6741" s="9"/>
    </row>
    <row r="6742">
      <c r="G6742" s="9"/>
    </row>
    <row r="6743">
      <c r="G6743" s="9"/>
    </row>
    <row r="6744">
      <c r="G6744" s="9"/>
    </row>
    <row r="6745">
      <c r="G6745" s="9"/>
    </row>
    <row r="6746">
      <c r="G6746" s="9"/>
    </row>
    <row r="6747">
      <c r="G6747" s="9"/>
    </row>
    <row r="6748">
      <c r="G6748" s="9"/>
    </row>
    <row r="6749">
      <c r="G6749" s="9"/>
    </row>
    <row r="6750">
      <c r="G6750" s="9"/>
    </row>
    <row r="6751">
      <c r="G6751" s="9"/>
    </row>
    <row r="6752">
      <c r="G6752" s="9"/>
    </row>
    <row r="6753">
      <c r="G6753" s="9"/>
    </row>
    <row r="6754">
      <c r="G6754" s="9"/>
    </row>
    <row r="6755">
      <c r="G6755" s="9"/>
    </row>
    <row r="6756">
      <c r="G6756" s="9"/>
    </row>
    <row r="6757">
      <c r="G6757" s="9"/>
    </row>
    <row r="6758">
      <c r="G6758" s="9"/>
    </row>
    <row r="6759">
      <c r="G6759" s="9"/>
    </row>
    <row r="6760">
      <c r="G6760" s="9"/>
    </row>
    <row r="6761">
      <c r="G6761" s="9"/>
    </row>
    <row r="6762">
      <c r="G6762" s="9"/>
    </row>
    <row r="6763">
      <c r="G6763" s="9"/>
    </row>
    <row r="6764">
      <c r="G6764" s="9"/>
    </row>
    <row r="6765">
      <c r="G6765" s="9"/>
    </row>
    <row r="6766">
      <c r="G6766" s="9"/>
    </row>
    <row r="6767">
      <c r="G6767" s="9"/>
    </row>
    <row r="6768">
      <c r="G6768" s="9"/>
    </row>
    <row r="6769">
      <c r="G6769" s="9"/>
    </row>
    <row r="6770">
      <c r="G6770" s="9"/>
    </row>
    <row r="6771">
      <c r="G6771" s="9"/>
    </row>
    <row r="6772">
      <c r="G6772" s="9"/>
    </row>
    <row r="6773">
      <c r="G6773" s="9"/>
    </row>
    <row r="6774">
      <c r="G6774" s="9"/>
    </row>
    <row r="6775">
      <c r="G6775" s="9"/>
    </row>
    <row r="6776">
      <c r="G6776" s="9"/>
    </row>
    <row r="6777">
      <c r="G6777" s="9"/>
    </row>
    <row r="6778">
      <c r="G6778" s="9"/>
    </row>
    <row r="6779">
      <c r="G6779" s="9"/>
    </row>
    <row r="6780">
      <c r="G6780" s="9"/>
    </row>
    <row r="6781">
      <c r="G6781" s="9"/>
    </row>
    <row r="6782">
      <c r="G6782" s="9"/>
    </row>
    <row r="6783">
      <c r="G6783" s="9"/>
    </row>
    <row r="6784">
      <c r="G6784" s="9"/>
    </row>
    <row r="6785">
      <c r="G6785" s="9"/>
    </row>
    <row r="6786">
      <c r="G6786" s="9"/>
    </row>
    <row r="6787">
      <c r="G6787" s="9"/>
    </row>
    <row r="6788">
      <c r="G6788" s="9"/>
    </row>
    <row r="6789">
      <c r="G6789" s="9"/>
    </row>
    <row r="6790">
      <c r="G6790" s="9"/>
    </row>
    <row r="6791">
      <c r="G6791" s="9"/>
    </row>
    <row r="6792">
      <c r="G6792" s="9"/>
    </row>
    <row r="6793">
      <c r="G6793" s="9"/>
    </row>
    <row r="6794">
      <c r="G6794" s="9"/>
    </row>
    <row r="6795">
      <c r="G6795" s="9"/>
    </row>
    <row r="6796">
      <c r="G6796" s="9"/>
    </row>
    <row r="6797">
      <c r="G6797" s="9"/>
    </row>
    <row r="6798">
      <c r="G6798" s="9"/>
    </row>
    <row r="6799">
      <c r="G6799" s="9"/>
    </row>
    <row r="6800">
      <c r="G6800" s="9"/>
    </row>
    <row r="6801">
      <c r="G6801" s="9"/>
    </row>
    <row r="6802">
      <c r="G6802" s="9"/>
    </row>
    <row r="6803">
      <c r="G6803" s="9"/>
    </row>
    <row r="6804">
      <c r="G6804" s="9"/>
    </row>
    <row r="6805">
      <c r="G6805" s="9"/>
    </row>
    <row r="6806">
      <c r="G6806" s="9"/>
    </row>
    <row r="6807">
      <c r="G6807" s="9"/>
    </row>
    <row r="6808">
      <c r="G6808" s="9"/>
    </row>
    <row r="6809">
      <c r="G6809" s="9"/>
    </row>
    <row r="6810">
      <c r="G6810" s="9"/>
    </row>
    <row r="6811">
      <c r="G6811" s="9"/>
    </row>
    <row r="6812">
      <c r="G6812" s="9"/>
    </row>
    <row r="6813">
      <c r="G6813" s="9"/>
    </row>
    <row r="6814">
      <c r="G6814" s="9"/>
    </row>
    <row r="6815">
      <c r="G6815" s="9"/>
    </row>
    <row r="6816">
      <c r="G6816" s="9"/>
    </row>
    <row r="6817">
      <c r="G6817" s="9"/>
    </row>
    <row r="6818">
      <c r="G6818" s="9"/>
    </row>
    <row r="6819">
      <c r="G6819" s="9"/>
    </row>
    <row r="6820">
      <c r="G6820" s="9"/>
    </row>
    <row r="6821">
      <c r="G6821" s="9"/>
    </row>
    <row r="6822">
      <c r="G6822" s="9"/>
    </row>
    <row r="6823">
      <c r="G6823" s="9"/>
    </row>
    <row r="6824">
      <c r="G6824" s="9"/>
    </row>
    <row r="6825">
      <c r="G6825" s="9"/>
    </row>
    <row r="6826">
      <c r="G6826" s="9"/>
    </row>
    <row r="6827">
      <c r="G6827" s="9"/>
    </row>
    <row r="6828">
      <c r="G6828" s="9"/>
    </row>
    <row r="6829">
      <c r="G6829" s="9"/>
    </row>
    <row r="6830">
      <c r="G6830" s="9"/>
    </row>
    <row r="6831">
      <c r="G6831" s="9"/>
    </row>
    <row r="6832">
      <c r="G6832" s="9"/>
    </row>
    <row r="6833">
      <c r="G6833" s="9"/>
    </row>
    <row r="6834">
      <c r="G6834" s="9"/>
    </row>
    <row r="6835">
      <c r="G6835" s="9"/>
    </row>
    <row r="6836">
      <c r="G6836" s="9"/>
    </row>
    <row r="6837">
      <c r="G6837" s="9"/>
    </row>
    <row r="6838">
      <c r="G6838" s="9"/>
    </row>
    <row r="6839">
      <c r="G6839" s="9"/>
    </row>
    <row r="6840">
      <c r="G6840" s="9"/>
    </row>
    <row r="6841">
      <c r="G6841" s="9"/>
    </row>
    <row r="6842">
      <c r="G6842" s="9"/>
    </row>
    <row r="6843">
      <c r="G6843" s="9"/>
    </row>
    <row r="6844">
      <c r="G6844" s="9"/>
    </row>
    <row r="6845">
      <c r="G6845" s="9"/>
    </row>
    <row r="6846">
      <c r="G6846" s="9"/>
    </row>
    <row r="6847">
      <c r="G6847" s="9"/>
    </row>
    <row r="6848">
      <c r="G6848" s="9"/>
    </row>
    <row r="6849">
      <c r="G6849" s="9"/>
    </row>
    <row r="6850">
      <c r="G6850" s="9"/>
    </row>
    <row r="6851">
      <c r="G6851" s="9"/>
    </row>
    <row r="6852">
      <c r="G6852" s="9"/>
    </row>
    <row r="6853">
      <c r="G6853" s="9"/>
    </row>
    <row r="6854">
      <c r="G6854" s="9"/>
    </row>
    <row r="6855">
      <c r="G6855" s="9"/>
    </row>
    <row r="6856">
      <c r="G6856" s="9"/>
    </row>
    <row r="6857">
      <c r="G6857" s="9"/>
    </row>
    <row r="6858">
      <c r="G6858" s="9"/>
    </row>
    <row r="6859">
      <c r="G6859" s="9"/>
    </row>
    <row r="6860">
      <c r="G6860" s="9"/>
    </row>
    <row r="6861">
      <c r="G6861" s="9"/>
    </row>
    <row r="6862">
      <c r="G6862" s="9"/>
    </row>
    <row r="6863">
      <c r="G6863" s="9"/>
    </row>
    <row r="6864">
      <c r="G6864" s="9"/>
    </row>
    <row r="6865">
      <c r="G6865" s="9"/>
    </row>
    <row r="6866">
      <c r="G6866" s="9"/>
    </row>
    <row r="6867">
      <c r="G6867" s="9"/>
    </row>
    <row r="6868">
      <c r="G6868" s="9"/>
    </row>
    <row r="6869">
      <c r="G6869" s="9"/>
    </row>
    <row r="6870">
      <c r="G6870" s="9"/>
    </row>
    <row r="6871">
      <c r="G6871" s="9"/>
    </row>
    <row r="6872">
      <c r="G6872" s="9"/>
    </row>
    <row r="6873">
      <c r="G6873" s="9"/>
    </row>
    <row r="6874">
      <c r="G6874" s="9"/>
    </row>
    <row r="6875">
      <c r="G6875" s="9"/>
    </row>
    <row r="6876">
      <c r="G6876" s="9"/>
    </row>
    <row r="6877">
      <c r="G6877" s="9"/>
    </row>
    <row r="6878">
      <c r="G6878" s="9"/>
    </row>
    <row r="6879">
      <c r="G6879" s="9"/>
    </row>
    <row r="6880">
      <c r="G6880" s="9"/>
    </row>
    <row r="6881">
      <c r="G6881" s="9"/>
    </row>
    <row r="6882">
      <c r="G6882" s="9"/>
    </row>
    <row r="6883">
      <c r="G6883" s="9"/>
    </row>
    <row r="6884">
      <c r="G6884" s="9"/>
    </row>
    <row r="6885">
      <c r="G6885" s="9"/>
    </row>
    <row r="6886">
      <c r="G6886" s="9"/>
    </row>
    <row r="6887">
      <c r="G6887" s="9"/>
    </row>
    <row r="6888">
      <c r="G6888" s="9"/>
    </row>
    <row r="6889">
      <c r="G6889" s="9"/>
    </row>
    <row r="6890">
      <c r="G6890" s="9"/>
    </row>
    <row r="6891">
      <c r="G6891" s="9"/>
    </row>
    <row r="6892">
      <c r="G6892" s="9"/>
    </row>
    <row r="6893">
      <c r="G6893" s="9"/>
    </row>
    <row r="6894">
      <c r="G6894" s="9"/>
    </row>
    <row r="6895">
      <c r="G6895" s="9"/>
    </row>
    <row r="6896">
      <c r="G6896" s="9"/>
    </row>
    <row r="6897">
      <c r="G6897" s="9"/>
    </row>
    <row r="6898">
      <c r="G6898" s="9"/>
    </row>
    <row r="6899">
      <c r="G6899" s="9"/>
    </row>
    <row r="6900">
      <c r="G6900" s="9"/>
    </row>
    <row r="6901">
      <c r="G6901" s="9"/>
    </row>
    <row r="6902">
      <c r="G6902" s="9"/>
    </row>
    <row r="6903">
      <c r="G6903" s="9"/>
    </row>
    <row r="6904">
      <c r="G6904" s="9"/>
    </row>
    <row r="6905">
      <c r="G6905" s="9"/>
    </row>
    <row r="6906">
      <c r="G6906" s="9"/>
    </row>
    <row r="6907">
      <c r="G6907" s="9"/>
    </row>
    <row r="6908">
      <c r="G6908" s="9"/>
    </row>
    <row r="6909">
      <c r="G6909" s="9"/>
    </row>
    <row r="6910">
      <c r="G6910" s="9"/>
    </row>
    <row r="6911">
      <c r="G6911" s="9"/>
    </row>
    <row r="6912">
      <c r="G6912" s="9"/>
    </row>
    <row r="6913">
      <c r="G6913" s="9"/>
    </row>
    <row r="6914">
      <c r="G6914" s="9"/>
    </row>
    <row r="6915">
      <c r="G6915" s="9"/>
    </row>
    <row r="6916">
      <c r="G6916" s="9"/>
    </row>
    <row r="6917">
      <c r="G6917" s="9"/>
    </row>
    <row r="6918">
      <c r="G6918" s="9"/>
    </row>
    <row r="6919">
      <c r="G6919" s="9"/>
    </row>
    <row r="6920">
      <c r="G6920" s="9"/>
    </row>
    <row r="6921">
      <c r="G6921" s="9"/>
    </row>
    <row r="6922">
      <c r="G6922" s="9"/>
    </row>
    <row r="6923">
      <c r="G6923" s="9"/>
    </row>
    <row r="6924">
      <c r="G6924" s="9"/>
    </row>
    <row r="6925">
      <c r="G6925" s="9"/>
    </row>
    <row r="6926">
      <c r="G6926" s="9"/>
    </row>
    <row r="6927">
      <c r="G6927" s="9"/>
    </row>
    <row r="6928">
      <c r="G6928" s="9"/>
    </row>
    <row r="6929">
      <c r="G6929" s="9"/>
    </row>
    <row r="6930">
      <c r="G6930" s="9"/>
    </row>
    <row r="6931">
      <c r="G6931" s="9"/>
    </row>
    <row r="6932">
      <c r="G6932" s="9"/>
    </row>
    <row r="6933">
      <c r="G6933" s="9"/>
    </row>
    <row r="6934">
      <c r="G6934" s="9"/>
    </row>
    <row r="6935">
      <c r="G6935" s="9"/>
    </row>
    <row r="6936">
      <c r="G6936" s="9"/>
    </row>
    <row r="6937">
      <c r="G6937" s="9"/>
    </row>
    <row r="6938">
      <c r="G6938" s="9"/>
    </row>
    <row r="6939">
      <c r="G6939" s="9"/>
    </row>
    <row r="6940">
      <c r="G6940" s="9"/>
    </row>
    <row r="6941">
      <c r="G6941" s="9"/>
    </row>
    <row r="6942">
      <c r="G6942" s="9"/>
    </row>
    <row r="6943">
      <c r="G6943" s="9"/>
    </row>
    <row r="6944">
      <c r="G6944" s="9"/>
    </row>
    <row r="6945">
      <c r="G6945" s="9"/>
    </row>
    <row r="6946">
      <c r="G6946" s="9"/>
    </row>
    <row r="6947">
      <c r="G6947" s="9"/>
    </row>
    <row r="6948">
      <c r="G6948" s="9"/>
    </row>
    <row r="6949">
      <c r="G6949" s="9"/>
    </row>
    <row r="6950">
      <c r="G6950" s="9"/>
    </row>
    <row r="6951">
      <c r="G6951" s="9"/>
    </row>
    <row r="6952">
      <c r="G6952" s="9"/>
    </row>
    <row r="6953">
      <c r="G6953" s="9"/>
    </row>
    <row r="6954">
      <c r="G6954" s="9"/>
    </row>
    <row r="6955">
      <c r="G6955" s="9"/>
    </row>
    <row r="6956">
      <c r="G6956" s="9"/>
    </row>
    <row r="6957">
      <c r="G6957" s="9"/>
    </row>
    <row r="6958">
      <c r="G6958" s="9"/>
    </row>
    <row r="6959">
      <c r="G6959" s="9"/>
    </row>
    <row r="6960">
      <c r="G6960" s="9"/>
    </row>
    <row r="6961">
      <c r="G6961" s="9"/>
    </row>
    <row r="6962">
      <c r="G6962" s="9"/>
    </row>
    <row r="6963">
      <c r="G6963" s="9"/>
    </row>
    <row r="6964">
      <c r="G6964" s="9"/>
    </row>
    <row r="6965">
      <c r="G6965" s="9"/>
    </row>
    <row r="6966">
      <c r="G6966" s="9"/>
    </row>
    <row r="6967">
      <c r="G6967" s="9"/>
    </row>
    <row r="6968">
      <c r="G6968" s="9"/>
    </row>
    <row r="6969">
      <c r="G6969" s="9"/>
    </row>
    <row r="6970">
      <c r="G6970" s="9"/>
    </row>
    <row r="6971">
      <c r="G6971" s="9"/>
    </row>
    <row r="6972">
      <c r="G6972" s="9"/>
    </row>
    <row r="6973">
      <c r="G6973" s="9"/>
    </row>
    <row r="6974">
      <c r="G6974" s="9"/>
    </row>
    <row r="6975">
      <c r="G6975" s="9"/>
    </row>
    <row r="6976">
      <c r="G6976" s="9"/>
    </row>
    <row r="6977">
      <c r="G6977" s="9"/>
    </row>
    <row r="6978">
      <c r="G6978" s="9"/>
    </row>
    <row r="6979">
      <c r="G6979" s="9"/>
    </row>
    <row r="6980">
      <c r="G6980" s="9"/>
    </row>
    <row r="6981">
      <c r="G6981" s="9"/>
    </row>
    <row r="6982">
      <c r="G6982" s="9"/>
    </row>
    <row r="6983">
      <c r="G6983" s="9"/>
    </row>
    <row r="6984">
      <c r="G6984" s="9"/>
    </row>
    <row r="6985">
      <c r="G6985" s="9"/>
    </row>
    <row r="6986">
      <c r="G6986" s="9"/>
    </row>
    <row r="6987">
      <c r="G6987" s="9"/>
    </row>
    <row r="6988">
      <c r="G6988" s="9"/>
    </row>
    <row r="6989">
      <c r="G6989" s="9"/>
    </row>
    <row r="6990">
      <c r="G6990" s="9"/>
    </row>
    <row r="6991">
      <c r="G6991" s="9"/>
    </row>
    <row r="6992">
      <c r="G6992" s="9"/>
    </row>
    <row r="6993">
      <c r="G6993" s="9"/>
    </row>
    <row r="6994">
      <c r="G6994" s="9"/>
    </row>
    <row r="6995">
      <c r="G6995" s="9"/>
    </row>
    <row r="6996">
      <c r="G6996" s="9"/>
    </row>
    <row r="6997">
      <c r="G6997" s="9"/>
    </row>
    <row r="6998">
      <c r="G6998" s="9"/>
    </row>
    <row r="6999">
      <c r="G6999" s="9"/>
    </row>
    <row r="7000">
      <c r="G7000" s="9"/>
    </row>
    <row r="7001">
      <c r="G7001" s="9"/>
    </row>
    <row r="7002">
      <c r="G7002" s="9"/>
    </row>
    <row r="7003">
      <c r="G7003" s="9"/>
    </row>
    <row r="7004">
      <c r="G7004" s="9"/>
    </row>
    <row r="7005">
      <c r="G7005" s="9"/>
    </row>
    <row r="7006">
      <c r="G7006" s="9"/>
    </row>
    <row r="7007">
      <c r="G7007" s="9"/>
    </row>
    <row r="7008">
      <c r="G7008" s="9"/>
    </row>
    <row r="7009">
      <c r="G7009" s="9"/>
    </row>
    <row r="7010">
      <c r="G7010" s="9"/>
    </row>
    <row r="7011">
      <c r="G7011" s="9"/>
    </row>
    <row r="7012">
      <c r="G7012" s="9"/>
    </row>
    <row r="7013">
      <c r="G7013" s="9"/>
    </row>
    <row r="7014">
      <c r="G7014" s="9"/>
    </row>
    <row r="7015">
      <c r="G7015" s="9"/>
    </row>
    <row r="7016">
      <c r="G7016" s="9"/>
    </row>
    <row r="7017">
      <c r="G7017" s="9"/>
    </row>
    <row r="7018">
      <c r="G7018" s="9"/>
    </row>
    <row r="7019">
      <c r="G7019" s="9"/>
    </row>
    <row r="7020">
      <c r="G7020" s="9"/>
    </row>
    <row r="7021">
      <c r="G7021" s="9"/>
    </row>
    <row r="7022">
      <c r="G7022" s="9"/>
    </row>
    <row r="7023">
      <c r="G7023" s="9"/>
    </row>
    <row r="7024">
      <c r="G7024" s="9"/>
    </row>
    <row r="7025">
      <c r="G7025" s="9"/>
    </row>
    <row r="7026">
      <c r="G7026" s="9"/>
    </row>
    <row r="7027">
      <c r="G7027" s="9"/>
    </row>
    <row r="7028">
      <c r="G7028" s="9"/>
    </row>
    <row r="7029">
      <c r="G7029" s="9"/>
    </row>
    <row r="7030">
      <c r="G7030" s="9"/>
    </row>
    <row r="7031">
      <c r="G7031" s="9"/>
    </row>
    <row r="7032">
      <c r="G7032" s="9"/>
    </row>
    <row r="7033">
      <c r="G7033" s="9"/>
    </row>
    <row r="7034">
      <c r="G7034" s="9"/>
    </row>
    <row r="7035">
      <c r="G7035" s="9"/>
    </row>
    <row r="7036">
      <c r="G7036" s="9"/>
    </row>
    <row r="7037">
      <c r="G7037" s="9"/>
    </row>
    <row r="7038">
      <c r="G7038" s="9"/>
    </row>
    <row r="7039">
      <c r="G7039" s="9"/>
    </row>
    <row r="7040">
      <c r="G7040" s="9"/>
    </row>
    <row r="7041">
      <c r="G7041" s="9"/>
    </row>
    <row r="7042">
      <c r="G7042" s="9"/>
    </row>
    <row r="7043">
      <c r="G7043" s="9"/>
    </row>
    <row r="7044">
      <c r="G7044" s="9"/>
    </row>
    <row r="7045">
      <c r="G7045" s="9"/>
    </row>
    <row r="7046">
      <c r="G7046" s="9"/>
    </row>
    <row r="7047">
      <c r="G7047" s="9"/>
    </row>
    <row r="7048">
      <c r="G7048" s="9"/>
    </row>
    <row r="7049">
      <c r="G7049" s="9"/>
    </row>
    <row r="7050">
      <c r="G7050" s="9"/>
    </row>
    <row r="7051">
      <c r="G7051" s="9"/>
    </row>
    <row r="7052">
      <c r="G7052" s="9"/>
    </row>
    <row r="7053">
      <c r="G7053" s="9"/>
    </row>
    <row r="7054">
      <c r="G7054" s="9"/>
    </row>
    <row r="7055">
      <c r="G7055" s="9"/>
    </row>
    <row r="7056">
      <c r="G7056" s="9"/>
    </row>
    <row r="7057">
      <c r="G7057" s="9"/>
    </row>
    <row r="7058">
      <c r="G7058" s="9"/>
    </row>
    <row r="7059">
      <c r="G7059" s="9"/>
    </row>
    <row r="7060">
      <c r="G7060" s="9"/>
    </row>
    <row r="7061">
      <c r="G7061" s="9"/>
    </row>
    <row r="7062">
      <c r="G7062" s="9"/>
    </row>
    <row r="7063">
      <c r="G7063" s="9"/>
    </row>
    <row r="7064">
      <c r="G7064" s="9"/>
    </row>
    <row r="7065">
      <c r="G7065" s="9"/>
    </row>
    <row r="7066">
      <c r="G7066" s="9"/>
    </row>
    <row r="7067">
      <c r="G7067" s="9"/>
    </row>
    <row r="7068">
      <c r="G7068" s="9"/>
    </row>
    <row r="7069">
      <c r="G7069" s="9"/>
    </row>
    <row r="7070">
      <c r="G7070" s="9"/>
    </row>
    <row r="7071">
      <c r="G7071" s="9"/>
    </row>
    <row r="7072">
      <c r="G7072" s="9"/>
    </row>
    <row r="7073">
      <c r="G7073" s="9"/>
    </row>
    <row r="7074">
      <c r="G7074" s="9"/>
    </row>
    <row r="7075">
      <c r="G7075" s="9"/>
    </row>
    <row r="7076">
      <c r="G7076" s="9"/>
    </row>
    <row r="7077">
      <c r="G7077" s="9"/>
    </row>
    <row r="7078">
      <c r="G7078" s="9"/>
    </row>
    <row r="7079">
      <c r="G7079" s="9"/>
    </row>
    <row r="7080">
      <c r="G7080" s="9"/>
    </row>
    <row r="7081">
      <c r="G7081" s="9"/>
    </row>
    <row r="7082">
      <c r="G7082" s="9"/>
    </row>
    <row r="7083">
      <c r="G7083" s="9"/>
    </row>
    <row r="7084">
      <c r="G7084" s="9"/>
    </row>
    <row r="7085">
      <c r="G7085" s="9"/>
    </row>
    <row r="7086">
      <c r="G7086" s="9"/>
    </row>
    <row r="7087">
      <c r="G7087" s="9"/>
    </row>
    <row r="7088">
      <c r="G7088" s="9"/>
    </row>
    <row r="7089">
      <c r="G7089" s="9"/>
    </row>
    <row r="7090">
      <c r="G7090" s="9"/>
    </row>
    <row r="7091">
      <c r="G7091" s="9"/>
    </row>
    <row r="7092">
      <c r="G7092" s="9"/>
    </row>
    <row r="7093">
      <c r="G7093" s="9"/>
    </row>
    <row r="7094">
      <c r="G7094" s="9"/>
    </row>
    <row r="7095">
      <c r="G7095" s="9"/>
    </row>
    <row r="7096">
      <c r="G7096" s="9"/>
    </row>
    <row r="7097">
      <c r="G7097" s="9"/>
    </row>
    <row r="7098">
      <c r="G7098" s="9"/>
    </row>
    <row r="7099">
      <c r="G7099" s="9"/>
    </row>
    <row r="7100">
      <c r="G7100" s="9"/>
    </row>
    <row r="7101">
      <c r="G7101" s="9"/>
    </row>
    <row r="7102">
      <c r="G7102" s="9"/>
    </row>
    <row r="7103">
      <c r="G7103" s="9"/>
    </row>
    <row r="7104">
      <c r="G7104" s="9"/>
    </row>
    <row r="7105">
      <c r="G7105" s="9"/>
    </row>
    <row r="7106">
      <c r="G7106" s="9"/>
      <c r="K7106" t="str">
        <f>IFERROR(__xludf.DUMMYFUNCTION("""COMPUTED_VALUE""")," ")</f>
        <v> </v>
      </c>
    </row>
    <row r="7107">
      <c r="G7107" s="9"/>
      <c r="K7107" t="str">
        <f>IFERROR(__xludf.DUMMYFUNCTION("""COMPUTED_VALUE""")," ")</f>
        <v> </v>
      </c>
    </row>
    <row r="7108">
      <c r="G7108" s="9"/>
      <c r="K7108" t="str">
        <f>IFERROR(__xludf.DUMMYFUNCTION("""COMPUTED_VALUE""")," ")</f>
        <v> </v>
      </c>
    </row>
    <row r="7109">
      <c r="G7109" s="9"/>
      <c r="K7109" t="str">
        <f>IFERROR(__xludf.DUMMYFUNCTION("""COMPUTED_VALUE""")," ")</f>
        <v> </v>
      </c>
    </row>
    <row r="7110">
      <c r="G7110" s="9"/>
      <c r="K7110" t="str">
        <f>IFERROR(__xludf.DUMMYFUNCTION("""COMPUTED_VALUE""")," ")</f>
        <v> </v>
      </c>
    </row>
    <row r="7111">
      <c r="G7111" s="9"/>
      <c r="K7111" t="str">
        <f>IFERROR(__xludf.DUMMYFUNCTION("""COMPUTED_VALUE""")," ")</f>
        <v> </v>
      </c>
    </row>
    <row r="7112">
      <c r="G7112" s="9"/>
      <c r="K7112" t="str">
        <f>IFERROR(__xludf.DUMMYFUNCTION("""COMPUTED_VALUE""")," ")</f>
        <v> </v>
      </c>
    </row>
    <row r="7113">
      <c r="G7113" s="9"/>
      <c r="K7113" t="str">
        <f>IFERROR(__xludf.DUMMYFUNCTION("""COMPUTED_VALUE""")," ")</f>
        <v> </v>
      </c>
    </row>
    <row r="7114">
      <c r="G7114" s="9"/>
      <c r="K7114" t="str">
        <f>IFERROR(__xludf.DUMMYFUNCTION("""COMPUTED_VALUE""")," ")</f>
        <v> </v>
      </c>
    </row>
    <row r="7115">
      <c r="G7115" s="9"/>
      <c r="K7115" t="str">
        <f>IFERROR(__xludf.DUMMYFUNCTION("""COMPUTED_VALUE""")," ")</f>
        <v> </v>
      </c>
    </row>
    <row r="7116">
      <c r="G7116" s="9"/>
      <c r="K7116" t="str">
        <f>IFERROR(__xludf.DUMMYFUNCTION("""COMPUTED_VALUE""")," ")</f>
        <v> </v>
      </c>
    </row>
    <row r="7117">
      <c r="G7117" s="9"/>
      <c r="K7117" t="str">
        <f>IFERROR(__xludf.DUMMYFUNCTION("""COMPUTED_VALUE""")," ")</f>
        <v> </v>
      </c>
    </row>
    <row r="7118">
      <c r="G7118" s="9"/>
      <c r="K7118" t="str">
        <f>IFERROR(__xludf.DUMMYFUNCTION("""COMPUTED_VALUE""")," ")</f>
        <v> </v>
      </c>
    </row>
    <row r="7119">
      <c r="G7119" s="9"/>
      <c r="K7119" t="str">
        <f>IFERROR(__xludf.DUMMYFUNCTION("""COMPUTED_VALUE""")," ")</f>
        <v> </v>
      </c>
    </row>
    <row r="7120">
      <c r="G7120" s="9"/>
      <c r="K7120" t="str">
        <f>IFERROR(__xludf.DUMMYFUNCTION("""COMPUTED_VALUE""")," ")</f>
        <v> </v>
      </c>
    </row>
    <row r="7121">
      <c r="G7121" s="9"/>
      <c r="K7121" t="str">
        <f>IFERROR(__xludf.DUMMYFUNCTION("""COMPUTED_VALUE""")," ")</f>
        <v> </v>
      </c>
    </row>
    <row r="7122">
      <c r="G7122" s="9"/>
      <c r="K7122" t="str">
        <f>IFERROR(__xludf.DUMMYFUNCTION("""COMPUTED_VALUE""")," ")</f>
        <v> </v>
      </c>
    </row>
    <row r="7123">
      <c r="G7123" s="9"/>
      <c r="K7123" t="str">
        <f>IFERROR(__xludf.DUMMYFUNCTION("""COMPUTED_VALUE""")," ")</f>
        <v> </v>
      </c>
    </row>
    <row r="7124">
      <c r="G7124" s="9"/>
      <c r="K7124" t="str">
        <f>IFERROR(__xludf.DUMMYFUNCTION("""COMPUTED_VALUE""")," ")</f>
        <v> </v>
      </c>
    </row>
    <row r="7125">
      <c r="G7125" s="9"/>
      <c r="K7125" t="str">
        <f>IFERROR(__xludf.DUMMYFUNCTION("""COMPUTED_VALUE""")," ")</f>
        <v> </v>
      </c>
    </row>
    <row r="7126">
      <c r="G7126" s="9"/>
      <c r="K7126" t="str">
        <f>IFERROR(__xludf.DUMMYFUNCTION("""COMPUTED_VALUE""")," ")</f>
        <v> </v>
      </c>
    </row>
    <row r="7127">
      <c r="G7127" s="9"/>
      <c r="K7127" t="str">
        <f>IFERROR(__xludf.DUMMYFUNCTION("""COMPUTED_VALUE""")," ")</f>
        <v> </v>
      </c>
    </row>
    <row r="7128">
      <c r="G7128" s="9"/>
      <c r="K7128" t="str">
        <f>IFERROR(__xludf.DUMMYFUNCTION("""COMPUTED_VALUE""")," ")</f>
        <v> </v>
      </c>
    </row>
    <row r="7129">
      <c r="G7129" s="9"/>
      <c r="K7129" t="str">
        <f>IFERROR(__xludf.DUMMYFUNCTION("""COMPUTED_VALUE""")," ")</f>
        <v> </v>
      </c>
    </row>
    <row r="7130">
      <c r="G7130" s="9"/>
      <c r="K7130" t="str">
        <f>IFERROR(__xludf.DUMMYFUNCTION("""COMPUTED_VALUE""")," ")</f>
        <v> </v>
      </c>
    </row>
    <row r="7131">
      <c r="G7131" s="9"/>
      <c r="K7131" t="str">
        <f>IFERROR(__xludf.DUMMYFUNCTION("""COMPUTED_VALUE""")," ")</f>
        <v> </v>
      </c>
    </row>
    <row r="7132">
      <c r="G7132" s="9"/>
      <c r="K7132" t="str">
        <f>IFERROR(__xludf.DUMMYFUNCTION("""COMPUTED_VALUE""")," ")</f>
        <v> </v>
      </c>
    </row>
    <row r="7133">
      <c r="G7133" s="9"/>
      <c r="K7133" t="str">
        <f>IFERROR(__xludf.DUMMYFUNCTION("""COMPUTED_VALUE""")," ")</f>
        <v> </v>
      </c>
    </row>
    <row r="7134">
      <c r="G7134" s="9"/>
      <c r="K7134" t="str">
        <f>IFERROR(__xludf.DUMMYFUNCTION("""COMPUTED_VALUE""")," ")</f>
        <v> </v>
      </c>
    </row>
    <row r="7135">
      <c r="G7135" s="9"/>
      <c r="K7135" t="str">
        <f>IFERROR(__xludf.DUMMYFUNCTION("""COMPUTED_VALUE""")," ")</f>
        <v> </v>
      </c>
    </row>
    <row r="7136">
      <c r="G7136" s="9"/>
      <c r="K7136" t="str">
        <f>IFERROR(__xludf.DUMMYFUNCTION("""COMPUTED_VALUE""")," ")</f>
        <v> </v>
      </c>
    </row>
    <row r="7137">
      <c r="G7137" s="9"/>
      <c r="K7137" t="str">
        <f>IFERROR(__xludf.DUMMYFUNCTION("""COMPUTED_VALUE""")," ")</f>
        <v> </v>
      </c>
    </row>
    <row r="7138">
      <c r="G7138" s="9"/>
      <c r="K7138" t="str">
        <f>IFERROR(__xludf.DUMMYFUNCTION("""COMPUTED_VALUE""")," ")</f>
        <v> </v>
      </c>
    </row>
    <row r="7139">
      <c r="G7139" s="9"/>
      <c r="K7139" t="str">
        <f>IFERROR(__xludf.DUMMYFUNCTION("""COMPUTED_VALUE""")," ")</f>
        <v> </v>
      </c>
    </row>
    <row r="7140">
      <c r="G7140" s="9"/>
      <c r="K7140" t="str">
        <f>IFERROR(__xludf.DUMMYFUNCTION("""COMPUTED_VALUE""")," ")</f>
        <v> </v>
      </c>
    </row>
    <row r="7141">
      <c r="G7141" s="9"/>
      <c r="K7141" t="str">
        <f>IFERROR(__xludf.DUMMYFUNCTION("""COMPUTED_VALUE""")," ")</f>
        <v> </v>
      </c>
    </row>
    <row r="7142">
      <c r="G7142" s="9"/>
      <c r="K7142" t="str">
        <f>IFERROR(__xludf.DUMMYFUNCTION("""COMPUTED_VALUE""")," ")</f>
        <v> </v>
      </c>
    </row>
    <row r="7143">
      <c r="G7143" s="9"/>
      <c r="K7143" t="str">
        <f>IFERROR(__xludf.DUMMYFUNCTION("""COMPUTED_VALUE""")," ")</f>
        <v> </v>
      </c>
    </row>
    <row r="7144">
      <c r="G7144" s="9"/>
      <c r="K7144" t="str">
        <f>IFERROR(__xludf.DUMMYFUNCTION("""COMPUTED_VALUE""")," ")</f>
        <v> </v>
      </c>
    </row>
    <row r="7145">
      <c r="G7145" s="9"/>
      <c r="K7145" t="str">
        <f>IFERROR(__xludf.DUMMYFUNCTION("""COMPUTED_VALUE""")," ")</f>
        <v> </v>
      </c>
    </row>
    <row r="7146">
      <c r="G7146" s="9"/>
      <c r="K7146" t="str">
        <f>IFERROR(__xludf.DUMMYFUNCTION("""COMPUTED_VALUE""")," ")</f>
        <v> </v>
      </c>
    </row>
    <row r="7147">
      <c r="G7147" s="9"/>
      <c r="K7147" t="str">
        <f>IFERROR(__xludf.DUMMYFUNCTION("""COMPUTED_VALUE""")," ")</f>
        <v> </v>
      </c>
    </row>
    <row r="7148">
      <c r="G7148" s="9"/>
      <c r="K7148" t="str">
        <f>IFERROR(__xludf.DUMMYFUNCTION("""COMPUTED_VALUE""")," ")</f>
        <v> </v>
      </c>
    </row>
    <row r="7149">
      <c r="G7149" s="9"/>
      <c r="K7149" t="str">
        <f>IFERROR(__xludf.DUMMYFUNCTION("""COMPUTED_VALUE""")," ")</f>
        <v> </v>
      </c>
    </row>
    <row r="7150">
      <c r="G7150" s="9"/>
      <c r="K7150" t="str">
        <f>IFERROR(__xludf.DUMMYFUNCTION("""COMPUTED_VALUE""")," ")</f>
        <v> </v>
      </c>
    </row>
    <row r="7151">
      <c r="G7151" s="9"/>
      <c r="K7151" t="str">
        <f>IFERROR(__xludf.DUMMYFUNCTION("""COMPUTED_VALUE""")," ")</f>
        <v> </v>
      </c>
    </row>
    <row r="7152">
      <c r="G7152" s="9"/>
      <c r="K7152" t="str">
        <f>IFERROR(__xludf.DUMMYFUNCTION("""COMPUTED_VALUE""")," ")</f>
        <v> </v>
      </c>
    </row>
    <row r="7153">
      <c r="G7153" s="9"/>
      <c r="K7153" t="str">
        <f>IFERROR(__xludf.DUMMYFUNCTION("""COMPUTED_VALUE""")," ")</f>
        <v> </v>
      </c>
    </row>
    <row r="7154">
      <c r="G7154" s="9"/>
      <c r="K7154" t="str">
        <f>IFERROR(__xludf.DUMMYFUNCTION("""COMPUTED_VALUE""")," ")</f>
        <v> </v>
      </c>
    </row>
    <row r="7155">
      <c r="G7155" s="9"/>
      <c r="K7155" t="str">
        <f>IFERROR(__xludf.DUMMYFUNCTION("""COMPUTED_VALUE""")," ")</f>
        <v> </v>
      </c>
    </row>
    <row r="7156">
      <c r="G7156" s="9"/>
      <c r="K7156" t="str">
        <f>IFERROR(__xludf.DUMMYFUNCTION("""COMPUTED_VALUE""")," ")</f>
        <v> </v>
      </c>
    </row>
    <row r="7157">
      <c r="G7157" s="9"/>
      <c r="K7157" t="str">
        <f>IFERROR(__xludf.DUMMYFUNCTION("""COMPUTED_VALUE""")," ")</f>
        <v> </v>
      </c>
    </row>
    <row r="7158">
      <c r="G7158" s="9"/>
      <c r="K7158" t="str">
        <f>IFERROR(__xludf.DUMMYFUNCTION("""COMPUTED_VALUE""")," ")</f>
        <v> </v>
      </c>
    </row>
    <row r="7159">
      <c r="G7159" s="9"/>
      <c r="K7159" t="str">
        <f>IFERROR(__xludf.DUMMYFUNCTION("""COMPUTED_VALUE""")," ")</f>
        <v> </v>
      </c>
    </row>
    <row r="7160">
      <c r="G7160" s="9"/>
      <c r="K7160" t="str">
        <f>IFERROR(__xludf.DUMMYFUNCTION("""COMPUTED_VALUE""")," ")</f>
        <v> </v>
      </c>
    </row>
    <row r="7161">
      <c r="G7161" s="9"/>
      <c r="K7161" t="str">
        <f>IFERROR(__xludf.DUMMYFUNCTION("""COMPUTED_VALUE""")," ")</f>
        <v> </v>
      </c>
    </row>
    <row r="7162">
      <c r="G7162" s="9"/>
      <c r="K7162" t="str">
        <f>IFERROR(__xludf.DUMMYFUNCTION("""COMPUTED_VALUE""")," ")</f>
        <v> </v>
      </c>
    </row>
    <row r="7163">
      <c r="G7163" s="9"/>
      <c r="K7163" t="str">
        <f>IFERROR(__xludf.DUMMYFUNCTION("""COMPUTED_VALUE""")," ")</f>
        <v> </v>
      </c>
    </row>
    <row r="7164">
      <c r="G7164" s="9"/>
      <c r="K7164" t="str">
        <f>IFERROR(__xludf.DUMMYFUNCTION("""COMPUTED_VALUE""")," ")</f>
        <v> </v>
      </c>
    </row>
    <row r="7165">
      <c r="G7165" s="9"/>
      <c r="K7165" t="str">
        <f>IFERROR(__xludf.DUMMYFUNCTION("""COMPUTED_VALUE""")," ")</f>
        <v> </v>
      </c>
    </row>
    <row r="7166">
      <c r="G7166" s="9"/>
      <c r="K7166" t="str">
        <f>IFERROR(__xludf.DUMMYFUNCTION("""COMPUTED_VALUE""")," ")</f>
        <v> </v>
      </c>
    </row>
    <row r="7167">
      <c r="G7167" s="9"/>
      <c r="K7167" t="str">
        <f>IFERROR(__xludf.DUMMYFUNCTION("""COMPUTED_VALUE""")," ")</f>
        <v> </v>
      </c>
    </row>
    <row r="7168">
      <c r="G7168" s="9"/>
      <c r="K7168" t="str">
        <f>IFERROR(__xludf.DUMMYFUNCTION("""COMPUTED_VALUE""")," ")</f>
        <v> </v>
      </c>
    </row>
    <row r="7169">
      <c r="G7169" s="9"/>
      <c r="K7169" t="str">
        <f>IFERROR(__xludf.DUMMYFUNCTION("""COMPUTED_VALUE""")," ")</f>
        <v> </v>
      </c>
    </row>
    <row r="7170">
      <c r="G7170" s="9"/>
      <c r="K7170" t="str">
        <f>IFERROR(__xludf.DUMMYFUNCTION("""COMPUTED_VALUE""")," ")</f>
        <v> </v>
      </c>
    </row>
    <row r="7171">
      <c r="G7171" s="9"/>
      <c r="K7171" t="str">
        <f>IFERROR(__xludf.DUMMYFUNCTION("""COMPUTED_VALUE""")," ")</f>
        <v> </v>
      </c>
    </row>
    <row r="7172">
      <c r="G7172" s="9"/>
      <c r="K7172" t="str">
        <f>IFERROR(__xludf.DUMMYFUNCTION("""COMPUTED_VALUE""")," ")</f>
        <v> </v>
      </c>
    </row>
    <row r="7173">
      <c r="G7173" s="9"/>
      <c r="K7173" t="str">
        <f>IFERROR(__xludf.DUMMYFUNCTION("""COMPUTED_VALUE""")," ")</f>
        <v> </v>
      </c>
    </row>
    <row r="7174">
      <c r="G7174" s="9"/>
      <c r="K7174" t="str">
        <f>IFERROR(__xludf.DUMMYFUNCTION("""COMPUTED_VALUE""")," ")</f>
        <v> </v>
      </c>
    </row>
    <row r="7175">
      <c r="G7175" s="9"/>
      <c r="K7175" t="str">
        <f>IFERROR(__xludf.DUMMYFUNCTION("""COMPUTED_VALUE""")," ")</f>
        <v> </v>
      </c>
    </row>
    <row r="7176">
      <c r="G7176" s="9"/>
      <c r="K7176" t="str">
        <f>IFERROR(__xludf.DUMMYFUNCTION("""COMPUTED_VALUE""")," ")</f>
        <v> </v>
      </c>
    </row>
    <row r="7177">
      <c r="G7177" s="9"/>
      <c r="K7177" t="str">
        <f>IFERROR(__xludf.DUMMYFUNCTION("""COMPUTED_VALUE""")," ")</f>
        <v> </v>
      </c>
    </row>
    <row r="7178">
      <c r="G7178" s="9"/>
      <c r="K7178" t="str">
        <f>IFERROR(__xludf.DUMMYFUNCTION("""COMPUTED_VALUE""")," ")</f>
        <v> </v>
      </c>
    </row>
    <row r="7179">
      <c r="G7179" s="9"/>
      <c r="K7179" t="str">
        <f>IFERROR(__xludf.DUMMYFUNCTION("""COMPUTED_VALUE""")," ")</f>
        <v> </v>
      </c>
    </row>
    <row r="7180">
      <c r="G7180" s="9"/>
      <c r="K7180" t="str">
        <f>IFERROR(__xludf.DUMMYFUNCTION("""COMPUTED_VALUE""")," ")</f>
        <v> </v>
      </c>
    </row>
    <row r="7181">
      <c r="G7181" s="9"/>
      <c r="K7181" t="str">
        <f>IFERROR(__xludf.DUMMYFUNCTION("""COMPUTED_VALUE""")," ")</f>
        <v> </v>
      </c>
    </row>
    <row r="7182">
      <c r="G7182" s="9"/>
      <c r="K7182" t="str">
        <f>IFERROR(__xludf.DUMMYFUNCTION("""COMPUTED_VALUE""")," ")</f>
        <v> </v>
      </c>
    </row>
    <row r="7183">
      <c r="G7183" s="9"/>
      <c r="K7183" t="str">
        <f>IFERROR(__xludf.DUMMYFUNCTION("""COMPUTED_VALUE""")," ")</f>
        <v> </v>
      </c>
    </row>
    <row r="7184">
      <c r="G7184" s="9"/>
      <c r="K7184" t="str">
        <f>IFERROR(__xludf.DUMMYFUNCTION("""COMPUTED_VALUE""")," ")</f>
        <v> </v>
      </c>
    </row>
    <row r="7185">
      <c r="G7185" s="9"/>
      <c r="K7185" t="str">
        <f>IFERROR(__xludf.DUMMYFUNCTION("""COMPUTED_VALUE""")," ")</f>
        <v> </v>
      </c>
    </row>
    <row r="7186">
      <c r="G7186" s="9"/>
      <c r="K7186" t="str">
        <f>IFERROR(__xludf.DUMMYFUNCTION("""COMPUTED_VALUE""")," ")</f>
        <v> </v>
      </c>
    </row>
    <row r="7187">
      <c r="G7187" s="9"/>
      <c r="K7187" t="str">
        <f>IFERROR(__xludf.DUMMYFUNCTION("""COMPUTED_VALUE""")," ")</f>
        <v> </v>
      </c>
    </row>
    <row r="7188">
      <c r="G7188" s="9"/>
      <c r="K7188" t="str">
        <f>IFERROR(__xludf.DUMMYFUNCTION("""COMPUTED_VALUE""")," ")</f>
        <v> </v>
      </c>
    </row>
    <row r="7189">
      <c r="G7189" s="9"/>
      <c r="K7189" t="str">
        <f>IFERROR(__xludf.DUMMYFUNCTION("""COMPUTED_VALUE""")," ")</f>
        <v> </v>
      </c>
    </row>
    <row r="7190">
      <c r="G7190" s="9"/>
      <c r="K7190" t="str">
        <f>IFERROR(__xludf.DUMMYFUNCTION("""COMPUTED_VALUE""")," ")</f>
        <v> </v>
      </c>
    </row>
    <row r="7191">
      <c r="G7191" s="9"/>
      <c r="K7191" t="str">
        <f>IFERROR(__xludf.DUMMYFUNCTION("""COMPUTED_VALUE""")," ")</f>
        <v> </v>
      </c>
    </row>
    <row r="7192">
      <c r="G7192" s="9"/>
    </row>
    <row r="7193">
      <c r="G7193" s="9"/>
    </row>
    <row r="7194">
      <c r="G7194" s="9"/>
    </row>
    <row r="7195">
      <c r="G7195" s="9"/>
    </row>
    <row r="7196">
      <c r="G7196" s="9"/>
    </row>
    <row r="7197">
      <c r="G7197" s="9"/>
    </row>
    <row r="7198">
      <c r="G7198" s="9"/>
    </row>
    <row r="7199">
      <c r="G7199" s="9"/>
    </row>
    <row r="7200">
      <c r="G7200" s="9"/>
    </row>
    <row r="7201">
      <c r="G7201" s="9"/>
    </row>
    <row r="7202">
      <c r="G7202" s="9"/>
    </row>
    <row r="7203">
      <c r="G7203" s="9"/>
    </row>
    <row r="7204">
      <c r="G7204" s="9"/>
    </row>
    <row r="7205">
      <c r="G7205" s="9"/>
    </row>
    <row r="7206">
      <c r="G7206" s="9"/>
    </row>
    <row r="7207">
      <c r="G7207" s="9"/>
    </row>
    <row r="7208">
      <c r="G7208" s="9"/>
    </row>
    <row r="7209">
      <c r="G7209" s="9"/>
    </row>
    <row r="7210">
      <c r="G7210" s="9"/>
    </row>
    <row r="7211">
      <c r="G7211" s="9"/>
    </row>
    <row r="7212">
      <c r="G7212" s="9"/>
    </row>
    <row r="7213">
      <c r="G7213" s="9"/>
    </row>
    <row r="7214">
      <c r="G7214" s="9"/>
    </row>
    <row r="7215">
      <c r="G7215" s="9"/>
    </row>
    <row r="7216">
      <c r="G7216" s="9"/>
    </row>
    <row r="7217">
      <c r="G7217" s="9"/>
    </row>
    <row r="7218">
      <c r="G7218" s="9"/>
    </row>
    <row r="7219">
      <c r="G7219" s="9"/>
    </row>
    <row r="7220">
      <c r="G7220" s="9"/>
    </row>
    <row r="7221">
      <c r="G7221" s="9"/>
    </row>
    <row r="7222">
      <c r="G7222" s="9"/>
    </row>
    <row r="7223">
      <c r="G7223" s="9"/>
    </row>
    <row r="7224">
      <c r="G7224" s="9"/>
    </row>
    <row r="7225">
      <c r="G7225" s="9"/>
    </row>
    <row r="7226">
      <c r="G7226" s="9"/>
    </row>
    <row r="7227">
      <c r="G7227" s="9"/>
    </row>
    <row r="7228">
      <c r="G7228" s="9"/>
    </row>
    <row r="7229">
      <c r="G7229" s="9"/>
    </row>
    <row r="7230">
      <c r="G7230" s="9"/>
    </row>
    <row r="7231">
      <c r="G7231" s="9"/>
    </row>
    <row r="7232">
      <c r="G7232" s="9"/>
    </row>
    <row r="7233">
      <c r="G7233" s="9"/>
    </row>
    <row r="7234">
      <c r="G7234" s="9"/>
    </row>
    <row r="7235">
      <c r="G7235" s="9"/>
    </row>
    <row r="7236">
      <c r="G7236" s="9"/>
    </row>
    <row r="7237">
      <c r="G7237" s="9"/>
    </row>
    <row r="7238">
      <c r="G7238" s="9"/>
    </row>
    <row r="7239">
      <c r="G7239" s="9"/>
    </row>
    <row r="7240">
      <c r="G7240" s="9"/>
    </row>
    <row r="7241">
      <c r="G7241" s="9"/>
    </row>
    <row r="7242">
      <c r="G7242" s="9"/>
    </row>
    <row r="7243">
      <c r="G7243" s="9"/>
    </row>
    <row r="7244">
      <c r="G7244" s="9"/>
    </row>
    <row r="7245">
      <c r="G7245" s="9"/>
    </row>
    <row r="7246">
      <c r="G7246" s="9"/>
    </row>
    <row r="7247">
      <c r="G7247" s="9"/>
    </row>
    <row r="7248">
      <c r="G7248" s="9"/>
    </row>
    <row r="7249">
      <c r="G7249" s="9"/>
    </row>
    <row r="7250">
      <c r="G7250" s="9"/>
    </row>
    <row r="7251">
      <c r="G7251" s="9"/>
    </row>
    <row r="7252">
      <c r="G7252" s="9"/>
    </row>
    <row r="7253">
      <c r="G7253" s="9"/>
    </row>
    <row r="7254">
      <c r="G7254" s="9"/>
    </row>
    <row r="7255">
      <c r="G7255" s="9"/>
    </row>
    <row r="7256">
      <c r="G7256" s="9"/>
    </row>
    <row r="7257">
      <c r="G7257" s="9"/>
    </row>
    <row r="7258">
      <c r="G7258" s="9"/>
    </row>
    <row r="7259">
      <c r="G7259" s="9"/>
    </row>
    <row r="7260">
      <c r="G7260" s="9"/>
    </row>
    <row r="7261">
      <c r="G7261" s="9"/>
    </row>
    <row r="7262">
      <c r="G7262" s="9"/>
    </row>
    <row r="7263">
      <c r="G7263" s="9"/>
    </row>
    <row r="7264">
      <c r="G7264" s="9"/>
    </row>
    <row r="7265">
      <c r="G7265" s="9"/>
    </row>
    <row r="7266">
      <c r="G7266" s="9"/>
    </row>
    <row r="7267">
      <c r="G7267" s="9"/>
    </row>
    <row r="7268">
      <c r="G7268" s="9"/>
    </row>
    <row r="7269">
      <c r="G7269" s="9"/>
    </row>
    <row r="7270">
      <c r="G7270" s="9"/>
    </row>
    <row r="7271">
      <c r="G7271" s="9"/>
    </row>
    <row r="7272">
      <c r="G7272" s="9"/>
    </row>
    <row r="7273">
      <c r="G7273" s="9"/>
    </row>
    <row r="7274">
      <c r="G7274" s="9"/>
    </row>
    <row r="7275">
      <c r="G7275" s="9"/>
    </row>
    <row r="7276">
      <c r="G7276" s="9"/>
    </row>
    <row r="7277">
      <c r="G7277" s="9"/>
    </row>
    <row r="7278">
      <c r="G7278" s="9"/>
    </row>
    <row r="7279">
      <c r="G7279" s="9"/>
    </row>
    <row r="7280">
      <c r="G7280" s="9"/>
    </row>
    <row r="7281">
      <c r="G7281" s="9"/>
    </row>
    <row r="7282">
      <c r="G7282" s="9"/>
    </row>
    <row r="7283">
      <c r="G7283" s="9"/>
    </row>
    <row r="7284">
      <c r="G7284" s="9"/>
    </row>
    <row r="7285">
      <c r="G7285" s="9"/>
    </row>
    <row r="7286">
      <c r="G7286" s="9"/>
    </row>
    <row r="7287">
      <c r="G7287" s="9"/>
    </row>
    <row r="7288">
      <c r="G7288" s="9"/>
    </row>
    <row r="7289">
      <c r="G7289" s="9"/>
    </row>
    <row r="7290">
      <c r="G7290" s="9"/>
    </row>
    <row r="7291">
      <c r="G7291" s="9"/>
    </row>
    <row r="7292">
      <c r="G7292" s="9"/>
    </row>
    <row r="7293">
      <c r="G7293" s="9"/>
    </row>
    <row r="7294">
      <c r="G7294" s="9"/>
    </row>
    <row r="7295">
      <c r="G7295" s="9"/>
    </row>
    <row r="7296">
      <c r="G7296" s="9"/>
    </row>
    <row r="7297">
      <c r="G7297" s="9"/>
    </row>
    <row r="7298">
      <c r="G7298" s="9"/>
    </row>
    <row r="7299">
      <c r="G7299" s="9"/>
    </row>
    <row r="7300">
      <c r="G7300" s="9"/>
    </row>
    <row r="7301">
      <c r="G7301" s="9"/>
    </row>
    <row r="7302">
      <c r="G7302" s="9"/>
    </row>
    <row r="7303">
      <c r="G7303" s="9"/>
    </row>
    <row r="7304">
      <c r="G7304" s="9"/>
    </row>
    <row r="7305">
      <c r="G7305" s="9"/>
    </row>
    <row r="7306">
      <c r="G7306" s="9"/>
    </row>
    <row r="7307">
      <c r="G7307" s="9"/>
    </row>
    <row r="7308">
      <c r="G7308" s="9"/>
    </row>
    <row r="7309">
      <c r="G7309" s="9"/>
    </row>
    <row r="7310">
      <c r="G7310" s="9"/>
    </row>
    <row r="7311">
      <c r="G7311" s="9"/>
    </row>
    <row r="7312">
      <c r="G7312" s="9"/>
    </row>
    <row r="7313">
      <c r="G7313" s="9"/>
    </row>
    <row r="7314">
      <c r="G7314" s="9"/>
    </row>
    <row r="7315">
      <c r="G7315" s="9"/>
    </row>
    <row r="7316">
      <c r="G7316" s="9"/>
    </row>
    <row r="7317">
      <c r="G7317" s="9"/>
    </row>
    <row r="7318">
      <c r="G7318" s="9"/>
    </row>
    <row r="7319">
      <c r="G7319" s="9"/>
    </row>
    <row r="7320">
      <c r="G7320" s="9"/>
    </row>
    <row r="7321">
      <c r="G7321" s="9"/>
    </row>
    <row r="7322">
      <c r="G7322" s="9"/>
    </row>
    <row r="7323">
      <c r="G7323" s="9"/>
    </row>
    <row r="7324">
      <c r="G7324" s="9"/>
    </row>
    <row r="7325">
      <c r="G7325" s="9"/>
    </row>
    <row r="7326">
      <c r="G7326" s="9"/>
    </row>
    <row r="7327">
      <c r="G7327" s="9"/>
    </row>
    <row r="7328">
      <c r="G7328" s="9"/>
    </row>
    <row r="7329">
      <c r="G7329" s="9"/>
    </row>
    <row r="7330">
      <c r="G7330" s="9"/>
    </row>
    <row r="7331">
      <c r="G7331" s="9"/>
    </row>
    <row r="7332">
      <c r="G7332" s="9"/>
    </row>
    <row r="7333">
      <c r="G7333" s="9"/>
    </row>
    <row r="7334">
      <c r="G7334" s="9"/>
    </row>
    <row r="7335">
      <c r="G7335" s="9"/>
    </row>
    <row r="7336">
      <c r="G7336" s="9"/>
    </row>
    <row r="7337">
      <c r="G7337" s="9"/>
    </row>
    <row r="7338">
      <c r="G7338" s="9"/>
    </row>
    <row r="7339">
      <c r="G7339" s="9"/>
    </row>
    <row r="7340">
      <c r="G7340" s="9"/>
    </row>
    <row r="7341">
      <c r="G7341" s="9"/>
    </row>
    <row r="7342">
      <c r="G7342" s="9"/>
    </row>
    <row r="7343">
      <c r="G7343" s="9"/>
    </row>
    <row r="7344">
      <c r="G7344" s="9"/>
    </row>
    <row r="7345">
      <c r="G7345" s="9"/>
    </row>
    <row r="7346">
      <c r="G7346" s="9"/>
    </row>
    <row r="7347">
      <c r="G7347" s="9"/>
    </row>
    <row r="7348">
      <c r="G7348" s="9"/>
    </row>
    <row r="7349">
      <c r="G7349" s="9"/>
    </row>
    <row r="7350">
      <c r="G7350" s="9"/>
    </row>
    <row r="7351">
      <c r="G7351" s="9"/>
    </row>
    <row r="7352">
      <c r="G7352" s="9"/>
    </row>
    <row r="7353">
      <c r="G7353" s="9"/>
    </row>
    <row r="7354">
      <c r="G7354" s="9"/>
    </row>
    <row r="7355">
      <c r="G7355" s="9"/>
    </row>
    <row r="7356">
      <c r="G7356" s="9"/>
    </row>
    <row r="7357">
      <c r="G7357" s="9"/>
    </row>
    <row r="7358">
      <c r="G7358" s="9"/>
    </row>
    <row r="7359">
      <c r="G7359" s="9"/>
    </row>
    <row r="7360">
      <c r="G7360" s="9"/>
    </row>
    <row r="7361">
      <c r="G7361" s="9"/>
    </row>
    <row r="7362">
      <c r="G7362" s="9"/>
    </row>
    <row r="7363">
      <c r="G7363" s="9"/>
    </row>
    <row r="7364">
      <c r="G7364" s="9"/>
    </row>
    <row r="7365">
      <c r="G7365" s="9"/>
    </row>
    <row r="7366">
      <c r="G7366" s="9"/>
    </row>
    <row r="7367">
      <c r="G7367" s="9"/>
    </row>
    <row r="7368">
      <c r="G7368" s="9"/>
    </row>
    <row r="7369">
      <c r="G7369" s="9"/>
    </row>
    <row r="7370">
      <c r="G7370" s="9"/>
    </row>
    <row r="7371">
      <c r="G7371" s="9"/>
    </row>
    <row r="7372">
      <c r="G7372" s="9"/>
    </row>
    <row r="7373">
      <c r="G7373" s="9"/>
    </row>
    <row r="7374">
      <c r="G7374" s="9"/>
    </row>
    <row r="7375">
      <c r="G7375" s="9"/>
    </row>
    <row r="7376">
      <c r="G7376" s="9"/>
    </row>
    <row r="7377">
      <c r="G7377" s="9"/>
    </row>
    <row r="7378">
      <c r="G7378" s="9"/>
    </row>
    <row r="7379">
      <c r="G7379" s="9"/>
    </row>
    <row r="7380">
      <c r="G7380" s="9"/>
    </row>
    <row r="7381">
      <c r="G7381" s="9"/>
    </row>
    <row r="7382">
      <c r="G7382" s="9"/>
    </row>
    <row r="7383">
      <c r="G7383" s="9"/>
    </row>
    <row r="7384">
      <c r="G7384" s="9"/>
    </row>
    <row r="7385">
      <c r="G7385" s="9"/>
    </row>
    <row r="7386">
      <c r="G7386" s="9"/>
    </row>
    <row r="7387">
      <c r="G7387" s="9"/>
    </row>
    <row r="7388">
      <c r="G7388" s="9"/>
    </row>
    <row r="7389">
      <c r="G7389" s="9"/>
    </row>
    <row r="7390">
      <c r="G7390" s="9"/>
    </row>
    <row r="7391">
      <c r="G7391" s="9"/>
    </row>
    <row r="7392">
      <c r="G7392" s="9"/>
    </row>
    <row r="7393">
      <c r="G7393" s="9"/>
    </row>
    <row r="7394">
      <c r="G7394" s="9"/>
    </row>
    <row r="7395">
      <c r="G7395" s="9"/>
    </row>
    <row r="7396">
      <c r="G7396" s="9"/>
    </row>
    <row r="7397">
      <c r="G7397" s="9"/>
    </row>
    <row r="7398">
      <c r="G7398" s="9"/>
    </row>
    <row r="7399">
      <c r="G7399" s="9"/>
    </row>
    <row r="7400">
      <c r="G7400" s="9"/>
    </row>
    <row r="7401">
      <c r="G7401" s="9"/>
    </row>
    <row r="7402">
      <c r="G7402" s="9"/>
    </row>
    <row r="7403">
      <c r="G7403" s="9"/>
    </row>
    <row r="7404">
      <c r="G7404" s="9"/>
    </row>
    <row r="7405">
      <c r="G7405" s="9"/>
    </row>
    <row r="7406">
      <c r="G7406" s="9"/>
    </row>
    <row r="7407">
      <c r="G7407" s="9"/>
    </row>
    <row r="7408">
      <c r="G7408" s="9"/>
    </row>
    <row r="7409">
      <c r="G7409" s="9"/>
    </row>
    <row r="7410">
      <c r="G7410" s="9"/>
    </row>
    <row r="7411">
      <c r="G7411" s="9"/>
    </row>
    <row r="7412">
      <c r="G7412" s="9"/>
    </row>
    <row r="7413">
      <c r="G7413" s="9"/>
    </row>
    <row r="7414">
      <c r="G7414" s="9"/>
    </row>
    <row r="7415">
      <c r="G7415" s="9"/>
    </row>
    <row r="7416">
      <c r="G7416" s="9"/>
    </row>
    <row r="7417">
      <c r="G7417" s="9"/>
    </row>
    <row r="7418">
      <c r="G7418" s="9"/>
    </row>
    <row r="7419">
      <c r="G7419" s="9"/>
    </row>
    <row r="7420">
      <c r="G7420" s="9"/>
    </row>
    <row r="7421">
      <c r="G7421" s="9"/>
    </row>
    <row r="7422">
      <c r="G7422" s="9"/>
    </row>
    <row r="7423">
      <c r="G7423" s="9"/>
    </row>
    <row r="7424">
      <c r="G7424" s="9"/>
    </row>
    <row r="7425">
      <c r="G7425" s="9"/>
    </row>
    <row r="7426">
      <c r="G7426" s="9"/>
    </row>
    <row r="7427">
      <c r="G7427" s="9"/>
    </row>
    <row r="7428">
      <c r="G7428" s="9"/>
    </row>
    <row r="7429">
      <c r="G7429" s="9"/>
    </row>
    <row r="7430">
      <c r="G7430" s="9"/>
    </row>
    <row r="7431">
      <c r="G7431" s="9"/>
    </row>
    <row r="7432">
      <c r="G7432" s="9"/>
    </row>
    <row r="7433">
      <c r="G7433" s="9"/>
    </row>
    <row r="7434">
      <c r="G7434" s="9"/>
    </row>
    <row r="7435">
      <c r="G7435" s="9"/>
    </row>
    <row r="7436">
      <c r="G7436" s="9"/>
    </row>
    <row r="7437">
      <c r="G7437" s="9"/>
    </row>
    <row r="7438">
      <c r="G7438" s="9"/>
    </row>
    <row r="7439">
      <c r="G7439" s="9"/>
    </row>
    <row r="7440">
      <c r="G7440" s="9"/>
    </row>
    <row r="7441">
      <c r="G7441" s="9"/>
    </row>
    <row r="7442">
      <c r="G7442" s="9"/>
    </row>
    <row r="7443">
      <c r="G7443" s="9"/>
    </row>
    <row r="7444">
      <c r="G7444" s="9"/>
    </row>
    <row r="7445">
      <c r="G7445" s="9"/>
    </row>
    <row r="7446">
      <c r="G7446" s="9"/>
    </row>
    <row r="7447">
      <c r="G7447" s="9"/>
    </row>
    <row r="7448">
      <c r="G7448" s="9"/>
    </row>
    <row r="7449">
      <c r="G7449" s="9"/>
    </row>
    <row r="7450">
      <c r="G7450" s="9"/>
    </row>
    <row r="7451">
      <c r="G7451" s="9"/>
    </row>
    <row r="7452">
      <c r="G7452" s="9"/>
    </row>
    <row r="7453">
      <c r="G7453" s="9"/>
    </row>
    <row r="7454">
      <c r="G7454" s="9"/>
    </row>
    <row r="7455">
      <c r="G7455" s="9"/>
    </row>
    <row r="7456">
      <c r="G7456" s="9"/>
    </row>
    <row r="7457">
      <c r="G7457" s="9"/>
    </row>
    <row r="7458">
      <c r="G7458" s="9"/>
    </row>
    <row r="7459">
      <c r="G7459" s="9"/>
    </row>
    <row r="7460">
      <c r="G7460" s="9"/>
    </row>
    <row r="7461">
      <c r="G7461" s="9"/>
    </row>
    <row r="7462">
      <c r="G7462" s="9"/>
    </row>
    <row r="7463">
      <c r="G7463" s="9"/>
    </row>
    <row r="7464">
      <c r="G7464" s="9"/>
    </row>
    <row r="7465">
      <c r="G7465" s="9"/>
    </row>
    <row r="7466">
      <c r="G7466" s="9"/>
    </row>
    <row r="7467">
      <c r="G7467" s="9"/>
    </row>
    <row r="7468">
      <c r="G7468" s="9"/>
    </row>
    <row r="7469">
      <c r="G7469" s="9"/>
    </row>
    <row r="7470">
      <c r="G7470" s="9"/>
    </row>
    <row r="7471">
      <c r="G7471" s="9"/>
    </row>
    <row r="7472">
      <c r="G7472" s="9"/>
    </row>
    <row r="7473">
      <c r="G7473" s="9"/>
    </row>
    <row r="7474">
      <c r="G7474" s="9"/>
    </row>
    <row r="7475">
      <c r="G7475" s="9"/>
    </row>
    <row r="7476">
      <c r="G7476" s="9"/>
    </row>
    <row r="7477">
      <c r="G7477" s="9"/>
    </row>
    <row r="7478">
      <c r="G7478" s="9"/>
    </row>
    <row r="7479">
      <c r="G7479" s="9"/>
    </row>
    <row r="7480">
      <c r="G7480" s="9"/>
    </row>
    <row r="7481">
      <c r="G7481" s="9"/>
    </row>
    <row r="7482">
      <c r="G7482" s="9"/>
    </row>
    <row r="7483">
      <c r="G7483" s="9"/>
    </row>
    <row r="7484">
      <c r="G7484" s="9"/>
    </row>
    <row r="7485">
      <c r="G7485" s="9"/>
    </row>
    <row r="7486">
      <c r="G7486" s="9"/>
    </row>
    <row r="7487">
      <c r="G7487" s="9"/>
    </row>
    <row r="7488">
      <c r="G7488" s="9"/>
    </row>
    <row r="7489">
      <c r="G7489" s="9"/>
    </row>
    <row r="7490">
      <c r="G7490" s="9"/>
    </row>
    <row r="7491">
      <c r="G7491" s="9"/>
    </row>
    <row r="7492">
      <c r="G7492" s="9"/>
    </row>
    <row r="7493">
      <c r="G7493" s="9"/>
    </row>
    <row r="7494">
      <c r="G7494" s="9"/>
    </row>
    <row r="7495">
      <c r="G7495" s="9"/>
    </row>
    <row r="7496">
      <c r="G7496" s="9"/>
    </row>
    <row r="7497">
      <c r="G7497" s="9"/>
    </row>
    <row r="7498">
      <c r="G7498" s="9"/>
    </row>
    <row r="7499">
      <c r="G7499" s="9"/>
    </row>
    <row r="7500">
      <c r="G7500" s="9"/>
    </row>
    <row r="7501">
      <c r="G7501" s="9"/>
    </row>
    <row r="7502">
      <c r="G7502" s="9"/>
    </row>
    <row r="7503">
      <c r="G7503" s="9"/>
    </row>
    <row r="7504">
      <c r="G7504" s="9"/>
    </row>
    <row r="7505">
      <c r="G7505" s="9"/>
    </row>
    <row r="7506">
      <c r="G7506" s="9"/>
    </row>
    <row r="7507">
      <c r="G7507" s="9"/>
    </row>
    <row r="7508">
      <c r="G7508" s="9"/>
    </row>
    <row r="7509">
      <c r="G7509" s="9"/>
    </row>
    <row r="7510">
      <c r="G7510" s="9"/>
    </row>
    <row r="7511">
      <c r="G7511" s="9"/>
    </row>
    <row r="7512">
      <c r="G7512" s="9"/>
    </row>
    <row r="7513">
      <c r="G7513" s="9"/>
    </row>
    <row r="7514">
      <c r="G7514" s="9"/>
    </row>
    <row r="7515">
      <c r="G7515" s="9"/>
    </row>
    <row r="7516">
      <c r="G7516" s="9"/>
    </row>
    <row r="7517">
      <c r="G7517" s="9"/>
    </row>
    <row r="7518">
      <c r="G7518" s="9"/>
    </row>
    <row r="7519">
      <c r="G7519" s="9"/>
    </row>
    <row r="7520">
      <c r="G7520" s="9"/>
    </row>
    <row r="7521">
      <c r="G7521" s="9"/>
    </row>
    <row r="7522">
      <c r="G7522" s="9"/>
    </row>
    <row r="7523">
      <c r="G7523" s="9"/>
    </row>
    <row r="7524">
      <c r="G7524" s="9"/>
    </row>
    <row r="7525">
      <c r="G7525" s="9"/>
    </row>
    <row r="7526">
      <c r="G7526" s="9"/>
    </row>
    <row r="7527">
      <c r="G7527" s="9"/>
    </row>
    <row r="7528">
      <c r="G7528" s="9"/>
    </row>
    <row r="7529">
      <c r="G7529" s="9"/>
    </row>
    <row r="7530">
      <c r="G7530" s="9"/>
    </row>
    <row r="7531">
      <c r="G7531" s="9"/>
    </row>
    <row r="7532">
      <c r="G7532" s="9"/>
    </row>
    <row r="7533">
      <c r="G7533" s="9"/>
    </row>
    <row r="7534">
      <c r="G7534" s="9"/>
    </row>
    <row r="7535">
      <c r="G7535" s="9"/>
    </row>
    <row r="7536">
      <c r="G7536" s="9"/>
    </row>
    <row r="7537">
      <c r="G7537" s="9"/>
    </row>
    <row r="7538">
      <c r="G7538" s="9"/>
    </row>
    <row r="7539">
      <c r="G7539" s="9"/>
    </row>
    <row r="7540">
      <c r="G7540" s="9"/>
    </row>
    <row r="7541">
      <c r="G7541" s="9"/>
    </row>
    <row r="7542">
      <c r="G7542" s="9"/>
    </row>
    <row r="7543">
      <c r="G7543" s="9"/>
    </row>
    <row r="7544">
      <c r="G7544" s="9"/>
    </row>
    <row r="7545">
      <c r="G7545" s="9"/>
    </row>
    <row r="7546">
      <c r="G7546" s="9"/>
    </row>
    <row r="7547">
      <c r="G7547" s="9"/>
    </row>
    <row r="7548">
      <c r="G7548" s="9"/>
    </row>
    <row r="7549">
      <c r="G7549" s="9"/>
    </row>
    <row r="7550">
      <c r="G7550" s="9"/>
    </row>
    <row r="7551">
      <c r="G7551" s="9"/>
    </row>
    <row r="7552">
      <c r="G7552" s="9"/>
    </row>
    <row r="7553">
      <c r="G7553" s="9"/>
    </row>
    <row r="7554">
      <c r="G7554" s="9"/>
    </row>
    <row r="7555">
      <c r="G7555" s="9"/>
    </row>
    <row r="7556">
      <c r="G7556" s="9"/>
    </row>
    <row r="7557">
      <c r="G7557" s="9"/>
    </row>
    <row r="7558">
      <c r="G7558" s="9"/>
    </row>
    <row r="7559">
      <c r="G7559" s="9"/>
    </row>
    <row r="7560">
      <c r="G7560" s="9"/>
    </row>
    <row r="7561">
      <c r="G7561" s="9"/>
    </row>
    <row r="7562">
      <c r="G7562" s="9"/>
    </row>
    <row r="7563">
      <c r="G7563" s="9"/>
    </row>
    <row r="7564">
      <c r="G7564" s="9"/>
    </row>
    <row r="7565">
      <c r="G7565" s="9"/>
    </row>
    <row r="7566">
      <c r="G7566" s="9"/>
    </row>
    <row r="7567">
      <c r="G7567" s="9"/>
    </row>
    <row r="7568">
      <c r="G7568" s="9"/>
    </row>
    <row r="7569">
      <c r="G7569" s="9"/>
    </row>
    <row r="7570">
      <c r="G7570" s="9"/>
    </row>
    <row r="7571">
      <c r="G7571" s="9"/>
    </row>
    <row r="7572">
      <c r="G7572" s="9"/>
    </row>
    <row r="7573">
      <c r="G7573" s="9"/>
    </row>
    <row r="7574">
      <c r="G7574" s="9"/>
    </row>
    <row r="7575">
      <c r="G7575" s="9"/>
    </row>
    <row r="7576">
      <c r="G7576" s="9"/>
    </row>
    <row r="7577">
      <c r="G7577" s="9"/>
    </row>
    <row r="7578">
      <c r="G7578" s="9"/>
    </row>
    <row r="7579">
      <c r="G7579" s="9"/>
    </row>
    <row r="7580">
      <c r="G7580" s="9"/>
    </row>
    <row r="7581">
      <c r="G7581" s="9"/>
    </row>
    <row r="7582">
      <c r="G7582" s="9"/>
    </row>
    <row r="7583">
      <c r="G7583" s="9"/>
    </row>
    <row r="7584">
      <c r="G7584" s="9"/>
    </row>
    <row r="7585">
      <c r="G7585" s="9"/>
    </row>
    <row r="7586">
      <c r="G7586" s="9"/>
    </row>
    <row r="7587">
      <c r="G7587" s="9"/>
    </row>
    <row r="7588">
      <c r="G7588" s="9"/>
    </row>
    <row r="7589">
      <c r="G7589" s="9"/>
    </row>
    <row r="7590">
      <c r="G7590" s="9"/>
    </row>
    <row r="7591">
      <c r="G7591" s="9"/>
    </row>
    <row r="7592">
      <c r="G7592" s="9"/>
    </row>
    <row r="7593">
      <c r="G7593" s="9"/>
    </row>
    <row r="7594">
      <c r="G7594" s="9"/>
    </row>
    <row r="7595">
      <c r="G7595" s="9"/>
    </row>
    <row r="7596">
      <c r="G7596" s="9"/>
    </row>
    <row r="7597">
      <c r="G7597" s="9"/>
    </row>
    <row r="7598">
      <c r="G7598" s="9"/>
    </row>
    <row r="7599">
      <c r="G7599" s="9"/>
    </row>
    <row r="7600">
      <c r="G7600" s="9"/>
    </row>
    <row r="7601">
      <c r="G7601" s="9"/>
    </row>
    <row r="7602">
      <c r="G7602" s="9"/>
    </row>
    <row r="7603">
      <c r="G7603" s="9"/>
    </row>
    <row r="7604">
      <c r="G7604" s="9"/>
    </row>
    <row r="7605">
      <c r="G7605" s="9"/>
    </row>
    <row r="7606">
      <c r="G7606" s="9"/>
    </row>
    <row r="7607">
      <c r="G7607" s="9"/>
    </row>
    <row r="7608">
      <c r="G7608" s="9"/>
    </row>
    <row r="7609">
      <c r="G7609" s="9"/>
    </row>
    <row r="7610">
      <c r="G7610" s="9"/>
    </row>
    <row r="7611">
      <c r="G7611" s="9"/>
    </row>
    <row r="7612">
      <c r="G7612" s="9"/>
    </row>
    <row r="7613">
      <c r="G7613" s="9"/>
    </row>
    <row r="7614">
      <c r="G7614" s="9"/>
    </row>
    <row r="7615">
      <c r="G7615" s="9"/>
    </row>
    <row r="7616">
      <c r="G7616" s="9"/>
    </row>
    <row r="7617">
      <c r="G7617" s="9"/>
    </row>
    <row r="7618">
      <c r="G7618" s="9"/>
    </row>
    <row r="7619">
      <c r="G7619" s="9"/>
    </row>
    <row r="7620">
      <c r="G7620" s="9"/>
    </row>
    <row r="7621">
      <c r="G7621" s="9"/>
    </row>
    <row r="7622">
      <c r="G7622" s="9"/>
    </row>
    <row r="7623">
      <c r="G7623" s="9"/>
    </row>
    <row r="7624">
      <c r="G7624" s="9"/>
    </row>
    <row r="7625">
      <c r="G7625" s="9"/>
    </row>
    <row r="7626">
      <c r="G7626" s="9"/>
    </row>
    <row r="7627">
      <c r="G7627" s="9"/>
    </row>
    <row r="7628">
      <c r="G7628" s="9"/>
    </row>
    <row r="7629">
      <c r="G7629" s="9"/>
    </row>
    <row r="7630">
      <c r="G7630" s="9"/>
    </row>
    <row r="7631">
      <c r="G7631" s="9"/>
    </row>
    <row r="7632">
      <c r="G7632" s="9"/>
    </row>
    <row r="7633">
      <c r="G7633" s="9"/>
    </row>
    <row r="7634">
      <c r="G7634" s="9"/>
    </row>
    <row r="7635">
      <c r="G7635" s="9"/>
    </row>
    <row r="7636">
      <c r="G7636" s="9"/>
    </row>
    <row r="7637">
      <c r="G7637" s="9"/>
    </row>
    <row r="7638">
      <c r="G7638" s="9"/>
    </row>
    <row r="7639">
      <c r="G7639" s="9"/>
    </row>
    <row r="7640">
      <c r="G7640" s="9"/>
    </row>
    <row r="7641">
      <c r="G7641" s="9"/>
    </row>
    <row r="7642">
      <c r="G7642" s="9"/>
    </row>
    <row r="7643">
      <c r="G7643" s="9"/>
    </row>
    <row r="7644">
      <c r="G7644" s="9"/>
    </row>
    <row r="7645">
      <c r="G7645" s="9"/>
    </row>
    <row r="7646">
      <c r="G7646" s="9"/>
    </row>
    <row r="7647">
      <c r="G7647" s="9"/>
    </row>
    <row r="7648">
      <c r="G7648" s="9"/>
    </row>
    <row r="7649">
      <c r="G7649" s="9"/>
    </row>
    <row r="7650">
      <c r="G7650" s="9"/>
    </row>
    <row r="7651">
      <c r="G7651" s="9"/>
    </row>
    <row r="7652">
      <c r="G7652" s="9"/>
    </row>
    <row r="7653">
      <c r="G7653" s="9"/>
    </row>
    <row r="7654">
      <c r="G7654" s="9"/>
    </row>
    <row r="7655">
      <c r="G7655" s="9"/>
    </row>
    <row r="7656">
      <c r="G7656" s="9"/>
    </row>
    <row r="7657">
      <c r="G7657" s="9"/>
    </row>
    <row r="7658">
      <c r="G7658" s="9"/>
    </row>
    <row r="7659">
      <c r="G7659" s="9"/>
    </row>
    <row r="7660">
      <c r="G7660" s="9"/>
    </row>
    <row r="7661">
      <c r="G7661" s="9"/>
    </row>
    <row r="7662">
      <c r="G7662" s="9"/>
    </row>
    <row r="7663">
      <c r="G7663" s="9"/>
    </row>
    <row r="7664">
      <c r="G7664" s="9"/>
    </row>
    <row r="7665">
      <c r="G7665" s="9"/>
    </row>
    <row r="7666">
      <c r="G7666" s="9"/>
    </row>
    <row r="7667">
      <c r="G7667" s="9"/>
    </row>
    <row r="7668">
      <c r="G7668" s="9"/>
    </row>
    <row r="7669">
      <c r="G7669" s="9"/>
    </row>
    <row r="7670">
      <c r="G7670" s="9"/>
    </row>
    <row r="7671">
      <c r="G7671" s="9"/>
    </row>
    <row r="7672">
      <c r="G7672" s="9"/>
    </row>
    <row r="7673">
      <c r="G7673" s="9"/>
    </row>
    <row r="7674">
      <c r="G7674" s="9"/>
    </row>
    <row r="7675">
      <c r="G7675" s="9"/>
    </row>
    <row r="7676">
      <c r="G7676" s="9"/>
    </row>
    <row r="7677">
      <c r="G7677" s="9"/>
    </row>
    <row r="7678">
      <c r="G7678" s="9"/>
    </row>
    <row r="7679">
      <c r="G7679" s="9"/>
    </row>
    <row r="7680">
      <c r="G7680" s="9"/>
    </row>
    <row r="7681">
      <c r="G7681" s="9"/>
    </row>
    <row r="7682">
      <c r="G7682" s="9"/>
    </row>
    <row r="7683">
      <c r="G7683" s="9"/>
    </row>
    <row r="7684">
      <c r="G7684" s="9"/>
    </row>
    <row r="7685">
      <c r="G7685" s="9"/>
    </row>
    <row r="7686">
      <c r="G7686" s="9"/>
    </row>
    <row r="7687">
      <c r="G7687" s="9"/>
    </row>
    <row r="7688">
      <c r="G7688" s="9"/>
    </row>
    <row r="7689">
      <c r="G7689" s="9"/>
    </row>
    <row r="7690">
      <c r="G7690" s="9"/>
    </row>
    <row r="7691">
      <c r="G7691" s="9"/>
    </row>
    <row r="7692">
      <c r="G7692" s="9"/>
    </row>
    <row r="7693">
      <c r="G7693" s="9"/>
    </row>
    <row r="7694">
      <c r="G7694" s="9"/>
    </row>
    <row r="7695">
      <c r="G7695" s="9"/>
    </row>
    <row r="7696">
      <c r="G7696" s="9"/>
    </row>
    <row r="7697">
      <c r="G7697" s="9"/>
    </row>
    <row r="7698">
      <c r="G7698" s="9"/>
    </row>
    <row r="7699">
      <c r="G7699" s="9"/>
    </row>
    <row r="7700">
      <c r="G7700" s="9"/>
    </row>
    <row r="7701">
      <c r="G7701" s="9"/>
    </row>
    <row r="7702">
      <c r="G7702" s="9"/>
    </row>
    <row r="7703">
      <c r="G7703" s="9"/>
    </row>
    <row r="7704">
      <c r="G7704" s="9"/>
    </row>
    <row r="7705">
      <c r="G7705" s="9"/>
    </row>
    <row r="7706">
      <c r="G7706" s="9"/>
    </row>
    <row r="7707">
      <c r="G7707" s="9"/>
    </row>
    <row r="7708">
      <c r="G7708" s="9"/>
    </row>
    <row r="7709">
      <c r="G7709" s="9"/>
    </row>
    <row r="7710">
      <c r="G7710" s="9"/>
    </row>
    <row r="7711">
      <c r="G7711" s="9"/>
    </row>
    <row r="7712">
      <c r="G7712" s="9"/>
    </row>
    <row r="7713">
      <c r="G7713" s="9"/>
    </row>
    <row r="7714">
      <c r="G7714" s="9"/>
    </row>
    <row r="7715">
      <c r="G7715" s="9"/>
    </row>
    <row r="7716">
      <c r="G7716" s="9"/>
    </row>
    <row r="7717">
      <c r="G7717" s="9"/>
    </row>
    <row r="7718">
      <c r="G7718" s="9"/>
    </row>
    <row r="7719">
      <c r="G7719" s="9"/>
    </row>
    <row r="7720">
      <c r="G7720" s="9"/>
    </row>
    <row r="7721">
      <c r="G7721" s="9"/>
    </row>
    <row r="7722">
      <c r="G7722" s="9"/>
    </row>
    <row r="7723">
      <c r="G7723" s="9"/>
    </row>
    <row r="7724">
      <c r="G7724" s="9"/>
    </row>
    <row r="7725">
      <c r="G7725" s="9"/>
    </row>
    <row r="7726">
      <c r="G7726" s="9"/>
    </row>
    <row r="7727">
      <c r="G7727" s="9"/>
    </row>
    <row r="7728">
      <c r="G7728" s="9"/>
    </row>
    <row r="7729">
      <c r="G7729" s="9"/>
    </row>
    <row r="7730">
      <c r="G7730" s="9"/>
    </row>
    <row r="7731">
      <c r="G7731" s="9"/>
    </row>
    <row r="7732">
      <c r="G7732" s="9"/>
    </row>
    <row r="7733">
      <c r="G7733" s="9"/>
    </row>
    <row r="7734">
      <c r="G7734" s="9"/>
    </row>
    <row r="7735">
      <c r="G7735" s="9"/>
    </row>
    <row r="7736">
      <c r="G7736" s="9"/>
    </row>
    <row r="7737">
      <c r="G7737" s="9"/>
    </row>
    <row r="7738">
      <c r="G7738" s="9"/>
    </row>
    <row r="7739">
      <c r="G7739" s="9"/>
    </row>
    <row r="7740">
      <c r="G7740" s="9"/>
    </row>
    <row r="7741">
      <c r="G7741" s="9"/>
    </row>
    <row r="7742">
      <c r="G7742" s="9"/>
    </row>
    <row r="7743">
      <c r="G7743" s="9"/>
    </row>
    <row r="7744">
      <c r="G7744" s="9"/>
    </row>
    <row r="7745">
      <c r="G7745" s="9"/>
    </row>
    <row r="7746">
      <c r="G7746" s="9"/>
    </row>
    <row r="7747">
      <c r="G7747" s="9"/>
    </row>
    <row r="7748">
      <c r="G7748" s="9"/>
    </row>
    <row r="7749">
      <c r="G7749" s="9"/>
    </row>
    <row r="7750">
      <c r="G7750" s="9"/>
    </row>
    <row r="7751">
      <c r="G7751" s="9"/>
    </row>
    <row r="7752">
      <c r="G7752" s="9"/>
    </row>
    <row r="7753">
      <c r="G7753" s="9"/>
    </row>
    <row r="7754">
      <c r="G7754" s="9"/>
    </row>
    <row r="7755">
      <c r="G7755" s="9"/>
    </row>
    <row r="7756">
      <c r="G7756" s="9"/>
    </row>
    <row r="7757">
      <c r="G7757" s="9"/>
    </row>
    <row r="7758">
      <c r="G7758" s="9"/>
    </row>
    <row r="7759">
      <c r="G7759" s="9"/>
    </row>
    <row r="7760">
      <c r="G7760" s="9"/>
    </row>
    <row r="7761">
      <c r="G7761" s="9"/>
    </row>
    <row r="7762">
      <c r="G7762" s="9"/>
    </row>
    <row r="7763">
      <c r="G7763" s="9"/>
    </row>
    <row r="7764">
      <c r="G7764" s="9"/>
    </row>
    <row r="7765">
      <c r="G7765" s="9"/>
    </row>
    <row r="7766">
      <c r="G7766" s="9"/>
    </row>
    <row r="7767">
      <c r="G7767" s="9"/>
    </row>
    <row r="7768">
      <c r="G7768" s="9"/>
    </row>
    <row r="7769">
      <c r="G7769" s="9"/>
    </row>
    <row r="7770">
      <c r="G7770" s="9"/>
    </row>
    <row r="7771">
      <c r="G7771" s="9"/>
    </row>
    <row r="7772">
      <c r="G7772" s="9"/>
    </row>
    <row r="7773">
      <c r="G7773" s="9"/>
    </row>
    <row r="7774">
      <c r="G7774" s="9"/>
    </row>
    <row r="7775">
      <c r="G7775" s="9"/>
    </row>
    <row r="7776">
      <c r="G7776" s="9"/>
    </row>
    <row r="7777">
      <c r="G7777" s="9"/>
    </row>
    <row r="7778">
      <c r="G7778" s="9"/>
    </row>
    <row r="7779">
      <c r="G7779" s="9"/>
    </row>
    <row r="7780">
      <c r="G7780" s="9"/>
    </row>
    <row r="7781">
      <c r="G7781" s="9"/>
    </row>
    <row r="7782">
      <c r="G7782" s="9"/>
    </row>
    <row r="7783">
      <c r="G7783" s="9"/>
    </row>
    <row r="7784">
      <c r="G7784" s="9"/>
    </row>
    <row r="7785">
      <c r="G7785" s="9"/>
    </row>
    <row r="7786">
      <c r="G7786" s="9"/>
    </row>
    <row r="7787">
      <c r="G7787" s="9"/>
    </row>
    <row r="7788">
      <c r="G7788" s="9"/>
    </row>
    <row r="7789">
      <c r="G7789" s="9"/>
    </row>
    <row r="7790">
      <c r="G7790" s="9"/>
    </row>
    <row r="7791">
      <c r="G7791" s="9"/>
    </row>
    <row r="7792">
      <c r="G7792" s="9"/>
    </row>
    <row r="7793">
      <c r="G7793" s="9"/>
    </row>
    <row r="7794">
      <c r="G7794" s="9"/>
    </row>
    <row r="7795">
      <c r="G7795" s="9"/>
    </row>
    <row r="7796">
      <c r="G7796" s="9"/>
    </row>
    <row r="7797">
      <c r="G7797" s="9"/>
    </row>
    <row r="7798">
      <c r="G7798" s="9"/>
    </row>
    <row r="7799">
      <c r="G7799" s="9"/>
    </row>
    <row r="7800">
      <c r="G7800" s="9"/>
    </row>
    <row r="7801">
      <c r="G7801" s="9"/>
    </row>
    <row r="7802">
      <c r="G7802" s="9"/>
    </row>
    <row r="7803">
      <c r="G7803" s="9"/>
    </row>
    <row r="7804">
      <c r="G7804" s="9"/>
    </row>
    <row r="7805">
      <c r="G7805" s="9"/>
    </row>
    <row r="7806">
      <c r="G7806" s="9"/>
    </row>
    <row r="7807">
      <c r="G7807" s="9"/>
    </row>
    <row r="7808">
      <c r="G7808" s="9"/>
    </row>
    <row r="7809">
      <c r="G7809" s="9"/>
    </row>
    <row r="7810">
      <c r="G7810" s="9"/>
    </row>
    <row r="7811">
      <c r="G7811" s="9"/>
    </row>
    <row r="7812">
      <c r="G7812" s="9"/>
    </row>
    <row r="7813">
      <c r="G7813" s="9"/>
    </row>
    <row r="7814">
      <c r="G7814" s="9"/>
    </row>
    <row r="7815">
      <c r="G7815" s="9"/>
    </row>
    <row r="7816">
      <c r="G7816" s="9"/>
    </row>
    <row r="7817">
      <c r="G7817" s="9"/>
    </row>
    <row r="7818">
      <c r="G7818" s="9"/>
    </row>
    <row r="7819">
      <c r="G7819" s="9"/>
    </row>
    <row r="7820">
      <c r="G7820" s="9"/>
    </row>
    <row r="7821">
      <c r="G7821" s="9"/>
    </row>
    <row r="7822">
      <c r="G7822" s="9"/>
    </row>
    <row r="7823">
      <c r="G7823" s="9"/>
    </row>
    <row r="7824">
      <c r="G7824" s="9"/>
    </row>
    <row r="7825">
      <c r="G7825" s="9"/>
    </row>
    <row r="7826">
      <c r="G7826" s="9"/>
    </row>
    <row r="7827">
      <c r="G7827" s="9"/>
    </row>
    <row r="7828">
      <c r="G7828" s="9"/>
    </row>
    <row r="7829">
      <c r="G7829" s="9"/>
    </row>
    <row r="7830">
      <c r="G7830" s="9"/>
    </row>
    <row r="7831">
      <c r="G7831" s="9"/>
    </row>
    <row r="7832">
      <c r="G7832" s="9"/>
    </row>
    <row r="7833">
      <c r="G7833" s="9"/>
    </row>
    <row r="7834">
      <c r="G7834" s="9"/>
    </row>
    <row r="7835">
      <c r="G7835" s="9"/>
    </row>
    <row r="7836">
      <c r="G7836" s="9"/>
    </row>
    <row r="7837">
      <c r="G7837" s="9"/>
    </row>
    <row r="7838">
      <c r="G7838" s="9"/>
    </row>
    <row r="7839">
      <c r="G7839" s="9"/>
    </row>
    <row r="7840">
      <c r="G7840" s="9"/>
    </row>
    <row r="7841">
      <c r="G7841" s="9"/>
    </row>
    <row r="7842">
      <c r="G7842" s="9"/>
    </row>
    <row r="7843">
      <c r="G7843" s="9"/>
    </row>
    <row r="7844">
      <c r="G7844" s="9"/>
    </row>
    <row r="7845">
      <c r="G7845" s="9"/>
    </row>
    <row r="7846">
      <c r="G7846" s="9"/>
    </row>
    <row r="7847">
      <c r="G7847" s="9"/>
    </row>
    <row r="7848">
      <c r="G7848" s="9"/>
    </row>
    <row r="7849">
      <c r="G7849" s="9"/>
    </row>
    <row r="7850">
      <c r="G7850" s="9"/>
    </row>
    <row r="7851">
      <c r="G7851" s="9"/>
    </row>
    <row r="7852">
      <c r="G7852" s="9"/>
    </row>
    <row r="7853">
      <c r="G7853" s="9"/>
    </row>
    <row r="7854">
      <c r="G7854" s="9"/>
    </row>
    <row r="7855">
      <c r="G7855" s="9"/>
    </row>
    <row r="7856">
      <c r="G7856" s="9"/>
    </row>
    <row r="7857">
      <c r="G7857" s="9"/>
    </row>
    <row r="7858">
      <c r="G7858" s="9"/>
    </row>
    <row r="7859">
      <c r="G7859" s="9"/>
    </row>
    <row r="7860">
      <c r="G7860" s="9"/>
    </row>
    <row r="7861">
      <c r="G7861" s="9"/>
    </row>
    <row r="7862">
      <c r="G7862" s="9"/>
    </row>
    <row r="7863">
      <c r="G7863" s="9"/>
    </row>
    <row r="7864">
      <c r="G7864" s="9"/>
    </row>
    <row r="7865">
      <c r="G7865" s="9"/>
    </row>
    <row r="7866">
      <c r="G7866" s="9"/>
    </row>
    <row r="7867">
      <c r="G7867" s="9"/>
    </row>
    <row r="7868">
      <c r="G7868" s="9"/>
    </row>
    <row r="7869">
      <c r="G7869" s="9"/>
    </row>
    <row r="7870">
      <c r="G7870" s="9"/>
    </row>
    <row r="7871">
      <c r="G7871" s="9"/>
    </row>
    <row r="7872">
      <c r="G7872" s="9"/>
    </row>
    <row r="7873">
      <c r="G7873" s="9"/>
    </row>
    <row r="7874">
      <c r="G7874" s="9"/>
    </row>
    <row r="7875">
      <c r="G7875" s="9"/>
    </row>
    <row r="7876">
      <c r="G7876" s="9"/>
    </row>
    <row r="7877">
      <c r="G7877" s="9"/>
    </row>
    <row r="7878">
      <c r="G7878" s="9"/>
    </row>
    <row r="7879">
      <c r="G7879" s="9"/>
    </row>
    <row r="7880">
      <c r="G7880" s="9"/>
    </row>
    <row r="7881">
      <c r="G7881" s="9"/>
    </row>
    <row r="7882">
      <c r="G7882" s="9"/>
    </row>
    <row r="7883">
      <c r="G7883" s="9"/>
    </row>
    <row r="7884">
      <c r="G7884" s="9"/>
    </row>
    <row r="7885">
      <c r="G7885" s="9"/>
    </row>
    <row r="7886">
      <c r="G7886" s="9"/>
    </row>
    <row r="7887">
      <c r="G7887" s="9"/>
    </row>
    <row r="7888">
      <c r="G7888" s="9"/>
    </row>
    <row r="7889">
      <c r="G7889" s="9"/>
    </row>
    <row r="7890">
      <c r="G7890" s="9"/>
    </row>
    <row r="7891">
      <c r="G7891" s="9"/>
    </row>
    <row r="7892">
      <c r="G7892" s="9"/>
    </row>
    <row r="7893">
      <c r="G7893" s="9"/>
    </row>
    <row r="7894">
      <c r="G7894" s="9"/>
    </row>
    <row r="7895">
      <c r="G7895" s="9"/>
    </row>
    <row r="7896">
      <c r="G7896" s="9"/>
    </row>
    <row r="7897">
      <c r="G7897" s="9"/>
    </row>
    <row r="7898">
      <c r="G7898" s="9"/>
    </row>
    <row r="7899">
      <c r="G7899" s="9"/>
    </row>
    <row r="7900">
      <c r="G7900" s="9"/>
    </row>
    <row r="7901">
      <c r="G7901" s="9"/>
    </row>
    <row r="7902">
      <c r="G7902" s="9"/>
    </row>
    <row r="7903">
      <c r="G7903" s="9"/>
    </row>
    <row r="7904">
      <c r="G7904" s="9"/>
    </row>
    <row r="7905">
      <c r="G7905" s="9"/>
    </row>
    <row r="7906">
      <c r="G7906" s="9"/>
    </row>
    <row r="7907">
      <c r="G7907" s="9"/>
    </row>
    <row r="7908">
      <c r="G7908" s="9"/>
    </row>
    <row r="7909">
      <c r="G7909" s="9"/>
    </row>
    <row r="7910">
      <c r="G7910" s="9"/>
    </row>
    <row r="7911">
      <c r="G7911" s="9"/>
    </row>
    <row r="7912">
      <c r="G7912" s="9"/>
    </row>
    <row r="7913">
      <c r="G7913" s="9"/>
    </row>
    <row r="7914">
      <c r="G7914" s="9"/>
    </row>
    <row r="7915">
      <c r="G7915" s="9"/>
    </row>
    <row r="7916">
      <c r="G7916" s="9"/>
    </row>
    <row r="7917">
      <c r="G7917" s="9"/>
    </row>
    <row r="7918">
      <c r="G7918" s="9"/>
    </row>
    <row r="7919">
      <c r="G7919" s="9"/>
    </row>
    <row r="7920">
      <c r="G7920" s="9"/>
    </row>
    <row r="7921">
      <c r="G7921" s="9"/>
    </row>
    <row r="7922">
      <c r="G7922" s="9"/>
    </row>
    <row r="7923">
      <c r="G7923" s="9"/>
    </row>
    <row r="7924">
      <c r="G7924" s="9"/>
    </row>
    <row r="7925">
      <c r="G7925" s="9"/>
    </row>
    <row r="7926">
      <c r="G7926" s="9"/>
    </row>
    <row r="7927">
      <c r="G7927" s="9"/>
    </row>
    <row r="7928">
      <c r="G7928" s="9"/>
    </row>
    <row r="7929">
      <c r="G7929" s="9"/>
    </row>
    <row r="7930">
      <c r="G7930" s="9"/>
    </row>
    <row r="7931">
      <c r="G7931" s="9"/>
    </row>
    <row r="7932">
      <c r="G7932" s="9"/>
    </row>
    <row r="7933">
      <c r="G7933" s="9"/>
    </row>
    <row r="7934">
      <c r="G7934" s="9"/>
    </row>
    <row r="7935">
      <c r="G7935" s="9"/>
    </row>
    <row r="7936">
      <c r="G7936" s="9"/>
    </row>
    <row r="7937">
      <c r="G7937" s="9"/>
    </row>
    <row r="7938">
      <c r="G7938" s="9"/>
    </row>
    <row r="7939">
      <c r="G7939" s="9"/>
    </row>
    <row r="7940">
      <c r="G7940" s="9"/>
    </row>
    <row r="7941">
      <c r="G7941" s="9"/>
    </row>
    <row r="7942">
      <c r="G7942" s="9"/>
    </row>
    <row r="7943">
      <c r="G7943" s="9"/>
    </row>
    <row r="7944">
      <c r="G7944" s="9"/>
    </row>
    <row r="7945">
      <c r="G7945" s="9"/>
    </row>
    <row r="7946">
      <c r="G7946" s="9"/>
    </row>
    <row r="7947">
      <c r="G7947" s="9"/>
    </row>
    <row r="7948">
      <c r="G7948" s="9"/>
    </row>
    <row r="7949">
      <c r="G7949" s="9"/>
    </row>
    <row r="7950">
      <c r="G7950" s="9"/>
    </row>
    <row r="7951">
      <c r="G7951" s="9"/>
    </row>
    <row r="7952">
      <c r="G7952" s="9"/>
    </row>
    <row r="7953">
      <c r="G7953" s="9"/>
    </row>
    <row r="7954">
      <c r="G7954" s="9"/>
    </row>
    <row r="7955">
      <c r="G7955" s="9"/>
    </row>
    <row r="7956">
      <c r="G7956" s="9"/>
    </row>
    <row r="7957">
      <c r="G7957" s="9"/>
    </row>
    <row r="7958">
      <c r="G7958" s="9"/>
    </row>
    <row r="7959">
      <c r="G7959" s="9"/>
    </row>
    <row r="7960">
      <c r="G7960" s="9"/>
    </row>
    <row r="7961">
      <c r="G7961" s="9"/>
    </row>
    <row r="7962">
      <c r="G7962" s="9"/>
    </row>
    <row r="7963">
      <c r="G7963" s="9"/>
    </row>
    <row r="7964">
      <c r="G7964" s="9"/>
    </row>
    <row r="7965">
      <c r="G7965" s="9"/>
    </row>
    <row r="7966">
      <c r="G7966" s="9"/>
    </row>
    <row r="7967">
      <c r="G7967" s="9"/>
    </row>
    <row r="7968">
      <c r="G7968" s="9"/>
    </row>
    <row r="7969">
      <c r="G7969" s="9"/>
    </row>
    <row r="7970">
      <c r="G7970" s="9"/>
    </row>
    <row r="7971">
      <c r="G7971" s="9"/>
    </row>
    <row r="7972">
      <c r="G7972" s="9"/>
    </row>
    <row r="7973">
      <c r="G7973" s="9"/>
    </row>
    <row r="7974">
      <c r="G7974" s="9"/>
    </row>
    <row r="7975">
      <c r="G7975" s="9"/>
    </row>
    <row r="7976">
      <c r="G7976" s="9"/>
    </row>
    <row r="7977">
      <c r="G7977" s="9"/>
    </row>
    <row r="7978">
      <c r="G7978" s="9"/>
    </row>
    <row r="7979">
      <c r="G7979" s="9"/>
    </row>
    <row r="7980">
      <c r="G7980" s="9"/>
    </row>
    <row r="7981">
      <c r="G7981" s="9"/>
    </row>
    <row r="7982">
      <c r="G7982" s="9"/>
    </row>
    <row r="7983">
      <c r="G7983" s="9"/>
    </row>
    <row r="7984">
      <c r="G7984" s="9"/>
    </row>
    <row r="7985">
      <c r="G7985" s="9"/>
    </row>
    <row r="7986">
      <c r="G7986" s="9"/>
    </row>
    <row r="7987">
      <c r="G7987" s="9"/>
    </row>
    <row r="7988">
      <c r="G7988" s="9"/>
    </row>
    <row r="7989">
      <c r="G7989" s="9"/>
    </row>
    <row r="7990">
      <c r="G7990" s="9"/>
    </row>
    <row r="7991">
      <c r="G7991" s="9"/>
    </row>
    <row r="7992">
      <c r="G7992" s="9"/>
    </row>
    <row r="7993">
      <c r="G7993" s="9"/>
    </row>
    <row r="7994">
      <c r="G7994" s="9"/>
    </row>
    <row r="7995">
      <c r="G7995" s="9"/>
    </row>
    <row r="7996">
      <c r="G7996" s="9"/>
    </row>
    <row r="7997">
      <c r="G7997" s="9"/>
    </row>
    <row r="7998">
      <c r="G7998" s="9"/>
    </row>
    <row r="7999">
      <c r="G7999" s="9"/>
    </row>
    <row r="8000">
      <c r="G8000" s="9"/>
    </row>
    <row r="8001">
      <c r="G8001" s="9"/>
    </row>
    <row r="8002">
      <c r="G8002" s="9"/>
    </row>
    <row r="8003">
      <c r="G8003" s="9"/>
    </row>
    <row r="8004">
      <c r="G8004" s="9"/>
    </row>
    <row r="8005">
      <c r="G8005" s="9"/>
    </row>
    <row r="8006">
      <c r="G8006" s="9"/>
    </row>
    <row r="8007">
      <c r="G8007" s="9"/>
    </row>
    <row r="8008">
      <c r="G8008" s="9"/>
    </row>
    <row r="8009">
      <c r="G8009" s="9"/>
    </row>
    <row r="8010">
      <c r="G8010" s="9"/>
    </row>
    <row r="8011">
      <c r="G8011" s="9"/>
    </row>
    <row r="8012">
      <c r="G8012" s="9"/>
    </row>
    <row r="8013">
      <c r="G8013" s="9"/>
    </row>
    <row r="8014">
      <c r="G8014" s="9"/>
    </row>
    <row r="8015">
      <c r="G8015" s="9"/>
    </row>
    <row r="8016">
      <c r="G8016" s="9"/>
    </row>
    <row r="8017">
      <c r="G8017" s="9"/>
    </row>
    <row r="8018">
      <c r="G8018" s="9"/>
    </row>
    <row r="8019">
      <c r="G8019" s="9"/>
    </row>
    <row r="8020">
      <c r="G8020" s="9"/>
    </row>
    <row r="8021">
      <c r="G8021" s="9"/>
    </row>
    <row r="8022">
      <c r="G8022" s="9"/>
    </row>
    <row r="8023">
      <c r="G8023" s="9"/>
    </row>
    <row r="8024">
      <c r="G8024" s="9"/>
    </row>
    <row r="8025">
      <c r="G8025" s="9"/>
    </row>
    <row r="8026">
      <c r="G8026" s="9"/>
    </row>
    <row r="8027">
      <c r="G8027" s="9"/>
    </row>
    <row r="8028">
      <c r="G8028" s="9"/>
    </row>
    <row r="8029">
      <c r="G8029" s="9"/>
    </row>
    <row r="8030">
      <c r="G8030" s="9"/>
    </row>
    <row r="8031">
      <c r="G8031" s="9"/>
    </row>
    <row r="8032">
      <c r="G8032" s="9"/>
    </row>
    <row r="8033">
      <c r="G8033" s="9"/>
    </row>
    <row r="8034">
      <c r="G8034" s="9"/>
    </row>
    <row r="8035">
      <c r="G8035" s="9"/>
    </row>
    <row r="8036">
      <c r="G8036" s="9"/>
    </row>
    <row r="8037">
      <c r="G8037" s="9"/>
    </row>
    <row r="8038">
      <c r="G8038" s="9"/>
    </row>
    <row r="8039">
      <c r="G8039" s="9"/>
    </row>
    <row r="8040">
      <c r="G8040" s="9"/>
    </row>
    <row r="8041">
      <c r="G8041" s="9"/>
    </row>
    <row r="8042">
      <c r="G8042" s="9"/>
    </row>
    <row r="8043">
      <c r="G8043" s="9"/>
    </row>
    <row r="8044">
      <c r="G8044" s="9"/>
    </row>
    <row r="8045">
      <c r="G8045" s="9"/>
    </row>
    <row r="8046">
      <c r="G8046" s="9"/>
    </row>
    <row r="8047">
      <c r="G8047" s="9"/>
    </row>
    <row r="8048">
      <c r="G8048" s="9"/>
    </row>
    <row r="8049">
      <c r="G8049" s="9"/>
    </row>
    <row r="8050">
      <c r="G8050" s="9"/>
    </row>
    <row r="8051">
      <c r="G8051" s="9"/>
    </row>
    <row r="8052">
      <c r="G8052" s="9"/>
    </row>
    <row r="8053">
      <c r="G8053" s="9"/>
    </row>
    <row r="8054">
      <c r="G8054" s="9"/>
    </row>
    <row r="8055">
      <c r="G8055" s="9"/>
    </row>
    <row r="8056">
      <c r="G8056" s="9"/>
    </row>
    <row r="8057">
      <c r="G8057" s="9"/>
    </row>
    <row r="8058">
      <c r="G8058" s="9"/>
    </row>
    <row r="8059">
      <c r="G8059" s="9"/>
    </row>
    <row r="8060">
      <c r="G8060" s="9"/>
    </row>
    <row r="8061">
      <c r="G8061" s="9"/>
    </row>
    <row r="8062">
      <c r="G8062" s="9"/>
    </row>
    <row r="8063">
      <c r="G8063" s="9"/>
    </row>
    <row r="8064">
      <c r="G8064" s="9"/>
    </row>
    <row r="8065">
      <c r="G8065" s="9"/>
    </row>
    <row r="8066">
      <c r="G8066" s="9"/>
    </row>
    <row r="8067">
      <c r="G8067" s="9"/>
    </row>
    <row r="8068">
      <c r="G8068" s="9"/>
    </row>
    <row r="8069">
      <c r="G8069" s="9"/>
    </row>
    <row r="8070">
      <c r="G8070" s="9"/>
    </row>
    <row r="8071">
      <c r="G8071" s="9"/>
    </row>
    <row r="8072">
      <c r="G8072" s="9"/>
    </row>
    <row r="8073">
      <c r="G8073" s="9"/>
    </row>
    <row r="8074">
      <c r="G8074" s="9"/>
    </row>
    <row r="8075">
      <c r="G8075" s="9"/>
    </row>
    <row r="8076">
      <c r="G8076" s="9"/>
    </row>
    <row r="8077">
      <c r="G8077" s="9"/>
    </row>
    <row r="8078">
      <c r="G8078" s="9"/>
    </row>
    <row r="8079">
      <c r="G8079" s="9"/>
    </row>
    <row r="8080">
      <c r="G8080" s="9"/>
    </row>
    <row r="8081">
      <c r="G8081" s="9"/>
    </row>
    <row r="8082">
      <c r="G8082" s="9"/>
    </row>
    <row r="8083">
      <c r="G8083" s="9"/>
      <c r="K8083" t="str">
        <f>IFERROR(__xludf.DUMMYFUNCTION("""COMPUTED_VALUE""")," ")</f>
        <v> </v>
      </c>
    </row>
    <row r="8084">
      <c r="G8084" s="9"/>
      <c r="K8084" t="str">
        <f>IFERROR(__xludf.DUMMYFUNCTION("""COMPUTED_VALUE""")," ")</f>
        <v> </v>
      </c>
    </row>
    <row r="8085">
      <c r="G8085" s="9"/>
      <c r="K8085" t="str">
        <f>IFERROR(__xludf.DUMMYFUNCTION("""COMPUTED_VALUE""")," ")</f>
        <v> </v>
      </c>
    </row>
    <row r="8086">
      <c r="G8086" s="9"/>
      <c r="K8086" t="str">
        <f>IFERROR(__xludf.DUMMYFUNCTION("""COMPUTED_VALUE""")," ")</f>
        <v> </v>
      </c>
    </row>
    <row r="8087">
      <c r="G8087" s="9"/>
      <c r="K8087" t="str">
        <f>IFERROR(__xludf.DUMMYFUNCTION("""COMPUTED_VALUE""")," ")</f>
        <v> </v>
      </c>
    </row>
    <row r="8088">
      <c r="G8088" s="9"/>
      <c r="K8088" t="str">
        <f>IFERROR(__xludf.DUMMYFUNCTION("""COMPUTED_VALUE""")," ")</f>
        <v> </v>
      </c>
    </row>
    <row r="8089">
      <c r="G8089" s="9"/>
      <c r="K8089" t="str">
        <f>IFERROR(__xludf.DUMMYFUNCTION("""COMPUTED_VALUE""")," ")</f>
        <v> </v>
      </c>
    </row>
    <row r="8090">
      <c r="G8090" s="9"/>
      <c r="K8090" t="str">
        <f>IFERROR(__xludf.DUMMYFUNCTION("""COMPUTED_VALUE""")," ")</f>
        <v> </v>
      </c>
    </row>
    <row r="8091">
      <c r="G8091" s="9"/>
      <c r="K8091" t="str">
        <f>IFERROR(__xludf.DUMMYFUNCTION("""COMPUTED_VALUE""")," ")</f>
        <v> </v>
      </c>
    </row>
    <row r="8092">
      <c r="G8092" s="9"/>
      <c r="K8092" t="str">
        <f>IFERROR(__xludf.DUMMYFUNCTION("""COMPUTED_VALUE""")," ")</f>
        <v> </v>
      </c>
    </row>
    <row r="8093">
      <c r="G8093" s="9"/>
      <c r="K8093" t="str">
        <f>IFERROR(__xludf.DUMMYFUNCTION("""COMPUTED_VALUE""")," ")</f>
        <v> </v>
      </c>
    </row>
    <row r="8094">
      <c r="G8094" s="9"/>
      <c r="K8094" t="str">
        <f>IFERROR(__xludf.DUMMYFUNCTION("""COMPUTED_VALUE""")," ")</f>
        <v> </v>
      </c>
    </row>
    <row r="8095">
      <c r="G8095" s="9"/>
      <c r="K8095" t="str">
        <f>IFERROR(__xludf.DUMMYFUNCTION("""COMPUTED_VALUE""")," ")</f>
        <v> </v>
      </c>
    </row>
    <row r="8096">
      <c r="G8096" s="9"/>
      <c r="K8096" t="str">
        <f>IFERROR(__xludf.DUMMYFUNCTION("""COMPUTED_VALUE""")," ")</f>
        <v> </v>
      </c>
    </row>
    <row r="8097">
      <c r="G8097" s="9"/>
      <c r="K8097" t="str">
        <f>IFERROR(__xludf.DUMMYFUNCTION("""COMPUTED_VALUE""")," ")</f>
        <v> </v>
      </c>
    </row>
    <row r="8098">
      <c r="G8098" s="9"/>
      <c r="K8098" t="str">
        <f>IFERROR(__xludf.DUMMYFUNCTION("""COMPUTED_VALUE""")," ")</f>
        <v> </v>
      </c>
    </row>
    <row r="8099">
      <c r="G8099" s="9"/>
      <c r="K8099" t="str">
        <f>IFERROR(__xludf.DUMMYFUNCTION("""COMPUTED_VALUE""")," ")</f>
        <v> </v>
      </c>
    </row>
    <row r="8100">
      <c r="G8100" s="9"/>
      <c r="K8100" t="str">
        <f>IFERROR(__xludf.DUMMYFUNCTION("""COMPUTED_VALUE""")," ")</f>
        <v> </v>
      </c>
    </row>
    <row r="8101">
      <c r="G8101" s="9"/>
      <c r="K8101" t="str">
        <f>IFERROR(__xludf.DUMMYFUNCTION("""COMPUTED_VALUE""")," ")</f>
        <v> </v>
      </c>
    </row>
    <row r="8102">
      <c r="G8102" s="9"/>
      <c r="K8102" t="str">
        <f>IFERROR(__xludf.DUMMYFUNCTION("""COMPUTED_VALUE""")," ")</f>
        <v> </v>
      </c>
    </row>
    <row r="8103">
      <c r="G8103" s="9"/>
      <c r="K8103" t="str">
        <f>IFERROR(__xludf.DUMMYFUNCTION("""COMPUTED_VALUE""")," ")</f>
        <v> </v>
      </c>
    </row>
    <row r="8104">
      <c r="G8104" s="9"/>
      <c r="K8104" t="str">
        <f>IFERROR(__xludf.DUMMYFUNCTION("""COMPUTED_VALUE""")," ")</f>
        <v> </v>
      </c>
    </row>
    <row r="8105">
      <c r="G8105" s="9"/>
      <c r="K8105" t="str">
        <f>IFERROR(__xludf.DUMMYFUNCTION("""COMPUTED_VALUE""")," ")</f>
        <v> </v>
      </c>
    </row>
    <row r="8106">
      <c r="G8106" s="9"/>
      <c r="K8106" t="str">
        <f>IFERROR(__xludf.DUMMYFUNCTION("""COMPUTED_VALUE""")," ")</f>
        <v> </v>
      </c>
    </row>
    <row r="8107">
      <c r="G8107" s="9"/>
      <c r="K8107" t="str">
        <f>IFERROR(__xludf.DUMMYFUNCTION("""COMPUTED_VALUE""")," ")</f>
        <v> </v>
      </c>
    </row>
    <row r="8108">
      <c r="G8108" s="9"/>
      <c r="K8108" t="str">
        <f>IFERROR(__xludf.DUMMYFUNCTION("""COMPUTED_VALUE""")," ")</f>
        <v> </v>
      </c>
    </row>
    <row r="8109">
      <c r="G8109" s="9"/>
      <c r="K8109" t="str">
        <f>IFERROR(__xludf.DUMMYFUNCTION("""COMPUTED_VALUE""")," ")</f>
        <v> </v>
      </c>
    </row>
    <row r="8110">
      <c r="G8110" s="9"/>
      <c r="K8110" t="str">
        <f>IFERROR(__xludf.DUMMYFUNCTION("""COMPUTED_VALUE""")," ")</f>
        <v> </v>
      </c>
    </row>
    <row r="8111">
      <c r="G8111" s="9"/>
      <c r="K8111" t="str">
        <f>IFERROR(__xludf.DUMMYFUNCTION("""COMPUTED_VALUE""")," ")</f>
        <v> </v>
      </c>
    </row>
    <row r="8112">
      <c r="G8112" s="9"/>
      <c r="K8112" t="str">
        <f>IFERROR(__xludf.DUMMYFUNCTION("""COMPUTED_VALUE""")," ")</f>
        <v> </v>
      </c>
    </row>
    <row r="8113">
      <c r="G8113" s="9"/>
      <c r="K8113" t="str">
        <f>IFERROR(__xludf.DUMMYFUNCTION("""COMPUTED_VALUE""")," ")</f>
        <v> </v>
      </c>
    </row>
    <row r="8114">
      <c r="G8114" s="9"/>
      <c r="K8114" t="str">
        <f>IFERROR(__xludf.DUMMYFUNCTION("""COMPUTED_VALUE""")," ")</f>
        <v> </v>
      </c>
    </row>
    <row r="8115">
      <c r="G8115" s="9"/>
      <c r="K8115" t="str">
        <f>IFERROR(__xludf.DUMMYFUNCTION("""COMPUTED_VALUE""")," ")</f>
        <v> </v>
      </c>
    </row>
    <row r="8116">
      <c r="G8116" s="9"/>
      <c r="K8116" t="str">
        <f>IFERROR(__xludf.DUMMYFUNCTION("""COMPUTED_VALUE""")," ")</f>
        <v> </v>
      </c>
    </row>
    <row r="8117">
      <c r="G8117" s="9"/>
      <c r="K8117" t="str">
        <f>IFERROR(__xludf.DUMMYFUNCTION("""COMPUTED_VALUE""")," ")</f>
        <v> </v>
      </c>
    </row>
    <row r="8118">
      <c r="G8118" s="9"/>
      <c r="K8118" t="str">
        <f>IFERROR(__xludf.DUMMYFUNCTION("""COMPUTED_VALUE""")," ")</f>
        <v> </v>
      </c>
    </row>
    <row r="8119">
      <c r="G8119" s="9"/>
      <c r="K8119" t="str">
        <f>IFERROR(__xludf.DUMMYFUNCTION("""COMPUTED_VALUE""")," ")</f>
        <v> </v>
      </c>
    </row>
    <row r="8120">
      <c r="G8120" s="9"/>
      <c r="K8120" t="str">
        <f>IFERROR(__xludf.DUMMYFUNCTION("""COMPUTED_VALUE""")," ")</f>
        <v> </v>
      </c>
    </row>
    <row r="8121">
      <c r="G8121" s="9"/>
      <c r="K8121" t="str">
        <f>IFERROR(__xludf.DUMMYFUNCTION("""COMPUTED_VALUE""")," ")</f>
        <v> </v>
      </c>
    </row>
    <row r="8122">
      <c r="G8122" s="9"/>
      <c r="K8122" t="str">
        <f>IFERROR(__xludf.DUMMYFUNCTION("""COMPUTED_VALUE""")," ")</f>
        <v> </v>
      </c>
    </row>
    <row r="8123">
      <c r="G8123" s="9"/>
      <c r="K8123" t="str">
        <f>IFERROR(__xludf.DUMMYFUNCTION("""COMPUTED_VALUE""")," ")</f>
        <v> </v>
      </c>
    </row>
    <row r="8124">
      <c r="G8124" s="9"/>
      <c r="K8124" t="str">
        <f>IFERROR(__xludf.DUMMYFUNCTION("""COMPUTED_VALUE""")," ")</f>
        <v> </v>
      </c>
    </row>
    <row r="8125">
      <c r="G8125" s="9"/>
      <c r="K8125" t="str">
        <f>IFERROR(__xludf.DUMMYFUNCTION("""COMPUTED_VALUE""")," ")</f>
        <v> </v>
      </c>
    </row>
    <row r="8126">
      <c r="G8126" s="9"/>
      <c r="K8126" t="str">
        <f>IFERROR(__xludf.DUMMYFUNCTION("""COMPUTED_VALUE""")," ")</f>
        <v> </v>
      </c>
    </row>
    <row r="8127">
      <c r="G8127" s="9"/>
      <c r="K8127" t="str">
        <f>IFERROR(__xludf.DUMMYFUNCTION("""COMPUTED_VALUE""")," ")</f>
        <v> </v>
      </c>
    </row>
    <row r="8128">
      <c r="G8128" s="9"/>
      <c r="K8128" t="str">
        <f>IFERROR(__xludf.DUMMYFUNCTION("""COMPUTED_VALUE""")," ")</f>
        <v> </v>
      </c>
    </row>
    <row r="8129">
      <c r="G8129" s="9"/>
      <c r="K8129" t="str">
        <f>IFERROR(__xludf.DUMMYFUNCTION("""COMPUTED_VALUE""")," ")</f>
        <v> </v>
      </c>
    </row>
    <row r="8130">
      <c r="G8130" s="9"/>
      <c r="K8130" t="str">
        <f>IFERROR(__xludf.DUMMYFUNCTION("""COMPUTED_VALUE""")," ")</f>
        <v> </v>
      </c>
    </row>
    <row r="8131">
      <c r="G8131" s="9"/>
      <c r="K8131" t="str">
        <f>IFERROR(__xludf.DUMMYFUNCTION("""COMPUTED_VALUE""")," ")</f>
        <v> </v>
      </c>
    </row>
    <row r="8132">
      <c r="G8132" s="9"/>
      <c r="K8132" t="str">
        <f>IFERROR(__xludf.DUMMYFUNCTION("""COMPUTED_VALUE""")," ")</f>
        <v> </v>
      </c>
    </row>
    <row r="8133">
      <c r="G8133" s="9"/>
      <c r="K8133" t="str">
        <f>IFERROR(__xludf.DUMMYFUNCTION("""COMPUTED_VALUE""")," ")</f>
        <v> </v>
      </c>
    </row>
    <row r="8134">
      <c r="G8134" s="9"/>
      <c r="K8134" t="str">
        <f>IFERROR(__xludf.DUMMYFUNCTION("""COMPUTED_VALUE""")," ")</f>
        <v> </v>
      </c>
    </row>
    <row r="8135">
      <c r="G8135" s="9"/>
      <c r="K8135" t="str">
        <f>IFERROR(__xludf.DUMMYFUNCTION("""COMPUTED_VALUE""")," ")</f>
        <v> </v>
      </c>
    </row>
    <row r="8136">
      <c r="G8136" s="9"/>
      <c r="K8136" t="str">
        <f>IFERROR(__xludf.DUMMYFUNCTION("""COMPUTED_VALUE""")," ")</f>
        <v> </v>
      </c>
    </row>
    <row r="8137">
      <c r="G8137" s="9"/>
      <c r="K8137" t="str">
        <f>IFERROR(__xludf.DUMMYFUNCTION("""COMPUTED_VALUE""")," ")</f>
        <v> </v>
      </c>
    </row>
    <row r="8138">
      <c r="G8138" s="9"/>
      <c r="K8138" t="str">
        <f>IFERROR(__xludf.DUMMYFUNCTION("""COMPUTED_VALUE""")," ")</f>
        <v> </v>
      </c>
    </row>
    <row r="8139">
      <c r="G8139" s="9"/>
      <c r="K8139" t="str">
        <f>IFERROR(__xludf.DUMMYFUNCTION("""COMPUTED_VALUE""")," ")</f>
        <v> </v>
      </c>
    </row>
    <row r="8140">
      <c r="G8140" s="9"/>
      <c r="K8140" t="str">
        <f>IFERROR(__xludf.DUMMYFUNCTION("""COMPUTED_VALUE""")," ")</f>
        <v> </v>
      </c>
    </row>
    <row r="8141">
      <c r="G8141" s="9"/>
      <c r="K8141" t="str">
        <f>IFERROR(__xludf.DUMMYFUNCTION("""COMPUTED_VALUE""")," ")</f>
        <v> </v>
      </c>
    </row>
    <row r="8142">
      <c r="G8142" s="9"/>
      <c r="K8142" t="str">
        <f>IFERROR(__xludf.DUMMYFUNCTION("""COMPUTED_VALUE""")," ")</f>
        <v> </v>
      </c>
    </row>
    <row r="8143">
      <c r="G8143" s="9"/>
      <c r="K8143" t="str">
        <f>IFERROR(__xludf.DUMMYFUNCTION("""COMPUTED_VALUE""")," ")</f>
        <v> </v>
      </c>
    </row>
    <row r="8144">
      <c r="G8144" s="9"/>
      <c r="K8144" t="str">
        <f>IFERROR(__xludf.DUMMYFUNCTION("""COMPUTED_VALUE""")," ")</f>
        <v> </v>
      </c>
    </row>
    <row r="8145">
      <c r="G8145" s="9"/>
      <c r="K8145" t="str">
        <f>IFERROR(__xludf.DUMMYFUNCTION("""COMPUTED_VALUE""")," ")</f>
        <v> </v>
      </c>
    </row>
    <row r="8146">
      <c r="G8146" s="9"/>
      <c r="K8146" t="str">
        <f>IFERROR(__xludf.DUMMYFUNCTION("""COMPUTED_VALUE""")," ")</f>
        <v> </v>
      </c>
    </row>
    <row r="8147">
      <c r="G8147" s="9"/>
      <c r="K8147" t="str">
        <f>IFERROR(__xludf.DUMMYFUNCTION("""COMPUTED_VALUE""")," ")</f>
        <v> </v>
      </c>
    </row>
    <row r="8148">
      <c r="G8148" s="9"/>
      <c r="K8148" t="str">
        <f>IFERROR(__xludf.DUMMYFUNCTION("""COMPUTED_VALUE""")," ")</f>
        <v> </v>
      </c>
    </row>
    <row r="8149">
      <c r="G8149" s="9"/>
      <c r="K8149" t="str">
        <f>IFERROR(__xludf.DUMMYFUNCTION("""COMPUTED_VALUE""")," ")</f>
        <v> </v>
      </c>
    </row>
    <row r="8150">
      <c r="G8150" s="9"/>
      <c r="K8150" t="str">
        <f>IFERROR(__xludf.DUMMYFUNCTION("""COMPUTED_VALUE""")," ")</f>
        <v> </v>
      </c>
    </row>
    <row r="8151">
      <c r="G8151" s="9"/>
      <c r="K8151" t="str">
        <f>IFERROR(__xludf.DUMMYFUNCTION("""COMPUTED_VALUE""")," ")</f>
        <v> </v>
      </c>
    </row>
    <row r="8152">
      <c r="G8152" s="9"/>
      <c r="K8152" t="str">
        <f>IFERROR(__xludf.DUMMYFUNCTION("""COMPUTED_VALUE""")," ")</f>
        <v> </v>
      </c>
    </row>
    <row r="8153">
      <c r="G8153" s="9"/>
      <c r="K8153" t="str">
        <f>IFERROR(__xludf.DUMMYFUNCTION("""COMPUTED_VALUE""")," ")</f>
        <v> </v>
      </c>
    </row>
    <row r="8154">
      <c r="G8154" s="9"/>
      <c r="K8154" t="str">
        <f>IFERROR(__xludf.DUMMYFUNCTION("""COMPUTED_VALUE""")," ")</f>
        <v> </v>
      </c>
    </row>
    <row r="8155">
      <c r="G8155" s="9"/>
      <c r="K8155" t="str">
        <f>IFERROR(__xludf.DUMMYFUNCTION("""COMPUTED_VALUE""")," ")</f>
        <v> </v>
      </c>
    </row>
    <row r="8156">
      <c r="G8156" s="9"/>
      <c r="K8156" t="str">
        <f>IFERROR(__xludf.DUMMYFUNCTION("""COMPUTED_VALUE""")," ")</f>
        <v> </v>
      </c>
    </row>
    <row r="8157">
      <c r="G8157" s="9"/>
      <c r="K8157" t="str">
        <f>IFERROR(__xludf.DUMMYFUNCTION("""COMPUTED_VALUE""")," ")</f>
        <v> </v>
      </c>
    </row>
    <row r="8158">
      <c r="G8158" s="9"/>
      <c r="K8158" t="str">
        <f>IFERROR(__xludf.DUMMYFUNCTION("""COMPUTED_VALUE""")," ")</f>
        <v> </v>
      </c>
    </row>
    <row r="8159">
      <c r="G8159" s="9"/>
      <c r="K8159" t="str">
        <f>IFERROR(__xludf.DUMMYFUNCTION("""COMPUTED_VALUE""")," ")</f>
        <v> </v>
      </c>
    </row>
    <row r="8160">
      <c r="G8160" s="9"/>
      <c r="K8160" t="str">
        <f>IFERROR(__xludf.DUMMYFUNCTION("""COMPUTED_VALUE""")," ")</f>
        <v> </v>
      </c>
    </row>
    <row r="8161">
      <c r="G8161" s="9"/>
      <c r="K8161" t="str">
        <f>IFERROR(__xludf.DUMMYFUNCTION("""COMPUTED_VALUE""")," ")</f>
        <v> </v>
      </c>
    </row>
    <row r="8162">
      <c r="G8162" s="9"/>
      <c r="K8162" t="str">
        <f>IFERROR(__xludf.DUMMYFUNCTION("""COMPUTED_VALUE""")," ")</f>
        <v> </v>
      </c>
    </row>
    <row r="8163">
      <c r="G8163" s="9"/>
      <c r="K8163" t="str">
        <f>IFERROR(__xludf.DUMMYFUNCTION("""COMPUTED_VALUE""")," ")</f>
        <v> </v>
      </c>
    </row>
    <row r="8164">
      <c r="G8164" s="9"/>
      <c r="K8164" t="str">
        <f>IFERROR(__xludf.DUMMYFUNCTION("""COMPUTED_VALUE""")," ")</f>
        <v> </v>
      </c>
    </row>
    <row r="8165">
      <c r="G8165" s="9"/>
      <c r="K8165" t="str">
        <f>IFERROR(__xludf.DUMMYFUNCTION("""COMPUTED_VALUE""")," ")</f>
        <v> </v>
      </c>
    </row>
    <row r="8166">
      <c r="G8166" s="9"/>
    </row>
    <row r="8167">
      <c r="G8167" s="9"/>
    </row>
    <row r="8168">
      <c r="G8168" s="9"/>
    </row>
    <row r="8169">
      <c r="G8169" s="9"/>
    </row>
    <row r="8170">
      <c r="G8170" s="9"/>
    </row>
    <row r="8171">
      <c r="G8171" s="9"/>
    </row>
    <row r="8172">
      <c r="G8172" s="9"/>
    </row>
    <row r="8173">
      <c r="G8173" s="9"/>
    </row>
    <row r="8174">
      <c r="G8174" s="9"/>
    </row>
    <row r="8175">
      <c r="G8175" s="9"/>
    </row>
    <row r="8176">
      <c r="G8176" s="9"/>
    </row>
    <row r="8177">
      <c r="G8177" s="9"/>
    </row>
    <row r="8178">
      <c r="G8178" s="9"/>
    </row>
    <row r="8179">
      <c r="G8179" s="9"/>
    </row>
    <row r="8180">
      <c r="G8180" s="9"/>
    </row>
    <row r="8181">
      <c r="G8181" s="9"/>
    </row>
    <row r="8182">
      <c r="G8182" s="9"/>
    </row>
    <row r="8183">
      <c r="G8183" s="9"/>
    </row>
    <row r="8184">
      <c r="G8184" s="9"/>
    </row>
    <row r="8185">
      <c r="G8185" s="9"/>
    </row>
    <row r="8186">
      <c r="G8186" s="9"/>
    </row>
    <row r="8187">
      <c r="G8187" s="9"/>
    </row>
    <row r="8188">
      <c r="G8188" s="9"/>
    </row>
    <row r="8189">
      <c r="G8189" s="9"/>
    </row>
    <row r="8190">
      <c r="G8190" s="9"/>
    </row>
    <row r="8191">
      <c r="G8191" s="9"/>
    </row>
    <row r="8192">
      <c r="G8192" s="9"/>
    </row>
    <row r="8193">
      <c r="G8193" s="9"/>
    </row>
    <row r="8194">
      <c r="G8194" s="9"/>
    </row>
    <row r="8195">
      <c r="G8195" s="9"/>
    </row>
    <row r="8196">
      <c r="G8196" s="9"/>
    </row>
    <row r="8197">
      <c r="G8197" s="9"/>
    </row>
    <row r="8198">
      <c r="G8198" s="9"/>
    </row>
    <row r="8199">
      <c r="G8199" s="9"/>
    </row>
    <row r="8200">
      <c r="G8200" s="9"/>
    </row>
    <row r="8201">
      <c r="G8201" s="9"/>
    </row>
    <row r="8202">
      <c r="G8202" s="9"/>
    </row>
    <row r="8203">
      <c r="G8203" s="9"/>
    </row>
    <row r="8204">
      <c r="G8204" s="9"/>
    </row>
    <row r="8205">
      <c r="G8205" s="9"/>
    </row>
    <row r="8206">
      <c r="G8206" s="9"/>
    </row>
    <row r="8207">
      <c r="G8207" s="9"/>
    </row>
    <row r="8208">
      <c r="G8208" s="9"/>
    </row>
    <row r="8209">
      <c r="G8209" s="9"/>
    </row>
    <row r="8210">
      <c r="G8210" s="9"/>
    </row>
    <row r="8211">
      <c r="G8211" s="9"/>
    </row>
    <row r="8212">
      <c r="G8212" s="9"/>
    </row>
    <row r="8213">
      <c r="G8213" s="9"/>
    </row>
    <row r="8214">
      <c r="G8214" s="9"/>
    </row>
    <row r="8215">
      <c r="G8215" s="9"/>
    </row>
    <row r="8216">
      <c r="G8216" s="9"/>
    </row>
    <row r="8217">
      <c r="G8217" s="9"/>
    </row>
    <row r="8218">
      <c r="G8218" s="9"/>
    </row>
    <row r="8219">
      <c r="G8219" s="9"/>
    </row>
    <row r="8220">
      <c r="G8220" s="9"/>
    </row>
    <row r="8221">
      <c r="G8221" s="9"/>
    </row>
    <row r="8222">
      <c r="G8222" s="9"/>
    </row>
    <row r="8223">
      <c r="G8223" s="9"/>
    </row>
    <row r="8224">
      <c r="G8224" s="9"/>
    </row>
    <row r="8225">
      <c r="G8225" s="9"/>
    </row>
    <row r="8226">
      <c r="G8226" s="9"/>
    </row>
    <row r="8227">
      <c r="G8227" s="9"/>
    </row>
    <row r="8228">
      <c r="G8228" s="9"/>
    </row>
    <row r="8229">
      <c r="G8229" s="9"/>
    </row>
    <row r="8230">
      <c r="G8230" s="9"/>
    </row>
    <row r="8231">
      <c r="G8231" s="9"/>
    </row>
    <row r="8232">
      <c r="G8232" s="9"/>
    </row>
    <row r="8233">
      <c r="G8233" s="9"/>
    </row>
    <row r="8234">
      <c r="G8234" s="9"/>
    </row>
    <row r="8235">
      <c r="G8235" s="9"/>
    </row>
    <row r="8236">
      <c r="G8236" s="9"/>
    </row>
    <row r="8237">
      <c r="G8237" s="9"/>
    </row>
    <row r="8238">
      <c r="G8238" s="9"/>
    </row>
    <row r="8239">
      <c r="G8239" s="9"/>
    </row>
    <row r="8240">
      <c r="G8240" s="9"/>
    </row>
    <row r="8241">
      <c r="G8241" s="9"/>
    </row>
    <row r="8242">
      <c r="G8242" s="9"/>
    </row>
    <row r="8243">
      <c r="G8243" s="9"/>
    </row>
    <row r="8244">
      <c r="G8244" s="9"/>
    </row>
    <row r="8245">
      <c r="G8245" s="9"/>
    </row>
    <row r="8246">
      <c r="G8246" s="9"/>
    </row>
    <row r="8247">
      <c r="G8247" s="9"/>
    </row>
    <row r="8248">
      <c r="G8248" s="9"/>
    </row>
    <row r="8249">
      <c r="G8249" s="9"/>
    </row>
    <row r="8250">
      <c r="G8250" s="9"/>
    </row>
    <row r="8251">
      <c r="G8251" s="9"/>
    </row>
    <row r="8252">
      <c r="G8252" s="9"/>
    </row>
    <row r="8253">
      <c r="G8253" s="9"/>
    </row>
    <row r="8254">
      <c r="G8254" s="9"/>
    </row>
    <row r="8255">
      <c r="G8255" s="9"/>
    </row>
    <row r="8256">
      <c r="G8256" s="9"/>
    </row>
    <row r="8257">
      <c r="G8257" s="9"/>
    </row>
    <row r="8258">
      <c r="G8258" s="9"/>
    </row>
    <row r="8259">
      <c r="G8259" s="9"/>
    </row>
    <row r="8260">
      <c r="G8260" s="9"/>
    </row>
    <row r="8261">
      <c r="G8261" s="9"/>
    </row>
    <row r="8262">
      <c r="G8262" s="9"/>
    </row>
    <row r="8263">
      <c r="G8263" s="9"/>
    </row>
    <row r="8264">
      <c r="G8264" s="9"/>
    </row>
    <row r="8265">
      <c r="G8265" s="9"/>
    </row>
    <row r="8266">
      <c r="G8266" s="9"/>
    </row>
    <row r="8267">
      <c r="G8267" s="9"/>
    </row>
    <row r="8268">
      <c r="G8268" s="9"/>
    </row>
    <row r="8269">
      <c r="G8269" s="9"/>
    </row>
    <row r="8270">
      <c r="G8270" s="9"/>
    </row>
    <row r="8271">
      <c r="G8271" s="9"/>
    </row>
    <row r="8272">
      <c r="G8272" s="9"/>
    </row>
    <row r="8273">
      <c r="G8273" s="9"/>
    </row>
    <row r="8274">
      <c r="G8274" s="9"/>
    </row>
    <row r="8275">
      <c r="G8275" s="9"/>
    </row>
    <row r="8276">
      <c r="G8276" s="9"/>
    </row>
    <row r="8277">
      <c r="G8277" s="9"/>
    </row>
    <row r="8278">
      <c r="G8278" s="9"/>
    </row>
    <row r="8279">
      <c r="G8279" s="9"/>
    </row>
    <row r="8280">
      <c r="G8280" s="9"/>
    </row>
    <row r="8281">
      <c r="G8281" s="9"/>
    </row>
    <row r="8282">
      <c r="G8282" s="9"/>
    </row>
    <row r="8283">
      <c r="G8283" s="9"/>
    </row>
    <row r="8284">
      <c r="G8284" s="9"/>
    </row>
    <row r="8285">
      <c r="G8285" s="9"/>
    </row>
    <row r="8286">
      <c r="G8286" s="9"/>
    </row>
    <row r="8287">
      <c r="G8287" s="9"/>
    </row>
    <row r="8288">
      <c r="G8288" s="9"/>
    </row>
    <row r="8289">
      <c r="G8289" s="9"/>
    </row>
    <row r="8290">
      <c r="G8290" s="9"/>
    </row>
    <row r="8291">
      <c r="G8291" s="9"/>
    </row>
    <row r="8292">
      <c r="G8292" s="9"/>
    </row>
    <row r="8293">
      <c r="G8293" s="9"/>
    </row>
    <row r="8294">
      <c r="G8294" s="9"/>
    </row>
    <row r="8295">
      <c r="G8295" s="9"/>
    </row>
    <row r="8296">
      <c r="G8296" s="9"/>
    </row>
    <row r="8297">
      <c r="G8297" s="9"/>
    </row>
    <row r="8298">
      <c r="G8298" s="9"/>
    </row>
    <row r="8299">
      <c r="G8299" s="9"/>
    </row>
    <row r="8300">
      <c r="G8300" s="9"/>
    </row>
    <row r="8301">
      <c r="G8301" s="9"/>
    </row>
    <row r="8302">
      <c r="G8302" s="9"/>
    </row>
    <row r="8303">
      <c r="G8303" s="9"/>
    </row>
    <row r="8304">
      <c r="G8304" s="9"/>
    </row>
    <row r="8305">
      <c r="G8305" s="9"/>
    </row>
    <row r="8306">
      <c r="G8306" s="9"/>
    </row>
    <row r="8307">
      <c r="G8307" s="9"/>
    </row>
    <row r="8308">
      <c r="G8308" s="9"/>
    </row>
    <row r="8309">
      <c r="G8309" s="9"/>
    </row>
    <row r="8310">
      <c r="G8310" s="9"/>
    </row>
    <row r="8311">
      <c r="G8311" s="9"/>
    </row>
    <row r="8312">
      <c r="G8312" s="9"/>
    </row>
    <row r="8313">
      <c r="G8313" s="9"/>
    </row>
    <row r="8314">
      <c r="G8314" s="9"/>
    </row>
    <row r="8315">
      <c r="G8315" s="9"/>
    </row>
    <row r="8316">
      <c r="G8316" s="9"/>
    </row>
    <row r="8317">
      <c r="G8317" s="9"/>
    </row>
    <row r="8318">
      <c r="G8318" s="9"/>
    </row>
    <row r="8319">
      <c r="G8319" s="9"/>
    </row>
    <row r="8320">
      <c r="G8320" s="9"/>
    </row>
    <row r="8321">
      <c r="G8321" s="9"/>
    </row>
    <row r="8322">
      <c r="G8322" s="9"/>
    </row>
    <row r="8323">
      <c r="G8323" s="9"/>
    </row>
    <row r="8324">
      <c r="G8324" s="9"/>
    </row>
    <row r="8325">
      <c r="G8325" s="9"/>
    </row>
    <row r="8326">
      <c r="G8326" s="9"/>
    </row>
    <row r="8327">
      <c r="G8327" s="9"/>
    </row>
    <row r="8328">
      <c r="G8328" s="9"/>
    </row>
    <row r="8329">
      <c r="G8329" s="9"/>
    </row>
    <row r="8330">
      <c r="G8330" s="9"/>
    </row>
    <row r="8331">
      <c r="G8331" s="9"/>
    </row>
    <row r="8332">
      <c r="G8332" s="9"/>
    </row>
    <row r="8333">
      <c r="G8333" s="9"/>
    </row>
    <row r="8334">
      <c r="G8334" s="9"/>
    </row>
    <row r="8335">
      <c r="G8335" s="9"/>
    </row>
    <row r="8336">
      <c r="G8336" s="9"/>
    </row>
    <row r="8337">
      <c r="G8337" s="9"/>
    </row>
    <row r="8338">
      <c r="G8338" s="9"/>
    </row>
    <row r="8339">
      <c r="G8339" s="9"/>
    </row>
    <row r="8340">
      <c r="G8340" s="9"/>
    </row>
    <row r="8341">
      <c r="G8341" s="9"/>
    </row>
    <row r="8342">
      <c r="G8342" s="9"/>
    </row>
    <row r="8343">
      <c r="G8343" s="9"/>
    </row>
    <row r="8344">
      <c r="G8344" s="9"/>
    </row>
    <row r="8345">
      <c r="G8345" s="9"/>
    </row>
    <row r="8346">
      <c r="G8346" s="9"/>
    </row>
    <row r="8347">
      <c r="G8347" s="9"/>
    </row>
    <row r="8348">
      <c r="G8348" s="9"/>
    </row>
    <row r="8349">
      <c r="G8349" s="9"/>
    </row>
    <row r="8350">
      <c r="G8350" s="9"/>
    </row>
    <row r="8351">
      <c r="G8351" s="9"/>
    </row>
    <row r="8352">
      <c r="G8352" s="9"/>
    </row>
    <row r="8353">
      <c r="G8353" s="9"/>
    </row>
    <row r="8354">
      <c r="G8354" s="9"/>
    </row>
    <row r="8355">
      <c r="G8355" s="9"/>
    </row>
    <row r="8356">
      <c r="G8356" s="9"/>
    </row>
    <row r="8357">
      <c r="G8357" s="9"/>
    </row>
    <row r="8358">
      <c r="G8358" s="9"/>
    </row>
    <row r="8359">
      <c r="G8359" s="9"/>
    </row>
    <row r="8360">
      <c r="G8360" s="9"/>
    </row>
    <row r="8361">
      <c r="G8361" s="9"/>
    </row>
    <row r="8362">
      <c r="G8362" s="9"/>
    </row>
    <row r="8363">
      <c r="G8363" s="9"/>
    </row>
    <row r="8364">
      <c r="G8364" s="9"/>
    </row>
    <row r="8365">
      <c r="G8365" s="9"/>
    </row>
    <row r="8366">
      <c r="G8366" s="9"/>
    </row>
    <row r="8367">
      <c r="G8367" s="9"/>
    </row>
    <row r="8368">
      <c r="G8368" s="9"/>
    </row>
    <row r="8369">
      <c r="G8369" s="9"/>
    </row>
    <row r="8370">
      <c r="G8370" s="9"/>
    </row>
    <row r="8371">
      <c r="G8371" s="9"/>
    </row>
    <row r="8372">
      <c r="G8372" s="9"/>
    </row>
    <row r="8373">
      <c r="G8373" s="9"/>
    </row>
    <row r="8374">
      <c r="G8374" s="9"/>
    </row>
    <row r="8375">
      <c r="G8375" s="9"/>
    </row>
    <row r="8376">
      <c r="G8376" s="9"/>
    </row>
    <row r="8377">
      <c r="G8377" s="9"/>
    </row>
    <row r="8378">
      <c r="G8378" s="9"/>
    </row>
    <row r="8379">
      <c r="G8379" s="9"/>
    </row>
    <row r="8380">
      <c r="G8380" s="9"/>
    </row>
    <row r="8381">
      <c r="G8381" s="9"/>
    </row>
    <row r="8382">
      <c r="G8382" s="9"/>
    </row>
    <row r="8383">
      <c r="G8383" s="9"/>
    </row>
    <row r="8384">
      <c r="G8384" s="9"/>
    </row>
    <row r="8385">
      <c r="G8385" s="9"/>
    </row>
    <row r="8386">
      <c r="G8386" s="9"/>
    </row>
    <row r="8387">
      <c r="G8387" s="9"/>
    </row>
    <row r="8388">
      <c r="G8388" s="9"/>
    </row>
    <row r="8389">
      <c r="G8389" s="9"/>
    </row>
    <row r="8390">
      <c r="G8390" s="9"/>
    </row>
    <row r="8391">
      <c r="G8391" s="9"/>
    </row>
    <row r="8392">
      <c r="G8392" s="9"/>
    </row>
    <row r="8393">
      <c r="G8393" s="9"/>
    </row>
    <row r="8394">
      <c r="G8394" s="9"/>
    </row>
    <row r="8395">
      <c r="G8395" s="9"/>
    </row>
    <row r="8396">
      <c r="G8396" s="9"/>
    </row>
    <row r="8397">
      <c r="G8397" s="9"/>
    </row>
    <row r="8398">
      <c r="G8398" s="9"/>
    </row>
    <row r="8399">
      <c r="G8399" s="9"/>
    </row>
    <row r="8400">
      <c r="G8400" s="9"/>
    </row>
    <row r="8401">
      <c r="G8401" s="9"/>
    </row>
    <row r="8402">
      <c r="G8402" s="9"/>
    </row>
    <row r="8403">
      <c r="G8403" s="9"/>
    </row>
    <row r="8404">
      <c r="G8404" s="9"/>
    </row>
    <row r="8405">
      <c r="G8405" s="9"/>
    </row>
    <row r="8406">
      <c r="G8406" s="9"/>
    </row>
    <row r="8407">
      <c r="G8407" s="9"/>
    </row>
    <row r="8408">
      <c r="G8408" s="9"/>
    </row>
    <row r="8409">
      <c r="G8409" s="9"/>
    </row>
    <row r="8410">
      <c r="G8410" s="9"/>
    </row>
    <row r="8411">
      <c r="G8411" s="9"/>
    </row>
    <row r="8412">
      <c r="G8412" s="9"/>
    </row>
    <row r="8413">
      <c r="G8413" s="9"/>
    </row>
    <row r="8414">
      <c r="G8414" s="9"/>
    </row>
    <row r="8415">
      <c r="G8415" s="9"/>
    </row>
    <row r="8416">
      <c r="G8416" s="9"/>
    </row>
    <row r="8417">
      <c r="G8417" s="9"/>
    </row>
    <row r="8418">
      <c r="G8418" s="9"/>
    </row>
    <row r="8419">
      <c r="G8419" s="9"/>
    </row>
    <row r="8420">
      <c r="G8420" s="9"/>
    </row>
    <row r="8421">
      <c r="G8421" s="9"/>
    </row>
    <row r="8422">
      <c r="G8422" s="9"/>
    </row>
    <row r="8423">
      <c r="G8423" s="9"/>
    </row>
    <row r="8424">
      <c r="G8424" s="9"/>
    </row>
    <row r="8425">
      <c r="G8425" s="9"/>
    </row>
    <row r="8426">
      <c r="G8426" s="9"/>
    </row>
    <row r="8427">
      <c r="G8427" s="9"/>
    </row>
    <row r="8428">
      <c r="G8428" s="9"/>
    </row>
    <row r="8429">
      <c r="G8429" s="9"/>
    </row>
    <row r="8430">
      <c r="G8430" s="9"/>
    </row>
    <row r="8431">
      <c r="G8431" s="9"/>
    </row>
    <row r="8432">
      <c r="G8432" s="9"/>
    </row>
    <row r="8433">
      <c r="G8433" s="9"/>
    </row>
    <row r="8434">
      <c r="G8434" s="9"/>
    </row>
    <row r="8435">
      <c r="G8435" s="9"/>
    </row>
    <row r="8436">
      <c r="G8436" s="9"/>
    </row>
    <row r="8437">
      <c r="G8437" s="9"/>
    </row>
    <row r="8438">
      <c r="G8438" s="9"/>
    </row>
    <row r="8439">
      <c r="G8439" s="9"/>
    </row>
    <row r="8440">
      <c r="G8440" s="9"/>
    </row>
    <row r="8441">
      <c r="G8441" s="9"/>
    </row>
    <row r="8442">
      <c r="G8442" s="9"/>
    </row>
    <row r="8443">
      <c r="G8443" s="9"/>
    </row>
    <row r="8444">
      <c r="G8444" s="9"/>
    </row>
    <row r="8445">
      <c r="G8445" s="9"/>
    </row>
    <row r="8446">
      <c r="G8446" s="9"/>
    </row>
    <row r="8447">
      <c r="G8447" s="9"/>
    </row>
    <row r="8448">
      <c r="G8448" s="9"/>
    </row>
    <row r="8449">
      <c r="G8449" s="9"/>
    </row>
    <row r="8450">
      <c r="G8450" s="9"/>
    </row>
    <row r="8451">
      <c r="G8451" s="9"/>
    </row>
    <row r="8452">
      <c r="G8452" s="9"/>
    </row>
    <row r="8453">
      <c r="G8453" s="9"/>
    </row>
    <row r="8454">
      <c r="G8454" s="9"/>
    </row>
    <row r="8455">
      <c r="G8455" s="9"/>
    </row>
    <row r="8456">
      <c r="G8456" s="9"/>
    </row>
    <row r="8457">
      <c r="G8457" s="9"/>
    </row>
    <row r="8458">
      <c r="G8458" s="9"/>
    </row>
    <row r="8459">
      <c r="G8459" s="9"/>
    </row>
    <row r="8460">
      <c r="G8460" s="9"/>
    </row>
    <row r="8461">
      <c r="G8461" s="9"/>
    </row>
    <row r="8462">
      <c r="G8462" s="9"/>
    </row>
    <row r="8463">
      <c r="G8463" s="9"/>
    </row>
    <row r="8464">
      <c r="G8464" s="9"/>
    </row>
    <row r="8465">
      <c r="G8465" s="9"/>
    </row>
    <row r="8466">
      <c r="G8466" s="9"/>
    </row>
    <row r="8467">
      <c r="G8467" s="9"/>
    </row>
    <row r="8468">
      <c r="G8468" s="9"/>
    </row>
    <row r="8469">
      <c r="G8469" s="9"/>
    </row>
    <row r="8470">
      <c r="G8470" s="9"/>
    </row>
    <row r="8471">
      <c r="G8471" s="9"/>
    </row>
    <row r="8472">
      <c r="G8472" s="9"/>
    </row>
    <row r="8473">
      <c r="G8473" s="9"/>
    </row>
    <row r="8474">
      <c r="G8474" s="9"/>
    </row>
    <row r="8475">
      <c r="G8475" s="9"/>
    </row>
    <row r="8476">
      <c r="G8476" s="9"/>
    </row>
    <row r="8477">
      <c r="G8477" s="9"/>
    </row>
    <row r="8478">
      <c r="G8478" s="9"/>
    </row>
    <row r="8479">
      <c r="G8479" s="9"/>
    </row>
    <row r="8480">
      <c r="G8480" s="9"/>
    </row>
    <row r="8481">
      <c r="G8481" s="9"/>
    </row>
    <row r="8482">
      <c r="G8482" s="9"/>
    </row>
    <row r="8483">
      <c r="G8483" s="9"/>
    </row>
    <row r="8484">
      <c r="G8484" s="9"/>
    </row>
    <row r="8485">
      <c r="G8485" s="9"/>
    </row>
    <row r="8486">
      <c r="G8486" s="9"/>
    </row>
    <row r="8487">
      <c r="G8487" s="9"/>
    </row>
    <row r="8488">
      <c r="G8488" s="9"/>
    </row>
    <row r="8489">
      <c r="G8489" s="9"/>
    </row>
    <row r="8490">
      <c r="G8490" s="9"/>
    </row>
    <row r="8491">
      <c r="G8491" s="9"/>
    </row>
    <row r="8492">
      <c r="G8492" s="9"/>
    </row>
    <row r="8493">
      <c r="G8493" s="9"/>
    </row>
    <row r="8494">
      <c r="G8494" s="9"/>
    </row>
    <row r="8495">
      <c r="G8495" s="9"/>
    </row>
    <row r="8496">
      <c r="G8496" s="9"/>
    </row>
    <row r="8497">
      <c r="G8497" s="9"/>
    </row>
    <row r="8498">
      <c r="G8498" s="9"/>
    </row>
    <row r="8499">
      <c r="G8499" s="9"/>
    </row>
    <row r="8500">
      <c r="G8500" s="9"/>
    </row>
    <row r="8501">
      <c r="G8501" s="9"/>
    </row>
    <row r="8502">
      <c r="G8502" s="9"/>
    </row>
    <row r="8503">
      <c r="G8503" s="9"/>
    </row>
    <row r="8504">
      <c r="G8504" s="9"/>
    </row>
    <row r="8505">
      <c r="G8505" s="9"/>
    </row>
    <row r="8506">
      <c r="G8506" s="9"/>
    </row>
    <row r="8507">
      <c r="G8507" s="9"/>
    </row>
    <row r="8508">
      <c r="G8508" s="9"/>
    </row>
    <row r="8509">
      <c r="G8509" s="9"/>
    </row>
    <row r="8510">
      <c r="G8510" s="9"/>
    </row>
    <row r="8511">
      <c r="G8511" s="9"/>
    </row>
    <row r="8512">
      <c r="G8512" s="9"/>
    </row>
    <row r="8513">
      <c r="G8513" s="9"/>
    </row>
    <row r="8514">
      <c r="G8514" s="9"/>
    </row>
    <row r="8515">
      <c r="G8515" s="9"/>
    </row>
    <row r="8516">
      <c r="G8516" s="9"/>
    </row>
    <row r="8517">
      <c r="G8517" s="9"/>
    </row>
    <row r="8518">
      <c r="G8518" s="9"/>
    </row>
    <row r="8519">
      <c r="G8519" s="9"/>
    </row>
    <row r="8520">
      <c r="G8520" s="9"/>
    </row>
    <row r="8521">
      <c r="G8521" s="9"/>
    </row>
    <row r="8522">
      <c r="G8522" s="9"/>
    </row>
    <row r="8523">
      <c r="G8523" s="9"/>
    </row>
    <row r="8524">
      <c r="G8524" s="9"/>
    </row>
    <row r="8525">
      <c r="G8525" s="9"/>
    </row>
    <row r="8526">
      <c r="G8526" s="9"/>
    </row>
    <row r="8527">
      <c r="G8527" s="9"/>
    </row>
    <row r="8528">
      <c r="G8528" s="9"/>
    </row>
    <row r="8529">
      <c r="G8529" s="9"/>
    </row>
    <row r="8530">
      <c r="G8530" s="9"/>
    </row>
    <row r="8531">
      <c r="G8531" s="9"/>
    </row>
    <row r="8532">
      <c r="G8532" s="9"/>
    </row>
    <row r="8533">
      <c r="G8533" s="9"/>
    </row>
    <row r="8534">
      <c r="G8534" s="9"/>
    </row>
    <row r="8535">
      <c r="G8535" s="9"/>
    </row>
    <row r="8536">
      <c r="G8536" s="9"/>
    </row>
    <row r="8537">
      <c r="G8537" s="9"/>
    </row>
    <row r="8538">
      <c r="G8538" s="9"/>
    </row>
    <row r="8539">
      <c r="G8539" s="9"/>
    </row>
    <row r="8540">
      <c r="G8540" s="9"/>
    </row>
    <row r="8541">
      <c r="G8541" s="9"/>
    </row>
    <row r="8542">
      <c r="G8542" s="9"/>
    </row>
    <row r="8543">
      <c r="G8543" s="9"/>
    </row>
    <row r="8544">
      <c r="G8544" s="9"/>
    </row>
    <row r="8545">
      <c r="G8545" s="9"/>
    </row>
    <row r="8546">
      <c r="G8546" s="9"/>
    </row>
    <row r="8547">
      <c r="G8547" s="9"/>
    </row>
    <row r="8548">
      <c r="G8548" s="9"/>
    </row>
    <row r="8549">
      <c r="G8549" s="9"/>
    </row>
    <row r="8550">
      <c r="G8550" s="9"/>
    </row>
    <row r="8551">
      <c r="G8551" s="9"/>
    </row>
    <row r="8552">
      <c r="G8552" s="9"/>
    </row>
    <row r="8553">
      <c r="G8553" s="9"/>
    </row>
    <row r="8554">
      <c r="G8554" s="9"/>
    </row>
    <row r="8555">
      <c r="G8555" s="9"/>
    </row>
    <row r="8556">
      <c r="G8556" s="9"/>
    </row>
    <row r="8557">
      <c r="G8557" s="9"/>
    </row>
    <row r="8558">
      <c r="G8558" s="9"/>
    </row>
    <row r="8559">
      <c r="G8559" s="9"/>
    </row>
    <row r="8560">
      <c r="G8560" s="9"/>
    </row>
    <row r="8561">
      <c r="G8561" s="9"/>
    </row>
    <row r="8562">
      <c r="G8562" s="9"/>
    </row>
    <row r="8563">
      <c r="G8563" s="9"/>
    </row>
    <row r="8564">
      <c r="G8564" s="9"/>
    </row>
    <row r="8565">
      <c r="G8565" s="9"/>
    </row>
    <row r="8566">
      <c r="G8566" s="9"/>
    </row>
    <row r="8567">
      <c r="G8567" s="9"/>
    </row>
    <row r="8568">
      <c r="G8568" s="9"/>
    </row>
    <row r="8569">
      <c r="G8569" s="9"/>
    </row>
    <row r="8570">
      <c r="G8570" s="9"/>
    </row>
    <row r="8571">
      <c r="G8571" s="9"/>
    </row>
    <row r="8572">
      <c r="G8572" s="9"/>
    </row>
    <row r="8573">
      <c r="G8573" s="9"/>
    </row>
    <row r="8574">
      <c r="G8574" s="9"/>
    </row>
    <row r="8575">
      <c r="G8575" s="9"/>
    </row>
    <row r="8576">
      <c r="G8576" s="9"/>
    </row>
    <row r="8577">
      <c r="G8577" s="9"/>
    </row>
    <row r="8578">
      <c r="G8578" s="9"/>
    </row>
    <row r="8579">
      <c r="G8579" s="9"/>
    </row>
    <row r="8580">
      <c r="G8580" s="9"/>
    </row>
    <row r="8581">
      <c r="G8581" s="9"/>
    </row>
    <row r="8582">
      <c r="G8582" s="9"/>
    </row>
    <row r="8583">
      <c r="G8583" s="9"/>
    </row>
    <row r="8584">
      <c r="G8584" s="9"/>
    </row>
    <row r="8585">
      <c r="G8585" s="9"/>
    </row>
    <row r="8586">
      <c r="G8586" s="9"/>
    </row>
    <row r="8587">
      <c r="G8587" s="9"/>
    </row>
    <row r="8588">
      <c r="G8588" s="9"/>
    </row>
    <row r="8589">
      <c r="G8589" s="9"/>
    </row>
    <row r="8590">
      <c r="G8590" s="9"/>
    </row>
    <row r="8591">
      <c r="G8591" s="9"/>
    </row>
    <row r="8592">
      <c r="G8592" s="9"/>
    </row>
    <row r="8593">
      <c r="G8593" s="9"/>
    </row>
    <row r="8594">
      <c r="G8594" s="9"/>
    </row>
    <row r="8595">
      <c r="G8595" s="9"/>
    </row>
    <row r="8596">
      <c r="G8596" s="9"/>
    </row>
    <row r="8597">
      <c r="G8597" s="9"/>
    </row>
    <row r="8598">
      <c r="G8598" s="9"/>
    </row>
    <row r="8599">
      <c r="G8599" s="9"/>
    </row>
    <row r="8600">
      <c r="G8600" s="9"/>
    </row>
    <row r="8601">
      <c r="G8601" s="9"/>
    </row>
    <row r="8602">
      <c r="G8602" s="9"/>
    </row>
    <row r="8603">
      <c r="G8603" s="9"/>
    </row>
    <row r="8604">
      <c r="G8604" s="9"/>
    </row>
    <row r="8605">
      <c r="G8605" s="9"/>
    </row>
    <row r="8606">
      <c r="G8606" s="9"/>
    </row>
    <row r="8607">
      <c r="G8607" s="9"/>
    </row>
    <row r="8608">
      <c r="G8608" s="9"/>
    </row>
    <row r="8609">
      <c r="G8609" s="9"/>
    </row>
    <row r="8610">
      <c r="G8610" s="9"/>
    </row>
    <row r="8611">
      <c r="G8611" s="9"/>
    </row>
    <row r="8612">
      <c r="G8612" s="9"/>
    </row>
    <row r="8613">
      <c r="G8613" s="9"/>
    </row>
    <row r="8614">
      <c r="G8614" s="9"/>
    </row>
    <row r="8615">
      <c r="G8615" s="9"/>
    </row>
    <row r="8616">
      <c r="G8616" s="9"/>
    </row>
    <row r="8617">
      <c r="G8617" s="9"/>
    </row>
    <row r="8618">
      <c r="G8618" s="9"/>
    </row>
    <row r="8619">
      <c r="G8619" s="9"/>
    </row>
    <row r="8620">
      <c r="G8620" s="9"/>
    </row>
    <row r="8621">
      <c r="G8621" s="9"/>
    </row>
    <row r="8622">
      <c r="G8622" s="9"/>
    </row>
    <row r="8623">
      <c r="G8623" s="9"/>
    </row>
    <row r="8624">
      <c r="G8624" s="9"/>
    </row>
    <row r="8625">
      <c r="G8625" s="9"/>
    </row>
    <row r="8626">
      <c r="G8626" s="9"/>
    </row>
    <row r="8627">
      <c r="G8627" s="9"/>
    </row>
    <row r="8628">
      <c r="G8628" s="9"/>
    </row>
    <row r="8629">
      <c r="G8629" s="9"/>
    </row>
    <row r="8630">
      <c r="G8630" s="9"/>
    </row>
    <row r="8631">
      <c r="G8631" s="9"/>
    </row>
    <row r="8632">
      <c r="G8632" s="9"/>
    </row>
    <row r="8633">
      <c r="G8633" s="9"/>
    </row>
    <row r="8634">
      <c r="G8634" s="9"/>
    </row>
    <row r="8635">
      <c r="G8635" s="9"/>
    </row>
    <row r="8636">
      <c r="G8636" s="9"/>
    </row>
    <row r="8637">
      <c r="G8637" s="9"/>
    </row>
    <row r="8638">
      <c r="G8638" s="9"/>
    </row>
    <row r="8639">
      <c r="G8639" s="9"/>
    </row>
    <row r="8640">
      <c r="G8640" s="9"/>
    </row>
    <row r="8641">
      <c r="G8641" s="9"/>
    </row>
    <row r="8642">
      <c r="G8642" s="9"/>
    </row>
    <row r="8643">
      <c r="G8643" s="9"/>
    </row>
    <row r="8644">
      <c r="G8644" s="9"/>
    </row>
    <row r="8645">
      <c r="G8645" s="9"/>
    </row>
    <row r="8646">
      <c r="G8646" s="9"/>
    </row>
    <row r="8647">
      <c r="G8647" s="9"/>
    </row>
    <row r="8648">
      <c r="G8648" s="9"/>
    </row>
    <row r="8649">
      <c r="G8649" s="9"/>
    </row>
    <row r="8650">
      <c r="G8650" s="9"/>
    </row>
    <row r="8651">
      <c r="G8651" s="9"/>
    </row>
    <row r="8652">
      <c r="G8652" s="9"/>
    </row>
    <row r="8653">
      <c r="G8653" s="9"/>
    </row>
    <row r="8654">
      <c r="G8654" s="9"/>
    </row>
    <row r="8655">
      <c r="G8655" s="9"/>
    </row>
    <row r="8656">
      <c r="G8656" s="9"/>
    </row>
    <row r="8657">
      <c r="G8657" s="9"/>
    </row>
    <row r="8658">
      <c r="G8658" s="9"/>
    </row>
    <row r="8659">
      <c r="G8659" s="9"/>
    </row>
    <row r="8660">
      <c r="G8660" s="9"/>
    </row>
    <row r="8661">
      <c r="G8661" s="9"/>
    </row>
    <row r="8662">
      <c r="G8662" s="9"/>
    </row>
    <row r="8663">
      <c r="G8663" s="9"/>
    </row>
    <row r="8664">
      <c r="G8664" s="9"/>
    </row>
    <row r="8665">
      <c r="G8665" s="9"/>
    </row>
    <row r="8666">
      <c r="G8666" s="9"/>
    </row>
    <row r="8667">
      <c r="G8667" s="9"/>
    </row>
    <row r="8668">
      <c r="G8668" s="9"/>
    </row>
    <row r="8669">
      <c r="G8669" s="9"/>
    </row>
    <row r="8670">
      <c r="G8670" s="9"/>
    </row>
    <row r="8671">
      <c r="G8671" s="9"/>
    </row>
    <row r="8672">
      <c r="G8672" s="9"/>
    </row>
    <row r="8673">
      <c r="G8673" s="9"/>
    </row>
    <row r="8674">
      <c r="G8674" s="9"/>
    </row>
    <row r="8675">
      <c r="G8675" s="9"/>
    </row>
    <row r="8676">
      <c r="G8676" s="9"/>
    </row>
    <row r="8677">
      <c r="G8677" s="9"/>
    </row>
    <row r="8678">
      <c r="G8678" s="9"/>
    </row>
    <row r="8679">
      <c r="G8679" s="9"/>
    </row>
    <row r="8680">
      <c r="G8680" s="9"/>
    </row>
    <row r="8681">
      <c r="G8681" s="9"/>
    </row>
    <row r="8682">
      <c r="G8682" s="9"/>
    </row>
    <row r="8683">
      <c r="G8683" s="9"/>
    </row>
    <row r="8684">
      <c r="G8684" s="9"/>
    </row>
    <row r="8685">
      <c r="G8685" s="9"/>
    </row>
    <row r="8686">
      <c r="G8686" s="9"/>
    </row>
    <row r="8687">
      <c r="G8687" s="9"/>
    </row>
    <row r="8688">
      <c r="G8688" s="9"/>
    </row>
    <row r="8689">
      <c r="G8689" s="9"/>
    </row>
    <row r="8690">
      <c r="G8690" s="9"/>
    </row>
    <row r="8691">
      <c r="G8691" s="9"/>
    </row>
    <row r="8692">
      <c r="G8692" s="9"/>
    </row>
    <row r="8693">
      <c r="G8693" s="9"/>
    </row>
    <row r="8694">
      <c r="G8694" s="9"/>
    </row>
    <row r="8695">
      <c r="G8695" s="9"/>
    </row>
    <row r="8696">
      <c r="G8696" s="9"/>
    </row>
    <row r="8697">
      <c r="G8697" s="9"/>
    </row>
    <row r="8698">
      <c r="G8698" s="9"/>
    </row>
    <row r="8699">
      <c r="G8699" s="9"/>
    </row>
    <row r="8700">
      <c r="G8700" s="9"/>
    </row>
    <row r="8701">
      <c r="G8701" s="9"/>
    </row>
    <row r="8702">
      <c r="G8702" s="9"/>
    </row>
    <row r="8703">
      <c r="G8703" s="9"/>
    </row>
    <row r="8704">
      <c r="G8704" s="9"/>
    </row>
    <row r="8705">
      <c r="G8705" s="9"/>
    </row>
    <row r="8706">
      <c r="G8706" s="9"/>
    </row>
    <row r="8707">
      <c r="G8707" s="9"/>
    </row>
    <row r="8708">
      <c r="G8708" s="9"/>
    </row>
    <row r="8709">
      <c r="G8709" s="9"/>
    </row>
    <row r="8710">
      <c r="G8710" s="9"/>
    </row>
    <row r="8711">
      <c r="G8711" s="9"/>
    </row>
    <row r="8712">
      <c r="G8712" s="9"/>
    </row>
    <row r="8713">
      <c r="G8713" s="9"/>
    </row>
    <row r="8714">
      <c r="G8714" s="9"/>
    </row>
    <row r="8715">
      <c r="G8715" s="9"/>
    </row>
    <row r="8716">
      <c r="G8716" s="9"/>
    </row>
    <row r="8717">
      <c r="G8717" s="9"/>
    </row>
    <row r="8718">
      <c r="G8718" s="9"/>
    </row>
    <row r="8719">
      <c r="G8719" s="9"/>
    </row>
    <row r="8720">
      <c r="G8720" s="9"/>
    </row>
    <row r="8721">
      <c r="G8721" s="9"/>
    </row>
    <row r="8722">
      <c r="G8722" s="9"/>
    </row>
    <row r="8723">
      <c r="G8723" s="9"/>
    </row>
    <row r="8724">
      <c r="G8724" s="9"/>
    </row>
    <row r="8725">
      <c r="G8725" s="9"/>
    </row>
    <row r="8726">
      <c r="G8726" s="9"/>
    </row>
    <row r="8727">
      <c r="G8727" s="9"/>
    </row>
    <row r="8728">
      <c r="G8728" s="9"/>
    </row>
    <row r="8729">
      <c r="G8729" s="9"/>
    </row>
    <row r="8730">
      <c r="G8730" s="9"/>
    </row>
    <row r="8731">
      <c r="G8731" s="9"/>
    </row>
    <row r="8732">
      <c r="G8732" s="9"/>
    </row>
    <row r="8733">
      <c r="G8733" s="9"/>
    </row>
    <row r="8734">
      <c r="G8734" s="9"/>
    </row>
    <row r="8735">
      <c r="G8735" s="9"/>
    </row>
    <row r="8736">
      <c r="G8736" s="9"/>
    </row>
    <row r="8737">
      <c r="G8737" s="9"/>
    </row>
    <row r="8738">
      <c r="G8738" s="9"/>
    </row>
    <row r="8739">
      <c r="G8739" s="9"/>
    </row>
    <row r="8740">
      <c r="G8740" s="9"/>
    </row>
    <row r="8741">
      <c r="G8741" s="9"/>
    </row>
    <row r="8742">
      <c r="G8742" s="9"/>
    </row>
    <row r="8743">
      <c r="G8743" s="9"/>
    </row>
    <row r="8744">
      <c r="G8744" s="9"/>
    </row>
    <row r="8745">
      <c r="G8745" s="9"/>
    </row>
    <row r="8746">
      <c r="G8746" s="9"/>
    </row>
    <row r="8747">
      <c r="G8747" s="9"/>
    </row>
    <row r="8748">
      <c r="G8748" s="9"/>
    </row>
    <row r="8749">
      <c r="G8749" s="9"/>
    </row>
    <row r="8750">
      <c r="G8750" s="9"/>
    </row>
    <row r="8751">
      <c r="G8751" s="9"/>
    </row>
    <row r="8752">
      <c r="G8752" s="9"/>
    </row>
    <row r="8753">
      <c r="G8753" s="9"/>
    </row>
    <row r="8754">
      <c r="G8754" s="9"/>
    </row>
    <row r="8755">
      <c r="G8755" s="9"/>
    </row>
    <row r="8756">
      <c r="G8756" s="9"/>
    </row>
    <row r="8757">
      <c r="G8757" s="9"/>
    </row>
    <row r="8758">
      <c r="G8758" s="9"/>
    </row>
    <row r="8759">
      <c r="G8759" s="9"/>
    </row>
    <row r="8760">
      <c r="G8760" s="9"/>
    </row>
    <row r="8761">
      <c r="G8761" s="9"/>
    </row>
    <row r="8762">
      <c r="G8762" s="9"/>
    </row>
    <row r="8763">
      <c r="G8763" s="9"/>
    </row>
    <row r="8764">
      <c r="G8764" s="9"/>
    </row>
    <row r="8765">
      <c r="G8765" s="9"/>
    </row>
    <row r="8766">
      <c r="G8766" s="9"/>
    </row>
    <row r="8767">
      <c r="G8767" s="9"/>
    </row>
    <row r="8768">
      <c r="G8768" s="9"/>
    </row>
    <row r="8769">
      <c r="G8769" s="9"/>
    </row>
    <row r="8770">
      <c r="G8770" s="9"/>
    </row>
    <row r="8771">
      <c r="G8771" s="9"/>
    </row>
    <row r="8772">
      <c r="G8772" s="9"/>
    </row>
    <row r="8773">
      <c r="G8773" s="9"/>
    </row>
    <row r="8774">
      <c r="G8774" s="9"/>
    </row>
    <row r="8775">
      <c r="G8775" s="9"/>
    </row>
    <row r="8776">
      <c r="G8776" s="9"/>
    </row>
    <row r="8777">
      <c r="G8777" s="9"/>
    </row>
    <row r="8778">
      <c r="G8778" s="9"/>
    </row>
    <row r="8779">
      <c r="G8779" s="9"/>
    </row>
    <row r="8780">
      <c r="G8780" s="9"/>
    </row>
    <row r="8781">
      <c r="G8781" s="9"/>
    </row>
    <row r="8782">
      <c r="G8782" s="9"/>
    </row>
    <row r="8783">
      <c r="G8783" s="9"/>
    </row>
    <row r="8784">
      <c r="G8784" s="9"/>
    </row>
    <row r="8785">
      <c r="G8785" s="9"/>
    </row>
    <row r="8786">
      <c r="G8786" s="9"/>
    </row>
    <row r="8787">
      <c r="G8787" s="9"/>
    </row>
    <row r="8788">
      <c r="G8788" s="9"/>
    </row>
    <row r="8789">
      <c r="G8789" s="9"/>
    </row>
    <row r="8790">
      <c r="G8790" s="9"/>
    </row>
    <row r="8791">
      <c r="G8791" s="9"/>
    </row>
    <row r="8792">
      <c r="G8792" s="9"/>
    </row>
    <row r="8793">
      <c r="G8793" s="9"/>
    </row>
    <row r="8794">
      <c r="G8794" s="9"/>
    </row>
    <row r="8795">
      <c r="G8795" s="9"/>
    </row>
    <row r="8796">
      <c r="G8796" s="9"/>
    </row>
    <row r="8797">
      <c r="G8797" s="9"/>
    </row>
    <row r="8798">
      <c r="G8798" s="9"/>
    </row>
    <row r="8799">
      <c r="G8799" s="9"/>
    </row>
    <row r="8800">
      <c r="G8800" s="9"/>
    </row>
    <row r="8801">
      <c r="G8801" s="9"/>
    </row>
    <row r="8802">
      <c r="G8802" s="9"/>
    </row>
    <row r="8803">
      <c r="G8803" s="9"/>
    </row>
    <row r="8804">
      <c r="G8804" s="9"/>
    </row>
    <row r="8805">
      <c r="G8805" s="9"/>
    </row>
    <row r="8806">
      <c r="G8806" s="9"/>
    </row>
    <row r="8807">
      <c r="G8807" s="9"/>
    </row>
    <row r="8808">
      <c r="G8808" s="9"/>
    </row>
    <row r="8809">
      <c r="G8809" s="9"/>
    </row>
    <row r="8810">
      <c r="G8810" s="9"/>
    </row>
    <row r="8811">
      <c r="G8811" s="9"/>
    </row>
    <row r="8812">
      <c r="G8812" s="9"/>
    </row>
    <row r="8813">
      <c r="G8813" s="9"/>
    </row>
    <row r="8814">
      <c r="G8814" s="9"/>
    </row>
    <row r="8815">
      <c r="G8815" s="9"/>
    </row>
    <row r="8816">
      <c r="G8816" s="9"/>
    </row>
    <row r="8817">
      <c r="G8817" s="9"/>
    </row>
    <row r="8818">
      <c r="G8818" s="9"/>
    </row>
    <row r="8819">
      <c r="G8819" s="9"/>
    </row>
    <row r="8820">
      <c r="G8820" s="9"/>
    </row>
    <row r="8821">
      <c r="G8821" s="9"/>
    </row>
    <row r="8822">
      <c r="G8822" s="9"/>
    </row>
    <row r="8823">
      <c r="G8823" s="9"/>
    </row>
    <row r="8824">
      <c r="G8824" s="9"/>
    </row>
    <row r="8825">
      <c r="G8825" s="9"/>
    </row>
    <row r="8826">
      <c r="G8826" s="9"/>
    </row>
    <row r="8827">
      <c r="G8827" s="9"/>
    </row>
    <row r="8828">
      <c r="G8828" s="9"/>
    </row>
    <row r="8829">
      <c r="G8829" s="9"/>
    </row>
    <row r="8830">
      <c r="G8830" s="9"/>
    </row>
    <row r="8831">
      <c r="G8831" s="9"/>
    </row>
    <row r="8832">
      <c r="G8832" s="9"/>
    </row>
    <row r="8833">
      <c r="G8833" s="9"/>
    </row>
    <row r="8834">
      <c r="G8834" s="9"/>
    </row>
    <row r="8835">
      <c r="G8835" s="9"/>
    </row>
    <row r="8836">
      <c r="G8836" s="9"/>
    </row>
    <row r="8837">
      <c r="G8837" s="9"/>
    </row>
    <row r="8838">
      <c r="G8838" s="9"/>
    </row>
    <row r="8839">
      <c r="G8839" s="9"/>
    </row>
    <row r="8840">
      <c r="G8840" s="9"/>
    </row>
    <row r="8841">
      <c r="G8841" s="9"/>
    </row>
    <row r="8842">
      <c r="G8842" s="9"/>
    </row>
    <row r="8843">
      <c r="G8843" s="9"/>
    </row>
    <row r="8844">
      <c r="G8844" s="9"/>
    </row>
    <row r="8845">
      <c r="G8845" s="9"/>
    </row>
    <row r="8846">
      <c r="G8846" s="9"/>
    </row>
    <row r="8847">
      <c r="G8847" s="9"/>
    </row>
    <row r="8848">
      <c r="G8848" s="9"/>
    </row>
    <row r="8849">
      <c r="G8849" s="9"/>
    </row>
    <row r="8850">
      <c r="G8850" s="9"/>
    </row>
    <row r="8851">
      <c r="G8851" s="9"/>
    </row>
    <row r="8852">
      <c r="G8852" s="9"/>
    </row>
    <row r="8853">
      <c r="G8853" s="9"/>
    </row>
    <row r="8854">
      <c r="G8854" s="9"/>
    </row>
    <row r="8855">
      <c r="G8855" s="9"/>
    </row>
    <row r="8856">
      <c r="G8856" s="9"/>
    </row>
    <row r="8857">
      <c r="G8857" s="9"/>
    </row>
    <row r="8858">
      <c r="G8858" s="9"/>
    </row>
    <row r="8859">
      <c r="G8859" s="9"/>
    </row>
    <row r="8860">
      <c r="G8860" s="9"/>
    </row>
    <row r="8861">
      <c r="G8861" s="9"/>
    </row>
    <row r="8862">
      <c r="G8862" s="9"/>
    </row>
    <row r="8863">
      <c r="G8863" s="9"/>
    </row>
    <row r="8864">
      <c r="G8864" s="9"/>
    </row>
    <row r="8865">
      <c r="G8865" s="9"/>
    </row>
    <row r="8866">
      <c r="G8866" s="9"/>
    </row>
    <row r="8867">
      <c r="G8867" s="9"/>
    </row>
    <row r="8868">
      <c r="G8868" s="9"/>
    </row>
    <row r="8869">
      <c r="G8869" s="9"/>
    </row>
    <row r="8870">
      <c r="G8870" s="9"/>
    </row>
    <row r="8871">
      <c r="G8871" s="9"/>
    </row>
    <row r="8872">
      <c r="G8872" s="9"/>
    </row>
    <row r="8873">
      <c r="G8873" s="9"/>
    </row>
    <row r="8874">
      <c r="G8874" s="9"/>
    </row>
    <row r="8875">
      <c r="G8875" s="9"/>
    </row>
    <row r="8876">
      <c r="G8876" s="9"/>
    </row>
    <row r="8877">
      <c r="G8877" s="9"/>
    </row>
    <row r="8878">
      <c r="G8878" s="9"/>
    </row>
    <row r="8879">
      <c r="G8879" s="9"/>
    </row>
    <row r="8880">
      <c r="G8880" s="9"/>
    </row>
    <row r="8881">
      <c r="G8881" s="9"/>
    </row>
    <row r="8882">
      <c r="G8882" s="9"/>
    </row>
    <row r="8883">
      <c r="G8883" s="9"/>
    </row>
    <row r="8884">
      <c r="G8884" s="9"/>
    </row>
    <row r="8885">
      <c r="G8885" s="9"/>
    </row>
    <row r="8886">
      <c r="G8886" s="9"/>
    </row>
    <row r="8887">
      <c r="G8887" s="9"/>
    </row>
    <row r="8888">
      <c r="G8888" s="9"/>
    </row>
    <row r="8889">
      <c r="G8889" s="9"/>
    </row>
    <row r="8890">
      <c r="G8890" s="9"/>
    </row>
    <row r="8891">
      <c r="G8891" s="9"/>
    </row>
    <row r="8892">
      <c r="G8892" s="9"/>
    </row>
    <row r="8893">
      <c r="G8893" s="9"/>
    </row>
    <row r="8894">
      <c r="G8894" s="9"/>
    </row>
    <row r="8895">
      <c r="G8895" s="9"/>
    </row>
    <row r="8896">
      <c r="G8896" s="9"/>
    </row>
    <row r="8897">
      <c r="G8897" s="9"/>
    </row>
    <row r="8898">
      <c r="G8898" s="9"/>
    </row>
    <row r="8899">
      <c r="G8899" s="9"/>
    </row>
    <row r="8900">
      <c r="G8900" s="9"/>
    </row>
    <row r="8901">
      <c r="G8901" s="9"/>
    </row>
    <row r="8902">
      <c r="G8902" s="9"/>
    </row>
    <row r="8903">
      <c r="G8903" s="9"/>
    </row>
    <row r="8904">
      <c r="G8904" s="9"/>
    </row>
    <row r="8905">
      <c r="G8905" s="9"/>
    </row>
    <row r="8906">
      <c r="G8906" s="9"/>
    </row>
    <row r="8907">
      <c r="G8907" s="9"/>
    </row>
    <row r="8908">
      <c r="G8908" s="9"/>
    </row>
    <row r="8909">
      <c r="G8909" s="9"/>
    </row>
    <row r="8910">
      <c r="G8910" s="9"/>
    </row>
    <row r="8911">
      <c r="G8911" s="9"/>
    </row>
    <row r="8912">
      <c r="G8912" s="9"/>
    </row>
    <row r="8913">
      <c r="G8913" s="9"/>
    </row>
    <row r="8914">
      <c r="G8914" s="9"/>
    </row>
    <row r="8915">
      <c r="G8915" s="9"/>
    </row>
    <row r="8916">
      <c r="G8916" s="9"/>
    </row>
    <row r="8917">
      <c r="G8917" s="9"/>
    </row>
    <row r="8918">
      <c r="G8918" s="9"/>
    </row>
    <row r="8919">
      <c r="G8919" s="9"/>
    </row>
    <row r="8920">
      <c r="G8920" s="9"/>
    </row>
    <row r="8921">
      <c r="G8921" s="9"/>
    </row>
    <row r="8922">
      <c r="G8922" s="9"/>
    </row>
    <row r="8923">
      <c r="G8923" s="9"/>
    </row>
    <row r="8924">
      <c r="G8924" s="9"/>
    </row>
    <row r="8925">
      <c r="G8925" s="9"/>
    </row>
    <row r="8926">
      <c r="G8926" s="9"/>
    </row>
    <row r="8927">
      <c r="G8927" s="9"/>
    </row>
    <row r="8928">
      <c r="G8928" s="9"/>
    </row>
    <row r="8929">
      <c r="G8929" s="9"/>
    </row>
    <row r="8930">
      <c r="G8930" s="9"/>
    </row>
    <row r="8931">
      <c r="G8931" s="9"/>
    </row>
    <row r="8932">
      <c r="G8932" s="9"/>
    </row>
    <row r="8933">
      <c r="G8933" s="9"/>
    </row>
    <row r="8934">
      <c r="G8934" s="9"/>
    </row>
    <row r="8935">
      <c r="G8935" s="9"/>
    </row>
    <row r="8936">
      <c r="G8936" s="9"/>
    </row>
    <row r="8937">
      <c r="G8937" s="9"/>
    </row>
    <row r="8938">
      <c r="G8938" s="9"/>
    </row>
    <row r="8939">
      <c r="G8939" s="9"/>
    </row>
    <row r="8940">
      <c r="G8940" s="9"/>
    </row>
    <row r="8941">
      <c r="G8941" s="9"/>
    </row>
    <row r="8942">
      <c r="G8942" s="9"/>
    </row>
    <row r="8943">
      <c r="G8943" s="9"/>
    </row>
    <row r="8944">
      <c r="G8944" s="9"/>
    </row>
    <row r="8945">
      <c r="G8945" s="9"/>
    </row>
    <row r="8946">
      <c r="G8946" s="9"/>
    </row>
    <row r="8947">
      <c r="G8947" s="9"/>
    </row>
    <row r="8948">
      <c r="G8948" s="9"/>
    </row>
    <row r="8949">
      <c r="G8949" s="9"/>
    </row>
    <row r="8950">
      <c r="G8950" s="9"/>
    </row>
    <row r="8951">
      <c r="G8951" s="9"/>
    </row>
    <row r="8952">
      <c r="G8952" s="9"/>
    </row>
    <row r="8953">
      <c r="G8953" s="9"/>
    </row>
    <row r="8954">
      <c r="G8954" s="9"/>
    </row>
    <row r="8955">
      <c r="G8955" s="9"/>
    </row>
    <row r="8956">
      <c r="G8956" s="9"/>
    </row>
    <row r="8957">
      <c r="G8957" s="9"/>
    </row>
    <row r="8958">
      <c r="G8958" s="9"/>
    </row>
    <row r="8959">
      <c r="G8959" s="9"/>
    </row>
    <row r="8960">
      <c r="G8960" s="9"/>
    </row>
    <row r="8961">
      <c r="G8961" s="9"/>
    </row>
    <row r="8962">
      <c r="G8962" s="9"/>
    </row>
    <row r="8963">
      <c r="G8963" s="9"/>
    </row>
    <row r="8964">
      <c r="G8964" s="9"/>
    </row>
    <row r="8965">
      <c r="G8965" s="9"/>
    </row>
    <row r="8966">
      <c r="G8966" s="9"/>
    </row>
    <row r="8967">
      <c r="G8967" s="9"/>
    </row>
    <row r="8968">
      <c r="G8968" s="9"/>
    </row>
    <row r="8969">
      <c r="G8969" s="9"/>
    </row>
    <row r="8970">
      <c r="G8970" s="9"/>
    </row>
    <row r="8971">
      <c r="G8971" s="9"/>
    </row>
    <row r="8972">
      <c r="G8972" s="9"/>
    </row>
    <row r="8973">
      <c r="G8973" s="9"/>
    </row>
    <row r="8974">
      <c r="G8974" s="9"/>
    </row>
    <row r="8975">
      <c r="G8975" s="9"/>
    </row>
    <row r="8976">
      <c r="G8976" s="9"/>
    </row>
    <row r="8977">
      <c r="G8977" s="9"/>
    </row>
    <row r="8978">
      <c r="G8978" s="9"/>
    </row>
    <row r="8979">
      <c r="G8979" s="9"/>
    </row>
    <row r="8980">
      <c r="G8980" s="9"/>
    </row>
    <row r="8981">
      <c r="G8981" s="9"/>
    </row>
    <row r="8982">
      <c r="G8982" s="9"/>
    </row>
    <row r="8983">
      <c r="G8983" s="9"/>
    </row>
    <row r="8984">
      <c r="G8984" s="9"/>
    </row>
    <row r="8985">
      <c r="G8985" s="9"/>
    </row>
    <row r="8986">
      <c r="G8986" s="9"/>
    </row>
    <row r="8987">
      <c r="G8987" s="9"/>
    </row>
    <row r="8988">
      <c r="G8988" s="9"/>
    </row>
    <row r="8989">
      <c r="G8989" s="9"/>
    </row>
    <row r="8990">
      <c r="G8990" s="9"/>
    </row>
    <row r="8991">
      <c r="G8991" s="9"/>
    </row>
    <row r="8992">
      <c r="G8992" s="9"/>
    </row>
    <row r="8993">
      <c r="G8993" s="9"/>
    </row>
    <row r="8994">
      <c r="G8994" s="9"/>
    </row>
    <row r="8995">
      <c r="G8995" s="9"/>
    </row>
    <row r="8996">
      <c r="G8996" s="9"/>
    </row>
    <row r="8997">
      <c r="G8997" s="9"/>
    </row>
    <row r="8998">
      <c r="G8998" s="9"/>
    </row>
    <row r="8999">
      <c r="G8999" s="9"/>
    </row>
    <row r="9000">
      <c r="G9000" s="9"/>
    </row>
    <row r="9001">
      <c r="G9001" s="9"/>
    </row>
    <row r="9002">
      <c r="G9002" s="9"/>
    </row>
    <row r="9003">
      <c r="G9003" s="9"/>
    </row>
    <row r="9004">
      <c r="G9004" s="9"/>
    </row>
    <row r="9005">
      <c r="G9005" s="9"/>
    </row>
    <row r="9006">
      <c r="G9006" s="9"/>
    </row>
    <row r="9007">
      <c r="G9007" s="9"/>
    </row>
    <row r="9008">
      <c r="G9008" s="9"/>
    </row>
    <row r="9009">
      <c r="G9009" s="9"/>
    </row>
    <row r="9010">
      <c r="G9010" s="9"/>
    </row>
    <row r="9011">
      <c r="G9011" s="9"/>
    </row>
    <row r="9012">
      <c r="G9012" s="9"/>
    </row>
    <row r="9013">
      <c r="G9013" s="9"/>
    </row>
    <row r="9014">
      <c r="G9014" s="9"/>
    </row>
    <row r="9015">
      <c r="G9015" s="9"/>
    </row>
    <row r="9016">
      <c r="G9016" s="9"/>
    </row>
    <row r="9017">
      <c r="G9017" s="9"/>
    </row>
    <row r="9018">
      <c r="G9018" s="9"/>
    </row>
    <row r="9019">
      <c r="G9019" s="9"/>
    </row>
    <row r="9020">
      <c r="G9020" s="9"/>
    </row>
    <row r="9021">
      <c r="G9021" s="9"/>
    </row>
    <row r="9022">
      <c r="G9022" s="9"/>
    </row>
    <row r="9023">
      <c r="G9023" s="9"/>
    </row>
    <row r="9024">
      <c r="G9024" s="9"/>
    </row>
    <row r="9025">
      <c r="G9025" s="9"/>
    </row>
    <row r="9026">
      <c r="G9026" s="9"/>
    </row>
    <row r="9027">
      <c r="G9027" s="9"/>
    </row>
    <row r="9028">
      <c r="G9028" s="9"/>
    </row>
    <row r="9029">
      <c r="G9029" s="9"/>
    </row>
    <row r="9030">
      <c r="G9030" s="9"/>
    </row>
    <row r="9031">
      <c r="G9031" s="9"/>
    </row>
    <row r="9032">
      <c r="G9032" s="9"/>
    </row>
    <row r="9033">
      <c r="G9033" s="9"/>
    </row>
    <row r="9034">
      <c r="G9034" s="9"/>
    </row>
    <row r="9035">
      <c r="G9035" s="9"/>
    </row>
    <row r="9036">
      <c r="G9036" s="9"/>
    </row>
    <row r="9037">
      <c r="G9037" s="9"/>
    </row>
    <row r="9038">
      <c r="G9038" s="9"/>
    </row>
    <row r="9039">
      <c r="G9039" s="9"/>
    </row>
    <row r="9040">
      <c r="G9040" s="9"/>
    </row>
    <row r="9041">
      <c r="G9041" s="9"/>
    </row>
    <row r="9042">
      <c r="G9042" s="9"/>
    </row>
    <row r="9043">
      <c r="G9043" s="9"/>
    </row>
    <row r="9044">
      <c r="G9044" s="9"/>
    </row>
    <row r="9045">
      <c r="G9045" s="9"/>
    </row>
    <row r="9046">
      <c r="G9046" s="9"/>
    </row>
    <row r="9047">
      <c r="G9047" s="9"/>
    </row>
    <row r="9048">
      <c r="G9048" s="9"/>
    </row>
    <row r="9049">
      <c r="G9049" s="9"/>
    </row>
    <row r="9050">
      <c r="G9050" s="9"/>
    </row>
    <row r="9051">
      <c r="G9051" s="9"/>
    </row>
    <row r="9052">
      <c r="G9052" s="9"/>
    </row>
    <row r="9053">
      <c r="G9053" s="9"/>
    </row>
    <row r="9054">
      <c r="G9054" s="9"/>
    </row>
    <row r="9055">
      <c r="G9055" s="9"/>
    </row>
    <row r="9056">
      <c r="G9056" s="9"/>
    </row>
    <row r="9057">
      <c r="G9057" s="9"/>
      <c r="K9057" t="str">
        <f>IFERROR(__xludf.DUMMYFUNCTION("""COMPUTED_VALUE""")," ")</f>
        <v> </v>
      </c>
    </row>
    <row r="9058">
      <c r="G9058" s="9"/>
      <c r="K9058" t="str">
        <f>IFERROR(__xludf.DUMMYFUNCTION("""COMPUTED_VALUE""")," ")</f>
        <v> </v>
      </c>
    </row>
    <row r="9059">
      <c r="G9059" s="9"/>
      <c r="K9059" t="str">
        <f>IFERROR(__xludf.DUMMYFUNCTION("""COMPUTED_VALUE""")," ")</f>
        <v> </v>
      </c>
    </row>
    <row r="9060">
      <c r="G9060" s="9"/>
      <c r="K9060" t="str">
        <f>IFERROR(__xludf.DUMMYFUNCTION("""COMPUTED_VALUE""")," ")</f>
        <v> </v>
      </c>
    </row>
    <row r="9061">
      <c r="G9061" s="9"/>
      <c r="K9061" t="str">
        <f>IFERROR(__xludf.DUMMYFUNCTION("""COMPUTED_VALUE""")," ")</f>
        <v> </v>
      </c>
    </row>
    <row r="9062">
      <c r="G9062" s="9"/>
      <c r="K9062" t="str">
        <f>IFERROR(__xludf.DUMMYFUNCTION("""COMPUTED_VALUE""")," ")</f>
        <v> </v>
      </c>
    </row>
    <row r="9063">
      <c r="G9063" s="9"/>
      <c r="K9063" t="str">
        <f>IFERROR(__xludf.DUMMYFUNCTION("""COMPUTED_VALUE""")," ")</f>
        <v> </v>
      </c>
    </row>
    <row r="9064">
      <c r="G9064" s="9"/>
      <c r="K9064" t="str">
        <f>IFERROR(__xludf.DUMMYFUNCTION("""COMPUTED_VALUE""")," ")</f>
        <v> </v>
      </c>
    </row>
    <row r="9065">
      <c r="G9065" s="9"/>
      <c r="K9065" t="str">
        <f>IFERROR(__xludf.DUMMYFUNCTION("""COMPUTED_VALUE""")," ")</f>
        <v> </v>
      </c>
    </row>
    <row r="9066">
      <c r="G9066" s="9"/>
      <c r="K9066" t="str">
        <f>IFERROR(__xludf.DUMMYFUNCTION("""COMPUTED_VALUE""")," ")</f>
        <v> </v>
      </c>
    </row>
    <row r="9067">
      <c r="G9067" s="9"/>
      <c r="K9067" t="str">
        <f>IFERROR(__xludf.DUMMYFUNCTION("""COMPUTED_VALUE""")," ")</f>
        <v> </v>
      </c>
    </row>
    <row r="9068">
      <c r="G9068" s="9"/>
      <c r="K9068" t="str">
        <f>IFERROR(__xludf.DUMMYFUNCTION("""COMPUTED_VALUE""")," ")</f>
        <v> </v>
      </c>
    </row>
    <row r="9069">
      <c r="G9069" s="9"/>
      <c r="K9069" t="str">
        <f>IFERROR(__xludf.DUMMYFUNCTION("""COMPUTED_VALUE""")," ")</f>
        <v> </v>
      </c>
    </row>
    <row r="9070">
      <c r="G9070" s="9"/>
      <c r="K9070" t="str">
        <f>IFERROR(__xludf.DUMMYFUNCTION("""COMPUTED_VALUE""")," ")</f>
        <v> </v>
      </c>
    </row>
    <row r="9071">
      <c r="G9071" s="9"/>
      <c r="K9071" t="str">
        <f>IFERROR(__xludf.DUMMYFUNCTION("""COMPUTED_VALUE""")," ")</f>
        <v> </v>
      </c>
    </row>
    <row r="9072">
      <c r="G9072" s="9"/>
      <c r="K9072" t="str">
        <f>IFERROR(__xludf.DUMMYFUNCTION("""COMPUTED_VALUE""")," ")</f>
        <v> </v>
      </c>
    </row>
    <row r="9073">
      <c r="G9073" s="9"/>
      <c r="K9073" t="str">
        <f>IFERROR(__xludf.DUMMYFUNCTION("""COMPUTED_VALUE""")," ")</f>
        <v> </v>
      </c>
    </row>
    <row r="9074">
      <c r="G9074" s="9"/>
      <c r="K9074" t="str">
        <f>IFERROR(__xludf.DUMMYFUNCTION("""COMPUTED_VALUE""")," ")</f>
        <v> </v>
      </c>
    </row>
    <row r="9075">
      <c r="G9075" s="9"/>
      <c r="K9075" t="str">
        <f>IFERROR(__xludf.DUMMYFUNCTION("""COMPUTED_VALUE""")," ")</f>
        <v> </v>
      </c>
    </row>
    <row r="9076">
      <c r="G9076" s="9"/>
      <c r="K9076" t="str">
        <f>IFERROR(__xludf.DUMMYFUNCTION("""COMPUTED_VALUE""")," ")</f>
        <v> </v>
      </c>
    </row>
    <row r="9077">
      <c r="G9077" s="9"/>
      <c r="K9077" t="str">
        <f>IFERROR(__xludf.DUMMYFUNCTION("""COMPUTED_VALUE""")," ")</f>
        <v> </v>
      </c>
    </row>
    <row r="9078">
      <c r="G9078" s="9"/>
      <c r="K9078" t="str">
        <f>IFERROR(__xludf.DUMMYFUNCTION("""COMPUTED_VALUE""")," ")</f>
        <v> </v>
      </c>
    </row>
    <row r="9079">
      <c r="G9079" s="9"/>
      <c r="K9079" t="str">
        <f>IFERROR(__xludf.DUMMYFUNCTION("""COMPUTED_VALUE""")," ")</f>
        <v> </v>
      </c>
    </row>
    <row r="9080">
      <c r="G9080" s="9"/>
      <c r="K9080" t="str">
        <f>IFERROR(__xludf.DUMMYFUNCTION("""COMPUTED_VALUE""")," ")</f>
        <v> </v>
      </c>
    </row>
    <row r="9081">
      <c r="G9081" s="9"/>
      <c r="K9081" t="str">
        <f>IFERROR(__xludf.DUMMYFUNCTION("""COMPUTED_VALUE""")," ")</f>
        <v> </v>
      </c>
    </row>
    <row r="9082">
      <c r="G9082" s="9"/>
      <c r="K9082" t="str">
        <f>IFERROR(__xludf.DUMMYFUNCTION("""COMPUTED_VALUE""")," ")</f>
        <v> </v>
      </c>
    </row>
    <row r="9083">
      <c r="G9083" s="9"/>
      <c r="K9083" t="str">
        <f>IFERROR(__xludf.DUMMYFUNCTION("""COMPUTED_VALUE""")," ")</f>
        <v> </v>
      </c>
    </row>
    <row r="9084">
      <c r="G9084" s="9"/>
      <c r="K9084" t="str">
        <f>IFERROR(__xludf.DUMMYFUNCTION("""COMPUTED_VALUE""")," ")</f>
        <v> </v>
      </c>
    </row>
    <row r="9085">
      <c r="G9085" s="9"/>
      <c r="K9085" t="str">
        <f>IFERROR(__xludf.DUMMYFUNCTION("""COMPUTED_VALUE""")," ")</f>
        <v> </v>
      </c>
    </row>
    <row r="9086">
      <c r="G9086" s="9"/>
      <c r="K9086" t="str">
        <f>IFERROR(__xludf.DUMMYFUNCTION("""COMPUTED_VALUE""")," ")</f>
        <v> </v>
      </c>
    </row>
    <row r="9087">
      <c r="G9087" s="9"/>
      <c r="K9087" t="str">
        <f>IFERROR(__xludf.DUMMYFUNCTION("""COMPUTED_VALUE""")," ")</f>
        <v> </v>
      </c>
    </row>
    <row r="9088">
      <c r="G9088" s="9"/>
      <c r="K9088" t="str">
        <f>IFERROR(__xludf.DUMMYFUNCTION("""COMPUTED_VALUE""")," ")</f>
        <v> </v>
      </c>
    </row>
    <row r="9089">
      <c r="G9089" s="9"/>
      <c r="K9089" t="str">
        <f>IFERROR(__xludf.DUMMYFUNCTION("""COMPUTED_VALUE""")," ")</f>
        <v> </v>
      </c>
    </row>
    <row r="9090">
      <c r="G9090" s="9"/>
      <c r="K9090" t="str">
        <f>IFERROR(__xludf.DUMMYFUNCTION("""COMPUTED_VALUE""")," ")</f>
        <v> </v>
      </c>
    </row>
    <row r="9091">
      <c r="G9091" s="9"/>
      <c r="K9091" t="str">
        <f>IFERROR(__xludf.DUMMYFUNCTION("""COMPUTED_VALUE""")," ")</f>
        <v> </v>
      </c>
    </row>
    <row r="9092">
      <c r="G9092" s="9"/>
      <c r="K9092" t="str">
        <f>IFERROR(__xludf.DUMMYFUNCTION("""COMPUTED_VALUE""")," ")</f>
        <v> </v>
      </c>
    </row>
    <row r="9093">
      <c r="G9093" s="9"/>
      <c r="K9093" t="str">
        <f>IFERROR(__xludf.DUMMYFUNCTION("""COMPUTED_VALUE""")," ")</f>
        <v> </v>
      </c>
    </row>
    <row r="9094">
      <c r="G9094" s="9"/>
      <c r="K9094" t="str">
        <f>IFERROR(__xludf.DUMMYFUNCTION("""COMPUTED_VALUE""")," ")</f>
        <v> </v>
      </c>
    </row>
    <row r="9095">
      <c r="G9095" s="9"/>
      <c r="K9095" t="str">
        <f>IFERROR(__xludf.DUMMYFUNCTION("""COMPUTED_VALUE""")," ")</f>
        <v> </v>
      </c>
    </row>
    <row r="9096">
      <c r="G9096" s="9"/>
      <c r="K9096" t="str">
        <f>IFERROR(__xludf.DUMMYFUNCTION("""COMPUTED_VALUE""")," ")</f>
        <v> </v>
      </c>
    </row>
    <row r="9097">
      <c r="G9097" s="9"/>
      <c r="K9097" t="str">
        <f>IFERROR(__xludf.DUMMYFUNCTION("""COMPUTED_VALUE""")," ")</f>
        <v> </v>
      </c>
    </row>
    <row r="9098">
      <c r="G9098" s="9"/>
      <c r="K9098" t="str">
        <f>IFERROR(__xludf.DUMMYFUNCTION("""COMPUTED_VALUE""")," ")</f>
        <v> </v>
      </c>
    </row>
    <row r="9099">
      <c r="G9099" s="9"/>
      <c r="K9099" t="str">
        <f>IFERROR(__xludf.DUMMYFUNCTION("""COMPUTED_VALUE""")," ")</f>
        <v> </v>
      </c>
    </row>
    <row r="9100">
      <c r="G9100" s="9"/>
      <c r="K9100" t="str">
        <f>IFERROR(__xludf.DUMMYFUNCTION("""COMPUTED_VALUE""")," ")</f>
        <v> </v>
      </c>
    </row>
    <row r="9101">
      <c r="G9101" s="9"/>
      <c r="K9101" t="str">
        <f>IFERROR(__xludf.DUMMYFUNCTION("""COMPUTED_VALUE""")," ")</f>
        <v> </v>
      </c>
    </row>
    <row r="9102">
      <c r="G9102" s="9"/>
      <c r="K9102" t="str">
        <f>IFERROR(__xludf.DUMMYFUNCTION("""COMPUTED_VALUE""")," ")</f>
        <v> </v>
      </c>
    </row>
    <row r="9103">
      <c r="G9103" s="9"/>
      <c r="K9103" t="str">
        <f>IFERROR(__xludf.DUMMYFUNCTION("""COMPUTED_VALUE""")," ")</f>
        <v> </v>
      </c>
    </row>
    <row r="9104">
      <c r="G9104" s="9"/>
      <c r="K9104" t="str">
        <f>IFERROR(__xludf.DUMMYFUNCTION("""COMPUTED_VALUE""")," ")</f>
        <v> </v>
      </c>
    </row>
    <row r="9105">
      <c r="G9105" s="9"/>
      <c r="K9105" t="str">
        <f>IFERROR(__xludf.DUMMYFUNCTION("""COMPUTED_VALUE""")," ")</f>
        <v> </v>
      </c>
    </row>
    <row r="9106">
      <c r="G9106" s="9"/>
      <c r="K9106" t="str">
        <f>IFERROR(__xludf.DUMMYFUNCTION("""COMPUTED_VALUE""")," ")</f>
        <v> </v>
      </c>
    </row>
    <row r="9107">
      <c r="G9107" s="9"/>
      <c r="K9107" t="str">
        <f>IFERROR(__xludf.DUMMYFUNCTION("""COMPUTED_VALUE""")," ")</f>
        <v> </v>
      </c>
    </row>
    <row r="9108">
      <c r="G9108" s="9"/>
      <c r="K9108" t="str">
        <f>IFERROR(__xludf.DUMMYFUNCTION("""COMPUTED_VALUE""")," ")</f>
        <v> </v>
      </c>
    </row>
    <row r="9109">
      <c r="G9109" s="9"/>
      <c r="K9109" t="str">
        <f>IFERROR(__xludf.DUMMYFUNCTION("""COMPUTED_VALUE""")," ")</f>
        <v> </v>
      </c>
    </row>
    <row r="9110">
      <c r="G9110" s="9"/>
      <c r="K9110" t="str">
        <f>IFERROR(__xludf.DUMMYFUNCTION("""COMPUTED_VALUE""")," ")</f>
        <v> </v>
      </c>
    </row>
    <row r="9111">
      <c r="G9111" s="9"/>
      <c r="K9111" t="str">
        <f>IFERROR(__xludf.DUMMYFUNCTION("""COMPUTED_VALUE""")," ")</f>
        <v> </v>
      </c>
    </row>
    <row r="9112">
      <c r="G9112" s="9"/>
      <c r="K9112" t="str">
        <f>IFERROR(__xludf.DUMMYFUNCTION("""COMPUTED_VALUE""")," ")</f>
        <v> </v>
      </c>
    </row>
    <row r="9113">
      <c r="G9113" s="9"/>
      <c r="K9113" t="str">
        <f>IFERROR(__xludf.DUMMYFUNCTION("""COMPUTED_VALUE""")," ")</f>
        <v> </v>
      </c>
    </row>
    <row r="9114">
      <c r="G9114" s="9"/>
      <c r="K9114" t="str">
        <f>IFERROR(__xludf.DUMMYFUNCTION("""COMPUTED_VALUE""")," ")</f>
        <v> </v>
      </c>
    </row>
    <row r="9115">
      <c r="G9115" s="9"/>
      <c r="K9115" t="str">
        <f>IFERROR(__xludf.DUMMYFUNCTION("""COMPUTED_VALUE""")," ")</f>
        <v> </v>
      </c>
    </row>
    <row r="9116">
      <c r="G9116" s="9"/>
      <c r="K9116" t="str">
        <f>IFERROR(__xludf.DUMMYFUNCTION("""COMPUTED_VALUE""")," ")</f>
        <v> </v>
      </c>
    </row>
    <row r="9117">
      <c r="G9117" s="9"/>
      <c r="K9117" t="str">
        <f>IFERROR(__xludf.DUMMYFUNCTION("""COMPUTED_VALUE""")," ")</f>
        <v> </v>
      </c>
    </row>
    <row r="9118">
      <c r="G9118" s="9"/>
      <c r="K9118" t="str">
        <f>IFERROR(__xludf.DUMMYFUNCTION("""COMPUTED_VALUE""")," ")</f>
        <v> </v>
      </c>
    </row>
    <row r="9119">
      <c r="G9119" s="9"/>
      <c r="K9119" t="str">
        <f>IFERROR(__xludf.DUMMYFUNCTION("""COMPUTED_VALUE""")," ")</f>
        <v> </v>
      </c>
    </row>
    <row r="9120">
      <c r="G9120" s="9"/>
      <c r="K9120" t="str">
        <f>IFERROR(__xludf.DUMMYFUNCTION("""COMPUTED_VALUE""")," ")</f>
        <v> </v>
      </c>
    </row>
    <row r="9121">
      <c r="G9121" s="9"/>
      <c r="K9121" t="str">
        <f>IFERROR(__xludf.DUMMYFUNCTION("""COMPUTED_VALUE""")," ")</f>
        <v> </v>
      </c>
    </row>
    <row r="9122">
      <c r="G9122" s="9"/>
      <c r="K9122" t="str">
        <f>IFERROR(__xludf.DUMMYFUNCTION("""COMPUTED_VALUE""")," ")</f>
        <v> </v>
      </c>
    </row>
    <row r="9123">
      <c r="G9123" s="9"/>
      <c r="K9123" t="str">
        <f>IFERROR(__xludf.DUMMYFUNCTION("""COMPUTED_VALUE""")," ")</f>
        <v> </v>
      </c>
    </row>
    <row r="9124">
      <c r="G9124" s="9"/>
      <c r="K9124" t="str">
        <f>IFERROR(__xludf.DUMMYFUNCTION("""COMPUTED_VALUE""")," ")</f>
        <v> </v>
      </c>
    </row>
    <row r="9125">
      <c r="G9125" s="9"/>
      <c r="K9125" t="str">
        <f>IFERROR(__xludf.DUMMYFUNCTION("""COMPUTED_VALUE""")," ")</f>
        <v> </v>
      </c>
    </row>
    <row r="9126">
      <c r="G9126" s="9"/>
      <c r="K9126" t="str">
        <f>IFERROR(__xludf.DUMMYFUNCTION("""COMPUTED_VALUE""")," ")</f>
        <v> </v>
      </c>
    </row>
    <row r="9127">
      <c r="G9127" s="9"/>
      <c r="K9127" t="str">
        <f>IFERROR(__xludf.DUMMYFUNCTION("""COMPUTED_VALUE""")," ")</f>
        <v> </v>
      </c>
    </row>
    <row r="9128">
      <c r="G9128" s="9"/>
      <c r="K9128" t="str">
        <f>IFERROR(__xludf.DUMMYFUNCTION("""COMPUTED_VALUE""")," ")</f>
        <v> </v>
      </c>
    </row>
    <row r="9129">
      <c r="G9129" s="9"/>
      <c r="K9129" t="str">
        <f>IFERROR(__xludf.DUMMYFUNCTION("""COMPUTED_VALUE""")," ")</f>
        <v> </v>
      </c>
    </row>
    <row r="9130">
      <c r="G9130" s="9"/>
      <c r="K9130" t="str">
        <f>IFERROR(__xludf.DUMMYFUNCTION("""COMPUTED_VALUE""")," ")</f>
        <v> </v>
      </c>
    </row>
    <row r="9131">
      <c r="G9131" s="9"/>
      <c r="K9131" t="str">
        <f>IFERROR(__xludf.DUMMYFUNCTION("""COMPUTED_VALUE""")," ")</f>
        <v> </v>
      </c>
    </row>
    <row r="9132">
      <c r="G9132" s="9"/>
      <c r="K9132" t="str">
        <f>IFERROR(__xludf.DUMMYFUNCTION("""COMPUTED_VALUE""")," ")</f>
        <v> </v>
      </c>
    </row>
    <row r="9133">
      <c r="G9133" s="9"/>
      <c r="K9133" t="str">
        <f>IFERROR(__xludf.DUMMYFUNCTION("""COMPUTED_VALUE""")," ")</f>
        <v> </v>
      </c>
    </row>
    <row r="9134">
      <c r="G9134" s="9"/>
      <c r="K9134" t="str">
        <f>IFERROR(__xludf.DUMMYFUNCTION("""COMPUTED_VALUE""")," ")</f>
        <v> </v>
      </c>
    </row>
    <row r="9135">
      <c r="G9135" s="9"/>
      <c r="K9135" t="str">
        <f>IFERROR(__xludf.DUMMYFUNCTION("""COMPUTED_VALUE""")," ")</f>
        <v> </v>
      </c>
    </row>
    <row r="9136">
      <c r="G9136" s="9"/>
      <c r="K9136" t="str">
        <f>IFERROR(__xludf.DUMMYFUNCTION("""COMPUTED_VALUE""")," ")</f>
        <v> </v>
      </c>
    </row>
    <row r="9137">
      <c r="G9137" s="9"/>
    </row>
    <row r="9138">
      <c r="G9138" s="9"/>
    </row>
    <row r="9139">
      <c r="G9139" s="9"/>
    </row>
    <row r="9140">
      <c r="G9140" s="9"/>
    </row>
    <row r="9141">
      <c r="G9141" s="9"/>
    </row>
    <row r="9142">
      <c r="G9142" s="9"/>
    </row>
    <row r="9143">
      <c r="G9143" s="9"/>
    </row>
    <row r="9144">
      <c r="G9144" s="9"/>
    </row>
    <row r="9145">
      <c r="G9145" s="9"/>
    </row>
    <row r="9146">
      <c r="G9146" s="9"/>
    </row>
    <row r="9147">
      <c r="G9147" s="9"/>
    </row>
    <row r="9148">
      <c r="G9148" s="9"/>
    </row>
    <row r="9149">
      <c r="G9149" s="9"/>
    </row>
    <row r="9150">
      <c r="G9150" s="9"/>
    </row>
    <row r="9151">
      <c r="G9151" s="9"/>
    </row>
    <row r="9152">
      <c r="G9152" s="9"/>
    </row>
    <row r="9153">
      <c r="G9153" s="9"/>
    </row>
    <row r="9154">
      <c r="G9154" s="9"/>
    </row>
    <row r="9155">
      <c r="G9155" s="9"/>
    </row>
    <row r="9156">
      <c r="G9156" s="9"/>
    </row>
    <row r="9157">
      <c r="G9157" s="9"/>
    </row>
    <row r="9158">
      <c r="G9158" s="9"/>
    </row>
    <row r="9159">
      <c r="G9159" s="9"/>
    </row>
    <row r="9160">
      <c r="G9160" s="9"/>
    </row>
    <row r="9161">
      <c r="G9161" s="9"/>
    </row>
    <row r="9162">
      <c r="G9162" s="9"/>
    </row>
    <row r="9163">
      <c r="G9163" s="9"/>
    </row>
    <row r="9164">
      <c r="G9164" s="9"/>
    </row>
    <row r="9165">
      <c r="G9165" s="9"/>
    </row>
    <row r="9166">
      <c r="G9166" s="9"/>
    </row>
    <row r="9167">
      <c r="G9167" s="9"/>
    </row>
    <row r="9168">
      <c r="G9168" s="9"/>
    </row>
    <row r="9169">
      <c r="G9169" s="9"/>
    </row>
    <row r="9170">
      <c r="G9170" s="9"/>
    </row>
    <row r="9171">
      <c r="G9171" s="9"/>
    </row>
    <row r="9172">
      <c r="G9172" s="9"/>
    </row>
    <row r="9173">
      <c r="G9173" s="9"/>
    </row>
    <row r="9174">
      <c r="G9174" s="9"/>
    </row>
    <row r="9175">
      <c r="G9175" s="9"/>
    </row>
    <row r="9176">
      <c r="G9176" s="9"/>
    </row>
    <row r="9177">
      <c r="G9177" s="9"/>
    </row>
    <row r="9178">
      <c r="G9178" s="9"/>
    </row>
    <row r="9179">
      <c r="G9179" s="9"/>
    </row>
    <row r="9180">
      <c r="G9180" s="9"/>
    </row>
    <row r="9181">
      <c r="G9181" s="9"/>
    </row>
    <row r="9182">
      <c r="G9182" s="9"/>
    </row>
    <row r="9183">
      <c r="G9183" s="9"/>
    </row>
    <row r="9184">
      <c r="G9184" s="9"/>
    </row>
    <row r="9185">
      <c r="G9185" s="9"/>
    </row>
    <row r="9186">
      <c r="G9186" s="9"/>
    </row>
    <row r="9187">
      <c r="G9187" s="9"/>
    </row>
    <row r="9188">
      <c r="G9188" s="9"/>
    </row>
    <row r="9189">
      <c r="G9189" s="9"/>
    </row>
    <row r="9190">
      <c r="G9190" s="9"/>
    </row>
    <row r="9191">
      <c r="G9191" s="9"/>
    </row>
    <row r="9192">
      <c r="G9192" s="9"/>
    </row>
    <row r="9193">
      <c r="G9193" s="9"/>
    </row>
    <row r="9194">
      <c r="G9194" s="9"/>
    </row>
    <row r="9195">
      <c r="G9195" s="9"/>
    </row>
    <row r="9196">
      <c r="G9196" s="9"/>
    </row>
    <row r="9197">
      <c r="G9197" s="9"/>
    </row>
    <row r="9198">
      <c r="G9198" s="9"/>
    </row>
    <row r="9199">
      <c r="G9199" s="9"/>
    </row>
    <row r="9200">
      <c r="G9200" s="9"/>
    </row>
    <row r="9201">
      <c r="G9201" s="9"/>
    </row>
    <row r="9202">
      <c r="G9202" s="9"/>
    </row>
    <row r="9203">
      <c r="G9203" s="9"/>
    </row>
    <row r="9204">
      <c r="G9204" s="9"/>
    </row>
    <row r="9205">
      <c r="G9205" s="9"/>
    </row>
    <row r="9206">
      <c r="G9206" s="9"/>
    </row>
    <row r="9207">
      <c r="G9207" s="9"/>
    </row>
    <row r="9208">
      <c r="G9208" s="9"/>
    </row>
    <row r="9209">
      <c r="G9209" s="9"/>
    </row>
    <row r="9210">
      <c r="G9210" s="9"/>
    </row>
    <row r="9211">
      <c r="G9211" s="9"/>
    </row>
    <row r="9212">
      <c r="G9212" s="9"/>
    </row>
    <row r="9213">
      <c r="G9213" s="9"/>
    </row>
    <row r="9214">
      <c r="G9214" s="9"/>
    </row>
    <row r="9215">
      <c r="G9215" s="9"/>
    </row>
    <row r="9216">
      <c r="G9216" s="9"/>
    </row>
    <row r="9217">
      <c r="G9217" s="9"/>
    </row>
    <row r="9218">
      <c r="G9218" s="9"/>
    </row>
    <row r="9219">
      <c r="G9219" s="9"/>
    </row>
    <row r="9220">
      <c r="G9220" s="9"/>
    </row>
    <row r="9221">
      <c r="G9221" s="9"/>
    </row>
    <row r="9222">
      <c r="G9222" s="9"/>
    </row>
    <row r="9223">
      <c r="G9223" s="9"/>
    </row>
    <row r="9224">
      <c r="G9224" s="9"/>
    </row>
    <row r="9225">
      <c r="G9225" s="9"/>
    </row>
    <row r="9226">
      <c r="G9226" s="9"/>
    </row>
    <row r="9227">
      <c r="G9227" s="9"/>
    </row>
    <row r="9228">
      <c r="G9228" s="9"/>
    </row>
    <row r="9229">
      <c r="G9229" s="9"/>
    </row>
    <row r="9230">
      <c r="G9230" s="9"/>
    </row>
    <row r="9231">
      <c r="G9231" s="9"/>
    </row>
    <row r="9232">
      <c r="G9232" s="9"/>
    </row>
    <row r="9233">
      <c r="G9233" s="9"/>
    </row>
    <row r="9234">
      <c r="G9234" s="9"/>
    </row>
    <row r="9235">
      <c r="G9235" s="9"/>
    </row>
    <row r="9236">
      <c r="G9236" s="9"/>
    </row>
    <row r="9237">
      <c r="G9237" s="9"/>
    </row>
    <row r="9238">
      <c r="G9238" s="9"/>
    </row>
    <row r="9239">
      <c r="G9239" s="9"/>
    </row>
    <row r="9240">
      <c r="G9240" s="9"/>
    </row>
    <row r="9241">
      <c r="G9241" s="9"/>
    </row>
    <row r="9242">
      <c r="G9242" s="9"/>
    </row>
    <row r="9243">
      <c r="G9243" s="9"/>
    </row>
    <row r="9244">
      <c r="G9244" s="9"/>
    </row>
    <row r="9245">
      <c r="G9245" s="9"/>
    </row>
    <row r="9246">
      <c r="G9246" s="9"/>
    </row>
    <row r="9247">
      <c r="G9247" s="9"/>
    </row>
    <row r="9248">
      <c r="G9248" s="9"/>
    </row>
    <row r="9249">
      <c r="G9249" s="9"/>
    </row>
    <row r="9250">
      <c r="G9250" s="9"/>
    </row>
    <row r="9251">
      <c r="G9251" s="9"/>
    </row>
    <row r="9252">
      <c r="G9252" s="9"/>
    </row>
    <row r="9253">
      <c r="G9253" s="9"/>
    </row>
    <row r="9254">
      <c r="G9254" s="9"/>
    </row>
    <row r="9255">
      <c r="G9255" s="9"/>
    </row>
    <row r="9256">
      <c r="G9256" s="9"/>
    </row>
    <row r="9257">
      <c r="G9257" s="9"/>
    </row>
    <row r="9258">
      <c r="G9258" s="9"/>
    </row>
    <row r="9259">
      <c r="G9259" s="9"/>
    </row>
    <row r="9260">
      <c r="G9260" s="9"/>
    </row>
    <row r="9261">
      <c r="G9261" s="9"/>
    </row>
    <row r="9262">
      <c r="G9262" s="9"/>
    </row>
    <row r="9263">
      <c r="G9263" s="9"/>
    </row>
    <row r="9264">
      <c r="G9264" s="9"/>
    </row>
    <row r="9265">
      <c r="G9265" s="9"/>
    </row>
    <row r="9266">
      <c r="G9266" s="9"/>
    </row>
    <row r="9267">
      <c r="G9267" s="9"/>
    </row>
    <row r="9268">
      <c r="G9268" s="9"/>
    </row>
    <row r="9269">
      <c r="G9269" s="9"/>
    </row>
    <row r="9270">
      <c r="G9270" s="9"/>
    </row>
    <row r="9271">
      <c r="G9271" s="9"/>
    </row>
    <row r="9272">
      <c r="G9272" s="9"/>
    </row>
    <row r="9273">
      <c r="G9273" s="9"/>
    </row>
    <row r="9274">
      <c r="G9274" s="9"/>
    </row>
    <row r="9275">
      <c r="G9275" s="9"/>
    </row>
    <row r="9276">
      <c r="G9276" s="9"/>
    </row>
    <row r="9277">
      <c r="G9277" s="9"/>
    </row>
    <row r="9278">
      <c r="G9278" s="9"/>
    </row>
    <row r="9279">
      <c r="G9279" s="9"/>
    </row>
    <row r="9280">
      <c r="G9280" s="9"/>
    </row>
    <row r="9281">
      <c r="G9281" s="9"/>
    </row>
    <row r="9282">
      <c r="G9282" s="9"/>
    </row>
    <row r="9283">
      <c r="G9283" s="9"/>
    </row>
    <row r="9284">
      <c r="G9284" s="9"/>
    </row>
    <row r="9285">
      <c r="G9285" s="9"/>
    </row>
    <row r="9286">
      <c r="G9286" s="9"/>
    </row>
    <row r="9287">
      <c r="G9287" s="9"/>
    </row>
    <row r="9288">
      <c r="G9288" s="9"/>
    </row>
    <row r="9289">
      <c r="G9289" s="9"/>
    </row>
    <row r="9290">
      <c r="G9290" s="9"/>
    </row>
    <row r="9291">
      <c r="G9291" s="9"/>
    </row>
    <row r="9292">
      <c r="G9292" s="9"/>
    </row>
    <row r="9293">
      <c r="G9293" s="9"/>
    </row>
    <row r="9294">
      <c r="G9294" s="9"/>
    </row>
    <row r="9295">
      <c r="G9295" s="9"/>
    </row>
    <row r="9296">
      <c r="G9296" s="9"/>
    </row>
    <row r="9297">
      <c r="G9297" s="9"/>
    </row>
    <row r="9298">
      <c r="G9298" s="9"/>
    </row>
    <row r="9299">
      <c r="G9299" s="9"/>
    </row>
    <row r="9300">
      <c r="G9300" s="9"/>
    </row>
    <row r="9301">
      <c r="G9301" s="9"/>
    </row>
    <row r="9302">
      <c r="G9302" s="9"/>
    </row>
    <row r="9303">
      <c r="G9303" s="9"/>
    </row>
    <row r="9304">
      <c r="G9304" s="9"/>
    </row>
    <row r="9305">
      <c r="G9305" s="9"/>
    </row>
    <row r="9306">
      <c r="G9306" s="9"/>
    </row>
    <row r="9307">
      <c r="G9307" s="9"/>
    </row>
    <row r="9308">
      <c r="G9308" s="9"/>
    </row>
    <row r="9309">
      <c r="G9309" s="9"/>
    </row>
    <row r="9310">
      <c r="G9310" s="9"/>
    </row>
    <row r="9311">
      <c r="G9311" s="9"/>
    </row>
    <row r="9312">
      <c r="G9312" s="9"/>
    </row>
    <row r="9313">
      <c r="G9313" s="9"/>
    </row>
    <row r="9314">
      <c r="G9314" s="9"/>
    </row>
    <row r="9315">
      <c r="G9315" s="9"/>
    </row>
    <row r="9316">
      <c r="G9316" s="9"/>
    </row>
    <row r="9317">
      <c r="G9317" s="9"/>
    </row>
    <row r="9318">
      <c r="G9318" s="9"/>
    </row>
    <row r="9319">
      <c r="G9319" s="9"/>
    </row>
    <row r="9320">
      <c r="G9320" s="9"/>
    </row>
    <row r="9321">
      <c r="G9321" s="9"/>
    </row>
    <row r="9322">
      <c r="G9322" s="9"/>
    </row>
    <row r="9323">
      <c r="G9323" s="9"/>
    </row>
    <row r="9324">
      <c r="G9324" s="9"/>
    </row>
    <row r="9325">
      <c r="G9325" s="9"/>
    </row>
    <row r="9326">
      <c r="G9326" s="9"/>
    </row>
    <row r="9327">
      <c r="G9327" s="9"/>
    </row>
    <row r="9328">
      <c r="G9328" s="9"/>
    </row>
    <row r="9329">
      <c r="G9329" s="9"/>
    </row>
    <row r="9330">
      <c r="G9330" s="9"/>
    </row>
    <row r="9331">
      <c r="G9331" s="9"/>
    </row>
    <row r="9332">
      <c r="G9332" s="9"/>
    </row>
    <row r="9333">
      <c r="G9333" s="9"/>
    </row>
    <row r="9334">
      <c r="G9334" s="9"/>
    </row>
    <row r="9335">
      <c r="G9335" s="9"/>
    </row>
    <row r="9336">
      <c r="G9336" s="9"/>
    </row>
    <row r="9337">
      <c r="G9337" s="9"/>
    </row>
    <row r="9338">
      <c r="G9338" s="9"/>
    </row>
    <row r="9339">
      <c r="G9339" s="9"/>
    </row>
    <row r="9340">
      <c r="G9340" s="9"/>
    </row>
    <row r="9341">
      <c r="G9341" s="9"/>
    </row>
    <row r="9342">
      <c r="G9342" s="9"/>
    </row>
    <row r="9343">
      <c r="G9343" s="9"/>
    </row>
    <row r="9344">
      <c r="G9344" s="9"/>
    </row>
    <row r="9345">
      <c r="G9345" s="9"/>
    </row>
    <row r="9346">
      <c r="G9346" s="9"/>
    </row>
    <row r="9347">
      <c r="G9347" s="9"/>
    </row>
    <row r="9348">
      <c r="G9348" s="9"/>
    </row>
    <row r="9349">
      <c r="G9349" s="9"/>
    </row>
    <row r="9350">
      <c r="G9350" s="9"/>
    </row>
    <row r="9351">
      <c r="G9351" s="9"/>
    </row>
    <row r="9352">
      <c r="G9352" s="9"/>
    </row>
    <row r="9353">
      <c r="G9353" s="9"/>
    </row>
    <row r="9354">
      <c r="G9354" s="9"/>
    </row>
    <row r="9355">
      <c r="G9355" s="9"/>
    </row>
    <row r="9356">
      <c r="G9356" s="9"/>
    </row>
    <row r="9357">
      <c r="G9357" s="9"/>
    </row>
    <row r="9358">
      <c r="G9358" s="9"/>
    </row>
    <row r="9359">
      <c r="G9359" s="9"/>
    </row>
    <row r="9360">
      <c r="G9360" s="9"/>
    </row>
    <row r="9361">
      <c r="G9361" s="9"/>
    </row>
    <row r="9362">
      <c r="G9362" s="9"/>
    </row>
    <row r="9363">
      <c r="G9363" s="9"/>
    </row>
    <row r="9364">
      <c r="G9364" s="9"/>
    </row>
    <row r="9365">
      <c r="G9365" s="9"/>
    </row>
    <row r="9366">
      <c r="G9366" s="9"/>
    </row>
    <row r="9367">
      <c r="G9367" s="9"/>
    </row>
    <row r="9368">
      <c r="G9368" s="9"/>
    </row>
    <row r="9369">
      <c r="G9369" s="9"/>
    </row>
    <row r="9370">
      <c r="G9370" s="9"/>
    </row>
    <row r="9371">
      <c r="G9371" s="9"/>
    </row>
    <row r="9372">
      <c r="G9372" s="9"/>
    </row>
    <row r="9373">
      <c r="G9373" s="9"/>
    </row>
    <row r="9374">
      <c r="G9374" s="9"/>
    </row>
    <row r="9375">
      <c r="G9375" s="9"/>
    </row>
    <row r="9376">
      <c r="G9376" s="9"/>
    </row>
    <row r="9377">
      <c r="G9377" s="9"/>
    </row>
    <row r="9378">
      <c r="G9378" s="9"/>
    </row>
    <row r="9379">
      <c r="G9379" s="9"/>
    </row>
    <row r="9380">
      <c r="G9380" s="9"/>
    </row>
    <row r="9381">
      <c r="G9381" s="9"/>
    </row>
    <row r="9382">
      <c r="G9382" s="9"/>
    </row>
    <row r="9383">
      <c r="G9383" s="9"/>
    </row>
    <row r="9384">
      <c r="G9384" s="9"/>
    </row>
    <row r="9385">
      <c r="G9385" s="9"/>
    </row>
    <row r="9386">
      <c r="G9386" s="9"/>
    </row>
    <row r="9387">
      <c r="G9387" s="9"/>
    </row>
    <row r="9388">
      <c r="G9388" s="9"/>
    </row>
    <row r="9389">
      <c r="G9389" s="9"/>
    </row>
    <row r="9390">
      <c r="G9390" s="9"/>
    </row>
    <row r="9391">
      <c r="G9391" s="9"/>
    </row>
    <row r="9392">
      <c r="G9392" s="9"/>
    </row>
    <row r="9393">
      <c r="G9393" s="9"/>
    </row>
    <row r="9394">
      <c r="G9394" s="9"/>
    </row>
    <row r="9395">
      <c r="G9395" s="9"/>
    </row>
    <row r="9396">
      <c r="G9396" s="9"/>
    </row>
    <row r="9397">
      <c r="G9397" s="9"/>
    </row>
    <row r="9398">
      <c r="G9398" s="9"/>
    </row>
    <row r="9399">
      <c r="G9399" s="9"/>
    </row>
    <row r="9400">
      <c r="G9400" s="9"/>
    </row>
    <row r="9401">
      <c r="G9401" s="9"/>
    </row>
    <row r="9402">
      <c r="G9402" s="9"/>
    </row>
    <row r="9403">
      <c r="G9403" s="9"/>
    </row>
    <row r="9404">
      <c r="G9404" s="9"/>
    </row>
    <row r="9405">
      <c r="G9405" s="9"/>
    </row>
    <row r="9406">
      <c r="G9406" s="9"/>
    </row>
    <row r="9407">
      <c r="G9407" s="9"/>
    </row>
    <row r="9408">
      <c r="G9408" s="9"/>
    </row>
    <row r="9409">
      <c r="G9409" s="9"/>
    </row>
    <row r="9410">
      <c r="G9410" s="9"/>
    </row>
    <row r="9411">
      <c r="G9411" s="9"/>
    </row>
    <row r="9412">
      <c r="G9412" s="9"/>
    </row>
    <row r="9413">
      <c r="G9413" s="9"/>
    </row>
    <row r="9414">
      <c r="G9414" s="9"/>
    </row>
    <row r="9415">
      <c r="G9415" s="9"/>
    </row>
    <row r="9416">
      <c r="G9416" s="9"/>
    </row>
    <row r="9417">
      <c r="G9417" s="9"/>
    </row>
    <row r="9418">
      <c r="G9418" s="9"/>
    </row>
    <row r="9419">
      <c r="G9419" s="9"/>
    </row>
    <row r="9420">
      <c r="G9420" s="9"/>
    </row>
    <row r="9421">
      <c r="G9421" s="9"/>
    </row>
    <row r="9422">
      <c r="G9422" s="9"/>
    </row>
    <row r="9423">
      <c r="G9423" s="9"/>
    </row>
    <row r="9424">
      <c r="G9424" s="9"/>
    </row>
    <row r="9425">
      <c r="G9425" s="9"/>
    </row>
    <row r="9426">
      <c r="G9426" s="9"/>
    </row>
    <row r="9427">
      <c r="G9427" s="9"/>
    </row>
    <row r="9428">
      <c r="G9428" s="9"/>
    </row>
    <row r="9429">
      <c r="G9429" s="9"/>
    </row>
    <row r="9430">
      <c r="G9430" s="9"/>
    </row>
    <row r="9431">
      <c r="G9431" s="9"/>
    </row>
    <row r="9432">
      <c r="G9432" s="9"/>
    </row>
    <row r="9433">
      <c r="G9433" s="9"/>
    </row>
    <row r="9434">
      <c r="G9434" s="9"/>
    </row>
    <row r="9435">
      <c r="G9435" s="9"/>
    </row>
    <row r="9436">
      <c r="G9436" s="9"/>
    </row>
    <row r="9437">
      <c r="G9437" s="9"/>
    </row>
    <row r="9438">
      <c r="G9438" s="9"/>
    </row>
    <row r="9439">
      <c r="G9439" s="9"/>
    </row>
    <row r="9440">
      <c r="G9440" s="9"/>
    </row>
    <row r="9441">
      <c r="G9441" s="9"/>
    </row>
    <row r="9442">
      <c r="G9442" s="9"/>
    </row>
    <row r="9443">
      <c r="G9443" s="9"/>
    </row>
    <row r="9444">
      <c r="G9444" s="9"/>
    </row>
    <row r="9445">
      <c r="G9445" s="9"/>
    </row>
    <row r="9446">
      <c r="G9446" s="9"/>
    </row>
    <row r="9447">
      <c r="G9447" s="9"/>
    </row>
    <row r="9448">
      <c r="G9448" s="9"/>
    </row>
    <row r="9449">
      <c r="G9449" s="9"/>
    </row>
    <row r="9450">
      <c r="G9450" s="9"/>
    </row>
    <row r="9451">
      <c r="G9451" s="9"/>
    </row>
    <row r="9452">
      <c r="G9452" s="9"/>
    </row>
    <row r="9453">
      <c r="G9453" s="9"/>
    </row>
    <row r="9454">
      <c r="G9454" s="9"/>
    </row>
    <row r="9455">
      <c r="G9455" s="9"/>
    </row>
    <row r="9456">
      <c r="G9456" s="9"/>
    </row>
    <row r="9457">
      <c r="G9457" s="9"/>
    </row>
    <row r="9458">
      <c r="G9458" s="9"/>
    </row>
    <row r="9459">
      <c r="G9459" s="9"/>
    </row>
    <row r="9460">
      <c r="G9460" s="9"/>
    </row>
    <row r="9461">
      <c r="G9461" s="9"/>
    </row>
    <row r="9462">
      <c r="G9462" s="9"/>
    </row>
    <row r="9463">
      <c r="G9463" s="9"/>
    </row>
    <row r="9464">
      <c r="G9464" s="9"/>
    </row>
    <row r="9465">
      <c r="G9465" s="9"/>
    </row>
    <row r="9466">
      <c r="G9466" s="9"/>
    </row>
    <row r="9467">
      <c r="G9467" s="9"/>
    </row>
    <row r="9468">
      <c r="G9468" s="9"/>
    </row>
    <row r="9469">
      <c r="G9469" s="9"/>
    </row>
    <row r="9470">
      <c r="G9470" s="9"/>
    </row>
    <row r="9471">
      <c r="G9471" s="9"/>
    </row>
    <row r="9472">
      <c r="G9472" s="9"/>
    </row>
    <row r="9473">
      <c r="G9473" s="9"/>
    </row>
    <row r="9474">
      <c r="G9474" s="9"/>
    </row>
    <row r="9475">
      <c r="G9475" s="9"/>
    </row>
    <row r="9476">
      <c r="G9476" s="9"/>
    </row>
    <row r="9477">
      <c r="G9477" s="9"/>
    </row>
    <row r="9478">
      <c r="G9478" s="9"/>
    </row>
    <row r="9479">
      <c r="G9479" s="9"/>
    </row>
    <row r="9480">
      <c r="G9480" s="9"/>
    </row>
    <row r="9481">
      <c r="G9481" s="9"/>
    </row>
    <row r="9482">
      <c r="G9482" s="9"/>
    </row>
    <row r="9483">
      <c r="G9483" s="9"/>
    </row>
    <row r="9484">
      <c r="G9484" s="9"/>
    </row>
    <row r="9485">
      <c r="G9485" s="9"/>
    </row>
    <row r="9486">
      <c r="G9486" s="9"/>
    </row>
    <row r="9487">
      <c r="G9487" s="9"/>
    </row>
    <row r="9488">
      <c r="G9488" s="9"/>
    </row>
    <row r="9489">
      <c r="G9489" s="9"/>
    </row>
    <row r="9490">
      <c r="G9490" s="9"/>
    </row>
    <row r="9491">
      <c r="G9491" s="9"/>
    </row>
    <row r="9492">
      <c r="G9492" s="9"/>
    </row>
    <row r="9493">
      <c r="G9493" s="9"/>
    </row>
    <row r="9494">
      <c r="G9494" s="9"/>
    </row>
    <row r="9495">
      <c r="G9495" s="9"/>
    </row>
    <row r="9496">
      <c r="G9496" s="9"/>
    </row>
    <row r="9497">
      <c r="G9497" s="9"/>
    </row>
    <row r="9498">
      <c r="G9498" s="9"/>
    </row>
    <row r="9499">
      <c r="G9499" s="9"/>
    </row>
    <row r="9500">
      <c r="G9500" s="9"/>
    </row>
    <row r="9501">
      <c r="G9501" s="9"/>
    </row>
    <row r="9502">
      <c r="G9502" s="9"/>
    </row>
    <row r="9503">
      <c r="G9503" s="9"/>
    </row>
    <row r="9504">
      <c r="G9504" s="9"/>
    </row>
    <row r="9505">
      <c r="G9505" s="9"/>
    </row>
    <row r="9506">
      <c r="G9506" s="9"/>
    </row>
    <row r="9507">
      <c r="G9507" s="9"/>
    </row>
    <row r="9508">
      <c r="G9508" s="9"/>
    </row>
    <row r="9509">
      <c r="G9509" s="9"/>
    </row>
    <row r="9510">
      <c r="G9510" s="9"/>
    </row>
    <row r="9511">
      <c r="G9511" s="9"/>
    </row>
    <row r="9512">
      <c r="G9512" s="9"/>
    </row>
    <row r="9513">
      <c r="G9513" s="9"/>
    </row>
    <row r="9514">
      <c r="G9514" s="9"/>
    </row>
    <row r="9515">
      <c r="G9515" s="9"/>
    </row>
    <row r="9516">
      <c r="G9516" s="9"/>
    </row>
    <row r="9517">
      <c r="G9517" s="9"/>
    </row>
    <row r="9518">
      <c r="G9518" s="9"/>
    </row>
    <row r="9519">
      <c r="G9519" s="9"/>
    </row>
    <row r="9520">
      <c r="G9520" s="9"/>
    </row>
    <row r="9521">
      <c r="G9521" s="9"/>
    </row>
    <row r="9522">
      <c r="G9522" s="9"/>
    </row>
    <row r="9523">
      <c r="G9523" s="9"/>
    </row>
    <row r="9524">
      <c r="G9524" s="9"/>
    </row>
    <row r="9525">
      <c r="G9525" s="9"/>
    </row>
    <row r="9526">
      <c r="G9526" s="9"/>
    </row>
    <row r="9527">
      <c r="G9527" s="9"/>
    </row>
    <row r="9528">
      <c r="G9528" s="9"/>
    </row>
    <row r="9529">
      <c r="G9529" s="9"/>
    </row>
    <row r="9530">
      <c r="G9530" s="9"/>
    </row>
    <row r="9531">
      <c r="G9531" s="9"/>
    </row>
    <row r="9532">
      <c r="G9532" s="9"/>
    </row>
    <row r="9533">
      <c r="G9533" s="9"/>
    </row>
    <row r="9534">
      <c r="G9534" s="9"/>
    </row>
    <row r="9535">
      <c r="G9535" s="9"/>
    </row>
    <row r="9536">
      <c r="G9536" s="9"/>
    </row>
    <row r="9537">
      <c r="G9537" s="9"/>
    </row>
    <row r="9538">
      <c r="G9538" s="9"/>
    </row>
    <row r="9539">
      <c r="G9539" s="9"/>
    </row>
    <row r="9540">
      <c r="G9540" s="9"/>
    </row>
    <row r="9541">
      <c r="G9541" s="9"/>
    </row>
    <row r="9542">
      <c r="G9542" s="9"/>
    </row>
    <row r="9543">
      <c r="G9543" s="9"/>
    </row>
    <row r="9544">
      <c r="G9544" s="9"/>
    </row>
    <row r="9545">
      <c r="G9545" s="9"/>
    </row>
    <row r="9546">
      <c r="G9546" s="9"/>
    </row>
    <row r="9547">
      <c r="G9547" s="9"/>
    </row>
    <row r="9548">
      <c r="G9548" s="9"/>
    </row>
    <row r="9549">
      <c r="G9549" s="9"/>
    </row>
    <row r="9550">
      <c r="G9550" s="9"/>
    </row>
    <row r="9551">
      <c r="G9551" s="9"/>
    </row>
    <row r="9552">
      <c r="G9552" s="9"/>
    </row>
    <row r="9553">
      <c r="G9553" s="9"/>
    </row>
    <row r="9554">
      <c r="G9554" s="9"/>
    </row>
    <row r="9555">
      <c r="G9555" s="9"/>
    </row>
    <row r="9556">
      <c r="G9556" s="9"/>
    </row>
    <row r="9557">
      <c r="G9557" s="9"/>
    </row>
    <row r="9558">
      <c r="G9558" s="9"/>
    </row>
    <row r="9559">
      <c r="G9559" s="9"/>
    </row>
    <row r="9560">
      <c r="G9560" s="9"/>
    </row>
    <row r="9561">
      <c r="G9561" s="9"/>
    </row>
    <row r="9562">
      <c r="G9562" s="9"/>
    </row>
    <row r="9563">
      <c r="G9563" s="9"/>
    </row>
    <row r="9564">
      <c r="G9564" s="9"/>
    </row>
    <row r="9565">
      <c r="G9565" s="9"/>
    </row>
    <row r="9566">
      <c r="G9566" s="9"/>
    </row>
    <row r="9567">
      <c r="G9567" s="9"/>
    </row>
    <row r="9568">
      <c r="G9568" s="9"/>
    </row>
    <row r="9569">
      <c r="G9569" s="9"/>
    </row>
    <row r="9570">
      <c r="G9570" s="9"/>
    </row>
    <row r="9571">
      <c r="G9571" s="9"/>
    </row>
    <row r="9572">
      <c r="G9572" s="9"/>
    </row>
    <row r="9573">
      <c r="G9573" s="9"/>
    </row>
    <row r="9574">
      <c r="G9574" s="9"/>
    </row>
    <row r="9575">
      <c r="G9575" s="9"/>
    </row>
    <row r="9576">
      <c r="G9576" s="9"/>
    </row>
    <row r="9577">
      <c r="G9577" s="9"/>
    </row>
    <row r="9578">
      <c r="G9578" s="9"/>
    </row>
    <row r="9579">
      <c r="G9579" s="9"/>
    </row>
    <row r="9580">
      <c r="G9580" s="9"/>
    </row>
    <row r="9581">
      <c r="G9581" s="9"/>
    </row>
    <row r="9582">
      <c r="G9582" s="9"/>
    </row>
    <row r="9583">
      <c r="G9583" s="9"/>
    </row>
    <row r="9584">
      <c r="G9584" s="9"/>
    </row>
    <row r="9585">
      <c r="G9585" s="9"/>
    </row>
    <row r="9586">
      <c r="G9586" s="9"/>
    </row>
    <row r="9587">
      <c r="G9587" s="9"/>
    </row>
    <row r="9588">
      <c r="G9588" s="9"/>
    </row>
    <row r="9589">
      <c r="G9589" s="9"/>
    </row>
    <row r="9590">
      <c r="G9590" s="9"/>
    </row>
    <row r="9591">
      <c r="G9591" s="9"/>
    </row>
    <row r="9592">
      <c r="G9592" s="9"/>
    </row>
    <row r="9593">
      <c r="G9593" s="9"/>
    </row>
    <row r="9594">
      <c r="G9594" s="9"/>
    </row>
    <row r="9595">
      <c r="G9595" s="9"/>
    </row>
    <row r="9596">
      <c r="G9596" s="9"/>
    </row>
    <row r="9597">
      <c r="G9597" s="9"/>
    </row>
    <row r="9598">
      <c r="G9598" s="9"/>
    </row>
    <row r="9599">
      <c r="G9599" s="9"/>
    </row>
    <row r="9600">
      <c r="G9600" s="9"/>
    </row>
    <row r="9601">
      <c r="G9601" s="9"/>
    </row>
    <row r="9602">
      <c r="G9602" s="9"/>
    </row>
    <row r="9603">
      <c r="G9603" s="9"/>
    </row>
    <row r="9604">
      <c r="G9604" s="9"/>
    </row>
    <row r="9605">
      <c r="G9605" s="9"/>
    </row>
    <row r="9606">
      <c r="G9606" s="9"/>
    </row>
    <row r="9607">
      <c r="G9607" s="9"/>
    </row>
    <row r="9608">
      <c r="G9608" s="9"/>
    </row>
    <row r="9609">
      <c r="G9609" s="9"/>
    </row>
    <row r="9610">
      <c r="G9610" s="9"/>
    </row>
    <row r="9611">
      <c r="G9611" s="9"/>
    </row>
    <row r="9612">
      <c r="G9612" s="9"/>
    </row>
    <row r="9613">
      <c r="G9613" s="9"/>
    </row>
    <row r="9614">
      <c r="G9614" s="9"/>
    </row>
    <row r="9615">
      <c r="G9615" s="9"/>
    </row>
    <row r="9616">
      <c r="G9616" s="9"/>
    </row>
    <row r="9617">
      <c r="G9617" s="9"/>
    </row>
    <row r="9618">
      <c r="G9618" s="9"/>
    </row>
    <row r="9619">
      <c r="G9619" s="9"/>
    </row>
    <row r="9620">
      <c r="G9620" s="9"/>
    </row>
    <row r="9621">
      <c r="G9621" s="9"/>
    </row>
    <row r="9622">
      <c r="G9622" s="9"/>
    </row>
    <row r="9623">
      <c r="G9623" s="9"/>
    </row>
    <row r="9624">
      <c r="G9624" s="9"/>
    </row>
    <row r="9625">
      <c r="G9625" s="9"/>
    </row>
    <row r="9626">
      <c r="G9626" s="9"/>
    </row>
    <row r="9627">
      <c r="G9627" s="9"/>
    </row>
    <row r="9628">
      <c r="G9628" s="9"/>
    </row>
    <row r="9629">
      <c r="G9629" s="9"/>
    </row>
    <row r="9630">
      <c r="G9630" s="9"/>
    </row>
    <row r="9631">
      <c r="G9631" s="9"/>
    </row>
    <row r="9632">
      <c r="G9632" s="9"/>
    </row>
    <row r="9633">
      <c r="G9633" s="9"/>
    </row>
    <row r="9634">
      <c r="G9634" s="9"/>
    </row>
    <row r="9635">
      <c r="G9635" s="9"/>
    </row>
    <row r="9636">
      <c r="G9636" s="9"/>
    </row>
    <row r="9637">
      <c r="G9637" s="9"/>
    </row>
    <row r="9638">
      <c r="G9638" s="9"/>
    </row>
    <row r="9639">
      <c r="G9639" s="9"/>
    </row>
    <row r="9640">
      <c r="G9640" s="9"/>
    </row>
    <row r="9641">
      <c r="G9641" s="9"/>
    </row>
    <row r="9642">
      <c r="G9642" s="9"/>
    </row>
    <row r="9643">
      <c r="G9643" s="9"/>
    </row>
    <row r="9644">
      <c r="G9644" s="9"/>
    </row>
    <row r="9645">
      <c r="G9645" s="9"/>
    </row>
    <row r="9646">
      <c r="G9646" s="9"/>
    </row>
    <row r="9647">
      <c r="G9647" s="9"/>
    </row>
    <row r="9648">
      <c r="G9648" s="9"/>
    </row>
    <row r="9649">
      <c r="G9649" s="9"/>
    </row>
    <row r="9650">
      <c r="G9650" s="9"/>
    </row>
    <row r="9651">
      <c r="G9651" s="9"/>
    </row>
    <row r="9652">
      <c r="G9652" s="9"/>
    </row>
    <row r="9653">
      <c r="G9653" s="9"/>
    </row>
    <row r="9654">
      <c r="G9654" s="9"/>
    </row>
    <row r="9655">
      <c r="G9655" s="9"/>
    </row>
    <row r="9656">
      <c r="G9656" s="9"/>
    </row>
    <row r="9657">
      <c r="G9657" s="9"/>
    </row>
    <row r="9658">
      <c r="G9658" s="9"/>
    </row>
    <row r="9659">
      <c r="G9659" s="9"/>
    </row>
    <row r="9660">
      <c r="G9660" s="9"/>
    </row>
    <row r="9661">
      <c r="G9661" s="9"/>
    </row>
    <row r="9662">
      <c r="G9662" s="9"/>
    </row>
    <row r="9663">
      <c r="G9663" s="9"/>
    </row>
    <row r="9664">
      <c r="G9664" s="9"/>
    </row>
    <row r="9665">
      <c r="G9665" s="9"/>
    </row>
    <row r="9666">
      <c r="G9666" s="9"/>
    </row>
    <row r="9667">
      <c r="G9667" s="9"/>
    </row>
    <row r="9668">
      <c r="G9668" s="9"/>
    </row>
    <row r="9669">
      <c r="G9669" s="9"/>
    </row>
    <row r="9670">
      <c r="G9670" s="9"/>
    </row>
    <row r="9671">
      <c r="G9671" s="9"/>
    </row>
    <row r="9672">
      <c r="G9672" s="9"/>
    </row>
    <row r="9673">
      <c r="G9673" s="9"/>
    </row>
    <row r="9674">
      <c r="G9674" s="9"/>
    </row>
    <row r="9675">
      <c r="G9675" s="9"/>
    </row>
    <row r="9676">
      <c r="G9676" s="9"/>
    </row>
    <row r="9677">
      <c r="G9677" s="9"/>
    </row>
    <row r="9678">
      <c r="G9678" s="9"/>
    </row>
    <row r="9679">
      <c r="G9679" s="9"/>
    </row>
    <row r="9680">
      <c r="G9680" s="9"/>
    </row>
    <row r="9681">
      <c r="G9681" s="9"/>
    </row>
    <row r="9682">
      <c r="G9682" s="9"/>
    </row>
    <row r="9683">
      <c r="G9683" s="9"/>
    </row>
    <row r="9684">
      <c r="G9684" s="9"/>
    </row>
    <row r="9685">
      <c r="G9685" s="9"/>
    </row>
    <row r="9686">
      <c r="G9686" s="9"/>
    </row>
    <row r="9687">
      <c r="G9687" s="9"/>
    </row>
    <row r="9688">
      <c r="G9688" s="9"/>
    </row>
    <row r="9689">
      <c r="G9689" s="9"/>
    </row>
    <row r="9690">
      <c r="G9690" s="9"/>
    </row>
    <row r="9691">
      <c r="G9691" s="9"/>
    </row>
    <row r="9692">
      <c r="G9692" s="9"/>
    </row>
    <row r="9693">
      <c r="G9693" s="9"/>
    </row>
    <row r="9694">
      <c r="G9694" s="9"/>
    </row>
    <row r="9695">
      <c r="G9695" s="9"/>
    </row>
    <row r="9696">
      <c r="G9696" s="9"/>
    </row>
    <row r="9697">
      <c r="G9697" s="9"/>
    </row>
    <row r="9698">
      <c r="G9698" s="9"/>
    </row>
    <row r="9699">
      <c r="G9699" s="9"/>
    </row>
    <row r="9700">
      <c r="G9700" s="9"/>
    </row>
    <row r="9701">
      <c r="G9701" s="9"/>
    </row>
    <row r="9702">
      <c r="G9702" s="9"/>
    </row>
    <row r="9703">
      <c r="G9703" s="9"/>
    </row>
    <row r="9704">
      <c r="G9704" s="9"/>
    </row>
    <row r="9705">
      <c r="G9705" s="9"/>
    </row>
    <row r="9706">
      <c r="G9706" s="9"/>
    </row>
    <row r="9707">
      <c r="G9707" s="9"/>
    </row>
    <row r="9708">
      <c r="G9708" s="9"/>
    </row>
    <row r="9709">
      <c r="G9709" s="9"/>
    </row>
    <row r="9710">
      <c r="G9710" s="9"/>
    </row>
    <row r="9711">
      <c r="G9711" s="9"/>
    </row>
    <row r="9712">
      <c r="G9712" s="9"/>
    </row>
    <row r="9713">
      <c r="G9713" s="9"/>
    </row>
    <row r="9714">
      <c r="G9714" s="9"/>
    </row>
    <row r="9715">
      <c r="G9715" s="9"/>
    </row>
    <row r="9716">
      <c r="G9716" s="9"/>
    </row>
    <row r="9717">
      <c r="G9717" s="9"/>
    </row>
    <row r="9718">
      <c r="G9718" s="9"/>
    </row>
    <row r="9719">
      <c r="G9719" s="9"/>
    </row>
    <row r="9720">
      <c r="G9720" s="9"/>
    </row>
    <row r="9721">
      <c r="G9721" s="9"/>
    </row>
    <row r="9722">
      <c r="G9722" s="9"/>
    </row>
    <row r="9723">
      <c r="G9723" s="9"/>
    </row>
    <row r="9724">
      <c r="G9724" s="9"/>
    </row>
    <row r="9725">
      <c r="G9725" s="9"/>
    </row>
    <row r="9726">
      <c r="G9726" s="9"/>
    </row>
    <row r="9727">
      <c r="G9727" s="9"/>
    </row>
    <row r="9728">
      <c r="G9728" s="9"/>
    </row>
    <row r="9729">
      <c r="G9729" s="9"/>
    </row>
    <row r="9730">
      <c r="G9730" s="9"/>
    </row>
    <row r="9731">
      <c r="G9731" s="9"/>
    </row>
    <row r="9732">
      <c r="G9732" s="9"/>
    </row>
    <row r="9733">
      <c r="G9733" s="9"/>
    </row>
    <row r="9734">
      <c r="G9734" s="9"/>
    </row>
    <row r="9735">
      <c r="G9735" s="9"/>
    </row>
    <row r="9736">
      <c r="G9736" s="9"/>
    </row>
    <row r="9737">
      <c r="G9737" s="9"/>
    </row>
    <row r="9738">
      <c r="G9738" s="9"/>
    </row>
    <row r="9739">
      <c r="G9739" s="9"/>
    </row>
    <row r="9740">
      <c r="G9740" s="9"/>
    </row>
    <row r="9741">
      <c r="G9741" s="9"/>
    </row>
    <row r="9742">
      <c r="G9742" s="9"/>
    </row>
    <row r="9743">
      <c r="G9743" s="9"/>
    </row>
    <row r="9744">
      <c r="G9744" s="9"/>
    </row>
    <row r="9745">
      <c r="G9745" s="9"/>
    </row>
    <row r="9746">
      <c r="G9746" s="9"/>
    </row>
    <row r="9747">
      <c r="G9747" s="9"/>
    </row>
    <row r="9748">
      <c r="G9748" s="9"/>
    </row>
    <row r="9749">
      <c r="G9749" s="9"/>
    </row>
    <row r="9750">
      <c r="G9750" s="9"/>
    </row>
    <row r="9751">
      <c r="G9751" s="9"/>
    </row>
    <row r="9752">
      <c r="G9752" s="9"/>
    </row>
    <row r="9753">
      <c r="G9753" s="9"/>
    </row>
    <row r="9754">
      <c r="G9754" s="9"/>
    </row>
    <row r="9755">
      <c r="G9755" s="9"/>
    </row>
    <row r="9756">
      <c r="G9756" s="9"/>
    </row>
    <row r="9757">
      <c r="G9757" s="9"/>
    </row>
    <row r="9758">
      <c r="G9758" s="9"/>
    </row>
    <row r="9759">
      <c r="G9759" s="9"/>
    </row>
    <row r="9760">
      <c r="G9760" s="9"/>
    </row>
    <row r="9761">
      <c r="G9761" s="9"/>
    </row>
    <row r="9762">
      <c r="G9762" s="9"/>
    </row>
    <row r="9763">
      <c r="G9763" s="9"/>
    </row>
    <row r="9764">
      <c r="G9764" s="9"/>
    </row>
    <row r="9765">
      <c r="G9765" s="9"/>
    </row>
    <row r="9766">
      <c r="G9766" s="9"/>
    </row>
    <row r="9767">
      <c r="G9767" s="9"/>
    </row>
    <row r="9768">
      <c r="G9768" s="9"/>
    </row>
    <row r="9769">
      <c r="G9769" s="9"/>
    </row>
    <row r="9770">
      <c r="G9770" s="9"/>
    </row>
    <row r="9771">
      <c r="G9771" s="9"/>
    </row>
    <row r="9772">
      <c r="G9772" s="9"/>
    </row>
    <row r="9773">
      <c r="G9773" s="9"/>
    </row>
    <row r="9774">
      <c r="G9774" s="9"/>
    </row>
    <row r="9775">
      <c r="G9775" s="9"/>
    </row>
    <row r="9776">
      <c r="G9776" s="9"/>
    </row>
    <row r="9777">
      <c r="G9777" s="9"/>
    </row>
    <row r="9778">
      <c r="G9778" s="9"/>
    </row>
    <row r="9779">
      <c r="G9779" s="9"/>
    </row>
    <row r="9780">
      <c r="G9780" s="9"/>
    </row>
    <row r="9781">
      <c r="G9781" s="9"/>
    </row>
    <row r="9782">
      <c r="G9782" s="9"/>
    </row>
    <row r="9783">
      <c r="G9783" s="9"/>
    </row>
    <row r="9784">
      <c r="G9784" s="9"/>
    </row>
    <row r="9785">
      <c r="G9785" s="9"/>
    </row>
    <row r="9786">
      <c r="G9786" s="9"/>
    </row>
    <row r="9787">
      <c r="G9787" s="9"/>
    </row>
    <row r="9788">
      <c r="G9788" s="9"/>
    </row>
    <row r="9789">
      <c r="G9789" s="9"/>
    </row>
    <row r="9790">
      <c r="G9790" s="9"/>
    </row>
    <row r="9791">
      <c r="G9791" s="9"/>
    </row>
    <row r="9792">
      <c r="G9792" s="9"/>
    </row>
    <row r="9793">
      <c r="G9793" s="9"/>
    </row>
    <row r="9794">
      <c r="G9794" s="9"/>
    </row>
    <row r="9795">
      <c r="G9795" s="9"/>
    </row>
    <row r="9796">
      <c r="G9796" s="9"/>
    </row>
    <row r="9797">
      <c r="G9797" s="9"/>
    </row>
    <row r="9798">
      <c r="G9798" s="9"/>
    </row>
    <row r="9799">
      <c r="G9799" s="9"/>
    </row>
    <row r="9800">
      <c r="G9800" s="9"/>
    </row>
    <row r="9801">
      <c r="G9801" s="9"/>
    </row>
    <row r="9802">
      <c r="G9802" s="9"/>
    </row>
    <row r="9803">
      <c r="G9803" s="9"/>
    </row>
    <row r="9804">
      <c r="G9804" s="9"/>
    </row>
    <row r="9805">
      <c r="G9805" s="9"/>
    </row>
    <row r="9806">
      <c r="G9806" s="9"/>
    </row>
    <row r="9807">
      <c r="G9807" s="9"/>
    </row>
    <row r="9808">
      <c r="G9808" s="9"/>
    </row>
    <row r="9809">
      <c r="G9809" s="9"/>
    </row>
    <row r="9810">
      <c r="G9810" s="9"/>
    </row>
    <row r="9811">
      <c r="G9811" s="9"/>
    </row>
    <row r="9812">
      <c r="G9812" s="9"/>
    </row>
    <row r="9813">
      <c r="G9813" s="9"/>
    </row>
    <row r="9814">
      <c r="G9814" s="9"/>
    </row>
    <row r="9815">
      <c r="G9815" s="9"/>
    </row>
    <row r="9816">
      <c r="G9816" s="9"/>
    </row>
    <row r="9817">
      <c r="G9817" s="9"/>
    </row>
    <row r="9818">
      <c r="G9818" s="9"/>
    </row>
    <row r="9819">
      <c r="G9819" s="9"/>
    </row>
    <row r="9820">
      <c r="G9820" s="9"/>
    </row>
    <row r="9821">
      <c r="G9821" s="9"/>
    </row>
    <row r="9822">
      <c r="G9822" s="9"/>
    </row>
    <row r="9823">
      <c r="G9823" s="9"/>
    </row>
    <row r="9824">
      <c r="G9824" s="9"/>
    </row>
    <row r="9825">
      <c r="G9825" s="9"/>
    </row>
    <row r="9826">
      <c r="G9826" s="9"/>
    </row>
    <row r="9827">
      <c r="G9827" s="9"/>
    </row>
    <row r="9828">
      <c r="G9828" s="9"/>
    </row>
    <row r="9829">
      <c r="G9829" s="9"/>
    </row>
    <row r="9830">
      <c r="G9830" s="9"/>
    </row>
    <row r="9831">
      <c r="G9831" s="9"/>
    </row>
    <row r="9832">
      <c r="G9832" s="9"/>
    </row>
    <row r="9833">
      <c r="G9833" s="9"/>
    </row>
    <row r="9834">
      <c r="G9834" s="9"/>
    </row>
    <row r="9835">
      <c r="G9835" s="9"/>
    </row>
    <row r="9836">
      <c r="G9836" s="9"/>
    </row>
    <row r="9837">
      <c r="G9837" s="9"/>
    </row>
    <row r="9838">
      <c r="G9838" s="9"/>
    </row>
    <row r="9839">
      <c r="G9839" s="9"/>
    </row>
    <row r="9840">
      <c r="G9840" s="9"/>
    </row>
    <row r="9841">
      <c r="G9841" s="9"/>
    </row>
    <row r="9842">
      <c r="G9842" s="9"/>
    </row>
    <row r="9843">
      <c r="G9843" s="9"/>
    </row>
    <row r="9844">
      <c r="G9844" s="9"/>
    </row>
    <row r="9845">
      <c r="G9845" s="9"/>
    </row>
    <row r="9846">
      <c r="G9846" s="9"/>
    </row>
    <row r="9847">
      <c r="G9847" s="9"/>
    </row>
    <row r="9848">
      <c r="G9848" s="9"/>
    </row>
    <row r="9849">
      <c r="G9849" s="9"/>
    </row>
    <row r="9850">
      <c r="G9850" s="9"/>
    </row>
    <row r="9851">
      <c r="G9851" s="9"/>
    </row>
    <row r="9852">
      <c r="G9852" s="9"/>
    </row>
    <row r="9853">
      <c r="G9853" s="9"/>
    </row>
    <row r="9854">
      <c r="G9854" s="9"/>
    </row>
    <row r="9855">
      <c r="G9855" s="9"/>
    </row>
    <row r="9856">
      <c r="G9856" s="9"/>
    </row>
    <row r="9857">
      <c r="G9857" s="9"/>
    </row>
    <row r="9858">
      <c r="G9858" s="9"/>
    </row>
    <row r="9859">
      <c r="G9859" s="9"/>
    </row>
    <row r="9860">
      <c r="G9860" s="9"/>
    </row>
    <row r="9861">
      <c r="G9861" s="9"/>
    </row>
    <row r="9862">
      <c r="G9862" s="9"/>
    </row>
    <row r="9863">
      <c r="G9863" s="9"/>
    </row>
    <row r="9864">
      <c r="G9864" s="9"/>
    </row>
    <row r="9865">
      <c r="G9865" s="9"/>
    </row>
    <row r="9866">
      <c r="G9866" s="9"/>
    </row>
    <row r="9867">
      <c r="G9867" s="9"/>
    </row>
    <row r="9868">
      <c r="G9868" s="9"/>
    </row>
    <row r="9869">
      <c r="G9869" s="9"/>
    </row>
    <row r="9870">
      <c r="G9870" s="9"/>
    </row>
    <row r="9871">
      <c r="G9871" s="9"/>
    </row>
    <row r="9872">
      <c r="G9872" s="9"/>
    </row>
    <row r="9873">
      <c r="G9873" s="9"/>
    </row>
    <row r="9874">
      <c r="G9874" s="9"/>
    </row>
    <row r="9875">
      <c r="G9875" s="9"/>
    </row>
    <row r="9876">
      <c r="G9876" s="9"/>
    </row>
    <row r="9877">
      <c r="G9877" s="9"/>
    </row>
    <row r="9878">
      <c r="G9878" s="9"/>
    </row>
    <row r="9879">
      <c r="G9879" s="9"/>
    </row>
    <row r="9880">
      <c r="G9880" s="9"/>
    </row>
    <row r="9881">
      <c r="G9881" s="9"/>
    </row>
    <row r="9882">
      <c r="G9882" s="9"/>
    </row>
    <row r="9883">
      <c r="G9883" s="9"/>
    </row>
    <row r="9884">
      <c r="G9884" s="9"/>
    </row>
    <row r="9885">
      <c r="G9885" s="9"/>
    </row>
    <row r="9886">
      <c r="G9886" s="9"/>
    </row>
    <row r="9887">
      <c r="G9887" s="9"/>
    </row>
    <row r="9888">
      <c r="G9888" s="9"/>
    </row>
    <row r="9889">
      <c r="G9889" s="9"/>
    </row>
    <row r="9890">
      <c r="G9890" s="9"/>
    </row>
    <row r="9891">
      <c r="G9891" s="9"/>
    </row>
    <row r="9892">
      <c r="G9892" s="9"/>
    </row>
    <row r="9893">
      <c r="G9893" s="9"/>
    </row>
    <row r="9894">
      <c r="G9894" s="9"/>
    </row>
    <row r="9895">
      <c r="G9895" s="9"/>
    </row>
    <row r="9896">
      <c r="G9896" s="9"/>
    </row>
    <row r="9897">
      <c r="G9897" s="9"/>
    </row>
    <row r="9898">
      <c r="G9898" s="9"/>
    </row>
    <row r="9899">
      <c r="G9899" s="9"/>
    </row>
    <row r="9900">
      <c r="G9900" s="9"/>
    </row>
    <row r="9901">
      <c r="G9901" s="9"/>
    </row>
    <row r="9902">
      <c r="G9902" s="9"/>
    </row>
    <row r="9903">
      <c r="G9903" s="9"/>
    </row>
    <row r="9904">
      <c r="G9904" s="9"/>
    </row>
    <row r="9905">
      <c r="G9905" s="9"/>
    </row>
    <row r="9906">
      <c r="G9906" s="9"/>
    </row>
    <row r="9907">
      <c r="G9907" s="9"/>
    </row>
    <row r="9908">
      <c r="G9908" s="9"/>
    </row>
    <row r="9909">
      <c r="G9909" s="9"/>
    </row>
    <row r="9910">
      <c r="G9910" s="9"/>
    </row>
    <row r="9911">
      <c r="G9911" s="9"/>
    </row>
    <row r="9912">
      <c r="G9912" s="9"/>
    </row>
    <row r="9913">
      <c r="G9913" s="9"/>
    </row>
    <row r="9914">
      <c r="G9914" s="9"/>
    </row>
    <row r="9915">
      <c r="G9915" s="9"/>
    </row>
    <row r="9916">
      <c r="G9916" s="9"/>
    </row>
    <row r="9917">
      <c r="G9917" s="9"/>
    </row>
    <row r="9918">
      <c r="G9918" s="9"/>
    </row>
    <row r="9919">
      <c r="G9919" s="9"/>
    </row>
    <row r="9920">
      <c r="G9920" s="9"/>
    </row>
    <row r="9921">
      <c r="G9921" s="9"/>
    </row>
    <row r="9922">
      <c r="G9922" s="9"/>
    </row>
    <row r="9923">
      <c r="G9923" s="9"/>
    </row>
    <row r="9924">
      <c r="G9924" s="9"/>
    </row>
    <row r="9925">
      <c r="G9925" s="9"/>
    </row>
    <row r="9926">
      <c r="G9926" s="9"/>
    </row>
    <row r="9927">
      <c r="G9927" s="9"/>
    </row>
    <row r="9928">
      <c r="G9928" s="9"/>
    </row>
    <row r="9929">
      <c r="G9929" s="9"/>
    </row>
    <row r="9930">
      <c r="G9930" s="9"/>
    </row>
    <row r="9931">
      <c r="G9931" s="9"/>
    </row>
    <row r="9932">
      <c r="G9932" s="9"/>
    </row>
    <row r="9933">
      <c r="G9933" s="9"/>
    </row>
    <row r="9934">
      <c r="G9934" s="9"/>
    </row>
    <row r="9935">
      <c r="G9935" s="9"/>
    </row>
    <row r="9936">
      <c r="G9936" s="9"/>
    </row>
    <row r="9937">
      <c r="G9937" s="9"/>
    </row>
    <row r="9938">
      <c r="G9938" s="9"/>
    </row>
    <row r="9939">
      <c r="G9939" s="9"/>
    </row>
    <row r="9940">
      <c r="G9940" s="9"/>
    </row>
    <row r="9941">
      <c r="G9941" s="9"/>
    </row>
    <row r="9942">
      <c r="G9942" s="9"/>
    </row>
    <row r="9943">
      <c r="G9943" s="9"/>
    </row>
    <row r="9944">
      <c r="G9944" s="9"/>
    </row>
    <row r="9945">
      <c r="G9945" s="9"/>
    </row>
    <row r="9946">
      <c r="G9946" s="9"/>
    </row>
    <row r="9947">
      <c r="G9947" s="9"/>
    </row>
    <row r="9948">
      <c r="G9948" s="9"/>
    </row>
    <row r="9949">
      <c r="G9949" s="9"/>
    </row>
    <row r="9950">
      <c r="G9950" s="9"/>
    </row>
    <row r="9951">
      <c r="G9951" s="9"/>
    </row>
    <row r="9952">
      <c r="G9952" s="9"/>
    </row>
    <row r="9953">
      <c r="G9953" s="9"/>
    </row>
    <row r="9954">
      <c r="G9954" s="9"/>
    </row>
    <row r="9955">
      <c r="G9955" s="9"/>
    </row>
    <row r="9956">
      <c r="G9956" s="9"/>
    </row>
    <row r="9957">
      <c r="G9957" s="9"/>
    </row>
    <row r="9958">
      <c r="G9958" s="9"/>
    </row>
    <row r="9959">
      <c r="G9959" s="9"/>
    </row>
    <row r="9960">
      <c r="G9960" s="9"/>
    </row>
    <row r="9961">
      <c r="G9961" s="9"/>
    </row>
    <row r="9962">
      <c r="G9962" s="9"/>
    </row>
    <row r="9963">
      <c r="G9963" s="9"/>
    </row>
    <row r="9964">
      <c r="G9964" s="9"/>
    </row>
    <row r="9965">
      <c r="G9965" s="9"/>
    </row>
    <row r="9966">
      <c r="G9966" s="9"/>
    </row>
    <row r="9967">
      <c r="G9967" s="9"/>
    </row>
    <row r="9968">
      <c r="G9968" s="9"/>
    </row>
    <row r="9969">
      <c r="G9969" s="9"/>
    </row>
    <row r="9970">
      <c r="G9970" s="9"/>
    </row>
    <row r="9971">
      <c r="G9971" s="9"/>
    </row>
    <row r="9972">
      <c r="G9972" s="9"/>
    </row>
    <row r="9973">
      <c r="G9973" s="9"/>
    </row>
    <row r="9974">
      <c r="G9974" s="9"/>
    </row>
    <row r="9975">
      <c r="G9975" s="9"/>
    </row>
    <row r="9976">
      <c r="G9976" s="9"/>
    </row>
    <row r="9977">
      <c r="G9977" s="9"/>
    </row>
    <row r="9978">
      <c r="G9978" s="9"/>
    </row>
    <row r="9979">
      <c r="G9979" s="9"/>
    </row>
    <row r="9980">
      <c r="G9980" s="9"/>
    </row>
    <row r="9981">
      <c r="G9981" s="9"/>
    </row>
    <row r="9982">
      <c r="G9982" s="9"/>
    </row>
    <row r="9983">
      <c r="G9983" s="9"/>
    </row>
    <row r="9984">
      <c r="G9984" s="9"/>
    </row>
    <row r="9985">
      <c r="G9985" s="9"/>
    </row>
    <row r="9986">
      <c r="G9986" s="9"/>
    </row>
    <row r="9987">
      <c r="G9987" s="9"/>
    </row>
    <row r="9988">
      <c r="G9988" s="9"/>
    </row>
    <row r="9989">
      <c r="G9989" s="9"/>
    </row>
    <row r="9990">
      <c r="G9990" s="9"/>
    </row>
    <row r="9991">
      <c r="G9991" s="9"/>
    </row>
    <row r="9992">
      <c r="G9992" s="9"/>
    </row>
    <row r="9993">
      <c r="G9993" s="9"/>
    </row>
    <row r="9994">
      <c r="G9994" s="9"/>
    </row>
    <row r="9995">
      <c r="G9995" s="9"/>
    </row>
    <row r="9996">
      <c r="G9996" s="9"/>
    </row>
    <row r="9997">
      <c r="G9997" s="9"/>
    </row>
    <row r="9998">
      <c r="G9998" s="9"/>
    </row>
    <row r="9999">
      <c r="G9999" s="9"/>
    </row>
    <row r="10000">
      <c r="G10000" s="9"/>
    </row>
    <row r="10001">
      <c r="G10001" s="9"/>
    </row>
    <row r="10002">
      <c r="G10002" s="9"/>
    </row>
    <row r="10003">
      <c r="G10003" s="9"/>
    </row>
    <row r="10004">
      <c r="G10004" s="9"/>
    </row>
    <row r="10005">
      <c r="G10005" s="9"/>
    </row>
    <row r="10006">
      <c r="G10006" s="9"/>
    </row>
    <row r="10007">
      <c r="G10007" s="9"/>
    </row>
    <row r="10008">
      <c r="G10008" s="9"/>
    </row>
    <row r="10009">
      <c r="G10009" s="9"/>
    </row>
    <row r="10010">
      <c r="G10010" s="9"/>
    </row>
    <row r="10011">
      <c r="G10011" s="9"/>
    </row>
    <row r="10012">
      <c r="G10012" s="9"/>
    </row>
    <row r="10013">
      <c r="G10013" s="9"/>
    </row>
    <row r="10014">
      <c r="G10014" s="9"/>
    </row>
    <row r="10015">
      <c r="G10015" s="9"/>
    </row>
    <row r="10016">
      <c r="G10016" s="9"/>
    </row>
    <row r="10017">
      <c r="G10017" s="9"/>
    </row>
    <row r="10018">
      <c r="G10018" s="9"/>
    </row>
    <row r="10019">
      <c r="G10019" s="9"/>
    </row>
    <row r="10020">
      <c r="G10020" s="9"/>
    </row>
    <row r="10021">
      <c r="G10021" s="9"/>
    </row>
    <row r="10022">
      <c r="G10022" s="9"/>
    </row>
    <row r="10023">
      <c r="G10023" s="9"/>
    </row>
    <row r="10024">
      <c r="G10024" s="9"/>
    </row>
    <row r="10025">
      <c r="G10025" s="9"/>
    </row>
    <row r="10026">
      <c r="G10026" s="9"/>
    </row>
    <row r="10027">
      <c r="G10027" s="9"/>
    </row>
    <row r="10028">
      <c r="G10028" s="9"/>
      <c r="K10028" t="str">
        <f>IFERROR(__xludf.DUMMYFUNCTION("""COMPUTED_VALUE""")," ")</f>
        <v> </v>
      </c>
    </row>
    <row r="10029">
      <c r="G10029" s="9"/>
      <c r="K10029" t="str">
        <f>IFERROR(__xludf.DUMMYFUNCTION("""COMPUTED_VALUE""")," ")</f>
        <v> </v>
      </c>
    </row>
    <row r="10030">
      <c r="G10030" s="9"/>
      <c r="K10030" t="str">
        <f>IFERROR(__xludf.DUMMYFUNCTION("""COMPUTED_VALUE""")," ")</f>
        <v> </v>
      </c>
    </row>
    <row r="10031">
      <c r="G10031" s="9"/>
      <c r="K10031" t="str">
        <f>IFERROR(__xludf.DUMMYFUNCTION("""COMPUTED_VALUE""")," ")</f>
        <v> </v>
      </c>
    </row>
    <row r="10032">
      <c r="G10032" s="9"/>
      <c r="K10032" t="str">
        <f>IFERROR(__xludf.DUMMYFUNCTION("""COMPUTED_VALUE""")," ")</f>
        <v> </v>
      </c>
    </row>
    <row r="10033">
      <c r="G10033" s="9"/>
      <c r="K10033" t="str">
        <f>IFERROR(__xludf.DUMMYFUNCTION("""COMPUTED_VALUE""")," ")</f>
        <v> </v>
      </c>
    </row>
    <row r="10034">
      <c r="G10034" s="9"/>
      <c r="K10034" t="str">
        <f>IFERROR(__xludf.DUMMYFUNCTION("""COMPUTED_VALUE""")," ")</f>
        <v> </v>
      </c>
    </row>
    <row r="10035">
      <c r="G10035" s="9"/>
      <c r="K10035" t="str">
        <f>IFERROR(__xludf.DUMMYFUNCTION("""COMPUTED_VALUE""")," ")</f>
        <v> </v>
      </c>
    </row>
    <row r="10036">
      <c r="G10036" s="9"/>
      <c r="K10036" t="str">
        <f>IFERROR(__xludf.DUMMYFUNCTION("""COMPUTED_VALUE""")," ")</f>
        <v> </v>
      </c>
    </row>
    <row r="10037">
      <c r="G10037" s="9"/>
      <c r="K10037" t="str">
        <f>IFERROR(__xludf.DUMMYFUNCTION("""COMPUTED_VALUE""")," ")</f>
        <v> </v>
      </c>
    </row>
    <row r="10038">
      <c r="G10038" s="9"/>
      <c r="K10038" t="str">
        <f>IFERROR(__xludf.DUMMYFUNCTION("""COMPUTED_VALUE""")," ")</f>
        <v> </v>
      </c>
    </row>
    <row r="10039">
      <c r="G10039" s="9"/>
      <c r="K10039" t="str">
        <f>IFERROR(__xludf.DUMMYFUNCTION("""COMPUTED_VALUE""")," ")</f>
        <v> </v>
      </c>
    </row>
    <row r="10040">
      <c r="G10040" s="9"/>
      <c r="K10040" t="str">
        <f>IFERROR(__xludf.DUMMYFUNCTION("""COMPUTED_VALUE""")," ")</f>
        <v> </v>
      </c>
    </row>
    <row r="10041">
      <c r="G10041" s="9"/>
      <c r="K10041" t="str">
        <f>IFERROR(__xludf.DUMMYFUNCTION("""COMPUTED_VALUE""")," ")</f>
        <v> </v>
      </c>
    </row>
    <row r="10042">
      <c r="G10042" s="9"/>
      <c r="K10042" t="str">
        <f>IFERROR(__xludf.DUMMYFUNCTION("""COMPUTED_VALUE""")," ")</f>
        <v> </v>
      </c>
    </row>
    <row r="10043">
      <c r="G10043" s="9"/>
      <c r="K10043" t="str">
        <f>IFERROR(__xludf.DUMMYFUNCTION("""COMPUTED_VALUE""")," ")</f>
        <v> </v>
      </c>
    </row>
    <row r="10044">
      <c r="G10044" s="9"/>
      <c r="K10044" t="str">
        <f>IFERROR(__xludf.DUMMYFUNCTION("""COMPUTED_VALUE""")," ")</f>
        <v> </v>
      </c>
    </row>
    <row r="10045">
      <c r="G10045" s="9"/>
      <c r="K10045" t="str">
        <f>IFERROR(__xludf.DUMMYFUNCTION("""COMPUTED_VALUE""")," ")</f>
        <v> </v>
      </c>
    </row>
    <row r="10046">
      <c r="G10046" s="9"/>
      <c r="K10046" t="str">
        <f>IFERROR(__xludf.DUMMYFUNCTION("""COMPUTED_VALUE""")," ")</f>
        <v> </v>
      </c>
    </row>
    <row r="10047">
      <c r="G10047" s="9"/>
      <c r="K10047" t="str">
        <f>IFERROR(__xludf.DUMMYFUNCTION("""COMPUTED_VALUE""")," ")</f>
        <v> </v>
      </c>
    </row>
    <row r="10048">
      <c r="G10048" s="9"/>
      <c r="K10048" t="str">
        <f>IFERROR(__xludf.DUMMYFUNCTION("""COMPUTED_VALUE""")," ")</f>
        <v> </v>
      </c>
    </row>
    <row r="10049">
      <c r="G10049" s="9"/>
      <c r="K10049" t="str">
        <f>IFERROR(__xludf.DUMMYFUNCTION("""COMPUTED_VALUE""")," ")</f>
        <v> </v>
      </c>
    </row>
    <row r="10050">
      <c r="G10050" s="9"/>
      <c r="K10050" t="str">
        <f>IFERROR(__xludf.DUMMYFUNCTION("""COMPUTED_VALUE""")," ")</f>
        <v> </v>
      </c>
    </row>
    <row r="10051">
      <c r="G10051" s="9"/>
      <c r="K10051" t="str">
        <f>IFERROR(__xludf.DUMMYFUNCTION("""COMPUTED_VALUE""")," ")</f>
        <v> </v>
      </c>
    </row>
    <row r="10052">
      <c r="G10052" s="9"/>
      <c r="K10052" t="str">
        <f>IFERROR(__xludf.DUMMYFUNCTION("""COMPUTED_VALUE""")," ")</f>
        <v> </v>
      </c>
    </row>
    <row r="10053">
      <c r="G10053" s="9"/>
      <c r="K10053" t="str">
        <f>IFERROR(__xludf.DUMMYFUNCTION("""COMPUTED_VALUE""")," ")</f>
        <v> </v>
      </c>
    </row>
    <row r="10054">
      <c r="G10054" s="9"/>
      <c r="K10054" t="str">
        <f>IFERROR(__xludf.DUMMYFUNCTION("""COMPUTED_VALUE""")," ")</f>
        <v> </v>
      </c>
    </row>
    <row r="10055">
      <c r="G10055" s="9"/>
      <c r="K10055" t="str">
        <f>IFERROR(__xludf.DUMMYFUNCTION("""COMPUTED_VALUE""")," ")</f>
        <v> </v>
      </c>
    </row>
    <row r="10056">
      <c r="G10056" s="9"/>
      <c r="K10056" t="str">
        <f>IFERROR(__xludf.DUMMYFUNCTION("""COMPUTED_VALUE""")," ")</f>
        <v> </v>
      </c>
    </row>
    <row r="10057">
      <c r="G10057" s="9"/>
      <c r="K10057" t="str">
        <f>IFERROR(__xludf.DUMMYFUNCTION("""COMPUTED_VALUE""")," ")</f>
        <v> </v>
      </c>
    </row>
    <row r="10058">
      <c r="G10058" s="9"/>
      <c r="K10058" t="str">
        <f>IFERROR(__xludf.DUMMYFUNCTION("""COMPUTED_VALUE""")," ")</f>
        <v> </v>
      </c>
    </row>
    <row r="10059">
      <c r="G10059" s="9"/>
      <c r="K10059" t="str">
        <f>IFERROR(__xludf.DUMMYFUNCTION("""COMPUTED_VALUE""")," ")</f>
        <v> </v>
      </c>
    </row>
    <row r="10060">
      <c r="G10060" s="9"/>
      <c r="K10060" t="str">
        <f>IFERROR(__xludf.DUMMYFUNCTION("""COMPUTED_VALUE""")," ")</f>
        <v> </v>
      </c>
    </row>
    <row r="10061">
      <c r="G10061" s="9"/>
      <c r="K10061" t="str">
        <f>IFERROR(__xludf.DUMMYFUNCTION("""COMPUTED_VALUE""")," ")</f>
        <v> </v>
      </c>
    </row>
    <row r="10062">
      <c r="G10062" s="9"/>
      <c r="K10062" t="str">
        <f>IFERROR(__xludf.DUMMYFUNCTION("""COMPUTED_VALUE""")," ")</f>
        <v> </v>
      </c>
    </row>
    <row r="10063">
      <c r="G10063" s="9"/>
      <c r="K10063" t="str">
        <f>IFERROR(__xludf.DUMMYFUNCTION("""COMPUTED_VALUE""")," ")</f>
        <v> </v>
      </c>
    </row>
    <row r="10064">
      <c r="G10064" s="9"/>
      <c r="K10064" t="str">
        <f>IFERROR(__xludf.DUMMYFUNCTION("""COMPUTED_VALUE""")," ")</f>
        <v> </v>
      </c>
    </row>
    <row r="10065">
      <c r="G10065" s="9"/>
      <c r="K10065" t="str">
        <f>IFERROR(__xludf.DUMMYFUNCTION("""COMPUTED_VALUE""")," ")</f>
        <v> </v>
      </c>
    </row>
    <row r="10066">
      <c r="G10066" s="9"/>
      <c r="K10066" t="str">
        <f>IFERROR(__xludf.DUMMYFUNCTION("""COMPUTED_VALUE""")," ")</f>
        <v> </v>
      </c>
    </row>
    <row r="10067">
      <c r="G10067" s="9"/>
      <c r="K10067" t="str">
        <f>IFERROR(__xludf.DUMMYFUNCTION("""COMPUTED_VALUE""")," ")</f>
        <v> </v>
      </c>
    </row>
    <row r="10068">
      <c r="G10068" s="9"/>
      <c r="K10068" t="str">
        <f>IFERROR(__xludf.DUMMYFUNCTION("""COMPUTED_VALUE""")," ")</f>
        <v> </v>
      </c>
    </row>
    <row r="10069">
      <c r="G10069" s="9"/>
      <c r="K10069" t="str">
        <f>IFERROR(__xludf.DUMMYFUNCTION("""COMPUTED_VALUE""")," ")</f>
        <v> </v>
      </c>
    </row>
    <row r="10070">
      <c r="G10070" s="9"/>
      <c r="K10070" t="str">
        <f>IFERROR(__xludf.DUMMYFUNCTION("""COMPUTED_VALUE""")," ")</f>
        <v> </v>
      </c>
    </row>
    <row r="10071">
      <c r="G10071" s="9"/>
      <c r="K10071" t="str">
        <f>IFERROR(__xludf.DUMMYFUNCTION("""COMPUTED_VALUE""")," ")</f>
        <v> </v>
      </c>
    </row>
    <row r="10072">
      <c r="G10072" s="9"/>
      <c r="K10072" t="str">
        <f>IFERROR(__xludf.DUMMYFUNCTION("""COMPUTED_VALUE""")," ")</f>
        <v> </v>
      </c>
    </row>
    <row r="10073">
      <c r="G10073" s="9"/>
      <c r="K10073" t="str">
        <f>IFERROR(__xludf.DUMMYFUNCTION("""COMPUTED_VALUE""")," ")</f>
        <v> </v>
      </c>
    </row>
    <row r="10074">
      <c r="G10074" s="9"/>
      <c r="K10074" t="str">
        <f>IFERROR(__xludf.DUMMYFUNCTION("""COMPUTED_VALUE""")," ")</f>
        <v> </v>
      </c>
    </row>
    <row r="10075">
      <c r="G10075" s="9"/>
      <c r="K10075" t="str">
        <f>IFERROR(__xludf.DUMMYFUNCTION("""COMPUTED_VALUE""")," ")</f>
        <v> </v>
      </c>
    </row>
    <row r="10076">
      <c r="G10076" s="9"/>
      <c r="K10076" t="str">
        <f>IFERROR(__xludf.DUMMYFUNCTION("""COMPUTED_VALUE""")," ")</f>
        <v> </v>
      </c>
    </row>
    <row r="10077">
      <c r="G10077" s="9"/>
      <c r="K10077" t="str">
        <f>IFERROR(__xludf.DUMMYFUNCTION("""COMPUTED_VALUE""")," ")</f>
        <v> </v>
      </c>
    </row>
    <row r="10078">
      <c r="G10078" s="9"/>
      <c r="K10078" t="str">
        <f>IFERROR(__xludf.DUMMYFUNCTION("""COMPUTED_VALUE""")," ")</f>
        <v> </v>
      </c>
    </row>
    <row r="10079">
      <c r="G10079" s="9"/>
      <c r="K10079" t="str">
        <f>IFERROR(__xludf.DUMMYFUNCTION("""COMPUTED_VALUE""")," ")</f>
        <v> </v>
      </c>
    </row>
    <row r="10080">
      <c r="G10080" s="9"/>
      <c r="K10080" t="str">
        <f>IFERROR(__xludf.DUMMYFUNCTION("""COMPUTED_VALUE""")," ")</f>
        <v> </v>
      </c>
    </row>
    <row r="10081">
      <c r="G10081" s="9"/>
      <c r="K10081" t="str">
        <f>IFERROR(__xludf.DUMMYFUNCTION("""COMPUTED_VALUE""")," ")</f>
        <v> </v>
      </c>
    </row>
    <row r="10082">
      <c r="G10082" s="9"/>
      <c r="K10082" t="str">
        <f>IFERROR(__xludf.DUMMYFUNCTION("""COMPUTED_VALUE""")," ")</f>
        <v> </v>
      </c>
    </row>
    <row r="10083">
      <c r="G10083" s="9"/>
      <c r="K10083" t="str">
        <f>IFERROR(__xludf.DUMMYFUNCTION("""COMPUTED_VALUE""")," ")</f>
        <v> </v>
      </c>
    </row>
    <row r="10084">
      <c r="G10084" s="9"/>
      <c r="K10084" t="str">
        <f>IFERROR(__xludf.DUMMYFUNCTION("""COMPUTED_VALUE""")," ")</f>
        <v> </v>
      </c>
    </row>
    <row r="10085">
      <c r="G10085" s="9"/>
      <c r="K10085" t="str">
        <f>IFERROR(__xludf.DUMMYFUNCTION("""COMPUTED_VALUE""")," ")</f>
        <v> </v>
      </c>
    </row>
    <row r="10086">
      <c r="G10086" s="9"/>
      <c r="K10086" t="str">
        <f>IFERROR(__xludf.DUMMYFUNCTION("""COMPUTED_VALUE""")," ")</f>
        <v> </v>
      </c>
    </row>
    <row r="10087">
      <c r="G10087" s="9"/>
      <c r="K10087" t="str">
        <f>IFERROR(__xludf.DUMMYFUNCTION("""COMPUTED_VALUE""")," ")</f>
        <v> </v>
      </c>
    </row>
    <row r="10088">
      <c r="G10088" s="9"/>
      <c r="K10088" t="str">
        <f>IFERROR(__xludf.DUMMYFUNCTION("""COMPUTED_VALUE""")," ")</f>
        <v> </v>
      </c>
    </row>
    <row r="10089">
      <c r="G10089" s="9"/>
      <c r="K10089" t="str">
        <f>IFERROR(__xludf.DUMMYFUNCTION("""COMPUTED_VALUE""")," ")</f>
        <v> </v>
      </c>
    </row>
    <row r="10090">
      <c r="G10090" s="9"/>
      <c r="K10090" t="str">
        <f>IFERROR(__xludf.DUMMYFUNCTION("""COMPUTED_VALUE""")," ")</f>
        <v> </v>
      </c>
    </row>
    <row r="10091">
      <c r="G10091" s="9"/>
      <c r="K10091" t="str">
        <f>IFERROR(__xludf.DUMMYFUNCTION("""COMPUTED_VALUE""")," ")</f>
        <v> </v>
      </c>
    </row>
    <row r="10092">
      <c r="G10092" s="9"/>
      <c r="K10092" t="str">
        <f>IFERROR(__xludf.DUMMYFUNCTION("""COMPUTED_VALUE""")," ")</f>
        <v> </v>
      </c>
    </row>
    <row r="10093">
      <c r="G10093" s="9"/>
      <c r="K10093" t="str">
        <f>IFERROR(__xludf.DUMMYFUNCTION("""COMPUTED_VALUE""")," ")</f>
        <v> </v>
      </c>
    </row>
    <row r="10094">
      <c r="G10094" s="9"/>
      <c r="K10094" t="str">
        <f>IFERROR(__xludf.DUMMYFUNCTION("""COMPUTED_VALUE""")," ")</f>
        <v> </v>
      </c>
    </row>
    <row r="10095">
      <c r="G10095" s="9"/>
      <c r="K10095" t="str">
        <f>IFERROR(__xludf.DUMMYFUNCTION("""COMPUTED_VALUE""")," ")</f>
        <v> </v>
      </c>
    </row>
    <row r="10096">
      <c r="G10096" s="9"/>
      <c r="K10096" t="str">
        <f>IFERROR(__xludf.DUMMYFUNCTION("""COMPUTED_VALUE""")," ")</f>
        <v> </v>
      </c>
    </row>
    <row r="10097">
      <c r="G10097" s="9"/>
      <c r="K10097" t="str">
        <f>IFERROR(__xludf.DUMMYFUNCTION("""COMPUTED_VALUE""")," ")</f>
        <v> </v>
      </c>
    </row>
    <row r="10098">
      <c r="G10098" s="9"/>
      <c r="K10098" t="str">
        <f>IFERROR(__xludf.DUMMYFUNCTION("""COMPUTED_VALUE""")," ")</f>
        <v> </v>
      </c>
    </row>
    <row r="10099">
      <c r="G10099" s="9"/>
      <c r="K10099" t="str">
        <f>IFERROR(__xludf.DUMMYFUNCTION("""COMPUTED_VALUE""")," ")</f>
        <v> </v>
      </c>
    </row>
    <row r="10100">
      <c r="G10100" s="9"/>
      <c r="K10100" t="str">
        <f>IFERROR(__xludf.DUMMYFUNCTION("""COMPUTED_VALUE""")," ")</f>
        <v> </v>
      </c>
    </row>
    <row r="10101">
      <c r="G10101" s="9"/>
      <c r="K10101" t="str">
        <f>IFERROR(__xludf.DUMMYFUNCTION("""COMPUTED_VALUE""")," ")</f>
        <v> </v>
      </c>
    </row>
    <row r="10102">
      <c r="G10102" s="9"/>
      <c r="K10102" t="str">
        <f>IFERROR(__xludf.DUMMYFUNCTION("""COMPUTED_VALUE""")," ")</f>
        <v> </v>
      </c>
    </row>
    <row r="10103">
      <c r="G10103" s="9"/>
      <c r="K10103" t="str">
        <f>IFERROR(__xludf.DUMMYFUNCTION("""COMPUTED_VALUE""")," ")</f>
        <v> </v>
      </c>
    </row>
    <row r="10104">
      <c r="G10104" s="9"/>
      <c r="K10104" t="str">
        <f>IFERROR(__xludf.DUMMYFUNCTION("""COMPUTED_VALUE""")," ")</f>
        <v> </v>
      </c>
    </row>
    <row r="10105">
      <c r="G10105" s="9"/>
      <c r="K10105" t="str">
        <f>IFERROR(__xludf.DUMMYFUNCTION("""COMPUTED_VALUE""")," ")</f>
        <v> </v>
      </c>
    </row>
    <row r="10106">
      <c r="G10106" s="9"/>
      <c r="K10106" t="str">
        <f>IFERROR(__xludf.DUMMYFUNCTION("""COMPUTED_VALUE""")," ")</f>
        <v> </v>
      </c>
    </row>
    <row r="10107">
      <c r="G10107" s="9"/>
      <c r="K10107" t="str">
        <f>IFERROR(__xludf.DUMMYFUNCTION("""COMPUTED_VALUE""")," ")</f>
        <v> </v>
      </c>
    </row>
    <row r="10108">
      <c r="G10108" s="9"/>
      <c r="K10108" t="str">
        <f>IFERROR(__xludf.DUMMYFUNCTION("""COMPUTED_VALUE""")," ")</f>
        <v> </v>
      </c>
    </row>
    <row r="10109">
      <c r="G10109" s="9"/>
      <c r="K10109" t="str">
        <f>IFERROR(__xludf.DUMMYFUNCTION("""COMPUTED_VALUE""")," ")</f>
        <v> </v>
      </c>
    </row>
    <row r="10110">
      <c r="G10110" s="9"/>
      <c r="K10110" t="str">
        <f>IFERROR(__xludf.DUMMYFUNCTION("""COMPUTED_VALUE""")," ")</f>
        <v> </v>
      </c>
    </row>
    <row r="10111">
      <c r="G10111" s="9"/>
      <c r="K10111" t="str">
        <f>IFERROR(__xludf.DUMMYFUNCTION("""COMPUTED_VALUE""")," ")</f>
        <v> </v>
      </c>
    </row>
    <row r="10112">
      <c r="G10112" s="9"/>
      <c r="K10112" t="str">
        <f>IFERROR(__xludf.DUMMYFUNCTION("""COMPUTED_VALUE""")," ")</f>
        <v> </v>
      </c>
    </row>
    <row r="10113">
      <c r="G10113" s="9"/>
      <c r="K10113" t="str">
        <f>IFERROR(__xludf.DUMMYFUNCTION("""COMPUTED_VALUE""")," ")</f>
        <v> </v>
      </c>
    </row>
    <row r="10114">
      <c r="G10114" s="9"/>
      <c r="K10114" t="str">
        <f>IFERROR(__xludf.DUMMYFUNCTION("""COMPUTED_VALUE""")," ")</f>
        <v> </v>
      </c>
    </row>
    <row r="10115">
      <c r="G10115" s="9"/>
      <c r="K10115" t="str">
        <f>IFERROR(__xludf.DUMMYFUNCTION("""COMPUTED_VALUE""")," ")</f>
        <v> </v>
      </c>
    </row>
    <row r="10116">
      <c r="G10116" s="9"/>
      <c r="K10116" t="str">
        <f>IFERROR(__xludf.DUMMYFUNCTION("""COMPUTED_VALUE""")," ")</f>
        <v> </v>
      </c>
    </row>
    <row r="10117">
      <c r="G10117" s="9"/>
      <c r="K10117" t="str">
        <f>IFERROR(__xludf.DUMMYFUNCTION("""COMPUTED_VALUE""")," ")</f>
        <v> </v>
      </c>
    </row>
    <row r="10118">
      <c r="G10118" s="9"/>
      <c r="K10118" t="str">
        <f>IFERROR(__xludf.DUMMYFUNCTION("""COMPUTED_VALUE""")," ")</f>
        <v> </v>
      </c>
    </row>
    <row r="10119">
      <c r="G10119" s="9"/>
      <c r="K10119" t="str">
        <f>IFERROR(__xludf.DUMMYFUNCTION("""COMPUTED_VALUE""")," ")</f>
        <v> </v>
      </c>
    </row>
    <row r="10120">
      <c r="G10120" s="9"/>
      <c r="K10120" t="str">
        <f>IFERROR(__xludf.DUMMYFUNCTION("""COMPUTED_VALUE""")," ")</f>
        <v> </v>
      </c>
    </row>
    <row r="10121">
      <c r="G10121" s="9"/>
      <c r="K10121" t="str">
        <f>IFERROR(__xludf.DUMMYFUNCTION("""COMPUTED_VALUE""")," ")</f>
        <v> </v>
      </c>
    </row>
    <row r="10122">
      <c r="G10122" s="9"/>
      <c r="K10122" t="str">
        <f>IFERROR(__xludf.DUMMYFUNCTION("""COMPUTED_VALUE""")," ")</f>
        <v> </v>
      </c>
    </row>
    <row r="10123">
      <c r="G10123" s="9"/>
      <c r="K10123" t="str">
        <f>IFERROR(__xludf.DUMMYFUNCTION("""COMPUTED_VALUE""")," ")</f>
        <v> </v>
      </c>
    </row>
    <row r="10124">
      <c r="G10124" s="9"/>
      <c r="K10124" t="str">
        <f>IFERROR(__xludf.DUMMYFUNCTION("""COMPUTED_VALUE""")," ")</f>
        <v> </v>
      </c>
    </row>
    <row r="10125">
      <c r="G10125" s="9"/>
    </row>
    <row r="10126">
      <c r="G10126" s="9"/>
    </row>
    <row r="10127">
      <c r="G10127" s="9"/>
    </row>
    <row r="10128">
      <c r="G10128" s="9"/>
    </row>
    <row r="10129">
      <c r="G10129" s="9"/>
    </row>
    <row r="10130">
      <c r="G10130" s="9"/>
    </row>
    <row r="10131">
      <c r="G10131" s="9"/>
    </row>
    <row r="10132">
      <c r="G10132" s="9"/>
    </row>
    <row r="10133">
      <c r="G10133" s="9"/>
    </row>
    <row r="10134">
      <c r="G10134" s="9"/>
    </row>
    <row r="10135">
      <c r="G10135" s="9"/>
    </row>
    <row r="10136">
      <c r="G10136" s="9"/>
    </row>
    <row r="10137">
      <c r="G10137" s="9"/>
    </row>
    <row r="10138">
      <c r="G10138" s="9"/>
    </row>
    <row r="10139">
      <c r="G10139" s="9"/>
    </row>
    <row r="10140">
      <c r="G10140" s="9"/>
    </row>
    <row r="10141">
      <c r="G10141" s="9"/>
    </row>
    <row r="10142">
      <c r="G10142" s="9"/>
    </row>
    <row r="10143">
      <c r="G10143" s="9"/>
    </row>
    <row r="10144">
      <c r="G10144" s="9"/>
    </row>
    <row r="10145">
      <c r="G10145" s="9"/>
    </row>
    <row r="10146">
      <c r="G10146" s="9"/>
    </row>
    <row r="10147">
      <c r="G10147" s="9"/>
    </row>
    <row r="10148">
      <c r="G10148" s="9"/>
    </row>
    <row r="10149">
      <c r="G10149" s="9"/>
    </row>
    <row r="10150">
      <c r="G10150" s="9"/>
    </row>
    <row r="10151">
      <c r="G10151" s="9"/>
    </row>
    <row r="10152">
      <c r="G10152" s="9"/>
    </row>
    <row r="10153">
      <c r="G10153" s="9"/>
    </row>
    <row r="10154">
      <c r="G10154" s="9"/>
    </row>
    <row r="10155">
      <c r="G10155" s="9"/>
    </row>
    <row r="10156">
      <c r="G10156" s="9"/>
    </row>
    <row r="10157">
      <c r="G10157" s="9"/>
    </row>
    <row r="10158">
      <c r="G10158" s="9"/>
    </row>
    <row r="10159">
      <c r="G10159" s="9"/>
    </row>
    <row r="10160">
      <c r="G10160" s="9"/>
    </row>
    <row r="10161">
      <c r="G10161" s="9"/>
    </row>
    <row r="10162">
      <c r="G10162" s="9"/>
    </row>
    <row r="10163">
      <c r="G10163" s="9"/>
    </row>
    <row r="10164">
      <c r="G10164" s="9"/>
    </row>
    <row r="10165">
      <c r="G10165" s="9"/>
    </row>
    <row r="10166">
      <c r="G10166" s="9"/>
    </row>
    <row r="10167">
      <c r="G10167" s="9"/>
    </row>
    <row r="10168">
      <c r="G10168" s="9"/>
    </row>
    <row r="10169">
      <c r="G10169" s="9"/>
    </row>
    <row r="10170">
      <c r="G10170" s="9"/>
    </row>
    <row r="10171">
      <c r="G10171" s="9"/>
    </row>
    <row r="10172">
      <c r="G10172" s="9"/>
    </row>
    <row r="10173">
      <c r="G10173" s="9"/>
    </row>
    <row r="10174">
      <c r="G10174" s="9"/>
    </row>
    <row r="10175">
      <c r="G10175" s="9"/>
    </row>
    <row r="10176">
      <c r="G10176" s="9"/>
    </row>
    <row r="10177">
      <c r="G10177" s="9"/>
    </row>
    <row r="10178">
      <c r="G10178" s="9"/>
    </row>
    <row r="10179">
      <c r="G10179" s="9"/>
    </row>
    <row r="10180">
      <c r="G10180" s="9"/>
    </row>
    <row r="10181">
      <c r="G10181" s="9"/>
    </row>
    <row r="10182">
      <c r="G10182" s="9"/>
    </row>
    <row r="10183">
      <c r="G10183" s="9"/>
    </row>
    <row r="10184">
      <c r="G10184" s="9"/>
    </row>
    <row r="10185">
      <c r="G10185" s="9"/>
    </row>
    <row r="10186">
      <c r="G10186" s="9"/>
    </row>
    <row r="10187">
      <c r="G10187" s="9"/>
    </row>
    <row r="10188">
      <c r="G10188" s="9"/>
    </row>
    <row r="10189">
      <c r="G10189" s="9"/>
    </row>
    <row r="10190">
      <c r="G10190" s="9"/>
    </row>
    <row r="10191">
      <c r="G10191" s="9"/>
    </row>
    <row r="10192">
      <c r="G10192" s="9"/>
    </row>
    <row r="10193">
      <c r="G10193" s="9"/>
    </row>
    <row r="10194">
      <c r="G10194" s="9"/>
    </row>
    <row r="10195">
      <c r="G10195" s="9"/>
    </row>
    <row r="10196">
      <c r="G10196" s="9"/>
    </row>
    <row r="10197">
      <c r="G10197" s="9"/>
    </row>
    <row r="10198">
      <c r="G10198" s="9"/>
    </row>
    <row r="10199">
      <c r="G10199" s="9"/>
    </row>
    <row r="10200">
      <c r="G10200" s="9"/>
    </row>
    <row r="10201">
      <c r="G10201" s="9"/>
    </row>
    <row r="10202">
      <c r="G10202" s="9"/>
    </row>
    <row r="10203">
      <c r="G10203" s="9"/>
    </row>
    <row r="10204">
      <c r="G10204" s="9"/>
    </row>
    <row r="10205">
      <c r="G10205" s="9"/>
    </row>
    <row r="10206">
      <c r="G10206" s="9"/>
    </row>
    <row r="10207">
      <c r="G10207" s="9"/>
    </row>
    <row r="10208">
      <c r="G10208" s="9"/>
    </row>
    <row r="10209">
      <c r="G10209" s="9"/>
    </row>
    <row r="10210">
      <c r="G10210" s="9"/>
    </row>
    <row r="10211">
      <c r="G10211" s="9"/>
    </row>
    <row r="10212">
      <c r="G10212" s="9"/>
    </row>
    <row r="10213">
      <c r="G10213" s="9"/>
    </row>
    <row r="10214">
      <c r="G10214" s="9"/>
    </row>
    <row r="10215">
      <c r="G10215" s="9"/>
    </row>
    <row r="10216">
      <c r="G10216" s="9"/>
    </row>
    <row r="10217">
      <c r="G10217" s="9"/>
    </row>
    <row r="10218">
      <c r="G10218" s="9"/>
    </row>
    <row r="10219">
      <c r="G10219" s="9"/>
    </row>
    <row r="10220">
      <c r="G10220" s="9"/>
    </row>
    <row r="10221">
      <c r="G10221" s="9"/>
    </row>
    <row r="10222">
      <c r="G10222" s="9"/>
    </row>
    <row r="10223">
      <c r="G10223" s="9"/>
    </row>
    <row r="10224">
      <c r="G10224" s="9"/>
    </row>
    <row r="10225">
      <c r="G10225" s="9"/>
    </row>
    <row r="10226">
      <c r="G10226" s="9"/>
    </row>
    <row r="10227">
      <c r="G10227" s="9"/>
    </row>
    <row r="10228">
      <c r="G10228" s="9"/>
    </row>
    <row r="10229">
      <c r="G10229" s="9"/>
    </row>
    <row r="10230">
      <c r="G10230" s="9"/>
    </row>
    <row r="10231">
      <c r="G10231" s="9"/>
    </row>
    <row r="10232">
      <c r="G10232" s="9"/>
    </row>
    <row r="10233">
      <c r="G10233" s="9"/>
    </row>
    <row r="10234">
      <c r="G10234" s="9"/>
    </row>
    <row r="10235">
      <c r="G10235" s="9"/>
    </row>
    <row r="10236">
      <c r="G10236" s="9"/>
    </row>
    <row r="10237">
      <c r="G10237" s="9"/>
    </row>
    <row r="10238">
      <c r="G10238" s="9"/>
    </row>
    <row r="10239">
      <c r="G10239" s="9"/>
    </row>
    <row r="10240">
      <c r="G10240" s="9"/>
    </row>
    <row r="10241">
      <c r="G10241" s="9"/>
    </row>
    <row r="10242">
      <c r="G10242" s="9"/>
    </row>
    <row r="10243">
      <c r="G10243" s="9"/>
    </row>
    <row r="10244">
      <c r="G10244" s="9"/>
    </row>
    <row r="10245">
      <c r="G10245" s="9"/>
    </row>
    <row r="10246">
      <c r="G10246" s="9"/>
    </row>
    <row r="10247">
      <c r="G10247" s="9"/>
    </row>
    <row r="10248">
      <c r="G10248" s="9"/>
    </row>
    <row r="10249">
      <c r="G10249" s="9"/>
    </row>
    <row r="10250">
      <c r="G10250" s="9"/>
    </row>
    <row r="10251">
      <c r="G10251" s="9"/>
    </row>
    <row r="10252">
      <c r="G10252" s="9"/>
    </row>
    <row r="10253">
      <c r="G10253" s="9"/>
    </row>
    <row r="10254">
      <c r="G10254" s="9"/>
    </row>
    <row r="10255">
      <c r="G10255" s="9"/>
    </row>
    <row r="10256">
      <c r="G10256" s="9"/>
    </row>
    <row r="10257">
      <c r="G10257" s="9"/>
    </row>
    <row r="10258">
      <c r="G10258" s="9"/>
    </row>
    <row r="10259">
      <c r="G10259" s="9"/>
    </row>
    <row r="10260">
      <c r="G10260" s="9"/>
    </row>
    <row r="10261">
      <c r="G10261" s="9"/>
    </row>
    <row r="10262">
      <c r="G10262" s="9"/>
    </row>
    <row r="10263">
      <c r="G10263" s="9"/>
    </row>
    <row r="10264">
      <c r="G10264" s="9"/>
    </row>
    <row r="10265">
      <c r="G10265" s="9"/>
    </row>
    <row r="10266">
      <c r="G10266" s="9"/>
    </row>
    <row r="10267">
      <c r="G10267" s="9"/>
    </row>
    <row r="10268">
      <c r="G10268" s="9"/>
    </row>
    <row r="10269">
      <c r="G10269" s="9"/>
    </row>
    <row r="10270">
      <c r="G10270" s="9"/>
    </row>
    <row r="10271">
      <c r="G10271" s="9"/>
    </row>
    <row r="10272">
      <c r="G10272" s="9"/>
    </row>
    <row r="10273">
      <c r="G10273" s="9"/>
    </row>
    <row r="10274">
      <c r="G10274" s="9"/>
    </row>
    <row r="10275">
      <c r="G10275" s="9"/>
    </row>
    <row r="10276">
      <c r="G10276" s="9"/>
    </row>
    <row r="10277">
      <c r="G10277" s="9"/>
    </row>
    <row r="10278">
      <c r="G10278" s="9"/>
    </row>
    <row r="10279">
      <c r="G10279" s="9"/>
    </row>
    <row r="10280">
      <c r="G10280" s="9"/>
    </row>
    <row r="10281">
      <c r="G10281" s="9"/>
    </row>
    <row r="10282">
      <c r="G10282" s="9"/>
    </row>
    <row r="10283">
      <c r="G10283" s="9"/>
    </row>
    <row r="10284">
      <c r="G10284" s="9"/>
    </row>
    <row r="10285">
      <c r="G10285" s="9"/>
    </row>
    <row r="10286">
      <c r="G10286" s="9"/>
    </row>
    <row r="10287">
      <c r="G10287" s="9"/>
    </row>
    <row r="10288">
      <c r="G10288" s="9"/>
    </row>
    <row r="10289">
      <c r="G10289" s="9"/>
    </row>
    <row r="10290">
      <c r="G10290" s="9"/>
    </row>
    <row r="10291">
      <c r="G10291" s="9"/>
    </row>
    <row r="10292">
      <c r="G10292" s="9"/>
    </row>
    <row r="10293">
      <c r="G10293" s="9"/>
    </row>
    <row r="10294">
      <c r="G10294" s="9"/>
    </row>
    <row r="10295">
      <c r="G10295" s="9"/>
    </row>
    <row r="10296">
      <c r="G10296" s="9"/>
    </row>
    <row r="10297">
      <c r="G10297" s="9"/>
    </row>
    <row r="10298">
      <c r="G10298" s="9"/>
    </row>
    <row r="10299">
      <c r="G10299" s="9"/>
    </row>
    <row r="10300">
      <c r="G10300" s="9"/>
    </row>
    <row r="10301">
      <c r="G10301" s="9"/>
    </row>
    <row r="10302">
      <c r="G10302" s="9"/>
    </row>
    <row r="10303">
      <c r="G10303" s="9"/>
    </row>
    <row r="10304">
      <c r="G10304" s="9"/>
    </row>
    <row r="10305">
      <c r="G10305" s="9"/>
    </row>
    <row r="10306">
      <c r="G10306" s="9"/>
    </row>
    <row r="10307">
      <c r="G10307" s="9"/>
    </row>
    <row r="10308">
      <c r="G10308" s="9"/>
    </row>
    <row r="10309">
      <c r="G10309" s="9"/>
    </row>
    <row r="10310">
      <c r="G10310" s="9"/>
    </row>
    <row r="10311">
      <c r="G10311" s="9"/>
    </row>
    <row r="10312">
      <c r="G10312" s="9"/>
    </row>
    <row r="10313">
      <c r="G10313" s="9"/>
    </row>
    <row r="10314">
      <c r="G10314" s="9"/>
    </row>
    <row r="10315">
      <c r="G10315" s="9"/>
    </row>
    <row r="10316">
      <c r="G10316" s="9"/>
    </row>
    <row r="10317">
      <c r="G10317" s="9"/>
    </row>
    <row r="10318">
      <c r="G10318" s="9"/>
    </row>
    <row r="10319">
      <c r="G10319" s="9"/>
    </row>
    <row r="10320">
      <c r="G10320" s="9"/>
    </row>
    <row r="10321">
      <c r="G10321" s="9"/>
    </row>
    <row r="10322">
      <c r="G10322" s="9"/>
    </row>
    <row r="10323">
      <c r="G10323" s="9"/>
    </row>
    <row r="10324">
      <c r="G10324" s="9"/>
    </row>
    <row r="10325">
      <c r="G10325" s="9"/>
    </row>
    <row r="10326">
      <c r="G10326" s="9"/>
    </row>
    <row r="10327">
      <c r="G10327" s="9"/>
    </row>
    <row r="10328">
      <c r="G10328" s="9"/>
    </row>
    <row r="10329">
      <c r="G10329" s="9"/>
    </row>
    <row r="10330">
      <c r="G10330" s="9"/>
    </row>
    <row r="10331">
      <c r="G10331" s="9"/>
    </row>
    <row r="10332">
      <c r="G10332" s="9"/>
    </row>
    <row r="10333">
      <c r="G10333" s="9"/>
    </row>
    <row r="10334">
      <c r="G10334" s="9"/>
    </row>
    <row r="10335">
      <c r="G10335" s="9"/>
    </row>
    <row r="10336">
      <c r="G10336" s="9"/>
    </row>
    <row r="10337">
      <c r="G10337" s="9"/>
    </row>
    <row r="10338">
      <c r="G10338" s="9"/>
    </row>
    <row r="10339">
      <c r="G10339" s="9"/>
    </row>
    <row r="10340">
      <c r="G10340" s="9"/>
    </row>
    <row r="10341">
      <c r="G10341" s="9"/>
    </row>
    <row r="10342">
      <c r="G10342" s="9"/>
    </row>
    <row r="10343">
      <c r="G10343" s="9"/>
    </row>
    <row r="10344">
      <c r="G10344" s="9"/>
    </row>
    <row r="10345">
      <c r="G10345" s="9"/>
    </row>
    <row r="10346">
      <c r="G10346" s="9"/>
    </row>
    <row r="10347">
      <c r="G10347" s="9"/>
    </row>
    <row r="10348">
      <c r="G10348" s="9"/>
    </row>
    <row r="10349">
      <c r="G10349" s="9"/>
    </row>
    <row r="10350">
      <c r="G10350" s="9"/>
    </row>
    <row r="10351">
      <c r="G10351" s="9"/>
    </row>
    <row r="10352">
      <c r="G10352" s="9"/>
    </row>
    <row r="10353">
      <c r="G10353" s="9"/>
    </row>
    <row r="10354">
      <c r="G10354" s="9"/>
    </row>
    <row r="10355">
      <c r="G10355" s="9"/>
    </row>
    <row r="10356">
      <c r="G10356" s="9"/>
    </row>
    <row r="10357">
      <c r="G10357" s="9"/>
    </row>
    <row r="10358">
      <c r="G10358" s="9"/>
    </row>
    <row r="10359">
      <c r="G10359" s="9"/>
    </row>
    <row r="10360">
      <c r="G10360" s="9"/>
    </row>
    <row r="10361">
      <c r="G10361" s="9"/>
    </row>
    <row r="10362">
      <c r="G10362" s="9"/>
    </row>
    <row r="10363">
      <c r="G10363" s="9"/>
    </row>
    <row r="10364">
      <c r="G10364" s="9"/>
    </row>
    <row r="10365">
      <c r="G10365" s="9"/>
    </row>
    <row r="10366">
      <c r="G10366" s="9"/>
    </row>
    <row r="10367">
      <c r="G10367" s="9"/>
    </row>
    <row r="10368">
      <c r="G10368" s="9"/>
    </row>
    <row r="10369">
      <c r="G10369" s="9"/>
    </row>
    <row r="10370">
      <c r="G10370" s="9"/>
    </row>
    <row r="10371">
      <c r="G10371" s="9"/>
    </row>
    <row r="10372">
      <c r="G10372" s="9"/>
    </row>
    <row r="10373">
      <c r="G10373" s="9"/>
    </row>
    <row r="10374">
      <c r="G10374" s="9"/>
    </row>
    <row r="10375">
      <c r="G10375" s="9"/>
    </row>
    <row r="10376">
      <c r="G10376" s="9"/>
    </row>
    <row r="10377">
      <c r="G10377" s="9"/>
    </row>
    <row r="10378">
      <c r="G10378" s="9"/>
    </row>
    <row r="10379">
      <c r="G10379" s="9"/>
    </row>
    <row r="10380">
      <c r="G10380" s="9"/>
    </row>
    <row r="10381">
      <c r="G10381" s="9"/>
    </row>
    <row r="10382">
      <c r="G10382" s="9"/>
    </row>
    <row r="10383">
      <c r="G10383" s="9"/>
    </row>
    <row r="10384">
      <c r="G10384" s="9"/>
    </row>
    <row r="10385">
      <c r="G10385" s="9"/>
    </row>
    <row r="10386">
      <c r="G10386" s="9"/>
    </row>
    <row r="10387">
      <c r="G10387" s="9"/>
    </row>
    <row r="10388">
      <c r="G10388" s="9"/>
    </row>
    <row r="10389">
      <c r="G10389" s="9"/>
    </row>
    <row r="10390">
      <c r="G10390" s="9"/>
    </row>
    <row r="10391">
      <c r="G10391" s="9"/>
    </row>
    <row r="10392">
      <c r="G10392" s="9"/>
    </row>
    <row r="10393">
      <c r="G10393" s="9"/>
    </row>
    <row r="10394">
      <c r="G10394" s="9"/>
    </row>
    <row r="10395">
      <c r="G10395" s="9"/>
    </row>
    <row r="10396">
      <c r="G10396" s="9"/>
    </row>
    <row r="10397">
      <c r="G10397" s="9"/>
    </row>
    <row r="10398">
      <c r="G10398" s="9"/>
    </row>
    <row r="10399">
      <c r="G10399" s="9"/>
    </row>
    <row r="10400">
      <c r="G10400" s="9"/>
    </row>
    <row r="10401">
      <c r="G10401" s="9"/>
    </row>
    <row r="10402">
      <c r="G10402" s="9"/>
    </row>
    <row r="10403">
      <c r="G10403" s="9"/>
    </row>
    <row r="10404">
      <c r="G10404" s="9"/>
    </row>
    <row r="10405">
      <c r="G10405" s="9"/>
    </row>
    <row r="10406">
      <c r="G10406" s="9"/>
    </row>
    <row r="10407">
      <c r="G10407" s="9"/>
    </row>
    <row r="10408">
      <c r="G10408" s="9"/>
    </row>
    <row r="10409">
      <c r="G10409" s="9"/>
    </row>
    <row r="10410">
      <c r="G10410" s="9"/>
    </row>
    <row r="10411">
      <c r="G10411" s="9"/>
    </row>
    <row r="10412">
      <c r="G10412" s="9"/>
    </row>
    <row r="10413">
      <c r="G10413" s="9"/>
    </row>
    <row r="10414">
      <c r="G10414" s="9"/>
    </row>
    <row r="10415">
      <c r="G10415" s="9"/>
    </row>
    <row r="10416">
      <c r="G10416" s="9"/>
    </row>
    <row r="10417">
      <c r="G10417" s="9"/>
    </row>
    <row r="10418">
      <c r="G10418" s="9"/>
    </row>
    <row r="10419">
      <c r="G10419" s="9"/>
    </row>
    <row r="10420">
      <c r="G10420" s="9"/>
    </row>
    <row r="10421">
      <c r="G10421" s="9"/>
    </row>
    <row r="10422">
      <c r="G10422" s="9"/>
    </row>
    <row r="10423">
      <c r="G10423" s="9"/>
    </row>
    <row r="10424">
      <c r="G10424" s="9"/>
    </row>
    <row r="10425">
      <c r="G10425" s="9"/>
    </row>
    <row r="10426">
      <c r="G10426" s="9"/>
    </row>
    <row r="10427">
      <c r="G10427" s="9"/>
    </row>
    <row r="10428">
      <c r="G10428" s="9"/>
    </row>
    <row r="10429">
      <c r="G10429" s="9"/>
    </row>
    <row r="10430">
      <c r="G10430" s="9"/>
    </row>
    <row r="10431">
      <c r="G10431" s="9"/>
    </row>
    <row r="10432">
      <c r="G10432" s="9"/>
    </row>
    <row r="10433">
      <c r="G10433" s="9"/>
    </row>
    <row r="10434">
      <c r="G10434" s="9"/>
    </row>
    <row r="10435">
      <c r="G10435" s="9"/>
    </row>
    <row r="10436">
      <c r="G10436" s="9"/>
    </row>
    <row r="10437">
      <c r="G10437" s="9"/>
    </row>
    <row r="10438">
      <c r="G10438" s="9"/>
    </row>
    <row r="10439">
      <c r="G10439" s="9"/>
    </row>
    <row r="10440">
      <c r="G10440" s="9"/>
    </row>
    <row r="10441">
      <c r="G10441" s="9"/>
    </row>
    <row r="10442">
      <c r="G10442" s="9"/>
    </row>
    <row r="10443">
      <c r="G10443" s="9"/>
    </row>
    <row r="10444">
      <c r="G10444" s="9"/>
    </row>
    <row r="10445">
      <c r="G10445" s="9"/>
    </row>
    <row r="10446">
      <c r="G10446" s="9"/>
    </row>
    <row r="10447">
      <c r="G10447" s="9"/>
    </row>
    <row r="10448">
      <c r="G10448" s="9"/>
    </row>
    <row r="10449">
      <c r="G10449" s="9"/>
    </row>
    <row r="10450">
      <c r="G10450" s="9"/>
    </row>
    <row r="10451">
      <c r="G10451" s="9"/>
    </row>
    <row r="10452">
      <c r="G10452" s="9"/>
    </row>
    <row r="10453">
      <c r="G10453" s="9"/>
    </row>
    <row r="10454">
      <c r="G10454" s="9"/>
    </row>
    <row r="10455">
      <c r="G10455" s="9"/>
    </row>
    <row r="10456">
      <c r="G10456" s="9"/>
    </row>
    <row r="10457">
      <c r="G10457" s="9"/>
    </row>
    <row r="10458">
      <c r="G10458" s="9"/>
    </row>
    <row r="10459">
      <c r="G10459" s="9"/>
    </row>
    <row r="10460">
      <c r="G10460" s="9"/>
    </row>
    <row r="10461">
      <c r="G10461" s="9"/>
    </row>
    <row r="10462">
      <c r="G10462" s="9"/>
    </row>
    <row r="10463">
      <c r="G10463" s="9"/>
    </row>
    <row r="10464">
      <c r="G10464" s="9"/>
    </row>
    <row r="10465">
      <c r="G10465" s="9"/>
    </row>
    <row r="10466">
      <c r="G10466" s="9"/>
    </row>
    <row r="10467">
      <c r="G10467" s="9"/>
    </row>
    <row r="10468">
      <c r="G10468" s="9"/>
    </row>
    <row r="10469">
      <c r="G10469" s="9"/>
    </row>
    <row r="10470">
      <c r="G10470" s="9"/>
    </row>
    <row r="10471">
      <c r="G10471" s="9"/>
    </row>
    <row r="10472">
      <c r="G10472" s="9"/>
    </row>
    <row r="10473">
      <c r="G10473" s="9"/>
    </row>
    <row r="10474">
      <c r="G10474" s="9"/>
    </row>
    <row r="10475">
      <c r="G10475" s="9"/>
    </row>
    <row r="10476">
      <c r="G10476" s="9"/>
    </row>
    <row r="10477">
      <c r="G10477" s="9"/>
    </row>
    <row r="10478">
      <c r="G10478" s="9"/>
    </row>
    <row r="10479">
      <c r="G10479" s="9"/>
    </row>
    <row r="10480">
      <c r="G10480" s="9"/>
    </row>
    <row r="10481">
      <c r="G10481" s="9"/>
    </row>
    <row r="10482">
      <c r="G10482" s="9"/>
    </row>
    <row r="10483">
      <c r="G10483" s="9"/>
    </row>
    <row r="10484">
      <c r="G10484" s="9"/>
    </row>
    <row r="10485">
      <c r="G10485" s="9"/>
    </row>
    <row r="10486">
      <c r="G10486" s="9"/>
    </row>
    <row r="10487">
      <c r="G10487" s="9"/>
    </row>
    <row r="10488">
      <c r="G10488" s="9"/>
    </row>
    <row r="10489">
      <c r="G10489" s="9"/>
    </row>
    <row r="10490">
      <c r="G10490" s="9"/>
    </row>
    <row r="10491">
      <c r="G10491" s="9"/>
    </row>
    <row r="10492">
      <c r="G10492" s="9"/>
    </row>
    <row r="10493">
      <c r="G10493" s="9"/>
    </row>
    <row r="10494">
      <c r="G10494" s="9"/>
    </row>
    <row r="10495">
      <c r="G10495" s="9"/>
    </row>
    <row r="10496">
      <c r="G10496" s="9"/>
    </row>
    <row r="10497">
      <c r="G10497" s="9"/>
    </row>
    <row r="10498">
      <c r="G10498" s="9"/>
    </row>
    <row r="10499">
      <c r="G10499" s="9"/>
    </row>
    <row r="10500">
      <c r="G10500" s="9"/>
    </row>
    <row r="10501">
      <c r="G10501" s="9"/>
    </row>
    <row r="10502">
      <c r="G10502" s="9"/>
    </row>
    <row r="10503">
      <c r="G10503" s="9"/>
    </row>
    <row r="10504">
      <c r="G10504" s="9"/>
    </row>
    <row r="10505">
      <c r="G10505" s="9"/>
    </row>
    <row r="10506">
      <c r="G10506" s="9"/>
    </row>
    <row r="10507">
      <c r="G10507" s="9"/>
    </row>
    <row r="10508">
      <c r="G10508" s="9"/>
    </row>
    <row r="10509">
      <c r="G10509" s="9"/>
    </row>
    <row r="10510">
      <c r="G10510" s="9"/>
    </row>
    <row r="10511">
      <c r="G10511" s="9"/>
    </row>
    <row r="10512">
      <c r="G10512" s="9"/>
    </row>
    <row r="10513">
      <c r="G10513" s="9"/>
    </row>
    <row r="10514">
      <c r="G10514" s="9"/>
    </row>
    <row r="10515">
      <c r="G10515" s="9"/>
    </row>
    <row r="10516">
      <c r="G10516" s="9"/>
    </row>
    <row r="10517">
      <c r="G10517" s="9"/>
    </row>
    <row r="10518">
      <c r="G10518" s="9"/>
    </row>
    <row r="10519">
      <c r="G10519" s="9"/>
    </row>
    <row r="10520">
      <c r="G10520" s="9"/>
    </row>
    <row r="10521">
      <c r="G10521" s="9"/>
    </row>
    <row r="10522">
      <c r="G10522" s="9"/>
    </row>
    <row r="10523">
      <c r="G10523" s="9"/>
    </row>
    <row r="10524">
      <c r="G10524" s="9"/>
    </row>
    <row r="10525">
      <c r="G10525" s="9"/>
    </row>
    <row r="10526">
      <c r="G10526" s="9"/>
    </row>
    <row r="10527">
      <c r="G10527" s="9"/>
    </row>
    <row r="10528">
      <c r="G10528" s="9"/>
    </row>
    <row r="10529">
      <c r="G10529" s="9"/>
    </row>
    <row r="10530">
      <c r="G10530" s="9"/>
    </row>
    <row r="10531">
      <c r="G10531" s="9"/>
    </row>
    <row r="10532">
      <c r="G10532" s="9"/>
    </row>
    <row r="10533">
      <c r="G10533" s="9"/>
    </row>
    <row r="10534">
      <c r="G10534" s="9"/>
    </row>
    <row r="10535">
      <c r="G10535" s="9"/>
    </row>
    <row r="10536">
      <c r="G10536" s="9"/>
    </row>
    <row r="10537">
      <c r="G10537" s="9"/>
    </row>
    <row r="10538">
      <c r="G10538" s="9"/>
    </row>
    <row r="10539">
      <c r="G10539" s="9"/>
    </row>
    <row r="10540">
      <c r="G10540" s="9"/>
    </row>
    <row r="10541">
      <c r="G10541" s="9"/>
    </row>
    <row r="10542">
      <c r="G10542" s="9"/>
    </row>
    <row r="10543">
      <c r="G10543" s="9"/>
    </row>
    <row r="10544">
      <c r="G10544" s="9"/>
    </row>
    <row r="10545">
      <c r="G10545" s="9"/>
    </row>
    <row r="10546">
      <c r="G10546" s="9"/>
    </row>
    <row r="10547">
      <c r="G10547" s="9"/>
    </row>
    <row r="10548">
      <c r="G10548" s="9"/>
    </row>
    <row r="10549">
      <c r="G10549" s="9"/>
    </row>
    <row r="10550">
      <c r="G10550" s="9"/>
    </row>
    <row r="10551">
      <c r="G10551" s="9"/>
    </row>
    <row r="10552">
      <c r="G10552" s="9"/>
    </row>
    <row r="10553">
      <c r="G10553" s="9"/>
    </row>
    <row r="10554">
      <c r="G10554" s="9"/>
    </row>
    <row r="10555">
      <c r="G10555" s="9"/>
    </row>
    <row r="10556">
      <c r="G10556" s="9"/>
    </row>
    <row r="10557">
      <c r="G10557" s="9"/>
    </row>
    <row r="10558">
      <c r="G10558" s="9"/>
    </row>
    <row r="10559">
      <c r="G10559" s="9"/>
    </row>
    <row r="10560">
      <c r="G10560" s="9"/>
    </row>
    <row r="10561">
      <c r="G10561" s="9"/>
    </row>
    <row r="10562">
      <c r="G10562" s="9"/>
    </row>
    <row r="10563">
      <c r="G10563" s="9"/>
    </row>
    <row r="10564">
      <c r="G10564" s="9"/>
    </row>
    <row r="10565">
      <c r="G10565" s="9"/>
    </row>
    <row r="10566">
      <c r="G10566" s="9"/>
    </row>
    <row r="10567">
      <c r="G10567" s="9"/>
    </row>
    <row r="10568">
      <c r="G10568" s="9"/>
    </row>
    <row r="10569">
      <c r="G10569" s="9"/>
    </row>
    <row r="10570">
      <c r="G10570" s="9"/>
    </row>
    <row r="10571">
      <c r="G10571" s="9"/>
    </row>
    <row r="10572">
      <c r="G10572" s="9"/>
    </row>
    <row r="10573">
      <c r="G10573" s="9"/>
    </row>
    <row r="10574">
      <c r="G10574" s="9"/>
    </row>
    <row r="10575">
      <c r="G10575" s="9"/>
    </row>
    <row r="10576">
      <c r="G10576" s="9"/>
    </row>
    <row r="10577">
      <c r="G10577" s="9"/>
    </row>
    <row r="10578">
      <c r="G10578" s="9"/>
    </row>
    <row r="10579">
      <c r="G10579" s="9"/>
    </row>
    <row r="10580">
      <c r="G10580" s="9"/>
    </row>
    <row r="10581">
      <c r="G10581" s="9"/>
    </row>
    <row r="10582">
      <c r="G10582" s="9"/>
    </row>
    <row r="10583">
      <c r="G10583" s="9"/>
    </row>
    <row r="10584">
      <c r="G10584" s="9"/>
    </row>
    <row r="10585">
      <c r="G10585" s="9"/>
    </row>
    <row r="10586">
      <c r="G10586" s="9"/>
    </row>
    <row r="10587">
      <c r="G10587" s="9"/>
    </row>
    <row r="10588">
      <c r="G10588" s="9"/>
    </row>
    <row r="10589">
      <c r="G10589" s="9"/>
    </row>
    <row r="10590">
      <c r="G10590" s="9"/>
    </row>
    <row r="10591">
      <c r="G10591" s="9"/>
    </row>
    <row r="10592">
      <c r="G10592" s="9"/>
    </row>
    <row r="10593">
      <c r="G10593" s="9"/>
    </row>
    <row r="10594">
      <c r="G10594" s="9"/>
    </row>
    <row r="10595">
      <c r="G10595" s="9"/>
    </row>
    <row r="10596">
      <c r="G10596" s="9"/>
    </row>
    <row r="10597">
      <c r="G10597" s="9"/>
    </row>
    <row r="10598">
      <c r="G10598" s="9"/>
    </row>
    <row r="10599">
      <c r="G10599" s="9"/>
    </row>
    <row r="10600">
      <c r="G10600" s="9"/>
    </row>
    <row r="10601">
      <c r="G10601" s="9"/>
    </row>
    <row r="10602">
      <c r="G10602" s="9"/>
    </row>
    <row r="10603">
      <c r="G10603" s="9"/>
    </row>
    <row r="10604">
      <c r="G10604" s="9"/>
    </row>
    <row r="10605">
      <c r="G10605" s="9"/>
    </row>
    <row r="10606">
      <c r="G10606" s="9"/>
    </row>
    <row r="10607">
      <c r="G10607" s="9"/>
    </row>
    <row r="10608">
      <c r="G10608" s="9"/>
    </row>
    <row r="10609">
      <c r="G10609" s="9"/>
    </row>
    <row r="10610">
      <c r="G10610" s="9"/>
    </row>
    <row r="10611">
      <c r="G10611" s="9"/>
    </row>
    <row r="10612">
      <c r="G10612" s="9"/>
    </row>
    <row r="10613">
      <c r="G10613" s="9"/>
    </row>
    <row r="10614">
      <c r="G10614" s="9"/>
    </row>
    <row r="10615">
      <c r="G10615" s="9"/>
    </row>
    <row r="10616">
      <c r="G10616" s="9"/>
    </row>
    <row r="10617">
      <c r="G10617" s="9"/>
    </row>
    <row r="10618">
      <c r="G10618" s="9"/>
    </row>
    <row r="10619">
      <c r="G10619" s="9"/>
    </row>
    <row r="10620">
      <c r="G10620" s="9"/>
    </row>
    <row r="10621">
      <c r="G10621" s="9"/>
    </row>
    <row r="10622">
      <c r="G10622" s="9"/>
    </row>
    <row r="10623">
      <c r="G10623" s="9"/>
    </row>
    <row r="10624">
      <c r="G10624" s="9"/>
    </row>
  </sheetData>
  <hyperlinks>
    <hyperlink r:id="rId1" ref="H2"/>
    <hyperlink r:id="rId2" ref="H3"/>
    <hyperlink r:id="rId3" ref="H4"/>
    <hyperlink r:id="rId4" ref="H5"/>
    <hyperlink r:id="rId5" ref="J5"/>
    <hyperlink r:id="rId6" ref="H6"/>
    <hyperlink r:id="rId7" ref="J6"/>
    <hyperlink r:id="rId8" ref="H7"/>
    <hyperlink r:id="rId9" ref="H8"/>
    <hyperlink r:id="rId10" ref="H9"/>
    <hyperlink r:id="rId11" ref="H10"/>
    <hyperlink r:id="rId12" ref="H11"/>
    <hyperlink r:id="rId13" ref="H12"/>
    <hyperlink r:id="rId14" ref="J12"/>
    <hyperlink r:id="rId15" ref="H13"/>
    <hyperlink r:id="rId16" ref="H14"/>
    <hyperlink r:id="rId17" ref="H15"/>
    <hyperlink r:id="rId18" ref="J15"/>
    <hyperlink r:id="rId19" ref="H16"/>
    <hyperlink r:id="rId20" ref="H17"/>
    <hyperlink r:id="rId21" ref="I17"/>
    <hyperlink r:id="rId22" ref="H18"/>
    <hyperlink r:id="rId23" ref="I18"/>
    <hyperlink r:id="rId24" ref="H19"/>
    <hyperlink r:id="rId25" ref="I19"/>
    <hyperlink r:id="rId26" ref="H20"/>
    <hyperlink r:id="rId27" ref="I20"/>
    <hyperlink r:id="rId28" ref="H21"/>
    <hyperlink r:id="rId29" ref="I21"/>
    <hyperlink r:id="rId30" ref="J21"/>
    <hyperlink r:id="rId31" ref="H22"/>
    <hyperlink r:id="rId32" ref="I22"/>
    <hyperlink r:id="rId33" ref="J22"/>
    <hyperlink r:id="rId34" ref="H23"/>
    <hyperlink r:id="rId35" ref="H24"/>
    <hyperlink r:id="rId36" ref="H25"/>
    <hyperlink r:id="rId37" ref="H26"/>
    <hyperlink r:id="rId38" ref="H27"/>
    <hyperlink r:id="rId39" ref="I27"/>
    <hyperlink r:id="rId40" ref="H28"/>
    <hyperlink r:id="rId41" ref="H29"/>
    <hyperlink r:id="rId42" ref="I29"/>
    <hyperlink r:id="rId43" ref="J29"/>
    <hyperlink r:id="rId44" ref="H30"/>
    <hyperlink r:id="rId45" ref="I30"/>
    <hyperlink r:id="rId46" ref="H31"/>
    <hyperlink r:id="rId47" ref="H32"/>
    <hyperlink r:id="rId48" ref="H33"/>
    <hyperlink r:id="rId49" ref="H34"/>
    <hyperlink r:id="rId50" ref="H35"/>
    <hyperlink r:id="rId51" ref="H36"/>
    <hyperlink r:id="rId52" ref="I36"/>
    <hyperlink r:id="rId53" ref="H37"/>
    <hyperlink r:id="rId54" ref="I37"/>
    <hyperlink r:id="rId55" ref="H38"/>
    <hyperlink r:id="rId56" ref="H39"/>
    <hyperlink r:id="rId57" ref="H40"/>
    <hyperlink r:id="rId58" ref="H41"/>
    <hyperlink r:id="rId59" ref="H42"/>
    <hyperlink r:id="rId60" location="2023-05-05-security-patch-level-vulnerability-details" ref="H43"/>
    <hyperlink r:id="rId61" ref="I43"/>
    <hyperlink r:id="rId62" ref="H44"/>
    <hyperlink r:id="rId63" ref="H45"/>
    <hyperlink r:id="rId64" ref="H46"/>
    <hyperlink r:id="rId65" ref="H47"/>
    <hyperlink r:id="rId66" ref="H48"/>
    <hyperlink r:id="rId67" ref="H49"/>
    <hyperlink r:id="rId68" ref="I49"/>
    <hyperlink r:id="rId69" ref="J49"/>
    <hyperlink r:id="rId70" ref="H50"/>
    <hyperlink r:id="rId71" ref="H51"/>
    <hyperlink r:id="rId72" ref="H52"/>
    <hyperlink r:id="rId73" ref="I52"/>
    <hyperlink r:id="rId74" ref="H53"/>
    <hyperlink r:id="rId75" ref="H54"/>
    <hyperlink r:id="rId76" ref="I54"/>
    <hyperlink r:id="rId77" ref="H55"/>
    <hyperlink r:id="rId78" ref="J55"/>
    <hyperlink r:id="rId79" ref="H56"/>
    <hyperlink r:id="rId80" ref="H57"/>
    <hyperlink r:id="rId81" ref="H58"/>
    <hyperlink r:id="rId82" ref="H59"/>
    <hyperlink r:id="rId83" ref="H60"/>
    <hyperlink r:id="rId84" ref="H61"/>
    <hyperlink r:id="rId85" ref="H62"/>
    <hyperlink r:id="rId86" ref="I62"/>
    <hyperlink r:id="rId87" ref="J62"/>
    <hyperlink r:id="rId88" ref="H63"/>
    <hyperlink r:id="rId89" ref="I63"/>
    <hyperlink r:id="rId90" ref="H64"/>
    <hyperlink r:id="rId91" ref="I64"/>
    <hyperlink r:id="rId92" ref="J64"/>
    <hyperlink r:id="rId93" ref="H65"/>
    <hyperlink r:id="rId94" ref="H66"/>
    <hyperlink r:id="rId95" ref="H67"/>
    <hyperlink r:id="rId96" ref="J67"/>
    <hyperlink r:id="rId97" ref="H68"/>
    <hyperlink r:id="rId98" ref="J68"/>
    <hyperlink r:id="rId99" ref="H69"/>
    <hyperlink r:id="rId100" ref="H70"/>
    <hyperlink r:id="rId101" ref="J70"/>
    <hyperlink r:id="rId102" ref="H71"/>
    <hyperlink r:id="rId103" ref="H72"/>
    <hyperlink r:id="rId104" ref="J72"/>
    <hyperlink r:id="rId105" ref="H73"/>
    <hyperlink r:id="rId106" ref="I73"/>
    <hyperlink r:id="rId107" ref="H74"/>
    <hyperlink r:id="rId108" ref="J74"/>
    <hyperlink r:id="rId109" ref="H75"/>
    <hyperlink r:id="rId110" ref="H76"/>
    <hyperlink r:id="rId111" ref="H77"/>
    <hyperlink r:id="rId112" ref="H78"/>
    <hyperlink r:id="rId113" ref="H79"/>
    <hyperlink r:id="rId114" ref="I79"/>
    <hyperlink r:id="rId115" ref="H80"/>
    <hyperlink r:id="rId116" ref="J80"/>
    <hyperlink r:id="rId117" ref="H81"/>
    <hyperlink r:id="rId118" ref="I81"/>
    <hyperlink r:id="rId119" ref="H82"/>
    <hyperlink r:id="rId120" ref="I82"/>
    <hyperlink r:id="rId121" ref="H83"/>
    <hyperlink r:id="rId122" ref="H84"/>
    <hyperlink r:id="rId123" ref="J84"/>
    <hyperlink r:id="rId124" ref="H85"/>
    <hyperlink r:id="rId125" ref="I85"/>
    <hyperlink r:id="rId126" ref="J85"/>
    <hyperlink r:id="rId127" ref="H86"/>
    <hyperlink r:id="rId128" ref="H87"/>
    <hyperlink r:id="rId129" ref="J87"/>
    <hyperlink r:id="rId130" ref="H88"/>
    <hyperlink r:id="rId131" ref="H89"/>
    <hyperlink r:id="rId132" ref="I89"/>
    <hyperlink r:id="rId133" ref="H90"/>
    <hyperlink r:id="rId134" ref="J90"/>
    <hyperlink r:id="rId135" ref="H91"/>
    <hyperlink r:id="rId136" ref="H92"/>
    <hyperlink r:id="rId137" ref="J92"/>
    <hyperlink r:id="rId138" ref="H93"/>
    <hyperlink r:id="rId139" ref="H94"/>
    <hyperlink r:id="rId140" ref="H95"/>
    <hyperlink r:id="rId141" ref="I95"/>
    <hyperlink r:id="rId142" ref="H96"/>
    <hyperlink r:id="rId143" ref="I96"/>
    <hyperlink r:id="rId144" ref="J96"/>
    <hyperlink r:id="rId145" location="Security_Hotfix_Alert" ref="H97"/>
    <hyperlink r:id="rId146" ref="I97"/>
    <hyperlink r:id="rId147" ref="H98"/>
    <hyperlink r:id="rId148" ref="H99"/>
    <hyperlink r:id="rId149" ref="J99"/>
    <hyperlink r:id="rId150" ref="H100"/>
    <hyperlink r:id="rId151" ref="I100"/>
    <hyperlink r:id="rId152" ref="H101"/>
    <hyperlink r:id="rId153" ref="J101"/>
    <hyperlink r:id="rId154" ref="H102"/>
    <hyperlink r:id="rId155" ref="I102"/>
    <hyperlink r:id="rId156" ref="H103"/>
    <hyperlink r:id="rId157" ref="I103"/>
    <hyperlink r:id="rId158" location="2021-11-06-security-patch-level-vulnerability-details" ref="H104"/>
    <hyperlink r:id="rId159" ref="I104"/>
    <hyperlink r:id="rId160" ref="J104"/>
    <hyperlink r:id="rId161" location="kernel-components" ref="H105"/>
    <hyperlink r:id="rId162" ref="I105"/>
    <hyperlink r:id="rId163" ref="J105"/>
    <hyperlink r:id="rId164" ref="H106"/>
    <hyperlink r:id="rId165" ref="I106"/>
    <hyperlink r:id="rId166" ref="J106"/>
    <hyperlink r:id="rId167" ref="H107"/>
    <hyperlink r:id="rId168" ref="I107"/>
    <hyperlink r:id="rId169" ref="H108"/>
    <hyperlink r:id="rId170" ref="I108"/>
    <hyperlink r:id="rId171" ref="H109"/>
    <hyperlink r:id="rId172" ref="I109"/>
    <hyperlink r:id="rId173" ref="H110"/>
    <hyperlink r:id="rId174" ref="H111"/>
    <hyperlink r:id="rId175" ref="H112"/>
    <hyperlink r:id="rId176" ref="H113"/>
    <hyperlink r:id="rId177" ref="I113"/>
    <hyperlink r:id="rId178" ref="J113"/>
    <hyperlink r:id="rId179" ref="H114"/>
    <hyperlink r:id="rId180" ref="I114"/>
    <hyperlink r:id="rId181" ref="H115"/>
    <hyperlink r:id="rId182" ref="I115"/>
    <hyperlink r:id="rId183" ref="H116"/>
    <hyperlink r:id="rId184" ref="I116"/>
    <hyperlink r:id="rId185" ref="H117"/>
    <hyperlink r:id="rId186" ref="I117"/>
    <hyperlink r:id="rId187" ref="H118"/>
    <hyperlink r:id="rId188" ref="I118"/>
    <hyperlink r:id="rId189" ref="H119"/>
    <hyperlink r:id="rId190" ref="J119"/>
    <hyperlink r:id="rId191" ref="H120"/>
    <hyperlink r:id="rId192" ref="I120"/>
    <hyperlink r:id="rId193" ref="J120"/>
    <hyperlink r:id="rId194" ref="H121"/>
    <hyperlink r:id="rId195" ref="H122"/>
    <hyperlink r:id="rId196" ref="I122"/>
    <hyperlink r:id="rId197" ref="H123"/>
    <hyperlink r:id="rId198" ref="H124"/>
    <hyperlink r:id="rId199" ref="I124"/>
    <hyperlink r:id="rId200" ref="H125"/>
    <hyperlink r:id="rId201" ref="H126"/>
    <hyperlink r:id="rId202" ref="I126"/>
    <hyperlink r:id="rId203" ref="H127"/>
    <hyperlink r:id="rId204" ref="H128"/>
    <hyperlink r:id="rId205" ref="I128"/>
    <hyperlink r:id="rId206" ref="H129"/>
    <hyperlink r:id="rId207" ref="H130"/>
    <hyperlink r:id="rId208" ref="I130"/>
    <hyperlink r:id="rId209" ref="J130"/>
    <hyperlink r:id="rId210" ref="H131"/>
    <hyperlink r:id="rId211" ref="I131"/>
    <hyperlink r:id="rId212" ref="H132"/>
    <hyperlink r:id="rId213" ref="I132"/>
    <hyperlink r:id="rId214" ref="H133"/>
    <hyperlink r:id="rId215" ref="I133"/>
    <hyperlink r:id="rId216" ref="J133"/>
    <hyperlink r:id="rId217" ref="H134"/>
    <hyperlink r:id="rId218" ref="H135"/>
    <hyperlink r:id="rId219" ref="H136"/>
    <hyperlink r:id="rId220" ref="H137"/>
    <hyperlink r:id="rId221" ref="H138"/>
    <hyperlink r:id="rId222" ref="H139"/>
    <hyperlink r:id="rId223" ref="J139"/>
    <hyperlink r:id="rId224" ref="H140"/>
    <hyperlink r:id="rId225" ref="H141"/>
    <hyperlink r:id="rId226" ref="I141"/>
    <hyperlink r:id="rId227" ref="H142"/>
    <hyperlink r:id="rId228" ref="H143"/>
    <hyperlink r:id="rId229" ref="H144"/>
    <hyperlink r:id="rId230" ref="H145"/>
    <hyperlink r:id="rId231" ref="H146"/>
    <hyperlink r:id="rId232" ref="I146"/>
    <hyperlink r:id="rId233" ref="H147"/>
    <hyperlink r:id="rId234" ref="H148"/>
    <hyperlink r:id="rId235" ref="I148"/>
    <hyperlink r:id="rId236" ref="J148"/>
    <hyperlink r:id="rId237" ref="H149"/>
    <hyperlink r:id="rId238" ref="H150"/>
    <hyperlink r:id="rId239" ref="I150"/>
    <hyperlink r:id="rId240" ref="J150"/>
    <hyperlink r:id="rId241" ref="H151"/>
    <hyperlink r:id="rId242" ref="I151"/>
    <hyperlink r:id="rId243" ref="J151"/>
    <hyperlink r:id="rId244" ref="H152"/>
    <hyperlink r:id="rId245" ref="I152"/>
    <hyperlink r:id="rId246" ref="H153"/>
    <hyperlink r:id="rId247" ref="I153"/>
    <hyperlink r:id="rId248" ref="H154"/>
    <hyperlink r:id="rId249" ref="I154"/>
    <hyperlink r:id="rId250" ref="H155"/>
    <hyperlink r:id="rId251" ref="I155"/>
    <hyperlink r:id="rId252" ref="J155"/>
    <hyperlink r:id="rId253" ref="H156"/>
    <hyperlink r:id="rId254" ref="I156"/>
    <hyperlink r:id="rId255" ref="J156"/>
    <hyperlink r:id="rId256" ref="H157"/>
    <hyperlink r:id="rId257" ref="I157"/>
    <hyperlink r:id="rId258" ref="J157"/>
    <hyperlink r:id="rId259" ref="H158"/>
    <hyperlink r:id="rId260" ref="I158"/>
    <hyperlink r:id="rId261" ref="H159"/>
    <hyperlink r:id="rId262" ref="H160"/>
    <hyperlink r:id="rId263" ref="H161"/>
    <hyperlink r:id="rId264" ref="I161"/>
    <hyperlink r:id="rId265" ref="H162"/>
    <hyperlink r:id="rId266" ref="I162"/>
    <hyperlink r:id="rId267" ref="J162"/>
    <hyperlink r:id="rId268" ref="H163"/>
    <hyperlink r:id="rId269" ref="H164"/>
    <hyperlink r:id="rId270" ref="I164"/>
    <hyperlink r:id="rId271" ref="H165"/>
    <hyperlink r:id="rId272" ref="H166"/>
    <hyperlink r:id="rId273" ref="H167"/>
    <hyperlink r:id="rId274" ref="J167"/>
    <hyperlink r:id="rId275" ref="H168"/>
    <hyperlink r:id="rId276" ref="H169"/>
    <hyperlink r:id="rId277" ref="H170"/>
    <hyperlink r:id="rId278" ref="H171"/>
    <hyperlink r:id="rId279" ref="H172"/>
    <hyperlink r:id="rId280" ref="I172"/>
    <hyperlink r:id="rId281" ref="J172"/>
    <hyperlink r:id="rId282" ref="H173"/>
    <hyperlink r:id="rId283" ref="I173"/>
    <hyperlink r:id="rId284" ref="J173"/>
    <hyperlink r:id="rId285" ref="H174"/>
    <hyperlink r:id="rId286" ref="I174"/>
    <hyperlink r:id="rId287" ref="J174"/>
    <hyperlink r:id="rId288" ref="H175"/>
    <hyperlink r:id="rId289" ref="I175"/>
    <hyperlink r:id="rId290" ref="J175"/>
    <hyperlink r:id="rId291" ref="H176"/>
    <hyperlink r:id="rId292" ref="I176"/>
    <hyperlink r:id="rId293" ref="J176"/>
    <hyperlink r:id="rId294" ref="H177"/>
    <hyperlink r:id="rId295" ref="I177"/>
    <hyperlink r:id="rId296" ref="J177"/>
    <hyperlink r:id="rId297" ref="H178"/>
    <hyperlink r:id="rId298" ref="I178"/>
    <hyperlink r:id="rId299" ref="J178"/>
    <hyperlink r:id="rId300" ref="H179"/>
    <hyperlink r:id="rId301" ref="I179"/>
    <hyperlink r:id="rId302" ref="J179"/>
    <hyperlink r:id="rId303" ref="H180"/>
    <hyperlink r:id="rId304" ref="I180"/>
    <hyperlink r:id="rId305" ref="J180"/>
    <hyperlink r:id="rId306" ref="H181"/>
    <hyperlink r:id="rId307" ref="I181"/>
    <hyperlink r:id="rId308" ref="H182"/>
    <hyperlink r:id="rId309" ref="J182"/>
    <hyperlink r:id="rId310" ref="H183"/>
    <hyperlink r:id="rId311" ref="J183"/>
    <hyperlink r:id="rId312" ref="H184"/>
    <hyperlink r:id="rId313" ref="J184"/>
    <hyperlink r:id="rId314" ref="H185"/>
    <hyperlink r:id="rId315" ref="J185"/>
    <hyperlink r:id="rId316" ref="H186"/>
    <hyperlink r:id="rId317" ref="H187"/>
    <hyperlink r:id="rId318" ref="J187"/>
    <hyperlink r:id="rId319" ref="H188"/>
    <hyperlink r:id="rId320" ref="H189"/>
    <hyperlink r:id="rId321" ref="H190"/>
    <hyperlink r:id="rId322" ref="H191"/>
    <hyperlink r:id="rId323" ref="J191"/>
    <hyperlink r:id="rId324" ref="H192"/>
    <hyperlink r:id="rId325" ref="I192"/>
    <hyperlink r:id="rId326" ref="J192"/>
    <hyperlink r:id="rId327" ref="H193"/>
    <hyperlink r:id="rId328" ref="J193"/>
    <hyperlink r:id="rId329" ref="H194"/>
    <hyperlink r:id="rId330" ref="I194"/>
    <hyperlink r:id="rId331" ref="J194"/>
    <hyperlink r:id="rId332" ref="H195"/>
    <hyperlink r:id="rId333" ref="J195"/>
    <hyperlink r:id="rId334" ref="H196"/>
    <hyperlink r:id="rId335" ref="I196"/>
    <hyperlink r:id="rId336" ref="J196"/>
    <hyperlink r:id="rId337" ref="H197"/>
    <hyperlink r:id="rId338" location="kernel-b" ref="H198"/>
    <hyperlink r:id="rId339" ref="I198"/>
    <hyperlink r:id="rId340" ref="J198"/>
    <hyperlink r:id="rId341" ref="H199"/>
    <hyperlink r:id="rId342" ref="J199"/>
    <hyperlink r:id="rId343" ref="H200"/>
    <hyperlink r:id="rId344" ref="H201"/>
    <hyperlink r:id="rId345" ref="I201"/>
    <hyperlink r:id="rId346" ref="H202"/>
    <hyperlink r:id="rId347" ref="H203"/>
    <hyperlink r:id="rId348" ref="J203"/>
    <hyperlink r:id="rId349" ref="H204"/>
    <hyperlink r:id="rId350" ref="I204"/>
    <hyperlink r:id="rId351" ref="H205"/>
    <hyperlink r:id="rId352" ref="H206"/>
    <hyperlink r:id="rId353" ref="I206"/>
    <hyperlink r:id="rId354" ref="H207"/>
    <hyperlink r:id="rId355" ref="I207"/>
    <hyperlink r:id="rId356" ref="H208"/>
    <hyperlink r:id="rId357" ref="I208"/>
    <hyperlink r:id="rId358" ref="H209"/>
    <hyperlink r:id="rId359" ref="H210"/>
    <hyperlink r:id="rId360" ref="I210"/>
    <hyperlink r:id="rId361" ref="H211"/>
    <hyperlink r:id="rId362" ref="H212"/>
    <hyperlink r:id="rId363" ref="I212"/>
    <hyperlink r:id="rId364" ref="J212"/>
    <hyperlink r:id="rId365" ref="H213"/>
    <hyperlink r:id="rId366" ref="I213"/>
    <hyperlink r:id="rId367" ref="J213"/>
    <hyperlink r:id="rId368" ref="H214"/>
    <hyperlink r:id="rId369" ref="I214"/>
    <hyperlink r:id="rId370" ref="H215"/>
    <hyperlink r:id="rId371" ref="I215"/>
    <hyperlink r:id="rId372" ref="H216"/>
    <hyperlink r:id="rId373" ref="I216"/>
    <hyperlink r:id="rId374" ref="H217"/>
    <hyperlink r:id="rId375" ref="I217"/>
    <hyperlink r:id="rId376" ref="H218"/>
    <hyperlink r:id="rId377" ref="I218"/>
    <hyperlink r:id="rId378" ref="H219"/>
    <hyperlink r:id="rId379" ref="I219"/>
    <hyperlink r:id="rId380" ref="H220"/>
    <hyperlink r:id="rId381" ref="I220"/>
    <hyperlink r:id="rId382" ref="H221"/>
    <hyperlink r:id="rId383" ref="I221"/>
    <hyperlink r:id="rId384" ref="H222"/>
    <hyperlink r:id="rId385" ref="I222"/>
    <hyperlink r:id="rId386" ref="H223"/>
    <hyperlink r:id="rId387" ref="I223"/>
    <hyperlink r:id="rId388" ref="H224"/>
    <hyperlink r:id="rId389" ref="I224"/>
    <hyperlink r:id="rId390" ref="H225"/>
    <hyperlink r:id="rId391" ref="I225"/>
    <hyperlink r:id="rId392" ref="H226"/>
    <hyperlink r:id="rId393" ref="I226"/>
    <hyperlink r:id="rId394" ref="H227"/>
    <hyperlink r:id="rId395" ref="I227"/>
    <hyperlink r:id="rId396" ref="H228"/>
    <hyperlink r:id="rId397" ref="I228"/>
    <hyperlink r:id="rId398" ref="H229"/>
    <hyperlink r:id="rId399" ref="I229"/>
    <hyperlink r:id="rId400" ref="H230"/>
    <hyperlink r:id="rId401" ref="I230"/>
    <hyperlink r:id="rId402" ref="H231"/>
    <hyperlink r:id="rId403" ref="I231"/>
    <hyperlink r:id="rId404" ref="H232"/>
    <hyperlink r:id="rId405" ref="I232"/>
    <hyperlink r:id="rId406" ref="H233"/>
    <hyperlink r:id="rId407" ref="I233"/>
    <hyperlink r:id="rId408" ref="H234"/>
    <hyperlink r:id="rId409" ref="H235"/>
    <hyperlink r:id="rId410" ref="I235"/>
    <hyperlink r:id="rId411" ref="H236"/>
    <hyperlink r:id="rId412" ref="I236"/>
    <hyperlink r:id="rId413" ref="H237"/>
    <hyperlink r:id="rId414" ref="I237"/>
    <hyperlink r:id="rId415" ref="H238"/>
    <hyperlink r:id="rId416" ref="H239"/>
    <hyperlink r:id="rId417" ref="I239"/>
    <hyperlink r:id="rId418" ref="H240"/>
    <hyperlink r:id="rId419" ref="I240"/>
    <hyperlink r:id="rId420" ref="H241"/>
    <hyperlink r:id="rId421" ref="I241"/>
    <hyperlink r:id="rId422" ref="H242"/>
    <hyperlink r:id="rId423" ref="I242"/>
    <hyperlink r:id="rId424" ref="H243"/>
    <hyperlink r:id="rId425" ref="I243"/>
    <hyperlink r:id="rId426" ref="H244"/>
    <hyperlink r:id="rId427" ref="I244"/>
    <hyperlink r:id="rId428" ref="H245"/>
    <hyperlink r:id="rId429" ref="I245"/>
    <hyperlink r:id="rId430" ref="H246"/>
    <hyperlink r:id="rId431" ref="I246"/>
    <hyperlink r:id="rId432" ref="H247"/>
    <hyperlink r:id="rId433" ref="I247"/>
    <hyperlink r:id="rId434" ref="H248"/>
    <hyperlink r:id="rId435" ref="H249"/>
    <hyperlink r:id="rId436" ref="I249"/>
    <hyperlink r:id="rId437" ref="H250"/>
    <hyperlink r:id="rId438" ref="I250"/>
    <hyperlink r:id="rId439" ref="H251"/>
    <hyperlink r:id="rId440" ref="I251"/>
    <hyperlink r:id="rId441" ref="H252"/>
    <hyperlink r:id="rId442" ref="I252"/>
    <hyperlink r:id="rId443" ref="H253"/>
    <hyperlink r:id="rId444" ref="H254"/>
    <hyperlink r:id="rId445" ref="I254"/>
    <hyperlink r:id="rId446" ref="H255"/>
    <hyperlink r:id="rId447" ref="I255"/>
    <hyperlink r:id="rId448" ref="H256"/>
    <hyperlink r:id="rId449" ref="I256"/>
    <hyperlink r:id="rId450" ref="H257"/>
    <hyperlink r:id="rId451" ref="I257"/>
    <hyperlink r:id="rId452" ref="H258"/>
    <hyperlink r:id="rId453" ref="I258"/>
    <hyperlink r:id="rId454" ref="H259"/>
    <hyperlink r:id="rId455" ref="I259"/>
    <hyperlink r:id="rId456" ref="H260"/>
    <hyperlink r:id="rId457" ref="H261"/>
    <hyperlink r:id="rId458" ref="I261"/>
    <hyperlink r:id="rId459" ref="H262"/>
    <hyperlink r:id="rId460" ref="H263"/>
    <hyperlink r:id="rId461" ref="I263"/>
    <hyperlink r:id="rId462" ref="H264"/>
    <hyperlink r:id="rId463" ref="I264"/>
    <hyperlink r:id="rId464" ref="H265"/>
    <hyperlink r:id="rId465" ref="I265"/>
    <hyperlink r:id="rId466" ref="H266"/>
    <hyperlink r:id="rId467" ref="I266"/>
    <hyperlink r:id="rId468" ref="H267"/>
    <hyperlink r:id="rId469" ref="I267"/>
    <hyperlink r:id="rId470" ref="H268"/>
    <hyperlink r:id="rId471" ref="I268"/>
    <hyperlink r:id="rId472" ref="H269"/>
    <hyperlink r:id="rId473" ref="I269"/>
    <hyperlink r:id="rId474" ref="H270"/>
    <hyperlink r:id="rId475" ref="I270"/>
    <hyperlink r:id="rId476" ref="H271"/>
    <hyperlink r:id="rId477" ref="I271"/>
    <hyperlink r:id="rId478" ref="H272"/>
    <hyperlink r:id="rId479" ref="I272"/>
    <hyperlink r:id="rId480" ref="H273"/>
    <hyperlink r:id="rId481" ref="H274"/>
    <hyperlink r:id="rId482" ref="H275"/>
    <hyperlink r:id="rId483" ref="I275"/>
    <hyperlink r:id="rId484" ref="H276"/>
    <hyperlink r:id="rId485" ref="I276"/>
    <hyperlink r:id="rId486" ref="H277"/>
    <hyperlink r:id="rId487" ref="I277"/>
    <hyperlink r:id="rId488" ref="H278"/>
    <hyperlink r:id="rId489" ref="I278"/>
    <hyperlink r:id="rId490" ref="H279"/>
    <hyperlink r:id="rId491" ref="I279"/>
    <hyperlink r:id="rId492" ref="H280"/>
    <hyperlink r:id="rId493" ref="I280"/>
    <hyperlink r:id="rId494" ref="H281"/>
    <hyperlink r:id="rId495" ref="I281"/>
    <hyperlink r:id="rId496" ref="H282"/>
    <hyperlink r:id="rId497" ref="I282"/>
    <hyperlink r:id="rId498" ref="H283"/>
    <hyperlink r:id="rId499" ref="I283"/>
    <hyperlink r:id="rId500" ref="H284"/>
    <hyperlink r:id="rId501" ref="I284"/>
    <hyperlink r:id="rId502" ref="H285"/>
    <hyperlink r:id="rId503" ref="I285"/>
    <hyperlink r:id="rId504" ref="H286"/>
    <hyperlink r:id="rId505" ref="I286"/>
    <hyperlink r:id="rId506" ref="H287"/>
    <hyperlink r:id="rId507" ref="I287"/>
    <hyperlink r:id="rId508" ref="H288"/>
    <hyperlink r:id="rId509" ref="I288"/>
    <hyperlink r:id="rId510" ref="H289"/>
    <hyperlink r:id="rId511" ref="I289"/>
    <hyperlink r:id="rId512" ref="H290"/>
    <hyperlink r:id="rId513" ref="I290"/>
    <hyperlink r:id="rId514" ref="H291"/>
    <hyperlink r:id="rId515" ref="I291"/>
    <hyperlink r:id="rId516" ref="H292"/>
    <hyperlink r:id="rId517" ref="I292"/>
    <hyperlink r:id="rId518" ref="H293"/>
    <hyperlink r:id="rId519" ref="I293"/>
    <hyperlink r:id="rId520" ref="H294"/>
    <hyperlink r:id="rId521" ref="I294"/>
    <hyperlink r:id="rId522" ref="H295"/>
    <hyperlink r:id="rId523" ref="I295"/>
    <hyperlink r:id="rId524" ref="H296"/>
    <hyperlink r:id="rId525" ref="I296"/>
    <hyperlink r:id="rId526" ref="H297"/>
    <hyperlink r:id="rId527" ref="I297"/>
    <hyperlink r:id="rId528" ref="H298"/>
    <hyperlink r:id="rId529" ref="I298"/>
    <hyperlink r:id="rId530" ref="H299"/>
    <hyperlink r:id="rId531" ref="I299"/>
    <hyperlink r:id="rId532" ref="H300"/>
    <hyperlink r:id="rId533" ref="I300"/>
    <hyperlink r:id="rId534" ref="H301"/>
    <hyperlink r:id="rId535" ref="H302"/>
    <hyperlink r:id="rId536" ref="I302"/>
    <hyperlink r:id="rId537" ref="H303"/>
    <hyperlink r:id="rId538" ref="I303"/>
    <hyperlink r:id="rId539" ref="H304"/>
    <hyperlink r:id="rId540" ref="H305"/>
    <hyperlink r:id="rId541" ref="I305"/>
    <hyperlink r:id="rId542" ref="H306"/>
    <hyperlink r:id="rId543" ref="I306"/>
    <hyperlink r:id="rId544" ref="H307"/>
    <hyperlink r:id="rId545" ref="I307"/>
    <hyperlink r:id="rId546" ref="H308"/>
    <hyperlink r:id="rId547" ref="H309"/>
    <hyperlink r:id="rId548" ref="H310"/>
    <hyperlink r:id="rId549" ref="H311"/>
    <hyperlink r:id="rId550" ref="I311"/>
  </hyperlinks>
  <drawing r:id="rId55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3" width="10.38"/>
    <col customWidth="1" min="4" max="4" width="15.25"/>
    <col customWidth="1" min="5" max="5" width="27.13"/>
    <col customWidth="1" min="6" max="6" width="14.25"/>
    <col customWidth="1" min="7" max="7" width="11.5"/>
    <col customWidth="1" min="9" max="9" width="11.75"/>
    <col customWidth="1" min="10" max="10" width="17.63"/>
  </cols>
  <sheetData>
    <row r="1">
      <c r="A1" s="7" t="s">
        <v>13</v>
      </c>
      <c r="B1" s="7" t="s">
        <v>14</v>
      </c>
      <c r="C1" s="7" t="s">
        <v>15</v>
      </c>
      <c r="D1" s="7" t="s">
        <v>16</v>
      </c>
      <c r="E1" s="7" t="s">
        <v>17</v>
      </c>
      <c r="F1" s="7" t="s">
        <v>18</v>
      </c>
      <c r="G1" s="7" t="s">
        <v>19</v>
      </c>
      <c r="H1" s="7" t="s">
        <v>20</v>
      </c>
      <c r="I1" s="11" t="s">
        <v>21</v>
      </c>
      <c r="J1" s="7" t="s">
        <v>22</v>
      </c>
      <c r="K1" s="8" t="s">
        <v>23</v>
      </c>
    </row>
    <row r="2">
      <c r="A2" s="12" t="s">
        <v>24</v>
      </c>
      <c r="B2" s="12" t="s">
        <v>25</v>
      </c>
      <c r="C2" s="12" t="s">
        <v>26</v>
      </c>
      <c r="D2" s="12" t="s">
        <v>27</v>
      </c>
      <c r="E2" s="12" t="s">
        <v>28</v>
      </c>
      <c r="F2" s="13">
        <v>45302.0</v>
      </c>
      <c r="G2" s="13">
        <v>45307.0</v>
      </c>
      <c r="H2" s="14" t="s">
        <v>29</v>
      </c>
      <c r="I2" s="12" t="s">
        <v>30</v>
      </c>
      <c r="J2" s="12" t="s">
        <v>30</v>
      </c>
      <c r="K2" s="12" t="s">
        <v>30</v>
      </c>
    </row>
    <row r="3">
      <c r="A3" s="12" t="s">
        <v>31</v>
      </c>
      <c r="B3" s="12" t="s">
        <v>32</v>
      </c>
      <c r="C3" s="12" t="s">
        <v>33</v>
      </c>
      <c r="D3" s="12" t="s">
        <v>27</v>
      </c>
      <c r="E3" s="12" t="s">
        <v>34</v>
      </c>
      <c r="F3" s="12" t="s">
        <v>30</v>
      </c>
      <c r="G3" s="13">
        <v>45313.0</v>
      </c>
      <c r="H3" s="14" t="s">
        <v>35</v>
      </c>
      <c r="I3" s="12" t="s">
        <v>30</v>
      </c>
      <c r="J3" s="12" t="s">
        <v>30</v>
      </c>
      <c r="K3" s="12" t="s">
        <v>30</v>
      </c>
    </row>
  </sheetData>
  <hyperlinks>
    <hyperlink r:id="rId1" ref="H2"/>
    <hyperlink r:id="rId2" ref="H3"/>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 customWidth="1" min="4" max="4" width="15.25"/>
    <col customWidth="1" min="5" max="5" width="24.0"/>
    <col customWidth="1" min="6" max="6" width="14.0"/>
    <col customWidth="1" min="7" max="7" width="11.5"/>
    <col customWidth="1" min="10" max="10" width="17.63"/>
  </cols>
  <sheetData>
    <row r="1">
      <c r="A1" s="7" t="s">
        <v>13</v>
      </c>
      <c r="B1" s="7" t="s">
        <v>14</v>
      </c>
      <c r="C1" s="7" t="s">
        <v>15</v>
      </c>
      <c r="D1" s="7" t="s">
        <v>16</v>
      </c>
      <c r="E1" s="7" t="s">
        <v>17</v>
      </c>
      <c r="F1" s="7" t="s">
        <v>18</v>
      </c>
      <c r="G1" s="7" t="s">
        <v>19</v>
      </c>
      <c r="H1" s="7" t="s">
        <v>20</v>
      </c>
      <c r="I1" s="11" t="s">
        <v>21</v>
      </c>
      <c r="J1" s="7" t="s">
        <v>22</v>
      </c>
      <c r="K1" s="8" t="s">
        <v>23</v>
      </c>
    </row>
    <row r="2">
      <c r="A2" s="12" t="s">
        <v>36</v>
      </c>
      <c r="B2" s="12" t="s">
        <v>37</v>
      </c>
      <c r="C2" s="12" t="s">
        <v>38</v>
      </c>
      <c r="D2" s="12" t="s">
        <v>27</v>
      </c>
      <c r="E2" s="12" t="s">
        <v>39</v>
      </c>
      <c r="F2" s="12" t="s">
        <v>30</v>
      </c>
      <c r="G2" s="13">
        <v>44936.0</v>
      </c>
      <c r="H2" s="14" t="s">
        <v>40</v>
      </c>
      <c r="I2" s="12" t="s">
        <v>30</v>
      </c>
      <c r="J2" s="12" t="s">
        <v>30</v>
      </c>
      <c r="K2" s="12" t="s">
        <v>41</v>
      </c>
    </row>
    <row r="3">
      <c r="A3" s="12" t="s">
        <v>42</v>
      </c>
      <c r="B3" s="12" t="s">
        <v>32</v>
      </c>
      <c r="C3" s="12" t="s">
        <v>33</v>
      </c>
      <c r="D3" s="12" t="s">
        <v>27</v>
      </c>
      <c r="E3" s="12" t="s">
        <v>34</v>
      </c>
      <c r="F3" s="12" t="s">
        <v>30</v>
      </c>
      <c r="G3" s="13">
        <v>44970.0</v>
      </c>
      <c r="H3" s="14" t="s">
        <v>43</v>
      </c>
      <c r="I3" s="12" t="s">
        <v>30</v>
      </c>
      <c r="J3" s="12" t="s">
        <v>30</v>
      </c>
      <c r="K3" s="12" t="s">
        <v>30</v>
      </c>
    </row>
    <row r="4">
      <c r="A4" s="12" t="s">
        <v>44</v>
      </c>
      <c r="B4" s="12" t="s">
        <v>37</v>
      </c>
      <c r="C4" s="12" t="s">
        <v>38</v>
      </c>
      <c r="D4" s="12" t="s">
        <v>27</v>
      </c>
      <c r="E4" s="12" t="s">
        <v>45</v>
      </c>
      <c r="F4" s="12" t="s">
        <v>30</v>
      </c>
      <c r="G4" s="13">
        <v>44971.0</v>
      </c>
      <c r="H4" s="14" t="s">
        <v>46</v>
      </c>
      <c r="I4" s="12" t="s">
        <v>30</v>
      </c>
      <c r="J4" s="12" t="s">
        <v>30</v>
      </c>
      <c r="K4" s="12" t="s">
        <v>47</v>
      </c>
    </row>
    <row r="5">
      <c r="A5" s="12" t="s">
        <v>48</v>
      </c>
      <c r="B5" s="12" t="s">
        <v>37</v>
      </c>
      <c r="C5" s="12" t="s">
        <v>38</v>
      </c>
      <c r="D5" s="12" t="s">
        <v>27</v>
      </c>
      <c r="E5" s="12" t="s">
        <v>49</v>
      </c>
      <c r="F5" s="12" t="s">
        <v>30</v>
      </c>
      <c r="G5" s="13">
        <v>44971.0</v>
      </c>
      <c r="H5" s="14" t="s">
        <v>50</v>
      </c>
      <c r="I5" s="12" t="s">
        <v>30</v>
      </c>
      <c r="J5" s="12" t="s">
        <v>30</v>
      </c>
      <c r="K5" s="12" t="s">
        <v>51</v>
      </c>
    </row>
    <row r="6">
      <c r="A6" s="12" t="s">
        <v>52</v>
      </c>
      <c r="B6" s="12" t="s">
        <v>25</v>
      </c>
      <c r="C6" s="12" t="s">
        <v>53</v>
      </c>
      <c r="D6" s="12" t="s">
        <v>54</v>
      </c>
      <c r="E6" s="12" t="s">
        <v>55</v>
      </c>
      <c r="F6" s="12" t="s">
        <v>30</v>
      </c>
      <c r="G6" s="13">
        <v>44991.0</v>
      </c>
      <c r="H6" s="14" t="s">
        <v>56</v>
      </c>
      <c r="I6" s="12" t="s">
        <v>30</v>
      </c>
      <c r="J6" s="14" t="s">
        <v>57</v>
      </c>
      <c r="K6" s="12" t="s">
        <v>58</v>
      </c>
    </row>
    <row r="7">
      <c r="A7" s="12" t="s">
        <v>59</v>
      </c>
      <c r="B7" s="12" t="s">
        <v>37</v>
      </c>
      <c r="C7" s="12" t="s">
        <v>60</v>
      </c>
      <c r="D7" s="12" t="s">
        <v>54</v>
      </c>
      <c r="E7" s="12" t="s">
        <v>61</v>
      </c>
      <c r="F7" s="12" t="s">
        <v>30</v>
      </c>
      <c r="G7" s="13">
        <v>44999.0</v>
      </c>
      <c r="H7" s="14" t="s">
        <v>62</v>
      </c>
      <c r="I7" s="12" t="s">
        <v>30</v>
      </c>
      <c r="J7" s="12" t="s">
        <v>30</v>
      </c>
      <c r="K7" s="12" t="s">
        <v>63</v>
      </c>
    </row>
    <row r="8">
      <c r="A8" s="12" t="s">
        <v>64</v>
      </c>
      <c r="B8" s="12" t="s">
        <v>37</v>
      </c>
      <c r="C8" s="12" t="s">
        <v>38</v>
      </c>
      <c r="D8" s="12" t="s">
        <v>27</v>
      </c>
      <c r="E8" s="12" t="s">
        <v>65</v>
      </c>
      <c r="F8" s="12" t="s">
        <v>30</v>
      </c>
      <c r="G8" s="13">
        <v>44999.0</v>
      </c>
      <c r="H8" s="14" t="s">
        <v>66</v>
      </c>
      <c r="I8" s="14" t="s">
        <v>67</v>
      </c>
      <c r="J8" s="12" t="s">
        <v>30</v>
      </c>
      <c r="K8" s="12" t="s">
        <v>30</v>
      </c>
    </row>
    <row r="9">
      <c r="A9" s="12" t="s">
        <v>68</v>
      </c>
      <c r="B9" s="12" t="s">
        <v>25</v>
      </c>
      <c r="C9" s="12" t="s">
        <v>53</v>
      </c>
      <c r="D9" s="12" t="s">
        <v>27</v>
      </c>
      <c r="E9" s="12" t="s">
        <v>69</v>
      </c>
      <c r="F9" s="13">
        <v>44938.0</v>
      </c>
      <c r="G9" s="13">
        <v>45047.0</v>
      </c>
      <c r="H9" s="14" t="s">
        <v>70</v>
      </c>
      <c r="I9" s="14" t="s">
        <v>71</v>
      </c>
      <c r="J9" s="12" t="s">
        <v>30</v>
      </c>
      <c r="K9" s="12" t="s">
        <v>72</v>
      </c>
    </row>
    <row r="10">
      <c r="A10" s="12" t="s">
        <v>73</v>
      </c>
      <c r="B10" s="12" t="s">
        <v>74</v>
      </c>
      <c r="C10" s="12" t="s">
        <v>53</v>
      </c>
      <c r="D10" s="12" t="s">
        <v>27</v>
      </c>
      <c r="E10" s="12" t="s">
        <v>75</v>
      </c>
      <c r="F10" s="13">
        <v>44938.0</v>
      </c>
      <c r="G10" s="13">
        <v>45016.0</v>
      </c>
      <c r="H10" s="14" t="s">
        <v>76</v>
      </c>
      <c r="I10" s="14" t="s">
        <v>71</v>
      </c>
      <c r="J10" s="12" t="s">
        <v>30</v>
      </c>
      <c r="K10" s="12" t="s">
        <v>72</v>
      </c>
    </row>
    <row r="11">
      <c r="A11" s="12" t="s">
        <v>77</v>
      </c>
      <c r="B11" s="12" t="s">
        <v>78</v>
      </c>
      <c r="C11" s="12" t="s">
        <v>79</v>
      </c>
      <c r="D11" s="12" t="s">
        <v>27</v>
      </c>
      <c r="E11" s="12" t="s">
        <v>80</v>
      </c>
      <c r="F11" s="12" t="s">
        <v>30</v>
      </c>
      <c r="G11" s="13">
        <v>45023.0</v>
      </c>
      <c r="H11" s="14" t="s">
        <v>81</v>
      </c>
      <c r="I11" s="12" t="s">
        <v>30</v>
      </c>
      <c r="J11" s="12" t="s">
        <v>30</v>
      </c>
      <c r="K11" s="12" t="s">
        <v>82</v>
      </c>
    </row>
    <row r="12">
      <c r="A12" s="12" t="s">
        <v>83</v>
      </c>
      <c r="B12" s="12" t="s">
        <v>32</v>
      </c>
      <c r="C12" s="12" t="s">
        <v>33</v>
      </c>
      <c r="D12" s="12" t="s">
        <v>27</v>
      </c>
      <c r="E12" s="12" t="s">
        <v>84</v>
      </c>
      <c r="F12" s="12" t="s">
        <v>30</v>
      </c>
      <c r="G12" s="13">
        <v>45023.0</v>
      </c>
      <c r="H12" s="15" t="s">
        <v>81</v>
      </c>
      <c r="I12" s="12" t="s">
        <v>30</v>
      </c>
      <c r="J12" s="12" t="s">
        <v>30</v>
      </c>
      <c r="K12" s="12" t="s">
        <v>82</v>
      </c>
    </row>
    <row r="13">
      <c r="A13" s="12" t="s">
        <v>85</v>
      </c>
      <c r="B13" s="12" t="s">
        <v>37</v>
      </c>
      <c r="C13" s="12" t="s">
        <v>38</v>
      </c>
      <c r="D13" s="12" t="s">
        <v>27</v>
      </c>
      <c r="E13" s="12" t="s">
        <v>86</v>
      </c>
      <c r="F13" s="12" t="s">
        <v>30</v>
      </c>
      <c r="G13" s="13">
        <v>45027.0</v>
      </c>
      <c r="H13" s="14" t="s">
        <v>87</v>
      </c>
      <c r="I13" s="14" t="s">
        <v>88</v>
      </c>
      <c r="J13" s="14" t="s">
        <v>89</v>
      </c>
      <c r="K13" s="12" t="s">
        <v>90</v>
      </c>
    </row>
    <row r="14">
      <c r="A14" s="12" t="s">
        <v>91</v>
      </c>
      <c r="B14" s="12" t="s">
        <v>25</v>
      </c>
      <c r="C14" s="12" t="s">
        <v>26</v>
      </c>
      <c r="D14" s="12" t="s">
        <v>27</v>
      </c>
      <c r="E14" s="12" t="s">
        <v>92</v>
      </c>
      <c r="F14" s="13">
        <v>45027.0</v>
      </c>
      <c r="G14" s="13">
        <v>45030.0</v>
      </c>
      <c r="H14" s="14" t="s">
        <v>93</v>
      </c>
      <c r="I14" s="12" t="s">
        <v>30</v>
      </c>
      <c r="J14" s="12" t="s">
        <v>30</v>
      </c>
      <c r="K14" s="12" t="s">
        <v>72</v>
      </c>
    </row>
    <row r="15">
      <c r="A15" s="12" t="s">
        <v>94</v>
      </c>
      <c r="B15" s="12" t="s">
        <v>25</v>
      </c>
      <c r="C15" s="12" t="s">
        <v>26</v>
      </c>
      <c r="D15" s="12" t="s">
        <v>27</v>
      </c>
      <c r="E15" s="12" t="s">
        <v>95</v>
      </c>
      <c r="F15" s="13">
        <v>45028.0</v>
      </c>
      <c r="G15" s="13">
        <v>45034.0</v>
      </c>
      <c r="H15" s="14" t="s">
        <v>96</v>
      </c>
      <c r="I15" s="12" t="s">
        <v>30</v>
      </c>
      <c r="J15" s="12" t="s">
        <v>30</v>
      </c>
      <c r="K15" s="12" t="s">
        <v>72</v>
      </c>
    </row>
    <row r="16">
      <c r="A16" s="12" t="s">
        <v>97</v>
      </c>
      <c r="B16" s="12" t="s">
        <v>98</v>
      </c>
      <c r="C16" s="12" t="s">
        <v>53</v>
      </c>
      <c r="D16" s="12" t="s">
        <v>54</v>
      </c>
      <c r="E16" s="12" t="s">
        <v>99</v>
      </c>
      <c r="F16" s="13">
        <v>44213.0</v>
      </c>
      <c r="G16" s="13">
        <v>45047.0</v>
      </c>
      <c r="H16" s="14" t="s">
        <v>100</v>
      </c>
      <c r="I16" s="12" t="s">
        <v>30</v>
      </c>
      <c r="J16" s="12" t="s">
        <v>30</v>
      </c>
      <c r="K16" s="12" t="s">
        <v>72</v>
      </c>
    </row>
    <row r="17">
      <c r="A17" s="12" t="s">
        <v>101</v>
      </c>
      <c r="B17" s="12" t="s">
        <v>32</v>
      </c>
      <c r="C17" s="12" t="s">
        <v>33</v>
      </c>
      <c r="D17" s="12" t="s">
        <v>27</v>
      </c>
      <c r="E17" s="12" t="s">
        <v>102</v>
      </c>
      <c r="F17" s="12" t="s">
        <v>30</v>
      </c>
      <c r="G17" s="13">
        <v>45047.0</v>
      </c>
      <c r="H17" s="14" t="s">
        <v>103</v>
      </c>
      <c r="I17" s="12" t="s">
        <v>30</v>
      </c>
      <c r="J17" s="12" t="s">
        <v>30</v>
      </c>
      <c r="K17" s="12" t="s">
        <v>30</v>
      </c>
    </row>
    <row r="18">
      <c r="A18" s="12" t="s">
        <v>104</v>
      </c>
      <c r="B18" s="12" t="s">
        <v>32</v>
      </c>
      <c r="C18" s="12" t="s">
        <v>33</v>
      </c>
      <c r="D18" s="12" t="s">
        <v>27</v>
      </c>
      <c r="E18" s="12" t="s">
        <v>84</v>
      </c>
      <c r="F18" s="12" t="s">
        <v>30</v>
      </c>
      <c r="G18" s="13">
        <v>45047.0</v>
      </c>
      <c r="H18" s="14" t="s">
        <v>103</v>
      </c>
      <c r="I18" s="12" t="s">
        <v>30</v>
      </c>
      <c r="J18" s="12" t="s">
        <v>30</v>
      </c>
      <c r="K18" s="12" t="s">
        <v>30</v>
      </c>
    </row>
    <row r="19">
      <c r="A19" s="12" t="s">
        <v>105</v>
      </c>
      <c r="B19" s="12" t="s">
        <v>37</v>
      </c>
      <c r="C19" s="12" t="s">
        <v>38</v>
      </c>
      <c r="D19" s="12" t="s">
        <v>27</v>
      </c>
      <c r="E19" s="12" t="s">
        <v>106</v>
      </c>
      <c r="F19" s="12" t="s">
        <v>30</v>
      </c>
      <c r="G19" s="13">
        <v>45055.0</v>
      </c>
      <c r="H19" s="15" t="s">
        <v>107</v>
      </c>
      <c r="I19" s="12" t="s">
        <v>30</v>
      </c>
      <c r="J19" s="12" t="s">
        <v>30</v>
      </c>
      <c r="K19" s="12" t="s">
        <v>108</v>
      </c>
    </row>
    <row r="20">
      <c r="A20" s="12" t="s">
        <v>109</v>
      </c>
      <c r="B20" s="12" t="s">
        <v>32</v>
      </c>
      <c r="C20" s="12" t="s">
        <v>33</v>
      </c>
      <c r="D20" s="12" t="s">
        <v>27</v>
      </c>
      <c r="E20" s="12" t="s">
        <v>110</v>
      </c>
      <c r="F20" s="12" t="s">
        <v>30</v>
      </c>
      <c r="G20" s="13">
        <v>45064.0</v>
      </c>
      <c r="H20" s="14" t="s">
        <v>103</v>
      </c>
      <c r="I20" s="12" t="s">
        <v>30</v>
      </c>
      <c r="J20" s="12" t="s">
        <v>30</v>
      </c>
      <c r="K20" s="12" t="s">
        <v>82</v>
      </c>
    </row>
    <row r="21">
      <c r="A21" s="12" t="s">
        <v>111</v>
      </c>
      <c r="B21" s="12" t="s">
        <v>112</v>
      </c>
      <c r="C21" s="12" t="s">
        <v>113</v>
      </c>
      <c r="D21" s="12" t="s">
        <v>54</v>
      </c>
      <c r="E21" s="12" t="s">
        <v>114</v>
      </c>
      <c r="F21" s="13">
        <v>45064.0</v>
      </c>
      <c r="G21" s="13">
        <v>45076.0</v>
      </c>
      <c r="H21" s="14" t="s">
        <v>115</v>
      </c>
      <c r="I21" s="12" t="s">
        <v>30</v>
      </c>
      <c r="J21" s="12" t="s">
        <v>30</v>
      </c>
      <c r="K21" s="12" t="s">
        <v>30</v>
      </c>
    </row>
    <row r="22">
      <c r="A22" s="12" t="s">
        <v>116</v>
      </c>
      <c r="B22" s="12" t="s">
        <v>25</v>
      </c>
      <c r="C22" s="12" t="s">
        <v>26</v>
      </c>
      <c r="D22" s="12" t="s">
        <v>27</v>
      </c>
      <c r="E22" s="12" t="s">
        <v>92</v>
      </c>
      <c r="F22" s="13">
        <v>45078.0</v>
      </c>
      <c r="G22" s="13">
        <v>45082.0</v>
      </c>
      <c r="H22" s="14" t="s">
        <v>117</v>
      </c>
      <c r="I22" s="12" t="s">
        <v>30</v>
      </c>
      <c r="J22" s="12" t="s">
        <v>30</v>
      </c>
      <c r="K22" s="12" t="s">
        <v>118</v>
      </c>
    </row>
    <row r="23">
      <c r="A23" s="12" t="s">
        <v>119</v>
      </c>
      <c r="B23" s="12" t="s">
        <v>32</v>
      </c>
      <c r="C23" s="12" t="s">
        <v>79</v>
      </c>
      <c r="D23" s="12" t="s">
        <v>27</v>
      </c>
      <c r="E23" s="12" t="s">
        <v>120</v>
      </c>
      <c r="F23" s="12" t="s">
        <v>30</v>
      </c>
      <c r="G23" s="13">
        <v>45098.0</v>
      </c>
      <c r="H23" s="14" t="s">
        <v>121</v>
      </c>
      <c r="I23" s="14" t="s">
        <v>122</v>
      </c>
      <c r="J23" s="12" t="s">
        <v>30</v>
      </c>
      <c r="K23" s="12" t="s">
        <v>123</v>
      </c>
    </row>
    <row r="24">
      <c r="A24" s="12" t="s">
        <v>124</v>
      </c>
      <c r="B24" s="12" t="s">
        <v>32</v>
      </c>
      <c r="C24" s="12" t="s">
        <v>33</v>
      </c>
      <c r="D24" s="12" t="s">
        <v>27</v>
      </c>
      <c r="E24" s="12" t="s">
        <v>125</v>
      </c>
      <c r="F24" s="12" t="s">
        <v>30</v>
      </c>
      <c r="G24" s="13">
        <v>45098.0</v>
      </c>
      <c r="H24" s="14" t="s">
        <v>126</v>
      </c>
      <c r="I24" s="14" t="s">
        <v>122</v>
      </c>
      <c r="J24" s="12" t="s">
        <v>30</v>
      </c>
      <c r="K24" s="12" t="s">
        <v>123</v>
      </c>
    </row>
    <row r="25">
      <c r="A25" s="12" t="s">
        <v>127</v>
      </c>
      <c r="B25" s="12" t="s">
        <v>32</v>
      </c>
      <c r="C25" s="12" t="s">
        <v>33</v>
      </c>
      <c r="D25" s="12" t="s">
        <v>27</v>
      </c>
      <c r="E25" s="12" t="s">
        <v>128</v>
      </c>
      <c r="F25" s="12" t="s">
        <v>30</v>
      </c>
      <c r="G25" s="13">
        <v>45098.0</v>
      </c>
      <c r="H25" s="14" t="s">
        <v>121</v>
      </c>
      <c r="I25" s="12" t="s">
        <v>30</v>
      </c>
      <c r="J25" s="12" t="s">
        <v>30</v>
      </c>
      <c r="K25" s="12" t="s">
        <v>30</v>
      </c>
    </row>
    <row r="26">
      <c r="A26" s="12" t="s">
        <v>129</v>
      </c>
      <c r="B26" s="12" t="s">
        <v>32</v>
      </c>
      <c r="C26" s="12" t="s">
        <v>33</v>
      </c>
      <c r="D26" s="12" t="s">
        <v>27</v>
      </c>
      <c r="E26" s="12" t="s">
        <v>130</v>
      </c>
      <c r="F26" s="12" t="s">
        <v>30</v>
      </c>
      <c r="G26" s="13">
        <v>45117.0</v>
      </c>
      <c r="H26" s="14" t="s">
        <v>131</v>
      </c>
      <c r="I26" s="12" t="s">
        <v>30</v>
      </c>
      <c r="J26" s="12" t="s">
        <v>30</v>
      </c>
      <c r="K26" s="12" t="s">
        <v>30</v>
      </c>
    </row>
    <row r="27">
      <c r="A27" s="12" t="s">
        <v>132</v>
      </c>
      <c r="B27" s="12" t="s">
        <v>37</v>
      </c>
      <c r="C27" s="12" t="s">
        <v>38</v>
      </c>
      <c r="D27" s="12" t="s">
        <v>27</v>
      </c>
      <c r="E27" s="12" t="s">
        <v>133</v>
      </c>
      <c r="F27" s="12" t="s">
        <v>30</v>
      </c>
      <c r="G27" s="13">
        <v>45118.0</v>
      </c>
      <c r="H27" s="15" t="s">
        <v>134</v>
      </c>
      <c r="I27" s="12" t="s">
        <v>30</v>
      </c>
      <c r="J27" s="12" t="s">
        <v>30</v>
      </c>
      <c r="K27" s="12" t="s">
        <v>135</v>
      </c>
    </row>
    <row r="28">
      <c r="A28" s="12" t="s">
        <v>136</v>
      </c>
      <c r="B28" s="12" t="s">
        <v>37</v>
      </c>
      <c r="C28" s="12" t="s">
        <v>38</v>
      </c>
      <c r="D28" s="12" t="s">
        <v>54</v>
      </c>
      <c r="E28" s="12" t="s">
        <v>137</v>
      </c>
      <c r="F28" s="13">
        <v>45107.0</v>
      </c>
      <c r="G28" s="13">
        <v>45118.0</v>
      </c>
      <c r="H28" s="15" t="s">
        <v>138</v>
      </c>
      <c r="I28" s="12" t="s">
        <v>30</v>
      </c>
      <c r="J28" s="12" t="s">
        <v>30</v>
      </c>
      <c r="K28" s="12" t="s">
        <v>139</v>
      </c>
    </row>
    <row r="29">
      <c r="A29" s="12" t="s">
        <v>140</v>
      </c>
      <c r="B29" s="12" t="s">
        <v>37</v>
      </c>
      <c r="C29" s="12" t="s">
        <v>38</v>
      </c>
      <c r="D29" s="12" t="s">
        <v>54</v>
      </c>
      <c r="E29" s="12" t="s">
        <v>141</v>
      </c>
      <c r="F29" s="13">
        <v>45112.0</v>
      </c>
      <c r="G29" s="13">
        <v>45146.0</v>
      </c>
      <c r="H29" s="14" t="s">
        <v>142</v>
      </c>
      <c r="I29" s="12" t="s">
        <v>30</v>
      </c>
      <c r="J29" s="12" t="s">
        <v>30</v>
      </c>
      <c r="K29" s="12" t="s">
        <v>143</v>
      </c>
    </row>
    <row r="30">
      <c r="A30" s="12" t="s">
        <v>144</v>
      </c>
      <c r="B30" s="12" t="s">
        <v>145</v>
      </c>
      <c r="C30" s="12" t="s">
        <v>146</v>
      </c>
      <c r="D30" s="12" t="s">
        <v>147</v>
      </c>
      <c r="E30" s="12" t="s">
        <v>148</v>
      </c>
      <c r="F30" s="13">
        <v>45106.0</v>
      </c>
      <c r="G30" s="13">
        <v>45133.0</v>
      </c>
      <c r="H30" s="14" t="s">
        <v>149</v>
      </c>
      <c r="I30" s="14" t="s">
        <v>150</v>
      </c>
      <c r="J30" s="12" t="s">
        <v>30</v>
      </c>
      <c r="K30" s="12" t="s">
        <v>72</v>
      </c>
    </row>
    <row r="31">
      <c r="A31" s="12" t="s">
        <v>151</v>
      </c>
      <c r="B31" s="12" t="s">
        <v>32</v>
      </c>
      <c r="C31" s="12" t="s">
        <v>79</v>
      </c>
      <c r="D31" s="12" t="s">
        <v>27</v>
      </c>
      <c r="E31" s="12" t="s">
        <v>152</v>
      </c>
      <c r="F31" s="12" t="s">
        <v>30</v>
      </c>
      <c r="G31" s="13">
        <v>45131.0</v>
      </c>
      <c r="H31" s="14" t="s">
        <v>153</v>
      </c>
      <c r="I31" s="12" t="s">
        <v>30</v>
      </c>
      <c r="J31" s="12" t="s">
        <v>30</v>
      </c>
      <c r="K31" s="12" t="s">
        <v>154</v>
      </c>
    </row>
    <row r="32">
      <c r="A32" s="12" t="s">
        <v>155</v>
      </c>
      <c r="B32" s="12" t="s">
        <v>32</v>
      </c>
      <c r="C32" s="12" t="s">
        <v>79</v>
      </c>
      <c r="D32" s="12" t="s">
        <v>27</v>
      </c>
      <c r="E32" s="12" t="s">
        <v>156</v>
      </c>
      <c r="F32" s="12" t="s">
        <v>30</v>
      </c>
      <c r="G32" s="13">
        <v>45131.0</v>
      </c>
      <c r="H32" s="14" t="s">
        <v>157</v>
      </c>
      <c r="I32" s="12" t="s">
        <v>30</v>
      </c>
      <c r="J32" s="12" t="s">
        <v>30</v>
      </c>
      <c r="K32" s="12" t="s">
        <v>158</v>
      </c>
    </row>
    <row r="33">
      <c r="A33" s="12" t="s">
        <v>159</v>
      </c>
      <c r="B33" s="12" t="s">
        <v>160</v>
      </c>
      <c r="C33" s="12" t="s">
        <v>160</v>
      </c>
      <c r="D33" s="12" t="s">
        <v>54</v>
      </c>
      <c r="E33" s="12" t="s">
        <v>161</v>
      </c>
      <c r="F33" s="13">
        <v>45117.0</v>
      </c>
      <c r="G33" s="13">
        <v>45140.0</v>
      </c>
      <c r="H33" s="14" t="s">
        <v>162</v>
      </c>
      <c r="I33" s="14" t="s">
        <v>163</v>
      </c>
      <c r="J33" s="14" t="s">
        <v>164</v>
      </c>
      <c r="K33" s="12" t="s">
        <v>165</v>
      </c>
    </row>
    <row r="34">
      <c r="A34" s="12" t="s">
        <v>166</v>
      </c>
      <c r="B34" s="12" t="s">
        <v>25</v>
      </c>
      <c r="C34" s="12" t="s">
        <v>53</v>
      </c>
      <c r="D34" s="12" t="s">
        <v>54</v>
      </c>
      <c r="E34" s="12" t="s">
        <v>167</v>
      </c>
      <c r="F34" s="12" t="s">
        <v>30</v>
      </c>
      <c r="G34" s="13">
        <v>45174.0</v>
      </c>
      <c r="H34" s="14" t="s">
        <v>168</v>
      </c>
      <c r="I34" s="12" t="s">
        <v>30</v>
      </c>
      <c r="J34" s="12" t="s">
        <v>30</v>
      </c>
      <c r="K34" s="12" t="s">
        <v>30</v>
      </c>
    </row>
    <row r="35">
      <c r="A35" s="12" t="s">
        <v>169</v>
      </c>
      <c r="B35" s="12" t="s">
        <v>25</v>
      </c>
      <c r="C35" s="12" t="s">
        <v>26</v>
      </c>
      <c r="D35" s="12" t="s">
        <v>27</v>
      </c>
      <c r="E35" s="12" t="s">
        <v>92</v>
      </c>
      <c r="F35" s="13">
        <v>45154.0</v>
      </c>
      <c r="G35" s="13">
        <v>45174.0</v>
      </c>
      <c r="H35" s="14" t="s">
        <v>170</v>
      </c>
      <c r="I35" s="16" t="s">
        <v>171</v>
      </c>
      <c r="J35" s="12" t="s">
        <v>30</v>
      </c>
      <c r="K35" s="12" t="s">
        <v>30</v>
      </c>
    </row>
    <row r="36">
      <c r="A36" s="12" t="s">
        <v>172</v>
      </c>
      <c r="B36" s="12" t="s">
        <v>32</v>
      </c>
      <c r="C36" s="12" t="s">
        <v>79</v>
      </c>
      <c r="D36" s="12" t="s">
        <v>27</v>
      </c>
      <c r="E36" s="12" t="s">
        <v>173</v>
      </c>
      <c r="F36" s="12" t="s">
        <v>30</v>
      </c>
      <c r="G36" s="13">
        <v>45176.0</v>
      </c>
      <c r="H36" s="14" t="s">
        <v>174</v>
      </c>
      <c r="I36" s="12" t="s">
        <v>30</v>
      </c>
      <c r="J36" s="12" t="s">
        <v>30</v>
      </c>
      <c r="K36" s="12" t="s">
        <v>175</v>
      </c>
    </row>
    <row r="37">
      <c r="A37" s="12" t="s">
        <v>176</v>
      </c>
      <c r="B37" s="12" t="s">
        <v>32</v>
      </c>
      <c r="C37" s="12" t="s">
        <v>79</v>
      </c>
      <c r="D37" s="12" t="s">
        <v>27</v>
      </c>
      <c r="E37" s="12" t="s">
        <v>177</v>
      </c>
      <c r="F37" s="12" t="s">
        <v>30</v>
      </c>
      <c r="G37" s="13">
        <v>45176.0</v>
      </c>
      <c r="H37" s="14" t="s">
        <v>174</v>
      </c>
      <c r="I37" s="12" t="s">
        <v>30</v>
      </c>
      <c r="J37" s="12" t="s">
        <v>30</v>
      </c>
      <c r="K37" s="12" t="s">
        <v>32</v>
      </c>
    </row>
    <row r="38">
      <c r="A38" s="12" t="s">
        <v>178</v>
      </c>
      <c r="B38" s="12" t="s">
        <v>25</v>
      </c>
      <c r="C38" s="12" t="s">
        <v>26</v>
      </c>
      <c r="D38" s="12" t="s">
        <v>27</v>
      </c>
      <c r="E38" s="12" t="s">
        <v>179</v>
      </c>
      <c r="F38" s="13">
        <v>45175.0</v>
      </c>
      <c r="G38" s="13">
        <v>45181.0</v>
      </c>
      <c r="H38" s="14" t="s">
        <v>180</v>
      </c>
      <c r="I38" s="14" t="s">
        <v>181</v>
      </c>
      <c r="J38" s="12" t="s">
        <v>30</v>
      </c>
      <c r="K38" s="12" t="s">
        <v>182</v>
      </c>
    </row>
    <row r="39">
      <c r="A39" s="12" t="s">
        <v>183</v>
      </c>
      <c r="B39" s="12" t="s">
        <v>184</v>
      </c>
      <c r="C39" s="12" t="s">
        <v>185</v>
      </c>
      <c r="D39" s="12" t="s">
        <v>27</v>
      </c>
      <c r="E39" s="12" t="s">
        <v>186</v>
      </c>
      <c r="F39" s="12" t="s">
        <v>30</v>
      </c>
      <c r="G39" s="13">
        <v>45181.0</v>
      </c>
      <c r="H39" s="14" t="s">
        <v>187</v>
      </c>
      <c r="I39" s="14" t="s">
        <v>188</v>
      </c>
      <c r="J39" s="14" t="s">
        <v>189</v>
      </c>
      <c r="K39" s="12" t="s">
        <v>30</v>
      </c>
    </row>
    <row r="40">
      <c r="A40" s="12" t="s">
        <v>190</v>
      </c>
      <c r="B40" s="12" t="s">
        <v>37</v>
      </c>
      <c r="C40" s="12" t="s">
        <v>38</v>
      </c>
      <c r="D40" s="12" t="s">
        <v>54</v>
      </c>
      <c r="E40" s="12" t="s">
        <v>191</v>
      </c>
      <c r="F40" s="12" t="s">
        <v>30</v>
      </c>
      <c r="G40" s="13">
        <v>45181.0</v>
      </c>
      <c r="H40" s="14" t="s">
        <v>192</v>
      </c>
      <c r="I40" s="14" t="s">
        <v>193</v>
      </c>
      <c r="J40" s="14" t="s">
        <v>194</v>
      </c>
      <c r="K40" s="12" t="s">
        <v>195</v>
      </c>
    </row>
    <row r="41">
      <c r="A41" s="12" t="s">
        <v>196</v>
      </c>
      <c r="B41" s="12" t="s">
        <v>37</v>
      </c>
      <c r="C41" s="12" t="s">
        <v>197</v>
      </c>
      <c r="D41" s="12" t="s">
        <v>30</v>
      </c>
      <c r="E41" s="12" t="s">
        <v>198</v>
      </c>
      <c r="F41" s="12" t="s">
        <v>30</v>
      </c>
      <c r="G41" s="13">
        <v>45181.0</v>
      </c>
      <c r="H41" s="14" t="s">
        <v>199</v>
      </c>
      <c r="I41" s="12" t="s">
        <v>30</v>
      </c>
      <c r="J41" s="12" t="s">
        <v>30</v>
      </c>
      <c r="K41" s="12" t="s">
        <v>200</v>
      </c>
    </row>
    <row r="42">
      <c r="A42" s="12" t="s">
        <v>201</v>
      </c>
      <c r="B42" s="12" t="s">
        <v>32</v>
      </c>
      <c r="C42" s="12" t="s">
        <v>79</v>
      </c>
      <c r="D42" s="12" t="s">
        <v>27</v>
      </c>
      <c r="E42" s="12" t="s">
        <v>202</v>
      </c>
      <c r="F42" s="13">
        <v>45181.0</v>
      </c>
      <c r="G42" s="13">
        <v>45190.0</v>
      </c>
      <c r="H42" s="14" t="s">
        <v>203</v>
      </c>
      <c r="I42" s="14" t="s">
        <v>171</v>
      </c>
      <c r="J42" s="12" t="s">
        <v>30</v>
      </c>
      <c r="K42" s="12" t="s">
        <v>204</v>
      </c>
    </row>
    <row r="43">
      <c r="A43" s="12" t="s">
        <v>205</v>
      </c>
      <c r="B43" s="12" t="s">
        <v>32</v>
      </c>
      <c r="C43" s="12" t="s">
        <v>79</v>
      </c>
      <c r="D43" s="12" t="s">
        <v>54</v>
      </c>
      <c r="E43" s="12" t="s">
        <v>206</v>
      </c>
      <c r="F43" s="13">
        <v>45181.0</v>
      </c>
      <c r="G43" s="13">
        <v>45190.0</v>
      </c>
      <c r="H43" s="14" t="s">
        <v>203</v>
      </c>
      <c r="I43" s="14" t="s">
        <v>171</v>
      </c>
      <c r="J43" s="12" t="s">
        <v>30</v>
      </c>
      <c r="K43" s="12" t="s">
        <v>204</v>
      </c>
    </row>
    <row r="44">
      <c r="A44" s="12" t="s">
        <v>207</v>
      </c>
      <c r="B44" s="12" t="s">
        <v>32</v>
      </c>
      <c r="C44" s="12" t="s">
        <v>33</v>
      </c>
      <c r="D44" s="12" t="s">
        <v>27</v>
      </c>
      <c r="E44" s="12" t="s">
        <v>208</v>
      </c>
      <c r="F44" s="13">
        <v>45181.0</v>
      </c>
      <c r="G44" s="13">
        <v>45190.0</v>
      </c>
      <c r="H44" s="14" t="s">
        <v>203</v>
      </c>
      <c r="I44" s="14" t="s">
        <v>171</v>
      </c>
      <c r="J44" s="12" t="s">
        <v>30</v>
      </c>
      <c r="K44" s="12" t="s">
        <v>204</v>
      </c>
    </row>
    <row r="45">
      <c r="A45" s="12" t="s">
        <v>209</v>
      </c>
      <c r="B45" s="12" t="s">
        <v>25</v>
      </c>
      <c r="C45" s="12" t="s">
        <v>26</v>
      </c>
      <c r="D45" s="12" t="s">
        <v>27</v>
      </c>
      <c r="E45" s="12" t="s">
        <v>210</v>
      </c>
      <c r="F45" s="13">
        <v>45194.0</v>
      </c>
      <c r="G45" s="13">
        <v>45196.0</v>
      </c>
      <c r="H45" s="14" t="s">
        <v>211</v>
      </c>
      <c r="I45" s="12" t="s">
        <v>30</v>
      </c>
      <c r="J45" s="12" t="s">
        <v>30</v>
      </c>
      <c r="K45" s="12" t="s">
        <v>118</v>
      </c>
    </row>
    <row r="46">
      <c r="A46" s="12" t="s">
        <v>212</v>
      </c>
      <c r="B46" s="12" t="s">
        <v>74</v>
      </c>
      <c r="C46" s="12" t="s">
        <v>53</v>
      </c>
      <c r="D46" s="12" t="s">
        <v>27</v>
      </c>
      <c r="E46" s="12" t="s">
        <v>213</v>
      </c>
      <c r="F46" s="12" t="s">
        <v>30</v>
      </c>
      <c r="G46" s="13">
        <v>45201.0</v>
      </c>
      <c r="H46" s="14" t="s">
        <v>76</v>
      </c>
      <c r="I46" s="12" t="s">
        <v>30</v>
      </c>
      <c r="J46" s="14" t="s">
        <v>214</v>
      </c>
      <c r="K46" s="12" t="s">
        <v>215</v>
      </c>
    </row>
    <row r="47">
      <c r="A47" s="12" t="s">
        <v>216</v>
      </c>
      <c r="B47" s="12" t="s">
        <v>217</v>
      </c>
      <c r="C47" s="12" t="s">
        <v>53</v>
      </c>
      <c r="D47" s="12" t="s">
        <v>27</v>
      </c>
      <c r="E47" s="12" t="s">
        <v>218</v>
      </c>
      <c r="F47" s="12" t="s">
        <v>30</v>
      </c>
      <c r="G47" s="13">
        <v>45264.0</v>
      </c>
      <c r="H47" s="14" t="s">
        <v>219</v>
      </c>
      <c r="I47" s="12" t="s">
        <v>30</v>
      </c>
      <c r="J47" s="14" t="s">
        <v>220</v>
      </c>
      <c r="K47" s="12" t="s">
        <v>118</v>
      </c>
    </row>
    <row r="48">
      <c r="A48" s="12" t="s">
        <v>221</v>
      </c>
      <c r="B48" s="12" t="s">
        <v>217</v>
      </c>
      <c r="C48" s="12" t="s">
        <v>53</v>
      </c>
      <c r="D48" s="12" t="s">
        <v>27</v>
      </c>
      <c r="E48" s="12" t="s">
        <v>218</v>
      </c>
      <c r="F48" s="12" t="s">
        <v>30</v>
      </c>
      <c r="G48" s="13">
        <v>45264.0</v>
      </c>
      <c r="H48" s="14" t="s">
        <v>219</v>
      </c>
      <c r="I48" s="12" t="s">
        <v>30</v>
      </c>
      <c r="J48" s="14" t="s">
        <v>222</v>
      </c>
      <c r="K48" s="12" t="s">
        <v>223</v>
      </c>
    </row>
    <row r="49">
      <c r="A49" s="12" t="s">
        <v>224</v>
      </c>
      <c r="B49" s="12" t="s">
        <v>217</v>
      </c>
      <c r="C49" s="12" t="s">
        <v>53</v>
      </c>
      <c r="D49" s="12" t="s">
        <v>27</v>
      </c>
      <c r="E49" s="12" t="s">
        <v>218</v>
      </c>
      <c r="F49" s="12" t="s">
        <v>30</v>
      </c>
      <c r="G49" s="13">
        <v>45264.0</v>
      </c>
      <c r="H49" s="14" t="s">
        <v>219</v>
      </c>
      <c r="I49" s="12" t="s">
        <v>30</v>
      </c>
      <c r="J49" s="12" t="s">
        <v>30</v>
      </c>
      <c r="K49" s="12" t="s">
        <v>30</v>
      </c>
    </row>
    <row r="50">
      <c r="A50" s="12" t="s">
        <v>225</v>
      </c>
      <c r="B50" s="12" t="s">
        <v>32</v>
      </c>
      <c r="C50" s="12" t="s">
        <v>79</v>
      </c>
      <c r="D50" s="12" t="s">
        <v>27</v>
      </c>
      <c r="E50" s="12" t="s">
        <v>226</v>
      </c>
      <c r="F50" s="12" t="s">
        <v>30</v>
      </c>
      <c r="G50" s="13">
        <v>45203.0</v>
      </c>
      <c r="H50" s="14" t="s">
        <v>227</v>
      </c>
      <c r="I50" s="12" t="s">
        <v>30</v>
      </c>
      <c r="J50" s="12" t="s">
        <v>30</v>
      </c>
      <c r="K50" s="12" t="s">
        <v>30</v>
      </c>
    </row>
    <row r="51">
      <c r="A51" s="12" t="s">
        <v>228</v>
      </c>
      <c r="B51" s="12" t="s">
        <v>229</v>
      </c>
      <c r="C51" s="12" t="s">
        <v>230</v>
      </c>
      <c r="D51" s="12" t="s">
        <v>54</v>
      </c>
      <c r="E51" s="12" t="s">
        <v>231</v>
      </c>
      <c r="F51" s="12" t="s">
        <v>30</v>
      </c>
      <c r="G51" s="13">
        <v>45203.0</v>
      </c>
      <c r="H51" s="14" t="s">
        <v>232</v>
      </c>
      <c r="I51" s="12" t="s">
        <v>30</v>
      </c>
      <c r="J51" s="12" t="s">
        <v>30</v>
      </c>
      <c r="K51" s="12" t="s">
        <v>30</v>
      </c>
    </row>
    <row r="52">
      <c r="A52" s="12" t="s">
        <v>233</v>
      </c>
      <c r="B52" s="12" t="s">
        <v>37</v>
      </c>
      <c r="C52" s="12" t="s">
        <v>38</v>
      </c>
      <c r="D52" s="12" t="s">
        <v>27</v>
      </c>
      <c r="E52" s="12" t="s">
        <v>234</v>
      </c>
      <c r="F52" s="12" t="s">
        <v>30</v>
      </c>
      <c r="G52" s="13">
        <v>45244.0</v>
      </c>
      <c r="H52" s="14" t="s">
        <v>235</v>
      </c>
      <c r="I52" s="12" t="s">
        <v>30</v>
      </c>
      <c r="J52" s="12" t="s">
        <v>30</v>
      </c>
      <c r="K52" s="12" t="s">
        <v>236</v>
      </c>
    </row>
    <row r="53">
      <c r="A53" s="12" t="s">
        <v>237</v>
      </c>
      <c r="B53" s="12" t="s">
        <v>37</v>
      </c>
      <c r="C53" s="12" t="s">
        <v>38</v>
      </c>
      <c r="D53" s="12" t="s">
        <v>27</v>
      </c>
      <c r="E53" s="12" t="s">
        <v>238</v>
      </c>
      <c r="F53" s="12" t="s">
        <v>30</v>
      </c>
      <c r="G53" s="13">
        <v>45244.0</v>
      </c>
      <c r="H53" s="14" t="s">
        <v>239</v>
      </c>
      <c r="I53" s="12" t="s">
        <v>30</v>
      </c>
      <c r="J53" s="14" t="s">
        <v>240</v>
      </c>
      <c r="K53" s="12" t="s">
        <v>241</v>
      </c>
    </row>
    <row r="54">
      <c r="A54" s="12" t="s">
        <v>242</v>
      </c>
      <c r="B54" s="12" t="s">
        <v>25</v>
      </c>
      <c r="C54" s="12" t="s">
        <v>26</v>
      </c>
      <c r="D54" s="12" t="s">
        <v>27</v>
      </c>
      <c r="E54" s="12" t="s">
        <v>243</v>
      </c>
      <c r="F54" s="13">
        <v>45254.0</v>
      </c>
      <c r="G54" s="13">
        <v>45258.0</v>
      </c>
      <c r="H54" s="14" t="s">
        <v>244</v>
      </c>
      <c r="I54" s="12" t="s">
        <v>30</v>
      </c>
      <c r="J54" s="12" t="s">
        <v>30</v>
      </c>
      <c r="K54" s="12" t="s">
        <v>245</v>
      </c>
    </row>
    <row r="55">
      <c r="A55" s="12" t="s">
        <v>246</v>
      </c>
      <c r="B55" s="12" t="s">
        <v>32</v>
      </c>
      <c r="C55" s="12" t="s">
        <v>33</v>
      </c>
      <c r="D55" s="12" t="s">
        <v>247</v>
      </c>
      <c r="E55" s="12" t="s">
        <v>248</v>
      </c>
      <c r="F55" s="12" t="s">
        <v>30</v>
      </c>
      <c r="G55" s="13">
        <v>45260.0</v>
      </c>
      <c r="H55" s="14" t="s">
        <v>249</v>
      </c>
      <c r="I55" s="12" t="s">
        <v>30</v>
      </c>
      <c r="J55" s="12" t="s">
        <v>30</v>
      </c>
      <c r="K55" s="12" t="s">
        <v>118</v>
      </c>
    </row>
    <row r="56">
      <c r="A56" s="12" t="s">
        <v>250</v>
      </c>
      <c r="B56" s="12" t="s">
        <v>32</v>
      </c>
      <c r="C56" s="12" t="s">
        <v>33</v>
      </c>
      <c r="D56" s="12" t="s">
        <v>27</v>
      </c>
      <c r="E56" s="12" t="s">
        <v>208</v>
      </c>
      <c r="F56" s="12" t="s">
        <v>30</v>
      </c>
      <c r="G56" s="13">
        <v>45260.0</v>
      </c>
      <c r="H56" s="14" t="s">
        <v>249</v>
      </c>
      <c r="I56" s="12" t="s">
        <v>30</v>
      </c>
      <c r="J56" s="12" t="s">
        <v>30</v>
      </c>
      <c r="K56" s="12" t="s">
        <v>118</v>
      </c>
    </row>
    <row r="57">
      <c r="A57" s="12" t="s">
        <v>251</v>
      </c>
      <c r="B57" s="12" t="s">
        <v>25</v>
      </c>
      <c r="C57" s="12" t="s">
        <v>26</v>
      </c>
      <c r="D57" s="12" t="s">
        <v>27</v>
      </c>
      <c r="E57" s="12" t="s">
        <v>252</v>
      </c>
      <c r="F57" s="13">
        <v>45279.0</v>
      </c>
      <c r="G57" s="13">
        <v>45280.0</v>
      </c>
      <c r="H57" s="14" t="s">
        <v>253</v>
      </c>
      <c r="I57" s="12" t="s">
        <v>30</v>
      </c>
      <c r="J57" s="12" t="s">
        <v>30</v>
      </c>
      <c r="K57" s="12" t="s">
        <v>254</v>
      </c>
    </row>
    <row r="81">
      <c r="A81" s="12" t="s">
        <v>255</v>
      </c>
    </row>
  </sheetData>
  <hyperlinks>
    <hyperlink r:id="rId1" ref="H2"/>
    <hyperlink r:id="rId2" ref="H3"/>
    <hyperlink r:id="rId3" ref="H4"/>
    <hyperlink r:id="rId4" ref="H5"/>
    <hyperlink r:id="rId5" ref="H6"/>
    <hyperlink r:id="rId6" ref="J6"/>
    <hyperlink r:id="rId7" ref="H7"/>
    <hyperlink r:id="rId8" ref="H8"/>
    <hyperlink r:id="rId9" ref="I8"/>
    <hyperlink r:id="rId10" location="2023-05-05-security-patch-level-vulnerability-details" ref="H9"/>
    <hyperlink r:id="rId11" ref="I9"/>
    <hyperlink r:id="rId12" ref="H10"/>
    <hyperlink r:id="rId13" ref="I10"/>
    <hyperlink r:id="rId14" ref="H11"/>
    <hyperlink r:id="rId15" ref="H12"/>
    <hyperlink r:id="rId16" ref="H13"/>
    <hyperlink r:id="rId17" ref="I13"/>
    <hyperlink r:id="rId18" ref="J13"/>
    <hyperlink r:id="rId19" ref="H14"/>
    <hyperlink r:id="rId20" ref="H15"/>
    <hyperlink r:id="rId21" ref="H16"/>
    <hyperlink r:id="rId22" ref="H17"/>
    <hyperlink r:id="rId23" ref="H18"/>
    <hyperlink r:id="rId24" ref="H19"/>
    <hyperlink r:id="rId25" ref="H20"/>
    <hyperlink r:id="rId26" ref="H21"/>
    <hyperlink r:id="rId27" ref="H22"/>
    <hyperlink r:id="rId28" ref="H23"/>
    <hyperlink r:id="rId29" ref="I23"/>
    <hyperlink r:id="rId30" ref="H24"/>
    <hyperlink r:id="rId31" ref="I24"/>
    <hyperlink r:id="rId32" ref="H25"/>
    <hyperlink r:id="rId33" ref="H26"/>
    <hyperlink r:id="rId34" ref="H27"/>
    <hyperlink r:id="rId35" ref="H28"/>
    <hyperlink r:id="rId36" ref="H29"/>
    <hyperlink r:id="rId37" ref="H30"/>
    <hyperlink r:id="rId38" ref="I30"/>
    <hyperlink r:id="rId39" ref="H31"/>
    <hyperlink r:id="rId40" ref="H32"/>
    <hyperlink r:id="rId41" ref="H33"/>
    <hyperlink r:id="rId42" ref="I33"/>
    <hyperlink r:id="rId43" ref="J33"/>
    <hyperlink r:id="rId44" ref="H34"/>
    <hyperlink r:id="rId45" ref="H35"/>
    <hyperlink r:id="rId46" ref="I35"/>
    <hyperlink r:id="rId47" ref="H36"/>
    <hyperlink r:id="rId48" ref="H37"/>
    <hyperlink r:id="rId49" ref="H38"/>
    <hyperlink r:id="rId50" ref="I38"/>
    <hyperlink r:id="rId51" ref="H39"/>
    <hyperlink r:id="rId52" ref="I39"/>
    <hyperlink r:id="rId53" ref="J39"/>
    <hyperlink r:id="rId54" ref="H40"/>
    <hyperlink r:id="rId55" ref="I40"/>
    <hyperlink r:id="rId56" ref="J40"/>
    <hyperlink r:id="rId57" ref="H41"/>
    <hyperlink r:id="rId58" ref="H42"/>
    <hyperlink r:id="rId59" ref="I42"/>
    <hyperlink r:id="rId60" ref="H43"/>
    <hyperlink r:id="rId61" ref="I43"/>
    <hyperlink r:id="rId62" ref="H44"/>
    <hyperlink r:id="rId63" ref="I44"/>
    <hyperlink r:id="rId64" ref="H45"/>
    <hyperlink r:id="rId65" ref="H46"/>
    <hyperlink r:id="rId66" ref="J46"/>
    <hyperlink r:id="rId67" ref="H47"/>
    <hyperlink r:id="rId68" ref="J47"/>
    <hyperlink r:id="rId69" ref="H48"/>
    <hyperlink r:id="rId70" ref="J48"/>
    <hyperlink r:id="rId71" ref="H49"/>
    <hyperlink r:id="rId72" ref="H50"/>
    <hyperlink r:id="rId73" ref="H51"/>
    <hyperlink r:id="rId74" ref="H52"/>
    <hyperlink r:id="rId75" ref="H53"/>
    <hyperlink r:id="rId76" ref="J53"/>
    <hyperlink r:id="rId77" ref="H54"/>
    <hyperlink r:id="rId78" ref="H55"/>
    <hyperlink r:id="rId79" ref="H56"/>
    <hyperlink r:id="rId80" ref="H57"/>
  </hyperlinks>
  <drawing r:id="rId8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4" max="4" width="15.25"/>
    <col customWidth="1" min="5" max="5" width="22.63"/>
  </cols>
  <sheetData>
    <row r="1">
      <c r="A1" s="7" t="s">
        <v>13</v>
      </c>
      <c r="B1" s="7" t="s">
        <v>14</v>
      </c>
      <c r="C1" s="7" t="s">
        <v>15</v>
      </c>
      <c r="D1" s="7" t="s">
        <v>16</v>
      </c>
      <c r="E1" s="7" t="s">
        <v>17</v>
      </c>
      <c r="F1" s="7" t="s">
        <v>18</v>
      </c>
      <c r="G1" s="7" t="s">
        <v>19</v>
      </c>
      <c r="H1" s="7" t="s">
        <v>20</v>
      </c>
      <c r="I1" s="11" t="s">
        <v>21</v>
      </c>
      <c r="J1" s="7" t="s">
        <v>22</v>
      </c>
      <c r="K1" s="8" t="s">
        <v>23</v>
      </c>
    </row>
    <row r="2">
      <c r="A2" s="12" t="s">
        <v>256</v>
      </c>
      <c r="B2" s="12" t="s">
        <v>98</v>
      </c>
      <c r="C2" s="12" t="s">
        <v>53</v>
      </c>
      <c r="D2" s="12" t="s">
        <v>27</v>
      </c>
      <c r="E2" s="12" t="s">
        <v>257</v>
      </c>
      <c r="F2" s="12" t="s">
        <v>30</v>
      </c>
      <c r="G2" s="17">
        <v>44562.0</v>
      </c>
      <c r="H2" s="14" t="s">
        <v>100</v>
      </c>
      <c r="I2" s="12" t="s">
        <v>30</v>
      </c>
      <c r="J2" s="14" t="s">
        <v>258</v>
      </c>
      <c r="K2" s="12" t="s">
        <v>259</v>
      </c>
    </row>
    <row r="3">
      <c r="A3" s="12" t="s">
        <v>260</v>
      </c>
      <c r="B3" s="12" t="s">
        <v>37</v>
      </c>
      <c r="C3" s="12" t="s">
        <v>38</v>
      </c>
      <c r="D3" s="12" t="s">
        <v>27</v>
      </c>
      <c r="E3" s="12" t="s">
        <v>106</v>
      </c>
      <c r="F3" s="12" t="s">
        <v>30</v>
      </c>
      <c r="G3" s="17">
        <v>44572.0</v>
      </c>
      <c r="H3" s="14" t="s">
        <v>261</v>
      </c>
      <c r="I3" s="12" t="s">
        <v>30</v>
      </c>
      <c r="J3" s="14" t="s">
        <v>262</v>
      </c>
      <c r="K3" s="12" t="s">
        <v>263</v>
      </c>
    </row>
    <row r="4">
      <c r="A4" s="12" t="s">
        <v>264</v>
      </c>
      <c r="B4" s="12" t="s">
        <v>32</v>
      </c>
      <c r="C4" s="12" t="s">
        <v>265</v>
      </c>
      <c r="D4" s="12" t="s">
        <v>27</v>
      </c>
      <c r="E4" s="12" t="s">
        <v>266</v>
      </c>
      <c r="F4" s="12" t="s">
        <v>30</v>
      </c>
      <c r="G4" s="13">
        <v>44587.0</v>
      </c>
      <c r="H4" s="14" t="s">
        <v>267</v>
      </c>
      <c r="I4" s="12" t="s">
        <v>30</v>
      </c>
      <c r="J4" s="12" t="s">
        <v>30</v>
      </c>
      <c r="K4" s="12" t="s">
        <v>268</v>
      </c>
    </row>
    <row r="5">
      <c r="A5" s="12" t="s">
        <v>269</v>
      </c>
      <c r="B5" s="12" t="s">
        <v>145</v>
      </c>
      <c r="C5" s="12" t="s">
        <v>270</v>
      </c>
      <c r="D5" s="12" t="s">
        <v>147</v>
      </c>
      <c r="E5" s="12" t="s">
        <v>271</v>
      </c>
      <c r="F5" s="13">
        <v>44546.0</v>
      </c>
      <c r="G5" s="13">
        <v>44597.0</v>
      </c>
      <c r="H5" s="14" t="s">
        <v>272</v>
      </c>
      <c r="I5" s="14" t="s">
        <v>273</v>
      </c>
      <c r="J5" s="18" t="s">
        <v>30</v>
      </c>
      <c r="K5" s="12" t="s">
        <v>274</v>
      </c>
    </row>
    <row r="6">
      <c r="A6" s="12" t="s">
        <v>275</v>
      </c>
      <c r="B6" s="12" t="s">
        <v>32</v>
      </c>
      <c r="C6" s="12" t="s">
        <v>33</v>
      </c>
      <c r="D6" s="12" t="s">
        <v>27</v>
      </c>
      <c r="E6" s="12" t="s">
        <v>276</v>
      </c>
      <c r="F6" s="12" t="s">
        <v>30</v>
      </c>
      <c r="G6" s="13">
        <v>44602.0</v>
      </c>
      <c r="H6" s="14" t="s">
        <v>277</v>
      </c>
      <c r="I6" s="14" t="s">
        <v>278</v>
      </c>
      <c r="J6" s="18" t="s">
        <v>279</v>
      </c>
      <c r="K6" s="12" t="s">
        <v>30</v>
      </c>
    </row>
    <row r="7">
      <c r="A7" s="12" t="s">
        <v>280</v>
      </c>
      <c r="B7" s="12" t="s">
        <v>25</v>
      </c>
      <c r="C7" s="12" t="s">
        <v>26</v>
      </c>
      <c r="D7" s="12" t="s">
        <v>27</v>
      </c>
      <c r="E7" s="12" t="s">
        <v>281</v>
      </c>
      <c r="F7" s="13">
        <v>44602.0</v>
      </c>
      <c r="G7" s="13">
        <v>44607.0</v>
      </c>
      <c r="H7" s="14" t="s">
        <v>282</v>
      </c>
      <c r="I7" s="14" t="s">
        <v>283</v>
      </c>
      <c r="J7" s="12" t="s">
        <v>30</v>
      </c>
      <c r="K7" s="12" t="s">
        <v>284</v>
      </c>
    </row>
    <row r="8">
      <c r="A8" s="12" t="s">
        <v>285</v>
      </c>
      <c r="B8" s="12" t="s">
        <v>286</v>
      </c>
      <c r="C8" s="12" t="s">
        <v>287</v>
      </c>
      <c r="D8" s="12" t="s">
        <v>27</v>
      </c>
      <c r="E8" s="12" t="s">
        <v>288</v>
      </c>
      <c r="F8" s="12" t="s">
        <v>289</v>
      </c>
      <c r="G8" s="13">
        <v>44625.0</v>
      </c>
      <c r="H8" s="18" t="s">
        <v>290</v>
      </c>
      <c r="I8" s="12" t="s">
        <v>30</v>
      </c>
      <c r="J8" s="12" t="s">
        <v>30</v>
      </c>
      <c r="K8" s="12" t="s">
        <v>291</v>
      </c>
    </row>
    <row r="9">
      <c r="A9" s="12" t="s">
        <v>292</v>
      </c>
      <c r="B9" s="12" t="s">
        <v>286</v>
      </c>
      <c r="C9" s="12" t="s">
        <v>287</v>
      </c>
      <c r="D9" s="12" t="s">
        <v>27</v>
      </c>
      <c r="E9" s="12" t="s">
        <v>293</v>
      </c>
      <c r="F9" s="12" t="s">
        <v>30</v>
      </c>
      <c r="G9" s="13">
        <v>44625.0</v>
      </c>
      <c r="H9" s="18" t="s">
        <v>290</v>
      </c>
      <c r="I9" s="12" t="s">
        <v>30</v>
      </c>
      <c r="J9" s="12" t="s">
        <v>30</v>
      </c>
      <c r="K9" s="12" t="s">
        <v>291</v>
      </c>
    </row>
    <row r="10">
      <c r="A10" s="12" t="s">
        <v>294</v>
      </c>
      <c r="B10" s="12" t="s">
        <v>25</v>
      </c>
      <c r="C10" s="12" t="s">
        <v>53</v>
      </c>
      <c r="D10" s="12" t="s">
        <v>27</v>
      </c>
      <c r="E10" s="12" t="s">
        <v>295</v>
      </c>
      <c r="F10" s="12" t="s">
        <v>30</v>
      </c>
      <c r="G10" s="13">
        <v>44627.0</v>
      </c>
      <c r="H10" s="14" t="s">
        <v>296</v>
      </c>
      <c r="I10" s="12" t="s">
        <v>30</v>
      </c>
      <c r="J10" s="12" t="s">
        <v>30</v>
      </c>
      <c r="K10" s="12" t="s">
        <v>30</v>
      </c>
    </row>
    <row r="11">
      <c r="A11" s="12" t="s">
        <v>297</v>
      </c>
      <c r="B11" s="12" t="s">
        <v>74</v>
      </c>
      <c r="C11" s="12" t="s">
        <v>53</v>
      </c>
      <c r="D11" s="12" t="s">
        <v>27</v>
      </c>
      <c r="E11" s="12" t="s">
        <v>298</v>
      </c>
      <c r="F11" s="12" t="s">
        <v>30</v>
      </c>
      <c r="G11" s="13">
        <v>44627.0</v>
      </c>
      <c r="H11" s="18" t="s">
        <v>296</v>
      </c>
      <c r="I11" s="12" t="s">
        <v>30</v>
      </c>
      <c r="J11" s="14" t="s">
        <v>299</v>
      </c>
      <c r="K11" s="12" t="s">
        <v>30</v>
      </c>
      <c r="L11" s="12" t="s">
        <v>300</v>
      </c>
    </row>
    <row r="12">
      <c r="A12" s="12" t="s">
        <v>301</v>
      </c>
      <c r="B12" s="12" t="s">
        <v>302</v>
      </c>
      <c r="C12" s="12" t="s">
        <v>303</v>
      </c>
      <c r="D12" s="12" t="s">
        <v>54</v>
      </c>
      <c r="E12" s="12" t="s">
        <v>304</v>
      </c>
      <c r="F12" s="12" t="s">
        <v>30</v>
      </c>
      <c r="G12" s="13">
        <v>44645.0</v>
      </c>
      <c r="H12" s="15" t="s">
        <v>305</v>
      </c>
      <c r="I12" s="14" t="s">
        <v>306</v>
      </c>
      <c r="J12" s="12" t="s">
        <v>30</v>
      </c>
      <c r="K12" s="12" t="s">
        <v>30</v>
      </c>
    </row>
    <row r="13">
      <c r="A13" s="12" t="s">
        <v>307</v>
      </c>
      <c r="B13" s="12" t="s">
        <v>25</v>
      </c>
      <c r="C13" s="12" t="s">
        <v>26</v>
      </c>
      <c r="D13" s="12" t="s">
        <v>27</v>
      </c>
      <c r="E13" s="12" t="s">
        <v>92</v>
      </c>
      <c r="F13" s="13">
        <v>44643.0</v>
      </c>
      <c r="G13" s="13">
        <v>44645.0</v>
      </c>
      <c r="H13" s="14" t="s">
        <v>308</v>
      </c>
      <c r="I13" s="12" t="s">
        <v>30</v>
      </c>
      <c r="J13" s="14" t="s">
        <v>309</v>
      </c>
      <c r="K13" s="12" t="s">
        <v>30</v>
      </c>
    </row>
    <row r="14">
      <c r="A14" s="12" t="s">
        <v>310</v>
      </c>
      <c r="B14" s="12" t="s">
        <v>32</v>
      </c>
      <c r="C14" s="12" t="s">
        <v>311</v>
      </c>
      <c r="D14" s="12" t="s">
        <v>27</v>
      </c>
      <c r="E14" s="12" t="s">
        <v>312</v>
      </c>
      <c r="F14" s="12" t="s">
        <v>30</v>
      </c>
      <c r="G14" s="13">
        <v>44651.0</v>
      </c>
      <c r="H14" s="14" t="s">
        <v>313</v>
      </c>
      <c r="I14" s="12" t="s">
        <v>30</v>
      </c>
      <c r="J14" s="12" t="s">
        <v>30</v>
      </c>
      <c r="K14" s="12" t="s">
        <v>30</v>
      </c>
    </row>
    <row r="15">
      <c r="A15" s="12" t="s">
        <v>314</v>
      </c>
      <c r="B15" s="12" t="s">
        <v>32</v>
      </c>
      <c r="C15" s="12" t="s">
        <v>265</v>
      </c>
      <c r="D15" s="12" t="s">
        <v>27</v>
      </c>
      <c r="E15" s="12" t="s">
        <v>315</v>
      </c>
      <c r="F15" s="12" t="s">
        <v>30</v>
      </c>
      <c r="G15" s="13">
        <v>44651.0</v>
      </c>
      <c r="H15" s="14" t="s">
        <v>313</v>
      </c>
      <c r="I15" s="12" t="s">
        <v>30</v>
      </c>
      <c r="J15" s="14" t="s">
        <v>316</v>
      </c>
      <c r="K15" s="12" t="s">
        <v>30</v>
      </c>
    </row>
    <row r="16">
      <c r="A16" s="12" t="s">
        <v>317</v>
      </c>
      <c r="B16" s="12" t="s">
        <v>318</v>
      </c>
      <c r="C16" s="12" t="s">
        <v>319</v>
      </c>
      <c r="D16" s="12" t="s">
        <v>54</v>
      </c>
      <c r="E16" s="12" t="s">
        <v>320</v>
      </c>
      <c r="F16" s="12" t="s">
        <v>30</v>
      </c>
      <c r="G16" s="13">
        <v>44651.0</v>
      </c>
      <c r="H16" s="14" t="s">
        <v>321</v>
      </c>
      <c r="I16" s="12" t="s">
        <v>30</v>
      </c>
      <c r="J16" s="12" t="s">
        <v>30</v>
      </c>
      <c r="K16" s="12" t="s">
        <v>322</v>
      </c>
    </row>
    <row r="17">
      <c r="A17" s="12" t="s">
        <v>323</v>
      </c>
      <c r="B17" s="12" t="s">
        <v>37</v>
      </c>
      <c r="C17" s="12" t="s">
        <v>38</v>
      </c>
      <c r="D17" s="12" t="s">
        <v>54</v>
      </c>
      <c r="E17" s="12" t="s">
        <v>324</v>
      </c>
      <c r="F17" s="12" t="s">
        <v>30</v>
      </c>
      <c r="G17" s="13">
        <v>44663.0</v>
      </c>
      <c r="H17" s="18" t="s">
        <v>325</v>
      </c>
      <c r="I17" s="14" t="s">
        <v>326</v>
      </c>
      <c r="J17" s="14" t="s">
        <v>327</v>
      </c>
      <c r="K17" s="12" t="s">
        <v>328</v>
      </c>
    </row>
    <row r="18">
      <c r="A18" s="12" t="s">
        <v>329</v>
      </c>
      <c r="B18" s="12" t="s">
        <v>25</v>
      </c>
      <c r="C18" s="12" t="s">
        <v>26</v>
      </c>
      <c r="D18" s="12" t="s">
        <v>27</v>
      </c>
      <c r="E18" s="12" t="s">
        <v>92</v>
      </c>
      <c r="F18" s="13">
        <v>44664.0</v>
      </c>
      <c r="G18" s="13">
        <v>44665.0</v>
      </c>
      <c r="H18" s="14" t="s">
        <v>330</v>
      </c>
      <c r="I18" s="12" t="s">
        <v>30</v>
      </c>
      <c r="J18" s="14" t="s">
        <v>331</v>
      </c>
      <c r="K18" s="12" t="s">
        <v>118</v>
      </c>
    </row>
    <row r="19">
      <c r="A19" s="12" t="s">
        <v>332</v>
      </c>
      <c r="B19" s="12" t="s">
        <v>37</v>
      </c>
      <c r="C19" s="12" t="s">
        <v>38</v>
      </c>
      <c r="D19" s="12" t="s">
        <v>54</v>
      </c>
      <c r="E19" s="12" t="s">
        <v>333</v>
      </c>
      <c r="F19" s="12" t="s">
        <v>30</v>
      </c>
      <c r="G19" s="13">
        <v>44691.0</v>
      </c>
      <c r="H19" s="14" t="s">
        <v>334</v>
      </c>
      <c r="I19" s="12" t="s">
        <v>30</v>
      </c>
      <c r="J19" s="12" t="s">
        <v>30</v>
      </c>
      <c r="K19" s="12" t="s">
        <v>335</v>
      </c>
    </row>
    <row r="20">
      <c r="A20" s="12" t="s">
        <v>336</v>
      </c>
      <c r="B20" s="12" t="s">
        <v>37</v>
      </c>
      <c r="C20" s="12" t="s">
        <v>38</v>
      </c>
      <c r="D20" s="12" t="s">
        <v>54</v>
      </c>
      <c r="E20" s="12" t="s">
        <v>337</v>
      </c>
      <c r="F20" s="12" t="s">
        <v>30</v>
      </c>
      <c r="G20" s="13">
        <v>44726.0</v>
      </c>
      <c r="H20" s="14" t="s">
        <v>338</v>
      </c>
      <c r="I20" s="14" t="s">
        <v>339</v>
      </c>
      <c r="J20" s="12" t="s">
        <v>30</v>
      </c>
      <c r="K20" s="12" t="s">
        <v>340</v>
      </c>
    </row>
    <row r="21">
      <c r="A21" s="12" t="s">
        <v>341</v>
      </c>
      <c r="B21" s="12" t="s">
        <v>229</v>
      </c>
      <c r="C21" s="12" t="s">
        <v>342</v>
      </c>
      <c r="D21" s="12" t="s">
        <v>54</v>
      </c>
      <c r="E21" s="12" t="s">
        <v>343</v>
      </c>
      <c r="F21" s="13">
        <v>44712.0</v>
      </c>
      <c r="G21" s="13">
        <v>44715.0</v>
      </c>
      <c r="H21" s="14" t="s">
        <v>344</v>
      </c>
      <c r="I21" s="14" t="s">
        <v>345</v>
      </c>
      <c r="J21" s="12" t="s">
        <v>30</v>
      </c>
      <c r="K21" s="12" t="s">
        <v>274</v>
      </c>
    </row>
    <row r="22">
      <c r="A22" s="12" t="s">
        <v>346</v>
      </c>
      <c r="B22" s="12" t="s">
        <v>25</v>
      </c>
      <c r="C22" s="12" t="s">
        <v>26</v>
      </c>
      <c r="D22" s="12" t="s">
        <v>27</v>
      </c>
      <c r="E22" s="12" t="s">
        <v>347</v>
      </c>
      <c r="F22" s="13">
        <v>44743.0</v>
      </c>
      <c r="G22" s="13">
        <v>44746.0</v>
      </c>
      <c r="H22" s="14" t="s">
        <v>348</v>
      </c>
      <c r="I22" s="12" t="s">
        <v>30</v>
      </c>
      <c r="J22" s="14" t="s">
        <v>349</v>
      </c>
      <c r="K22" s="12" t="s">
        <v>350</v>
      </c>
    </row>
    <row r="23">
      <c r="A23" s="12" t="s">
        <v>351</v>
      </c>
      <c r="B23" s="12" t="s">
        <v>37</v>
      </c>
      <c r="C23" s="12" t="s">
        <v>38</v>
      </c>
      <c r="D23" s="12" t="s">
        <v>54</v>
      </c>
      <c r="E23" s="12" t="s">
        <v>352</v>
      </c>
      <c r="F23" s="12" t="s">
        <v>30</v>
      </c>
      <c r="G23" s="13">
        <v>44754.0</v>
      </c>
      <c r="H23" s="14" t="s">
        <v>353</v>
      </c>
      <c r="I23" s="14" t="s">
        <v>354</v>
      </c>
      <c r="J23" s="12" t="s">
        <v>30</v>
      </c>
      <c r="K23" s="12" t="s">
        <v>355</v>
      </c>
    </row>
    <row r="24">
      <c r="A24" s="12" t="s">
        <v>356</v>
      </c>
      <c r="B24" s="12" t="s">
        <v>25</v>
      </c>
      <c r="C24" s="12" t="s">
        <v>26</v>
      </c>
      <c r="D24" s="12" t="s">
        <v>54</v>
      </c>
      <c r="E24" s="12" t="s">
        <v>357</v>
      </c>
      <c r="F24" s="13">
        <v>44761.0</v>
      </c>
      <c r="G24" s="13">
        <v>44789.0</v>
      </c>
      <c r="H24" s="14" t="s">
        <v>358</v>
      </c>
      <c r="I24" s="12" t="s">
        <v>30</v>
      </c>
      <c r="J24" s="12" t="s">
        <v>30</v>
      </c>
      <c r="K24" s="12" t="s">
        <v>359</v>
      </c>
    </row>
    <row r="25">
      <c r="A25" s="12" t="s">
        <v>360</v>
      </c>
      <c r="B25" s="12" t="s">
        <v>32</v>
      </c>
      <c r="C25" s="12" t="s">
        <v>265</v>
      </c>
      <c r="D25" s="12" t="s">
        <v>27</v>
      </c>
      <c r="E25" s="12" t="s">
        <v>361</v>
      </c>
      <c r="F25" s="12" t="s">
        <v>30</v>
      </c>
      <c r="G25" s="13">
        <v>44790.0</v>
      </c>
      <c r="H25" s="15" t="s">
        <v>362</v>
      </c>
      <c r="I25" s="12" t="s">
        <v>30</v>
      </c>
      <c r="J25" s="12" t="s">
        <v>30</v>
      </c>
      <c r="K25" s="12" t="s">
        <v>30</v>
      </c>
    </row>
    <row r="26">
      <c r="A26" s="12" t="s">
        <v>363</v>
      </c>
      <c r="B26" s="12" t="s">
        <v>32</v>
      </c>
      <c r="C26" s="12" t="s">
        <v>33</v>
      </c>
      <c r="D26" s="12" t="s">
        <v>27</v>
      </c>
      <c r="E26" s="12" t="s">
        <v>186</v>
      </c>
      <c r="F26" s="12" t="s">
        <v>30</v>
      </c>
      <c r="G26" s="13">
        <v>44790.0</v>
      </c>
      <c r="H26" s="15" t="s">
        <v>362</v>
      </c>
      <c r="I26" s="12" t="s">
        <v>30</v>
      </c>
      <c r="J26" s="12" t="s">
        <v>30</v>
      </c>
      <c r="K26" s="12" t="s">
        <v>30</v>
      </c>
    </row>
    <row r="27">
      <c r="A27" s="12" t="s">
        <v>364</v>
      </c>
      <c r="B27" s="12" t="s">
        <v>25</v>
      </c>
      <c r="C27" s="12" t="s">
        <v>26</v>
      </c>
      <c r="D27" s="12" t="s">
        <v>54</v>
      </c>
      <c r="E27" s="12" t="s">
        <v>365</v>
      </c>
      <c r="F27" s="13">
        <v>44803.0</v>
      </c>
      <c r="G27" s="13">
        <v>44806.0</v>
      </c>
      <c r="H27" s="14" t="s">
        <v>366</v>
      </c>
      <c r="I27" s="12" t="s">
        <v>30</v>
      </c>
      <c r="J27" s="12" t="s">
        <v>30</v>
      </c>
      <c r="K27" s="12" t="s">
        <v>30</v>
      </c>
    </row>
    <row r="28">
      <c r="A28" s="12" t="s">
        <v>367</v>
      </c>
      <c r="B28" s="12" t="s">
        <v>302</v>
      </c>
      <c r="C28" s="12" t="s">
        <v>303</v>
      </c>
      <c r="D28" s="12" t="s">
        <v>54</v>
      </c>
      <c r="E28" s="12" t="s">
        <v>368</v>
      </c>
      <c r="F28" s="13">
        <v>44820.0</v>
      </c>
      <c r="G28" s="13">
        <v>44827.0</v>
      </c>
      <c r="H28" s="14" t="s">
        <v>369</v>
      </c>
      <c r="I28" s="14" t="s">
        <v>370</v>
      </c>
      <c r="J28" s="12" t="s">
        <v>30</v>
      </c>
      <c r="K28" s="12" t="s">
        <v>371</v>
      </c>
    </row>
    <row r="29">
      <c r="A29" s="12" t="s">
        <v>372</v>
      </c>
      <c r="B29" s="12" t="s">
        <v>32</v>
      </c>
      <c r="C29" s="12" t="s">
        <v>265</v>
      </c>
      <c r="D29" s="12" t="s">
        <v>27</v>
      </c>
      <c r="E29" s="12" t="s">
        <v>373</v>
      </c>
      <c r="F29" s="12" t="s">
        <v>30</v>
      </c>
      <c r="G29" s="13">
        <v>44816.0</v>
      </c>
      <c r="H29" s="14" t="s">
        <v>374</v>
      </c>
      <c r="I29" s="12" t="s">
        <v>30</v>
      </c>
      <c r="J29" s="14" t="s">
        <v>375</v>
      </c>
      <c r="K29" s="12" t="s">
        <v>30</v>
      </c>
    </row>
    <row r="30">
      <c r="A30" s="12" t="s">
        <v>376</v>
      </c>
      <c r="B30" s="12" t="s">
        <v>37</v>
      </c>
      <c r="C30" s="12" t="s">
        <v>38</v>
      </c>
      <c r="D30" s="12" t="s">
        <v>27</v>
      </c>
      <c r="E30" s="12" t="s">
        <v>377</v>
      </c>
      <c r="F30" s="12" t="s">
        <v>30</v>
      </c>
      <c r="G30" s="13">
        <v>44845.0</v>
      </c>
      <c r="H30" s="14" t="s">
        <v>378</v>
      </c>
      <c r="I30" s="12" t="s">
        <v>30</v>
      </c>
      <c r="J30" s="14" t="s">
        <v>379</v>
      </c>
      <c r="K30" s="12" t="s">
        <v>30</v>
      </c>
    </row>
    <row r="31">
      <c r="A31" s="12" t="s">
        <v>380</v>
      </c>
      <c r="B31" s="12" t="s">
        <v>32</v>
      </c>
      <c r="C31" s="12" t="s">
        <v>79</v>
      </c>
      <c r="D31" s="12" t="s">
        <v>27</v>
      </c>
      <c r="E31" s="12" t="s">
        <v>381</v>
      </c>
      <c r="F31" s="12" t="s">
        <v>30</v>
      </c>
      <c r="G31" s="13">
        <v>44858.0</v>
      </c>
      <c r="H31" s="14" t="s">
        <v>382</v>
      </c>
      <c r="I31" s="12" t="s">
        <v>30</v>
      </c>
      <c r="J31" s="12" t="s">
        <v>30</v>
      </c>
      <c r="K31" s="12" t="s">
        <v>30</v>
      </c>
    </row>
    <row r="32">
      <c r="A32" s="12" t="s">
        <v>383</v>
      </c>
      <c r="B32" s="12" t="s">
        <v>25</v>
      </c>
      <c r="C32" s="12" t="s">
        <v>26</v>
      </c>
      <c r="D32" s="12" t="s">
        <v>27</v>
      </c>
      <c r="E32" s="12" t="s">
        <v>92</v>
      </c>
      <c r="F32" s="13">
        <v>44859.0</v>
      </c>
      <c r="G32" s="13">
        <v>44861.0</v>
      </c>
      <c r="H32" s="14" t="s">
        <v>384</v>
      </c>
      <c r="I32" s="12" t="s">
        <v>30</v>
      </c>
      <c r="J32" s="14" t="s">
        <v>385</v>
      </c>
      <c r="K32" s="12" t="s">
        <v>386</v>
      </c>
    </row>
    <row r="33">
      <c r="A33" s="12" t="s">
        <v>387</v>
      </c>
      <c r="B33" s="12" t="s">
        <v>37</v>
      </c>
      <c r="C33" s="12" t="s">
        <v>388</v>
      </c>
      <c r="D33" s="12" t="s">
        <v>54</v>
      </c>
      <c r="E33" s="12" t="s">
        <v>389</v>
      </c>
      <c r="F33" s="12" t="s">
        <v>30</v>
      </c>
      <c r="G33" s="13">
        <v>44873.0</v>
      </c>
      <c r="H33" s="14" t="s">
        <v>390</v>
      </c>
      <c r="I33" s="12" t="s">
        <v>30</v>
      </c>
      <c r="J33" s="12" t="s">
        <v>30</v>
      </c>
      <c r="K33" s="12" t="s">
        <v>391</v>
      </c>
    </row>
    <row r="34">
      <c r="A34" s="12" t="s">
        <v>392</v>
      </c>
      <c r="B34" s="12" t="s">
        <v>37</v>
      </c>
      <c r="C34" s="12" t="s">
        <v>388</v>
      </c>
      <c r="D34" s="12" t="s">
        <v>54</v>
      </c>
      <c r="E34" s="12" t="s">
        <v>393</v>
      </c>
      <c r="F34" s="12" t="s">
        <v>30</v>
      </c>
      <c r="G34" s="13">
        <v>44873.0</v>
      </c>
      <c r="H34" s="14" t="s">
        <v>394</v>
      </c>
      <c r="I34" s="12" t="s">
        <v>30</v>
      </c>
      <c r="J34" s="12" t="s">
        <v>30</v>
      </c>
      <c r="K34" s="12" t="s">
        <v>395</v>
      </c>
    </row>
    <row r="35">
      <c r="A35" s="12" t="s">
        <v>396</v>
      </c>
      <c r="B35" s="12" t="s">
        <v>37</v>
      </c>
      <c r="C35" s="12" t="s">
        <v>397</v>
      </c>
      <c r="D35" s="12" t="s">
        <v>27</v>
      </c>
      <c r="E35" s="12" t="s">
        <v>398</v>
      </c>
      <c r="F35" s="12" t="s">
        <v>30</v>
      </c>
      <c r="G35" s="13">
        <v>44873.0</v>
      </c>
      <c r="H35" s="14" t="s">
        <v>399</v>
      </c>
      <c r="I35" s="12" t="s">
        <v>30</v>
      </c>
      <c r="J35" s="14" t="s">
        <v>400</v>
      </c>
      <c r="K35" s="12" t="s">
        <v>401</v>
      </c>
    </row>
    <row r="36">
      <c r="A36" s="12" t="s">
        <v>402</v>
      </c>
      <c r="B36" s="12" t="s">
        <v>37</v>
      </c>
      <c r="C36" s="12" t="s">
        <v>38</v>
      </c>
      <c r="D36" s="12" t="s">
        <v>54</v>
      </c>
      <c r="E36" s="12" t="s">
        <v>403</v>
      </c>
      <c r="F36" s="12" t="s">
        <v>30</v>
      </c>
      <c r="G36" s="13">
        <v>44873.0</v>
      </c>
      <c r="H36" s="14" t="s">
        <v>404</v>
      </c>
      <c r="I36" s="12" t="s">
        <v>30</v>
      </c>
      <c r="J36" s="14" t="s">
        <v>405</v>
      </c>
      <c r="K36" s="12" t="s">
        <v>135</v>
      </c>
    </row>
    <row r="37">
      <c r="A37" s="12" t="s">
        <v>406</v>
      </c>
      <c r="B37" s="12" t="s">
        <v>37</v>
      </c>
      <c r="C37" s="12" t="s">
        <v>38</v>
      </c>
      <c r="D37" s="12" t="s">
        <v>27</v>
      </c>
      <c r="E37" s="12" t="s">
        <v>407</v>
      </c>
      <c r="F37" s="12" t="s">
        <v>30</v>
      </c>
      <c r="G37" s="13">
        <v>44873.0</v>
      </c>
      <c r="H37" s="14" t="s">
        <v>408</v>
      </c>
      <c r="I37" s="12" t="s">
        <v>30</v>
      </c>
      <c r="J37" s="12" t="s">
        <v>30</v>
      </c>
      <c r="K37" s="12" t="s">
        <v>355</v>
      </c>
    </row>
    <row r="38">
      <c r="A38" s="12" t="s">
        <v>409</v>
      </c>
      <c r="B38" s="12" t="s">
        <v>25</v>
      </c>
      <c r="C38" s="12" t="s">
        <v>26</v>
      </c>
      <c r="D38" s="12" t="s">
        <v>27</v>
      </c>
      <c r="E38" s="12" t="s">
        <v>410</v>
      </c>
      <c r="F38" s="13">
        <v>44887.0</v>
      </c>
      <c r="G38" s="13">
        <v>44889.0</v>
      </c>
      <c r="H38" s="14" t="s">
        <v>411</v>
      </c>
      <c r="I38" s="14" t="s">
        <v>71</v>
      </c>
      <c r="J38" s="14" t="s">
        <v>412</v>
      </c>
      <c r="K38" s="12" t="s">
        <v>413</v>
      </c>
    </row>
    <row r="39">
      <c r="A39" s="12" t="s">
        <v>414</v>
      </c>
      <c r="B39" s="12" t="s">
        <v>32</v>
      </c>
      <c r="C39" s="12" t="s">
        <v>33</v>
      </c>
      <c r="D39" s="12" t="s">
        <v>27</v>
      </c>
      <c r="E39" s="12" t="s">
        <v>128</v>
      </c>
      <c r="F39" s="12" t="s">
        <v>30</v>
      </c>
      <c r="G39" s="13">
        <v>44895.0</v>
      </c>
      <c r="H39" s="14" t="s">
        <v>415</v>
      </c>
      <c r="I39" s="14" t="s">
        <v>71</v>
      </c>
      <c r="J39" s="12" t="s">
        <v>30</v>
      </c>
      <c r="K39" s="12" t="s">
        <v>118</v>
      </c>
    </row>
    <row r="40">
      <c r="A40" s="12" t="s">
        <v>416</v>
      </c>
      <c r="B40" s="12" t="s">
        <v>25</v>
      </c>
      <c r="C40" s="12" t="s">
        <v>26</v>
      </c>
      <c r="D40" s="12" t="s">
        <v>27</v>
      </c>
      <c r="E40" s="12" t="s">
        <v>92</v>
      </c>
      <c r="F40" s="13">
        <v>44894.0</v>
      </c>
      <c r="G40" s="13">
        <v>44897.0</v>
      </c>
      <c r="H40" s="14" t="s">
        <v>417</v>
      </c>
      <c r="I40" s="14" t="s">
        <v>71</v>
      </c>
      <c r="J40" s="14" t="s">
        <v>418</v>
      </c>
      <c r="K40" s="12" t="s">
        <v>413</v>
      </c>
    </row>
    <row r="41">
      <c r="A41" s="12" t="s">
        <v>419</v>
      </c>
      <c r="B41" s="12" t="s">
        <v>420</v>
      </c>
      <c r="C41" s="12" t="s">
        <v>421</v>
      </c>
      <c r="D41" s="12" t="s">
        <v>27</v>
      </c>
      <c r="E41" s="12" t="s">
        <v>422</v>
      </c>
      <c r="F41" s="12" t="s">
        <v>30</v>
      </c>
      <c r="G41" s="13">
        <v>44907.0</v>
      </c>
      <c r="H41" s="14" t="s">
        <v>423</v>
      </c>
      <c r="I41" s="12" t="s">
        <v>30</v>
      </c>
      <c r="J41" s="12" t="s">
        <v>30</v>
      </c>
      <c r="K41" s="12" t="s">
        <v>30</v>
      </c>
    </row>
    <row r="42">
      <c r="A42" s="12" t="s">
        <v>424</v>
      </c>
      <c r="B42" s="12" t="s">
        <v>425</v>
      </c>
      <c r="C42" s="12" t="s">
        <v>426</v>
      </c>
      <c r="D42" s="12" t="s">
        <v>54</v>
      </c>
      <c r="E42" s="12" t="s">
        <v>427</v>
      </c>
      <c r="F42" s="12" t="s">
        <v>30</v>
      </c>
      <c r="G42" s="13">
        <v>44908.0</v>
      </c>
      <c r="H42" s="14" t="s">
        <v>428</v>
      </c>
      <c r="I42" s="12" t="s">
        <v>30</v>
      </c>
      <c r="J42" s="12" t="s">
        <v>30</v>
      </c>
      <c r="K42" s="12" t="s">
        <v>30</v>
      </c>
    </row>
  </sheetData>
  <hyperlinks>
    <hyperlink r:id="rId1" ref="H2"/>
    <hyperlink r:id="rId2" ref="J2"/>
    <hyperlink r:id="rId3" ref="H3"/>
    <hyperlink r:id="rId4" ref="J3"/>
    <hyperlink r:id="rId5" ref="H4"/>
    <hyperlink r:id="rId6" location="Security_Hotfix_Alert" ref="H5"/>
    <hyperlink r:id="rId7" ref="I5"/>
    <hyperlink r:id="rId8" ref="H6"/>
    <hyperlink r:id="rId9" ref="I6"/>
    <hyperlink r:id="rId10" ref="J6"/>
    <hyperlink r:id="rId11" ref="H7"/>
    <hyperlink r:id="rId12" ref="I7"/>
    <hyperlink r:id="rId13" ref="H8"/>
    <hyperlink r:id="rId14" ref="H9"/>
    <hyperlink r:id="rId15" ref="H10"/>
    <hyperlink r:id="rId16" ref="H11"/>
    <hyperlink r:id="rId17" ref="J11"/>
    <hyperlink r:id="rId18" ref="H12"/>
    <hyperlink r:id="rId19" ref="I12"/>
    <hyperlink r:id="rId20" ref="H13"/>
    <hyperlink r:id="rId21" ref="J13"/>
    <hyperlink r:id="rId22" ref="H14"/>
    <hyperlink r:id="rId23" ref="H15"/>
    <hyperlink r:id="rId24" ref="J15"/>
    <hyperlink r:id="rId25" ref="H16"/>
    <hyperlink r:id="rId26" ref="H17"/>
    <hyperlink r:id="rId27" ref="I17"/>
    <hyperlink r:id="rId28" ref="J17"/>
    <hyperlink r:id="rId29" ref="H18"/>
    <hyperlink r:id="rId30" ref="J18"/>
    <hyperlink r:id="rId31" ref="H19"/>
    <hyperlink r:id="rId32" ref="H20"/>
    <hyperlink r:id="rId33" ref="I20"/>
    <hyperlink r:id="rId34" ref="H21"/>
    <hyperlink r:id="rId35" ref="I21"/>
    <hyperlink r:id="rId36" ref="H22"/>
    <hyperlink r:id="rId37" ref="J22"/>
    <hyperlink r:id="rId38" ref="H23"/>
    <hyperlink r:id="rId39" ref="I23"/>
    <hyperlink r:id="rId40" ref="H24"/>
    <hyperlink r:id="rId41" ref="H25"/>
    <hyperlink r:id="rId42" ref="H26"/>
    <hyperlink r:id="rId43" ref="H27"/>
    <hyperlink r:id="rId44" ref="H28"/>
    <hyperlink r:id="rId45" ref="I28"/>
    <hyperlink r:id="rId46" ref="H29"/>
    <hyperlink r:id="rId47" ref="J29"/>
    <hyperlink r:id="rId48" ref="H30"/>
    <hyperlink r:id="rId49" ref="J30"/>
    <hyperlink r:id="rId50" ref="H31"/>
    <hyperlink r:id="rId51" ref="H32"/>
    <hyperlink r:id="rId52" ref="J32"/>
    <hyperlink r:id="rId53" ref="H33"/>
    <hyperlink r:id="rId54" ref="H34"/>
    <hyperlink r:id="rId55" ref="H35"/>
    <hyperlink r:id="rId56" ref="J35"/>
    <hyperlink r:id="rId57" ref="H36"/>
    <hyperlink r:id="rId58" ref="J36"/>
    <hyperlink r:id="rId59" ref="H37"/>
    <hyperlink r:id="rId60" ref="H38"/>
    <hyperlink r:id="rId61" ref="I38"/>
    <hyperlink r:id="rId62" ref="J38"/>
    <hyperlink r:id="rId63" ref="H39"/>
    <hyperlink r:id="rId64" ref="I39"/>
    <hyperlink r:id="rId65" ref="H40"/>
    <hyperlink r:id="rId66" ref="I40"/>
    <hyperlink r:id="rId67" ref="J40"/>
    <hyperlink r:id="rId68" ref="H41"/>
    <hyperlink r:id="rId69" ref="H42"/>
  </hyperlinks>
  <drawing r:id="rId7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38"/>
    <col customWidth="1" min="2" max="2" width="9.25"/>
    <col customWidth="1" min="3" max="3" width="15.0"/>
    <col customWidth="1" min="4" max="4" width="14.88"/>
    <col customWidth="1" min="5" max="5" width="34.75"/>
    <col customWidth="1" min="6" max="6" width="13.75"/>
    <col customWidth="1" min="7" max="7" width="11.25"/>
    <col customWidth="1" min="10" max="10" width="16.5"/>
  </cols>
  <sheetData>
    <row r="1">
      <c r="A1" s="7" t="s">
        <v>13</v>
      </c>
      <c r="B1" s="7" t="s">
        <v>14</v>
      </c>
      <c r="C1" s="7" t="s">
        <v>15</v>
      </c>
      <c r="D1" s="7" t="s">
        <v>16</v>
      </c>
      <c r="E1" s="7" t="s">
        <v>17</v>
      </c>
      <c r="F1" s="7" t="s">
        <v>18</v>
      </c>
      <c r="G1" s="7" t="s">
        <v>19</v>
      </c>
      <c r="H1" s="7" t="s">
        <v>20</v>
      </c>
      <c r="I1" s="11" t="s">
        <v>21</v>
      </c>
      <c r="J1" s="7" t="s">
        <v>22</v>
      </c>
      <c r="K1" s="19" t="s">
        <v>23</v>
      </c>
    </row>
    <row r="2">
      <c r="A2" s="20" t="s">
        <v>429</v>
      </c>
      <c r="B2" s="21" t="s">
        <v>217</v>
      </c>
      <c r="C2" s="20" t="s">
        <v>53</v>
      </c>
      <c r="D2" s="20" t="s">
        <v>54</v>
      </c>
      <c r="E2" s="21" t="s">
        <v>430</v>
      </c>
      <c r="F2" s="22">
        <v>44032.0</v>
      </c>
      <c r="G2" s="23">
        <v>44200.0</v>
      </c>
      <c r="H2" s="24" t="s">
        <v>431</v>
      </c>
      <c r="I2" s="25" t="s">
        <v>30</v>
      </c>
      <c r="J2" s="21" t="s">
        <v>30</v>
      </c>
      <c r="K2" s="26" t="s">
        <v>432</v>
      </c>
      <c r="L2" s="12" t="s">
        <v>433</v>
      </c>
    </row>
    <row r="3">
      <c r="A3" s="20" t="s">
        <v>434</v>
      </c>
      <c r="B3" s="20" t="s">
        <v>37</v>
      </c>
      <c r="C3" s="20" t="s">
        <v>435</v>
      </c>
      <c r="D3" s="20" t="s">
        <v>27</v>
      </c>
      <c r="E3" s="20" t="s">
        <v>436</v>
      </c>
      <c r="F3" s="20" t="s">
        <v>30</v>
      </c>
      <c r="G3" s="23">
        <v>44208.0</v>
      </c>
      <c r="H3" s="24" t="s">
        <v>437</v>
      </c>
      <c r="I3" s="25" t="s">
        <v>30</v>
      </c>
      <c r="J3" s="27" t="s">
        <v>438</v>
      </c>
      <c r="K3" s="25" t="s">
        <v>30</v>
      </c>
      <c r="L3" s="12" t="s">
        <v>433</v>
      </c>
    </row>
    <row r="4">
      <c r="A4" s="20" t="s">
        <v>439</v>
      </c>
      <c r="B4" s="20" t="s">
        <v>78</v>
      </c>
      <c r="C4" s="20" t="s">
        <v>79</v>
      </c>
      <c r="D4" s="20" t="s">
        <v>27</v>
      </c>
      <c r="E4" s="20" t="s">
        <v>440</v>
      </c>
      <c r="F4" s="20" t="s">
        <v>30</v>
      </c>
      <c r="G4" s="23">
        <v>44222.0</v>
      </c>
      <c r="H4" s="24" t="s">
        <v>441</v>
      </c>
      <c r="I4" s="28" t="s">
        <v>442</v>
      </c>
      <c r="J4" s="21" t="s">
        <v>30</v>
      </c>
      <c r="K4" s="25" t="s">
        <v>30</v>
      </c>
      <c r="L4" s="12" t="s">
        <v>433</v>
      </c>
    </row>
    <row r="5">
      <c r="A5" s="20" t="s">
        <v>443</v>
      </c>
      <c r="B5" s="20" t="s">
        <v>78</v>
      </c>
      <c r="C5" s="21" t="s">
        <v>33</v>
      </c>
      <c r="D5" s="20" t="s">
        <v>54</v>
      </c>
      <c r="E5" s="20" t="s">
        <v>444</v>
      </c>
      <c r="F5" s="20" t="s">
        <v>30</v>
      </c>
      <c r="G5" s="23">
        <v>44222.0</v>
      </c>
      <c r="H5" s="24" t="s">
        <v>441</v>
      </c>
      <c r="I5" s="25" t="s">
        <v>30</v>
      </c>
      <c r="J5" s="21" t="s">
        <v>30</v>
      </c>
      <c r="K5" s="25" t="s">
        <v>30</v>
      </c>
      <c r="L5" s="12" t="s">
        <v>433</v>
      </c>
    </row>
    <row r="6">
      <c r="A6" s="20" t="s">
        <v>445</v>
      </c>
      <c r="B6" s="20" t="s">
        <v>78</v>
      </c>
      <c r="C6" s="21" t="s">
        <v>33</v>
      </c>
      <c r="D6" s="20" t="s">
        <v>54</v>
      </c>
      <c r="E6" s="20" t="s">
        <v>444</v>
      </c>
      <c r="F6" s="20" t="s">
        <v>30</v>
      </c>
      <c r="G6" s="23">
        <v>44222.0</v>
      </c>
      <c r="H6" s="29" t="s">
        <v>441</v>
      </c>
      <c r="I6" s="30" t="s">
        <v>30</v>
      </c>
      <c r="J6" s="21" t="s">
        <v>30</v>
      </c>
      <c r="K6" s="25" t="s">
        <v>30</v>
      </c>
      <c r="L6" s="12" t="s">
        <v>433</v>
      </c>
    </row>
    <row r="7">
      <c r="A7" s="20" t="s">
        <v>446</v>
      </c>
      <c r="B7" s="20" t="s">
        <v>25</v>
      </c>
      <c r="C7" s="20" t="s">
        <v>26</v>
      </c>
      <c r="D7" s="20" t="s">
        <v>27</v>
      </c>
      <c r="E7" s="20" t="s">
        <v>447</v>
      </c>
      <c r="F7" s="22">
        <v>44220.0</v>
      </c>
      <c r="G7" s="23">
        <v>44231.0</v>
      </c>
      <c r="H7" s="29" t="s">
        <v>448</v>
      </c>
      <c r="I7" s="30" t="s">
        <v>30</v>
      </c>
      <c r="J7" s="21" t="s">
        <v>30</v>
      </c>
      <c r="K7" s="25" t="s">
        <v>449</v>
      </c>
      <c r="L7" s="12" t="s">
        <v>433</v>
      </c>
    </row>
    <row r="8">
      <c r="A8" s="20" t="s">
        <v>450</v>
      </c>
      <c r="B8" s="20" t="s">
        <v>184</v>
      </c>
      <c r="C8" s="20" t="s">
        <v>185</v>
      </c>
      <c r="D8" s="20" t="s">
        <v>27</v>
      </c>
      <c r="E8" s="20" t="s">
        <v>451</v>
      </c>
      <c r="F8" s="20" t="s">
        <v>30</v>
      </c>
      <c r="G8" s="23">
        <v>44236.0</v>
      </c>
      <c r="H8" s="29" t="s">
        <v>452</v>
      </c>
      <c r="I8" s="28" t="s">
        <v>453</v>
      </c>
      <c r="J8" s="31" t="s">
        <v>30</v>
      </c>
      <c r="K8" s="30" t="s">
        <v>30</v>
      </c>
      <c r="L8" s="12" t="s">
        <v>433</v>
      </c>
    </row>
    <row r="9">
      <c r="A9" s="20" t="s">
        <v>454</v>
      </c>
      <c r="B9" s="20" t="s">
        <v>37</v>
      </c>
      <c r="C9" s="20" t="s">
        <v>38</v>
      </c>
      <c r="D9" s="20" t="s">
        <v>27</v>
      </c>
      <c r="E9" s="20" t="s">
        <v>455</v>
      </c>
      <c r="F9" s="23">
        <v>44175.0</v>
      </c>
      <c r="G9" s="23">
        <v>44236.0</v>
      </c>
      <c r="H9" s="29" t="s">
        <v>456</v>
      </c>
      <c r="I9" s="32" t="s">
        <v>457</v>
      </c>
      <c r="J9" s="27" t="s">
        <v>458</v>
      </c>
      <c r="K9" s="33" t="s">
        <v>459</v>
      </c>
      <c r="L9" s="12" t="s">
        <v>433</v>
      </c>
    </row>
    <row r="10">
      <c r="A10" s="20" t="s">
        <v>460</v>
      </c>
      <c r="B10" s="20" t="s">
        <v>37</v>
      </c>
      <c r="C10" s="20" t="s">
        <v>388</v>
      </c>
      <c r="D10" s="20" t="s">
        <v>54</v>
      </c>
      <c r="E10" s="20" t="s">
        <v>461</v>
      </c>
      <c r="F10" s="20" t="s">
        <v>30</v>
      </c>
      <c r="G10" s="23">
        <v>44257.0</v>
      </c>
      <c r="H10" s="24" t="s">
        <v>462</v>
      </c>
      <c r="I10" s="34" t="s">
        <v>463</v>
      </c>
      <c r="J10" s="27" t="s">
        <v>464</v>
      </c>
      <c r="K10" s="26" t="s">
        <v>465</v>
      </c>
      <c r="L10" s="12" t="s">
        <v>433</v>
      </c>
    </row>
    <row r="11">
      <c r="A11" s="20" t="s">
        <v>466</v>
      </c>
      <c r="B11" s="20" t="s">
        <v>37</v>
      </c>
      <c r="C11" s="20" t="s">
        <v>388</v>
      </c>
      <c r="D11" s="20" t="s">
        <v>54</v>
      </c>
      <c r="E11" s="20" t="s">
        <v>467</v>
      </c>
      <c r="F11" s="20" t="s">
        <v>30</v>
      </c>
      <c r="G11" s="23">
        <v>44257.0</v>
      </c>
      <c r="H11" s="24" t="s">
        <v>468</v>
      </c>
      <c r="I11" s="34" t="s">
        <v>463</v>
      </c>
      <c r="J11" s="21" t="s">
        <v>30</v>
      </c>
      <c r="K11" s="26" t="s">
        <v>469</v>
      </c>
      <c r="L11" s="12" t="s">
        <v>433</v>
      </c>
    </row>
    <row r="12">
      <c r="A12" s="20" t="s">
        <v>470</v>
      </c>
      <c r="B12" s="20" t="s">
        <v>37</v>
      </c>
      <c r="C12" s="20" t="s">
        <v>388</v>
      </c>
      <c r="D12" s="20" t="s">
        <v>54</v>
      </c>
      <c r="E12" s="20" t="s">
        <v>471</v>
      </c>
      <c r="F12" s="20" t="s">
        <v>30</v>
      </c>
      <c r="G12" s="23">
        <v>44257.0</v>
      </c>
      <c r="H12" s="24" t="s">
        <v>472</v>
      </c>
      <c r="I12" s="34" t="s">
        <v>463</v>
      </c>
      <c r="J12" s="21" t="s">
        <v>30</v>
      </c>
      <c r="K12" s="26" t="s">
        <v>473</v>
      </c>
      <c r="L12" s="12" t="s">
        <v>433</v>
      </c>
    </row>
    <row r="13">
      <c r="A13" s="20" t="s">
        <v>474</v>
      </c>
      <c r="B13" s="20" t="s">
        <v>37</v>
      </c>
      <c r="C13" s="20" t="s">
        <v>388</v>
      </c>
      <c r="D13" s="20" t="s">
        <v>54</v>
      </c>
      <c r="E13" s="20" t="s">
        <v>471</v>
      </c>
      <c r="F13" s="20" t="s">
        <v>30</v>
      </c>
      <c r="G13" s="23">
        <v>44257.0</v>
      </c>
      <c r="H13" s="24" t="s">
        <v>475</v>
      </c>
      <c r="I13" s="34" t="s">
        <v>463</v>
      </c>
      <c r="J13" s="21" t="s">
        <v>30</v>
      </c>
      <c r="K13" s="26" t="s">
        <v>465</v>
      </c>
      <c r="L13" s="12" t="s">
        <v>433</v>
      </c>
    </row>
    <row r="14">
      <c r="A14" s="20" t="s">
        <v>476</v>
      </c>
      <c r="B14" s="20" t="s">
        <v>25</v>
      </c>
      <c r="C14" s="20" t="s">
        <v>26</v>
      </c>
      <c r="D14" s="20" t="s">
        <v>27</v>
      </c>
      <c r="E14" s="20" t="s">
        <v>477</v>
      </c>
      <c r="F14" s="22">
        <v>44238.0</v>
      </c>
      <c r="G14" s="23">
        <v>44257.0</v>
      </c>
      <c r="H14" s="24" t="s">
        <v>478</v>
      </c>
      <c r="I14" s="28" t="s">
        <v>479</v>
      </c>
      <c r="J14" s="27" t="s">
        <v>480</v>
      </c>
      <c r="K14" s="35" t="s">
        <v>481</v>
      </c>
      <c r="L14" s="12" t="s">
        <v>433</v>
      </c>
    </row>
    <row r="15">
      <c r="A15" s="20" t="s">
        <v>482</v>
      </c>
      <c r="B15" s="20" t="s">
        <v>37</v>
      </c>
      <c r="C15" s="20" t="s">
        <v>397</v>
      </c>
      <c r="D15" s="20" t="s">
        <v>27</v>
      </c>
      <c r="E15" s="20" t="s">
        <v>483</v>
      </c>
      <c r="F15" s="36" t="s">
        <v>30</v>
      </c>
      <c r="G15" s="23">
        <v>44264.0</v>
      </c>
      <c r="H15" s="24" t="s">
        <v>484</v>
      </c>
      <c r="I15" s="34" t="s">
        <v>485</v>
      </c>
      <c r="J15" s="27" t="s">
        <v>486</v>
      </c>
      <c r="K15" s="26" t="s">
        <v>487</v>
      </c>
      <c r="L15" s="12" t="s">
        <v>433</v>
      </c>
    </row>
    <row r="16">
      <c r="A16" s="21" t="s">
        <v>488</v>
      </c>
      <c r="B16" s="20" t="s">
        <v>25</v>
      </c>
      <c r="C16" s="20" t="s">
        <v>26</v>
      </c>
      <c r="D16" s="20" t="s">
        <v>27</v>
      </c>
      <c r="E16" s="21" t="s">
        <v>489</v>
      </c>
      <c r="F16" s="22">
        <v>44264.0</v>
      </c>
      <c r="G16" s="37">
        <v>44267.0</v>
      </c>
      <c r="H16" s="38" t="s">
        <v>490</v>
      </c>
      <c r="I16" s="33" t="s">
        <v>30</v>
      </c>
      <c r="J16" s="21" t="s">
        <v>30</v>
      </c>
      <c r="K16" s="35" t="s">
        <v>30</v>
      </c>
      <c r="L16" s="12" t="s">
        <v>433</v>
      </c>
    </row>
    <row r="17">
      <c r="A17" s="20" t="s">
        <v>491</v>
      </c>
      <c r="B17" s="20" t="s">
        <v>32</v>
      </c>
      <c r="C17" s="21" t="s">
        <v>33</v>
      </c>
      <c r="D17" s="39" t="s">
        <v>492</v>
      </c>
      <c r="E17" s="20" t="s">
        <v>493</v>
      </c>
      <c r="F17" s="40" t="s">
        <v>30</v>
      </c>
      <c r="G17" s="23">
        <v>44281.0</v>
      </c>
      <c r="H17" s="24" t="s">
        <v>494</v>
      </c>
      <c r="I17" s="28" t="s">
        <v>479</v>
      </c>
      <c r="J17" s="41" t="s">
        <v>495</v>
      </c>
      <c r="K17" s="26" t="s">
        <v>496</v>
      </c>
      <c r="L17" s="12" t="s">
        <v>433</v>
      </c>
    </row>
    <row r="18">
      <c r="A18" s="42" t="s">
        <v>497</v>
      </c>
      <c r="B18" s="42" t="s">
        <v>37</v>
      </c>
      <c r="C18" s="42" t="s">
        <v>38</v>
      </c>
      <c r="D18" s="42" t="s">
        <v>27</v>
      </c>
      <c r="E18" s="21" t="s">
        <v>498</v>
      </c>
      <c r="F18" s="42" t="s">
        <v>30</v>
      </c>
      <c r="G18" s="37">
        <v>44299.0</v>
      </c>
      <c r="H18" s="27" t="s">
        <v>499</v>
      </c>
      <c r="I18" s="34" t="s">
        <v>500</v>
      </c>
      <c r="J18" s="21" t="s">
        <v>30</v>
      </c>
      <c r="K18" s="26" t="s">
        <v>501</v>
      </c>
      <c r="L18" s="12" t="s">
        <v>433</v>
      </c>
    </row>
    <row r="19">
      <c r="A19" s="21" t="s">
        <v>502</v>
      </c>
      <c r="B19" s="20" t="s">
        <v>25</v>
      </c>
      <c r="C19" s="20" t="s">
        <v>26</v>
      </c>
      <c r="D19" s="20" t="s">
        <v>27</v>
      </c>
      <c r="E19" s="20" t="s">
        <v>489</v>
      </c>
      <c r="F19" s="43">
        <v>44293.0</v>
      </c>
      <c r="G19" s="23">
        <v>44299.0</v>
      </c>
      <c r="H19" s="24" t="s">
        <v>503</v>
      </c>
      <c r="I19" s="30" t="s">
        <v>30</v>
      </c>
      <c r="J19" s="21" t="s">
        <v>30</v>
      </c>
      <c r="K19" s="44" t="s">
        <v>30</v>
      </c>
      <c r="L19" s="12" t="s">
        <v>433</v>
      </c>
    </row>
    <row r="20">
      <c r="A20" s="21" t="s">
        <v>504</v>
      </c>
      <c r="B20" s="21" t="s">
        <v>32</v>
      </c>
      <c r="C20" s="21" t="s">
        <v>33</v>
      </c>
      <c r="D20" s="21" t="s">
        <v>27</v>
      </c>
      <c r="E20" s="21" t="s">
        <v>84</v>
      </c>
      <c r="F20" s="21" t="s">
        <v>30</v>
      </c>
      <c r="G20" s="45">
        <v>44312.0</v>
      </c>
      <c r="H20" s="38" t="s">
        <v>505</v>
      </c>
      <c r="I20" s="44" t="s">
        <v>30</v>
      </c>
      <c r="J20" s="21" t="s">
        <v>30</v>
      </c>
      <c r="K20" s="35" t="s">
        <v>506</v>
      </c>
      <c r="L20" s="12"/>
    </row>
    <row r="21">
      <c r="A21" s="20" t="s">
        <v>507</v>
      </c>
      <c r="B21" s="20" t="s">
        <v>32</v>
      </c>
      <c r="C21" s="21" t="s">
        <v>33</v>
      </c>
      <c r="D21" s="20" t="s">
        <v>27</v>
      </c>
      <c r="E21" s="20" t="s">
        <v>508</v>
      </c>
      <c r="F21" s="36" t="s">
        <v>30</v>
      </c>
      <c r="G21" s="46">
        <v>44319.0</v>
      </c>
      <c r="H21" s="24" t="s">
        <v>509</v>
      </c>
      <c r="I21" s="25" t="s">
        <v>30</v>
      </c>
      <c r="J21" s="21" t="s">
        <v>30</v>
      </c>
      <c r="K21" s="26" t="s">
        <v>510</v>
      </c>
      <c r="L21" s="12" t="s">
        <v>433</v>
      </c>
    </row>
    <row r="22">
      <c r="A22" s="21" t="s">
        <v>511</v>
      </c>
      <c r="B22" s="20" t="s">
        <v>32</v>
      </c>
      <c r="C22" s="21" t="s">
        <v>33</v>
      </c>
      <c r="D22" s="20" t="s">
        <v>27</v>
      </c>
      <c r="E22" s="20" t="s">
        <v>512</v>
      </c>
      <c r="F22" s="36" t="s">
        <v>30</v>
      </c>
      <c r="G22" s="23">
        <v>44319.0</v>
      </c>
      <c r="H22" s="24" t="s">
        <v>509</v>
      </c>
      <c r="I22" s="25" t="s">
        <v>30</v>
      </c>
      <c r="J22" s="21" t="s">
        <v>30</v>
      </c>
      <c r="K22" s="35" t="s">
        <v>30</v>
      </c>
      <c r="L22" s="12" t="s">
        <v>433</v>
      </c>
    </row>
    <row r="23">
      <c r="A23" s="47" t="s">
        <v>513</v>
      </c>
      <c r="B23" s="48" t="s">
        <v>217</v>
      </c>
      <c r="C23" s="48" t="s">
        <v>53</v>
      </c>
      <c r="D23" s="20" t="s">
        <v>27</v>
      </c>
      <c r="E23" s="20" t="s">
        <v>514</v>
      </c>
      <c r="F23" s="22">
        <v>44152.0</v>
      </c>
      <c r="G23" s="46">
        <v>44319.0</v>
      </c>
      <c r="H23" s="24" t="s">
        <v>515</v>
      </c>
      <c r="I23" s="25" t="s">
        <v>30</v>
      </c>
      <c r="J23" s="41" t="s">
        <v>516</v>
      </c>
      <c r="K23" s="25" t="s">
        <v>30</v>
      </c>
      <c r="L23" s="12" t="s">
        <v>433</v>
      </c>
    </row>
    <row r="24">
      <c r="A24" s="47" t="s">
        <v>517</v>
      </c>
      <c r="B24" s="48" t="s">
        <v>217</v>
      </c>
      <c r="C24" s="48" t="s">
        <v>53</v>
      </c>
      <c r="D24" s="20" t="s">
        <v>54</v>
      </c>
      <c r="E24" s="20" t="s">
        <v>518</v>
      </c>
      <c r="F24" s="22">
        <v>44152.0</v>
      </c>
      <c r="G24" s="46">
        <v>44319.0</v>
      </c>
      <c r="H24" s="24" t="s">
        <v>515</v>
      </c>
      <c r="I24" s="25" t="s">
        <v>30</v>
      </c>
      <c r="J24" s="21" t="s">
        <v>30</v>
      </c>
      <c r="K24" s="25" t="s">
        <v>30</v>
      </c>
      <c r="L24" s="12" t="s">
        <v>433</v>
      </c>
    </row>
    <row r="25">
      <c r="A25" s="48" t="s">
        <v>519</v>
      </c>
      <c r="B25" s="48" t="s">
        <v>74</v>
      </c>
      <c r="C25" s="48" t="s">
        <v>53</v>
      </c>
      <c r="D25" s="20" t="s">
        <v>27</v>
      </c>
      <c r="E25" s="20" t="s">
        <v>520</v>
      </c>
      <c r="F25" s="20" t="s">
        <v>30</v>
      </c>
      <c r="G25" s="46">
        <v>44319.0</v>
      </c>
      <c r="H25" s="29" t="s">
        <v>515</v>
      </c>
      <c r="I25" s="28" t="s">
        <v>521</v>
      </c>
      <c r="J25" s="21" t="s">
        <v>30</v>
      </c>
      <c r="K25" s="30" t="s">
        <v>30</v>
      </c>
    </row>
    <row r="26">
      <c r="A26" s="48" t="s">
        <v>522</v>
      </c>
      <c r="B26" s="48" t="s">
        <v>74</v>
      </c>
      <c r="C26" s="48" t="s">
        <v>53</v>
      </c>
      <c r="D26" s="20" t="s">
        <v>27</v>
      </c>
      <c r="E26" s="20" t="s">
        <v>523</v>
      </c>
      <c r="F26" s="49" t="s">
        <v>30</v>
      </c>
      <c r="G26" s="46">
        <v>44319.0</v>
      </c>
      <c r="H26" s="29" t="s">
        <v>515</v>
      </c>
      <c r="I26" s="30" t="s">
        <v>30</v>
      </c>
      <c r="J26" s="21" t="s">
        <v>30</v>
      </c>
      <c r="K26" s="30" t="s">
        <v>30</v>
      </c>
    </row>
    <row r="27">
      <c r="A27" s="50" t="s">
        <v>524</v>
      </c>
      <c r="B27" s="39" t="s">
        <v>184</v>
      </c>
      <c r="C27" s="39" t="s">
        <v>185</v>
      </c>
      <c r="D27" s="51" t="s">
        <v>27</v>
      </c>
      <c r="E27" s="52" t="s">
        <v>525</v>
      </c>
      <c r="F27" s="12" t="s">
        <v>30</v>
      </c>
      <c r="G27" s="53">
        <v>44327.0</v>
      </c>
      <c r="H27" s="16" t="s">
        <v>526</v>
      </c>
      <c r="I27" s="35" t="s">
        <v>30</v>
      </c>
      <c r="J27" s="21" t="s">
        <v>30</v>
      </c>
      <c r="K27" s="35" t="s">
        <v>30</v>
      </c>
      <c r="L27" s="12" t="s">
        <v>433</v>
      </c>
    </row>
    <row r="28">
      <c r="A28" s="54" t="s">
        <v>527</v>
      </c>
      <c r="B28" s="39" t="s">
        <v>37</v>
      </c>
      <c r="C28" s="39" t="s">
        <v>38</v>
      </c>
      <c r="D28" s="39" t="s">
        <v>54</v>
      </c>
      <c r="E28" s="39" t="s">
        <v>528</v>
      </c>
      <c r="F28" s="55">
        <v>44300.0</v>
      </c>
      <c r="G28" s="56">
        <v>44355.0</v>
      </c>
      <c r="H28" s="38" t="s">
        <v>529</v>
      </c>
      <c r="I28" s="57" t="s">
        <v>530</v>
      </c>
      <c r="J28" s="39" t="s">
        <v>30</v>
      </c>
      <c r="K28" s="35" t="s">
        <v>501</v>
      </c>
    </row>
    <row r="29">
      <c r="A29" s="54" t="s">
        <v>531</v>
      </c>
      <c r="B29" s="39" t="s">
        <v>37</v>
      </c>
      <c r="C29" s="39" t="s">
        <v>38</v>
      </c>
      <c r="D29" s="39" t="s">
        <v>27</v>
      </c>
      <c r="E29" s="39" t="s">
        <v>532</v>
      </c>
      <c r="F29" s="55">
        <v>44300.0</v>
      </c>
      <c r="G29" s="56">
        <v>44355.0</v>
      </c>
      <c r="H29" s="27" t="s">
        <v>533</v>
      </c>
      <c r="I29" s="57" t="s">
        <v>530</v>
      </c>
      <c r="J29" s="39" t="s">
        <v>30</v>
      </c>
      <c r="K29" s="35" t="s">
        <v>501</v>
      </c>
    </row>
    <row r="30">
      <c r="A30" s="54" t="s">
        <v>534</v>
      </c>
      <c r="B30" s="39" t="s">
        <v>37</v>
      </c>
      <c r="C30" s="39" t="s">
        <v>397</v>
      </c>
      <c r="D30" s="39" t="s">
        <v>27</v>
      </c>
      <c r="E30" s="39" t="s">
        <v>535</v>
      </c>
      <c r="F30" s="55">
        <v>44350.0</v>
      </c>
      <c r="G30" s="56">
        <v>44355.0</v>
      </c>
      <c r="H30" s="27" t="s">
        <v>536</v>
      </c>
      <c r="I30" s="28" t="s">
        <v>479</v>
      </c>
      <c r="J30" s="28" t="s">
        <v>537</v>
      </c>
      <c r="K30" s="35" t="s">
        <v>401</v>
      </c>
    </row>
    <row r="31">
      <c r="A31" s="54" t="s">
        <v>538</v>
      </c>
      <c r="B31" s="39" t="s">
        <v>37</v>
      </c>
      <c r="C31" s="39" t="s">
        <v>38</v>
      </c>
      <c r="D31" s="39" t="s">
        <v>30</v>
      </c>
      <c r="E31" s="39" t="s">
        <v>539</v>
      </c>
      <c r="F31" s="39" t="s">
        <v>30</v>
      </c>
      <c r="G31" s="56">
        <v>44355.0</v>
      </c>
      <c r="H31" s="27" t="s">
        <v>540</v>
      </c>
      <c r="I31" s="30" t="s">
        <v>30</v>
      </c>
      <c r="J31" s="30" t="s">
        <v>30</v>
      </c>
      <c r="K31" s="30" t="s">
        <v>30</v>
      </c>
    </row>
    <row r="32">
      <c r="A32" s="54" t="s">
        <v>541</v>
      </c>
      <c r="B32" s="39" t="s">
        <v>37</v>
      </c>
      <c r="C32" s="39" t="s">
        <v>38</v>
      </c>
      <c r="D32" s="39" t="s">
        <v>30</v>
      </c>
      <c r="E32" s="39" t="s">
        <v>539</v>
      </c>
      <c r="F32" s="39" t="s">
        <v>30</v>
      </c>
      <c r="G32" s="56">
        <v>44355.0</v>
      </c>
      <c r="H32" s="27" t="s">
        <v>542</v>
      </c>
      <c r="I32" s="30" t="s">
        <v>30</v>
      </c>
      <c r="J32" s="30" t="s">
        <v>30</v>
      </c>
      <c r="K32" s="30" t="s">
        <v>30</v>
      </c>
    </row>
    <row r="33">
      <c r="A33" s="54" t="s">
        <v>543</v>
      </c>
      <c r="B33" s="39" t="s">
        <v>25</v>
      </c>
      <c r="C33" s="39" t="s">
        <v>26</v>
      </c>
      <c r="D33" s="39" t="s">
        <v>27</v>
      </c>
      <c r="E33" s="39" t="s">
        <v>544</v>
      </c>
      <c r="F33" s="58">
        <v>44350.0</v>
      </c>
      <c r="G33" s="55">
        <v>44356.0</v>
      </c>
      <c r="H33" s="27" t="s">
        <v>545</v>
      </c>
      <c r="I33" s="28" t="s">
        <v>479</v>
      </c>
      <c r="J33" s="59" t="s">
        <v>546</v>
      </c>
      <c r="K33" s="35" t="s">
        <v>547</v>
      </c>
    </row>
    <row r="34">
      <c r="A34" s="54" t="s">
        <v>548</v>
      </c>
      <c r="B34" s="39" t="s">
        <v>25</v>
      </c>
      <c r="C34" s="39" t="s">
        <v>26</v>
      </c>
      <c r="D34" s="39" t="s">
        <v>27</v>
      </c>
      <c r="E34" s="39" t="s">
        <v>549</v>
      </c>
      <c r="F34" s="55">
        <v>44362.0</v>
      </c>
      <c r="G34" s="55">
        <v>44364.0</v>
      </c>
      <c r="H34" s="60" t="s">
        <v>550</v>
      </c>
      <c r="I34" s="61" t="s">
        <v>30</v>
      </c>
      <c r="J34" s="39" t="s">
        <v>30</v>
      </c>
      <c r="K34" s="35" t="s">
        <v>30</v>
      </c>
    </row>
    <row r="35">
      <c r="A35" s="39" t="s">
        <v>551</v>
      </c>
      <c r="B35" s="39" t="s">
        <v>37</v>
      </c>
      <c r="C35" s="39" t="s">
        <v>38</v>
      </c>
      <c r="D35" s="39" t="s">
        <v>27</v>
      </c>
      <c r="E35" s="39" t="s">
        <v>552</v>
      </c>
      <c r="F35" s="39" t="s">
        <v>30</v>
      </c>
      <c r="G35" s="55">
        <v>44390.0</v>
      </c>
      <c r="H35" s="62" t="s">
        <v>553</v>
      </c>
      <c r="I35" s="63" t="s">
        <v>554</v>
      </c>
      <c r="J35" s="61" t="s">
        <v>30</v>
      </c>
      <c r="K35" s="35" t="s">
        <v>555</v>
      </c>
    </row>
    <row r="36">
      <c r="A36" s="54" t="s">
        <v>556</v>
      </c>
      <c r="B36" s="39" t="s">
        <v>37</v>
      </c>
      <c r="C36" s="39" t="s">
        <v>397</v>
      </c>
      <c r="D36" s="39" t="s">
        <v>27</v>
      </c>
      <c r="E36" s="39" t="s">
        <v>557</v>
      </c>
      <c r="F36" s="39" t="s">
        <v>30</v>
      </c>
      <c r="G36" s="55">
        <v>44390.0</v>
      </c>
      <c r="H36" s="62" t="s">
        <v>558</v>
      </c>
      <c r="I36" s="61" t="s">
        <v>30</v>
      </c>
      <c r="J36" s="39" t="s">
        <v>30</v>
      </c>
      <c r="K36" s="35" t="s">
        <v>559</v>
      </c>
    </row>
    <row r="37">
      <c r="A37" s="54" t="s">
        <v>560</v>
      </c>
      <c r="B37" s="39" t="s">
        <v>37</v>
      </c>
      <c r="C37" s="39" t="s">
        <v>38</v>
      </c>
      <c r="D37" s="39" t="s">
        <v>27</v>
      </c>
      <c r="E37" s="39" t="s">
        <v>552</v>
      </c>
      <c r="F37" s="39" t="s">
        <v>30</v>
      </c>
      <c r="G37" s="55">
        <v>44390.0</v>
      </c>
      <c r="H37" s="62" t="s">
        <v>561</v>
      </c>
      <c r="I37" s="63" t="s">
        <v>554</v>
      </c>
      <c r="J37" s="61" t="s">
        <v>30</v>
      </c>
      <c r="K37" s="64" t="s">
        <v>555</v>
      </c>
    </row>
    <row r="38">
      <c r="A38" s="54" t="s">
        <v>562</v>
      </c>
      <c r="B38" s="39" t="s">
        <v>25</v>
      </c>
      <c r="C38" s="39" t="s">
        <v>26</v>
      </c>
      <c r="D38" s="39" t="s">
        <v>27</v>
      </c>
      <c r="E38" s="39" t="s">
        <v>544</v>
      </c>
      <c r="F38" s="55">
        <v>44389.0</v>
      </c>
      <c r="G38" s="55">
        <v>44392.0</v>
      </c>
      <c r="H38" s="62" t="s">
        <v>563</v>
      </c>
      <c r="I38" s="61" t="s">
        <v>30</v>
      </c>
      <c r="J38" s="39" t="s">
        <v>30</v>
      </c>
      <c r="K38" s="35" t="s">
        <v>30</v>
      </c>
    </row>
    <row r="39">
      <c r="A39" s="54" t="s">
        <v>564</v>
      </c>
      <c r="B39" s="39" t="s">
        <v>32</v>
      </c>
      <c r="C39" s="39" t="s">
        <v>79</v>
      </c>
      <c r="D39" s="39" t="s">
        <v>27</v>
      </c>
      <c r="E39" s="54" t="s">
        <v>266</v>
      </c>
      <c r="F39" s="39" t="s">
        <v>30</v>
      </c>
      <c r="G39" s="55">
        <v>44403.0</v>
      </c>
      <c r="H39" s="62" t="s">
        <v>565</v>
      </c>
      <c r="I39" s="65" t="s">
        <v>566</v>
      </c>
      <c r="J39" s="39" t="s">
        <v>30</v>
      </c>
      <c r="K39" s="64" t="s">
        <v>30</v>
      </c>
    </row>
    <row r="40">
      <c r="A40" s="54" t="s">
        <v>567</v>
      </c>
      <c r="B40" s="39" t="s">
        <v>37</v>
      </c>
      <c r="C40" s="39" t="s">
        <v>38</v>
      </c>
      <c r="D40" s="39" t="s">
        <v>30</v>
      </c>
      <c r="E40" s="54" t="s">
        <v>568</v>
      </c>
      <c r="F40" s="39" t="s">
        <v>30</v>
      </c>
      <c r="G40" s="55">
        <v>44419.0</v>
      </c>
      <c r="H40" s="62" t="s">
        <v>569</v>
      </c>
      <c r="I40" s="66" t="s">
        <v>30</v>
      </c>
      <c r="J40" s="39" t="s">
        <v>30</v>
      </c>
      <c r="K40" s="64" t="s">
        <v>555</v>
      </c>
    </row>
    <row r="41">
      <c r="A41" s="54" t="s">
        <v>570</v>
      </c>
      <c r="B41" s="39" t="s">
        <v>32</v>
      </c>
      <c r="C41" s="39" t="s">
        <v>79</v>
      </c>
      <c r="D41" s="39" t="s">
        <v>27</v>
      </c>
      <c r="E41" s="39" t="s">
        <v>571</v>
      </c>
      <c r="F41" s="58">
        <v>44446.0</v>
      </c>
      <c r="G41" s="55">
        <v>44452.0</v>
      </c>
      <c r="H41" s="62" t="s">
        <v>572</v>
      </c>
      <c r="I41" s="67" t="s">
        <v>573</v>
      </c>
      <c r="J41" s="39" t="s">
        <v>30</v>
      </c>
      <c r="K41" s="35" t="s">
        <v>574</v>
      </c>
    </row>
    <row r="42">
      <c r="A42" s="54" t="s">
        <v>575</v>
      </c>
      <c r="B42" s="39" t="s">
        <v>32</v>
      </c>
      <c r="C42" s="39" t="s">
        <v>33</v>
      </c>
      <c r="D42" s="39" t="s">
        <v>27</v>
      </c>
      <c r="E42" s="39" t="s">
        <v>576</v>
      </c>
      <c r="F42" s="39" t="s">
        <v>30</v>
      </c>
      <c r="G42" s="55">
        <v>44452.0</v>
      </c>
      <c r="H42" s="62" t="s">
        <v>572</v>
      </c>
      <c r="I42" s="68" t="s">
        <v>30</v>
      </c>
      <c r="J42" s="57" t="s">
        <v>577</v>
      </c>
      <c r="K42" s="35" t="s">
        <v>30</v>
      </c>
    </row>
    <row r="43">
      <c r="A43" s="54" t="s">
        <v>578</v>
      </c>
      <c r="B43" s="39" t="s">
        <v>25</v>
      </c>
      <c r="C43" s="39" t="s">
        <v>26</v>
      </c>
      <c r="D43" s="39" t="s">
        <v>27</v>
      </c>
      <c r="E43" s="39" t="s">
        <v>579</v>
      </c>
      <c r="F43" s="58">
        <v>44447.0</v>
      </c>
      <c r="G43" s="55">
        <v>44452.0</v>
      </c>
      <c r="H43" s="62" t="s">
        <v>580</v>
      </c>
      <c r="I43" s="67" t="s">
        <v>581</v>
      </c>
      <c r="J43" s="57" t="s">
        <v>582</v>
      </c>
      <c r="K43" s="35" t="s">
        <v>30</v>
      </c>
    </row>
    <row r="44">
      <c r="A44" s="54" t="s">
        <v>583</v>
      </c>
      <c r="B44" s="39" t="s">
        <v>25</v>
      </c>
      <c r="C44" s="39" t="s">
        <v>26</v>
      </c>
      <c r="D44" s="39" t="s">
        <v>27</v>
      </c>
      <c r="E44" s="39" t="s">
        <v>576</v>
      </c>
      <c r="F44" s="58">
        <v>44447.0</v>
      </c>
      <c r="G44" s="55">
        <v>44452.0</v>
      </c>
      <c r="H44" s="62" t="s">
        <v>580</v>
      </c>
      <c r="I44" s="66" t="s">
        <v>30</v>
      </c>
      <c r="J44" s="39" t="s">
        <v>30</v>
      </c>
      <c r="K44" s="35" t="s">
        <v>30</v>
      </c>
    </row>
    <row r="45">
      <c r="A45" s="54" t="s">
        <v>584</v>
      </c>
      <c r="B45" s="39" t="s">
        <v>32</v>
      </c>
      <c r="C45" s="39" t="s">
        <v>79</v>
      </c>
      <c r="D45" s="39" t="s">
        <v>54</v>
      </c>
      <c r="E45" s="39" t="s">
        <v>585</v>
      </c>
      <c r="F45" s="39" t="s">
        <v>30</v>
      </c>
      <c r="G45" s="55">
        <v>44452.0</v>
      </c>
      <c r="H45" s="62" t="s">
        <v>572</v>
      </c>
      <c r="I45" s="69" t="s">
        <v>586</v>
      </c>
      <c r="J45" s="39" t="s">
        <v>30</v>
      </c>
      <c r="K45" s="35" t="s">
        <v>587</v>
      </c>
    </row>
    <row r="46">
      <c r="A46" s="54" t="s">
        <v>588</v>
      </c>
      <c r="B46" s="39" t="s">
        <v>37</v>
      </c>
      <c r="C46" s="39" t="s">
        <v>397</v>
      </c>
      <c r="D46" s="39" t="s">
        <v>54</v>
      </c>
      <c r="E46" s="39" t="s">
        <v>589</v>
      </c>
      <c r="F46" s="39" t="s">
        <v>30</v>
      </c>
      <c r="G46" s="58">
        <v>44453.0</v>
      </c>
      <c r="H46" s="62" t="s">
        <v>590</v>
      </c>
      <c r="I46" s="70" t="s">
        <v>591</v>
      </c>
      <c r="J46" s="39" t="s">
        <v>30</v>
      </c>
      <c r="K46" s="35" t="s">
        <v>592</v>
      </c>
    </row>
    <row r="47">
      <c r="A47" s="54" t="s">
        <v>593</v>
      </c>
      <c r="B47" s="39" t="s">
        <v>32</v>
      </c>
      <c r="C47" s="39" t="s">
        <v>311</v>
      </c>
      <c r="D47" s="39" t="s">
        <v>27</v>
      </c>
      <c r="E47" s="39" t="s">
        <v>594</v>
      </c>
      <c r="F47" s="39" t="s">
        <v>30</v>
      </c>
      <c r="G47" s="55">
        <v>44462.0</v>
      </c>
      <c r="H47" s="62" t="s">
        <v>595</v>
      </c>
      <c r="I47" s="65" t="s">
        <v>596</v>
      </c>
      <c r="J47" s="39" t="s">
        <v>30</v>
      </c>
      <c r="K47" s="35" t="s">
        <v>597</v>
      </c>
    </row>
    <row r="48">
      <c r="A48" s="54" t="s">
        <v>598</v>
      </c>
      <c r="B48" s="39" t="s">
        <v>25</v>
      </c>
      <c r="C48" s="39" t="s">
        <v>26</v>
      </c>
      <c r="D48" s="39" t="s">
        <v>27</v>
      </c>
      <c r="E48" s="39" t="s">
        <v>599</v>
      </c>
      <c r="F48" s="58">
        <v>44460.0</v>
      </c>
      <c r="G48" s="55">
        <v>44463.0</v>
      </c>
      <c r="H48" s="60" t="s">
        <v>600</v>
      </c>
      <c r="I48" s="67" t="s">
        <v>601</v>
      </c>
      <c r="J48" s="39" t="s">
        <v>30</v>
      </c>
      <c r="K48" s="35" t="s">
        <v>602</v>
      </c>
    </row>
    <row r="49">
      <c r="A49" s="54" t="s">
        <v>603</v>
      </c>
      <c r="B49" s="39" t="s">
        <v>25</v>
      </c>
      <c r="C49" s="39" t="s">
        <v>26</v>
      </c>
      <c r="D49" s="39" t="s">
        <v>27</v>
      </c>
      <c r="E49" s="39" t="s">
        <v>604</v>
      </c>
      <c r="F49" s="58">
        <v>44463.0</v>
      </c>
      <c r="G49" s="55">
        <v>44469.0</v>
      </c>
      <c r="H49" s="62" t="s">
        <v>605</v>
      </c>
      <c r="I49" s="65" t="s">
        <v>606</v>
      </c>
      <c r="J49" s="57" t="s">
        <v>607</v>
      </c>
      <c r="K49" s="35" t="s">
        <v>30</v>
      </c>
    </row>
    <row r="50">
      <c r="A50" s="54" t="s">
        <v>608</v>
      </c>
      <c r="B50" s="39" t="s">
        <v>25</v>
      </c>
      <c r="C50" s="39" t="s">
        <v>26</v>
      </c>
      <c r="D50" s="39" t="s">
        <v>27</v>
      </c>
      <c r="E50" s="39" t="s">
        <v>609</v>
      </c>
      <c r="F50" s="58">
        <v>44460.0</v>
      </c>
      <c r="G50" s="55">
        <v>44469.0</v>
      </c>
      <c r="H50" s="62" t="s">
        <v>605</v>
      </c>
      <c r="I50" s="67" t="s">
        <v>601</v>
      </c>
      <c r="J50" s="39" t="s">
        <v>30</v>
      </c>
      <c r="K50" s="35" t="s">
        <v>602</v>
      </c>
    </row>
    <row r="51">
      <c r="A51" s="54" t="s">
        <v>610</v>
      </c>
      <c r="B51" s="39" t="s">
        <v>611</v>
      </c>
      <c r="C51" s="39" t="s">
        <v>612</v>
      </c>
      <c r="D51" s="39" t="s">
        <v>54</v>
      </c>
      <c r="E51" s="54" t="s">
        <v>613</v>
      </c>
      <c r="F51" s="58">
        <v>44468.0</v>
      </c>
      <c r="G51" s="55">
        <v>44473.0</v>
      </c>
      <c r="H51" s="71" t="s">
        <v>614</v>
      </c>
      <c r="I51" s="66" t="s">
        <v>30</v>
      </c>
      <c r="J51" s="39" t="s">
        <v>30</v>
      </c>
      <c r="K51" s="35" t="s">
        <v>615</v>
      </c>
    </row>
    <row r="52">
      <c r="A52" s="39" t="s">
        <v>616</v>
      </c>
      <c r="B52" s="39" t="s">
        <v>32</v>
      </c>
      <c r="C52" s="39" t="s">
        <v>79</v>
      </c>
      <c r="D52" s="39" t="s">
        <v>27</v>
      </c>
      <c r="E52" s="39" t="s">
        <v>617</v>
      </c>
      <c r="F52" s="39" t="s">
        <v>30</v>
      </c>
      <c r="G52" s="55">
        <v>44480.0</v>
      </c>
      <c r="H52" s="62" t="s">
        <v>618</v>
      </c>
      <c r="I52" s="67" t="s">
        <v>619</v>
      </c>
      <c r="J52" s="39" t="s">
        <v>30</v>
      </c>
      <c r="K52" s="35" t="s">
        <v>30</v>
      </c>
    </row>
    <row r="53">
      <c r="A53" s="54" t="s">
        <v>620</v>
      </c>
      <c r="B53" s="39" t="s">
        <v>37</v>
      </c>
      <c r="C53" s="39" t="s">
        <v>38</v>
      </c>
      <c r="D53" s="39" t="s">
        <v>27</v>
      </c>
      <c r="E53" s="54" t="s">
        <v>621</v>
      </c>
      <c r="F53" s="39" t="s">
        <v>30</v>
      </c>
      <c r="G53" s="55">
        <v>44481.0</v>
      </c>
      <c r="H53" s="62" t="s">
        <v>622</v>
      </c>
      <c r="I53" s="69" t="s">
        <v>623</v>
      </c>
      <c r="J53" s="39" t="s">
        <v>30</v>
      </c>
      <c r="K53" s="35" t="s">
        <v>624</v>
      </c>
    </row>
    <row r="54">
      <c r="A54" s="54" t="s">
        <v>625</v>
      </c>
      <c r="B54" s="39" t="s">
        <v>25</v>
      </c>
      <c r="C54" s="39" t="s">
        <v>26</v>
      </c>
      <c r="D54" s="39" t="s">
        <v>54</v>
      </c>
      <c r="E54" s="54" t="s">
        <v>357</v>
      </c>
      <c r="F54" s="55">
        <v>44454.0</v>
      </c>
      <c r="G54" s="55">
        <v>44497.0</v>
      </c>
      <c r="H54" s="62" t="s">
        <v>626</v>
      </c>
      <c r="I54" s="67" t="s">
        <v>601</v>
      </c>
      <c r="J54" s="57" t="s">
        <v>627</v>
      </c>
      <c r="K54" s="35" t="s">
        <v>628</v>
      </c>
    </row>
    <row r="55">
      <c r="A55" s="54" t="s">
        <v>629</v>
      </c>
      <c r="B55" s="39" t="s">
        <v>25</v>
      </c>
      <c r="C55" s="39" t="s">
        <v>26</v>
      </c>
      <c r="D55" s="39" t="s">
        <v>27</v>
      </c>
      <c r="E55" s="54" t="s">
        <v>630</v>
      </c>
      <c r="F55" s="55">
        <v>44495.0</v>
      </c>
      <c r="G55" s="55">
        <v>44497.0</v>
      </c>
      <c r="H55" s="62" t="s">
        <v>626</v>
      </c>
      <c r="I55" s="67" t="s">
        <v>601</v>
      </c>
      <c r="J55" s="39" t="s">
        <v>30</v>
      </c>
      <c r="K55" s="35" t="s">
        <v>631</v>
      </c>
    </row>
    <row r="56">
      <c r="A56" s="39" t="s">
        <v>632</v>
      </c>
      <c r="B56" s="39" t="s">
        <v>25</v>
      </c>
      <c r="C56" s="39" t="s">
        <v>53</v>
      </c>
      <c r="D56" s="39" t="s">
        <v>27</v>
      </c>
      <c r="E56" s="39" t="s">
        <v>633</v>
      </c>
      <c r="F56" s="39" t="s">
        <v>30</v>
      </c>
      <c r="G56" s="55">
        <v>44505.0</v>
      </c>
      <c r="H56" s="72" t="s">
        <v>634</v>
      </c>
      <c r="I56" s="67" t="s">
        <v>635</v>
      </c>
      <c r="J56" s="57" t="s">
        <v>636</v>
      </c>
      <c r="K56" s="35" t="s">
        <v>30</v>
      </c>
    </row>
    <row r="57">
      <c r="A57" s="39" t="s">
        <v>637</v>
      </c>
      <c r="B57" s="39" t="s">
        <v>25</v>
      </c>
      <c r="C57" s="39" t="s">
        <v>53</v>
      </c>
      <c r="D57" s="39" t="s">
        <v>27</v>
      </c>
      <c r="E57" s="39" t="s">
        <v>638</v>
      </c>
      <c r="F57" s="39" t="s">
        <v>30</v>
      </c>
      <c r="G57" s="55">
        <v>44506.0</v>
      </c>
      <c r="H57" s="72" t="s">
        <v>639</v>
      </c>
      <c r="I57" s="67" t="s">
        <v>601</v>
      </c>
      <c r="J57" s="57" t="s">
        <v>640</v>
      </c>
      <c r="K57" s="35" t="s">
        <v>641</v>
      </c>
    </row>
    <row r="58">
      <c r="A58" s="39" t="s">
        <v>642</v>
      </c>
      <c r="B58" s="39" t="s">
        <v>37</v>
      </c>
      <c r="C58" s="39" t="s">
        <v>643</v>
      </c>
      <c r="D58" s="39" t="s">
        <v>54</v>
      </c>
      <c r="E58" s="39" t="s">
        <v>644</v>
      </c>
      <c r="F58" s="39" t="s">
        <v>30</v>
      </c>
      <c r="G58" s="55">
        <v>44509.0</v>
      </c>
      <c r="H58" s="72" t="s">
        <v>645</v>
      </c>
      <c r="I58" s="63" t="s">
        <v>646</v>
      </c>
      <c r="J58" s="39" t="s">
        <v>30</v>
      </c>
      <c r="K58" s="35" t="s">
        <v>135</v>
      </c>
    </row>
    <row r="59">
      <c r="A59" s="54" t="s">
        <v>647</v>
      </c>
      <c r="B59" s="39" t="s">
        <v>37</v>
      </c>
      <c r="C59" s="39" t="s">
        <v>388</v>
      </c>
      <c r="D59" s="39" t="s">
        <v>54</v>
      </c>
      <c r="E59" s="39" t="s">
        <v>393</v>
      </c>
      <c r="F59" s="39" t="s">
        <v>30</v>
      </c>
      <c r="G59" s="55">
        <v>44509.0</v>
      </c>
      <c r="H59" s="71" t="s">
        <v>648</v>
      </c>
      <c r="I59" s="65" t="s">
        <v>649</v>
      </c>
      <c r="J59" s="39" t="s">
        <v>30</v>
      </c>
      <c r="K59" s="35" t="s">
        <v>650</v>
      </c>
    </row>
    <row r="60">
      <c r="A60" s="54" t="s">
        <v>651</v>
      </c>
      <c r="B60" s="39" t="s">
        <v>32</v>
      </c>
      <c r="C60" s="39" t="s">
        <v>79</v>
      </c>
      <c r="D60" s="39" t="s">
        <v>27</v>
      </c>
      <c r="E60" s="39" t="s">
        <v>652</v>
      </c>
      <c r="F60" s="39" t="s">
        <v>30</v>
      </c>
      <c r="G60" s="55">
        <v>44543.0</v>
      </c>
      <c r="H60" s="62" t="s">
        <v>653</v>
      </c>
      <c r="I60" s="69" t="s">
        <v>654</v>
      </c>
      <c r="J60" s="39" t="s">
        <v>30</v>
      </c>
      <c r="K60" s="35" t="s">
        <v>655</v>
      </c>
    </row>
    <row r="61">
      <c r="A61" s="73" t="s">
        <v>656</v>
      </c>
      <c r="B61" s="39" t="s">
        <v>98</v>
      </c>
      <c r="C61" s="39" t="s">
        <v>53</v>
      </c>
      <c r="D61" s="39" t="s">
        <v>54</v>
      </c>
      <c r="E61" s="39" t="s">
        <v>657</v>
      </c>
      <c r="F61" s="74">
        <v>44138.0</v>
      </c>
      <c r="G61" s="55">
        <v>44256.0</v>
      </c>
      <c r="H61" s="62" t="s">
        <v>100</v>
      </c>
      <c r="I61" s="69" t="s">
        <v>658</v>
      </c>
      <c r="J61" s="57" t="s">
        <v>659</v>
      </c>
      <c r="K61" s="35" t="s">
        <v>30</v>
      </c>
    </row>
    <row r="62">
      <c r="A62" s="39" t="s">
        <v>660</v>
      </c>
      <c r="B62" s="39" t="s">
        <v>98</v>
      </c>
      <c r="C62" s="39" t="s">
        <v>53</v>
      </c>
      <c r="D62" s="39" t="s">
        <v>54</v>
      </c>
      <c r="E62" s="39" t="s">
        <v>661</v>
      </c>
      <c r="F62" s="55">
        <v>44175.0</v>
      </c>
      <c r="G62" s="55">
        <v>44256.0</v>
      </c>
      <c r="H62" s="62" t="s">
        <v>100</v>
      </c>
      <c r="I62" s="69" t="s">
        <v>658</v>
      </c>
      <c r="J62" s="57" t="s">
        <v>662</v>
      </c>
      <c r="K62" s="35" t="s">
        <v>30</v>
      </c>
    </row>
    <row r="63">
      <c r="A63" s="75" t="s">
        <v>663</v>
      </c>
      <c r="B63" s="39" t="s">
        <v>98</v>
      </c>
      <c r="C63" s="39" t="s">
        <v>53</v>
      </c>
      <c r="D63" s="39" t="s">
        <v>27</v>
      </c>
      <c r="E63" s="54" t="s">
        <v>664</v>
      </c>
      <c r="F63" s="55">
        <v>44175.0</v>
      </c>
      <c r="G63" s="55">
        <v>44256.0</v>
      </c>
      <c r="H63" s="62" t="s">
        <v>100</v>
      </c>
      <c r="I63" s="69" t="s">
        <v>658</v>
      </c>
      <c r="J63" s="39" t="s">
        <v>30</v>
      </c>
      <c r="K63" s="35" t="s">
        <v>30</v>
      </c>
    </row>
    <row r="64">
      <c r="A64" s="39" t="s">
        <v>665</v>
      </c>
      <c r="B64" s="39" t="s">
        <v>98</v>
      </c>
      <c r="C64" s="39" t="s">
        <v>53</v>
      </c>
      <c r="D64" s="39" t="s">
        <v>54</v>
      </c>
      <c r="E64" s="54" t="s">
        <v>666</v>
      </c>
      <c r="F64" s="55">
        <v>44187.0</v>
      </c>
      <c r="G64" s="55">
        <v>44256.0</v>
      </c>
      <c r="H64" s="62" t="s">
        <v>100</v>
      </c>
      <c r="I64" s="39" t="s">
        <v>30</v>
      </c>
      <c r="J64" s="39" t="s">
        <v>30</v>
      </c>
      <c r="K64" s="35" t="s">
        <v>30</v>
      </c>
    </row>
    <row r="65">
      <c r="A65" s="54" t="s">
        <v>667</v>
      </c>
      <c r="B65" s="39" t="s">
        <v>98</v>
      </c>
      <c r="C65" s="39" t="s">
        <v>53</v>
      </c>
      <c r="D65" s="39" t="s">
        <v>27</v>
      </c>
      <c r="E65" s="54" t="s">
        <v>668</v>
      </c>
      <c r="F65" s="55">
        <v>44187.0</v>
      </c>
      <c r="G65" s="55">
        <v>44256.0</v>
      </c>
      <c r="H65" s="62" t="s">
        <v>100</v>
      </c>
      <c r="I65" s="39" t="s">
        <v>30</v>
      </c>
      <c r="J65" s="39" t="s">
        <v>30</v>
      </c>
      <c r="K65" s="35" t="s">
        <v>30</v>
      </c>
    </row>
    <row r="66">
      <c r="A66" s="39" t="s">
        <v>669</v>
      </c>
      <c r="B66" s="39" t="s">
        <v>98</v>
      </c>
      <c r="C66" s="39" t="s">
        <v>53</v>
      </c>
      <c r="D66" s="39" t="s">
        <v>27</v>
      </c>
      <c r="E66" s="39" t="s">
        <v>670</v>
      </c>
      <c r="F66" s="55">
        <v>44196.0</v>
      </c>
      <c r="G66" s="55">
        <v>44317.0</v>
      </c>
      <c r="H66" s="62" t="s">
        <v>100</v>
      </c>
      <c r="I66" s="39" t="s">
        <v>30</v>
      </c>
      <c r="J66" s="39" t="s">
        <v>30</v>
      </c>
      <c r="K66" s="35" t="s">
        <v>30</v>
      </c>
    </row>
    <row r="67">
      <c r="A67" s="39" t="s">
        <v>671</v>
      </c>
      <c r="B67" s="39" t="s">
        <v>98</v>
      </c>
      <c r="C67" s="39" t="s">
        <v>53</v>
      </c>
      <c r="D67" s="39" t="s">
        <v>27</v>
      </c>
      <c r="E67" s="39" t="s">
        <v>670</v>
      </c>
      <c r="F67" s="55">
        <v>44196.0</v>
      </c>
      <c r="G67" s="55">
        <v>44317.0</v>
      </c>
      <c r="H67" s="62" t="s">
        <v>100</v>
      </c>
      <c r="I67" s="39" t="s">
        <v>30</v>
      </c>
      <c r="J67" s="39" t="s">
        <v>30</v>
      </c>
      <c r="K67" s="35" t="s">
        <v>30</v>
      </c>
    </row>
    <row r="68">
      <c r="A68" s="54" t="s">
        <v>672</v>
      </c>
      <c r="B68" s="39" t="s">
        <v>98</v>
      </c>
      <c r="C68" s="39" t="s">
        <v>53</v>
      </c>
      <c r="D68" s="39" t="s">
        <v>27</v>
      </c>
      <c r="E68" s="39" t="s">
        <v>673</v>
      </c>
      <c r="F68" s="55">
        <v>44403.0</v>
      </c>
      <c r="G68" s="55">
        <v>44470.0</v>
      </c>
      <c r="H68" s="62" t="s">
        <v>100</v>
      </c>
      <c r="I68" s="39" t="s">
        <v>30</v>
      </c>
      <c r="J68" s="39" t="s">
        <v>30</v>
      </c>
      <c r="K68" s="35" t="s">
        <v>30</v>
      </c>
    </row>
    <row r="69">
      <c r="A69" s="54" t="s">
        <v>674</v>
      </c>
      <c r="B69" s="39" t="s">
        <v>98</v>
      </c>
      <c r="C69" s="39" t="s">
        <v>53</v>
      </c>
      <c r="D69" s="39" t="s">
        <v>27</v>
      </c>
      <c r="E69" s="39" t="s">
        <v>675</v>
      </c>
      <c r="F69" s="55">
        <v>44393.0</v>
      </c>
      <c r="G69" s="55">
        <v>44470.0</v>
      </c>
      <c r="H69" s="62" t="s">
        <v>100</v>
      </c>
      <c r="I69" s="39" t="s">
        <v>30</v>
      </c>
      <c r="J69" s="39" t="s">
        <v>30</v>
      </c>
      <c r="K69" s="35" t="s">
        <v>30</v>
      </c>
    </row>
    <row r="70">
      <c r="A70" s="54" t="s">
        <v>676</v>
      </c>
      <c r="B70" s="39" t="s">
        <v>25</v>
      </c>
      <c r="C70" s="39" t="s">
        <v>26</v>
      </c>
      <c r="D70" s="39" t="s">
        <v>27</v>
      </c>
      <c r="E70" s="54" t="s">
        <v>604</v>
      </c>
      <c r="F70" s="55">
        <v>44539.0</v>
      </c>
      <c r="G70" s="55">
        <v>44543.0</v>
      </c>
      <c r="H70" s="62" t="s">
        <v>677</v>
      </c>
      <c r="I70" s="39" t="s">
        <v>30</v>
      </c>
      <c r="J70" s="57" t="s">
        <v>678</v>
      </c>
      <c r="K70" s="35" t="s">
        <v>30</v>
      </c>
    </row>
    <row r="71">
      <c r="A71" s="39"/>
      <c r="B71" s="39"/>
      <c r="C71" s="39"/>
      <c r="D71" s="39"/>
      <c r="E71" s="54"/>
      <c r="F71" s="39"/>
      <c r="G71" s="76"/>
      <c r="H71" s="57"/>
      <c r="I71" s="63"/>
      <c r="J71" s="39"/>
      <c r="K71" s="35" t="s">
        <v>433</v>
      </c>
    </row>
    <row r="72">
      <c r="A72" s="39"/>
      <c r="B72" s="39"/>
      <c r="C72" s="39"/>
      <c r="D72" s="39"/>
      <c r="E72" s="39"/>
      <c r="F72" s="39"/>
      <c r="G72" s="76"/>
      <c r="H72" s="57"/>
      <c r="I72" s="63"/>
      <c r="J72" s="39"/>
      <c r="K72" s="35" t="s">
        <v>433</v>
      </c>
    </row>
    <row r="73">
      <c r="A73" s="54"/>
      <c r="B73" s="39"/>
      <c r="C73" s="39"/>
      <c r="D73" s="39"/>
      <c r="E73" s="54"/>
      <c r="F73" s="77"/>
      <c r="G73" s="76"/>
      <c r="H73" s="57"/>
      <c r="I73" s="63"/>
      <c r="J73" s="39"/>
      <c r="K73" s="35" t="s">
        <v>433</v>
      </c>
    </row>
    <row r="74">
      <c r="A74" s="39"/>
      <c r="B74" s="39"/>
      <c r="C74" s="39"/>
      <c r="D74" s="39"/>
      <c r="E74" s="39"/>
      <c r="F74" s="76"/>
      <c r="G74" s="76"/>
      <c r="H74" s="57"/>
      <c r="I74" s="63"/>
      <c r="J74" s="39"/>
      <c r="K74" s="35" t="s">
        <v>433</v>
      </c>
    </row>
    <row r="75">
      <c r="A75" s="39"/>
      <c r="B75" s="39"/>
      <c r="C75" s="39"/>
      <c r="D75" s="39"/>
      <c r="E75" s="39"/>
      <c r="F75" s="39"/>
      <c r="G75" s="76"/>
      <c r="H75" s="57"/>
      <c r="I75" s="63"/>
      <c r="J75" s="39"/>
      <c r="K75" s="35" t="s">
        <v>433</v>
      </c>
    </row>
    <row r="76">
      <c r="A76" s="39"/>
      <c r="B76" s="39"/>
      <c r="C76" s="39"/>
      <c r="D76" s="39"/>
      <c r="E76" s="39"/>
      <c r="F76" s="76"/>
      <c r="G76" s="76"/>
      <c r="H76" s="57"/>
      <c r="I76" s="63"/>
      <c r="J76" s="39"/>
      <c r="K76" s="35" t="s">
        <v>433</v>
      </c>
    </row>
    <row r="77">
      <c r="A77" s="39"/>
      <c r="B77" s="39"/>
      <c r="C77" s="39"/>
      <c r="D77" s="78"/>
      <c r="E77" s="54"/>
      <c r="F77" s="76"/>
      <c r="G77" s="76"/>
      <c r="H77" s="62"/>
      <c r="I77" s="69"/>
      <c r="J77" s="39"/>
      <c r="K77" s="35" t="s">
        <v>433</v>
      </c>
    </row>
    <row r="78">
      <c r="A78" s="39"/>
      <c r="B78" s="39"/>
      <c r="C78" s="39"/>
      <c r="D78" s="39"/>
      <c r="E78" s="39"/>
      <c r="F78" s="39"/>
      <c r="G78" s="76"/>
      <c r="H78" s="57"/>
      <c r="I78" s="61"/>
      <c r="J78" s="39"/>
      <c r="K78" s="35" t="s">
        <v>433</v>
      </c>
    </row>
    <row r="79">
      <c r="A79" s="39"/>
      <c r="B79" s="39"/>
      <c r="C79" s="39"/>
      <c r="D79" s="39"/>
      <c r="E79" s="54"/>
      <c r="F79" s="39"/>
      <c r="G79" s="76"/>
      <c r="H79" s="57"/>
      <c r="I79" s="61"/>
      <c r="J79" s="39"/>
      <c r="K79" s="35" t="s">
        <v>433</v>
      </c>
    </row>
    <row r="80">
      <c r="A80" s="39"/>
      <c r="B80" s="39"/>
      <c r="C80" s="39"/>
      <c r="D80" s="39"/>
      <c r="E80" s="39"/>
      <c r="F80" s="39"/>
      <c r="G80" s="76"/>
      <c r="H80" s="57"/>
      <c r="I80" s="63"/>
      <c r="J80" s="39"/>
      <c r="K80" s="35" t="s">
        <v>433</v>
      </c>
    </row>
    <row r="81">
      <c r="A81" s="39"/>
      <c r="B81" s="39"/>
      <c r="C81" s="39"/>
      <c r="D81" s="39"/>
      <c r="E81" s="39"/>
      <c r="F81" s="76"/>
      <c r="G81" s="76"/>
      <c r="H81" s="57"/>
      <c r="I81" s="63"/>
      <c r="J81" s="39"/>
      <c r="K81" s="35" t="s">
        <v>433</v>
      </c>
    </row>
    <row r="82">
      <c r="A82" s="39"/>
      <c r="B82" s="39"/>
      <c r="C82" s="39"/>
      <c r="D82" s="39"/>
      <c r="E82" s="54"/>
      <c r="F82" s="39"/>
      <c r="G82" s="76"/>
      <c r="H82" s="57"/>
      <c r="I82" s="63"/>
      <c r="J82" s="39"/>
      <c r="K82" s="35" t="s">
        <v>433</v>
      </c>
    </row>
    <row r="83">
      <c r="A83" s="39"/>
      <c r="B83" s="39"/>
      <c r="C83" s="39"/>
      <c r="D83" s="39"/>
      <c r="E83" s="54"/>
      <c r="F83" s="39"/>
      <c r="G83" s="76"/>
      <c r="H83" s="57"/>
      <c r="I83" s="63"/>
      <c r="J83" s="39"/>
      <c r="K83" s="35" t="s">
        <v>433</v>
      </c>
    </row>
    <row r="84">
      <c r="A84" s="39"/>
      <c r="B84" s="39"/>
      <c r="C84" s="39"/>
      <c r="D84" s="39"/>
      <c r="E84" s="54"/>
      <c r="F84" s="39"/>
      <c r="G84" s="76"/>
      <c r="H84" s="57"/>
      <c r="I84" s="63"/>
      <c r="J84" s="39"/>
      <c r="K84" s="35" t="s">
        <v>433</v>
      </c>
    </row>
    <row r="85">
      <c r="A85" s="54"/>
      <c r="B85" s="39"/>
      <c r="C85" s="39"/>
      <c r="D85" s="39"/>
      <c r="E85" s="54"/>
      <c r="F85" s="76"/>
      <c r="G85" s="76"/>
      <c r="H85" s="57"/>
      <c r="I85" s="63"/>
      <c r="J85" s="39"/>
      <c r="K85" s="35" t="s">
        <v>433</v>
      </c>
    </row>
    <row r="86">
      <c r="A86" s="75"/>
      <c r="B86" s="39"/>
      <c r="C86" s="39"/>
      <c r="D86" s="39"/>
      <c r="E86" s="54"/>
      <c r="F86" s="39"/>
      <c r="G86" s="76"/>
      <c r="H86" s="57"/>
      <c r="I86" s="63"/>
      <c r="J86" s="39"/>
      <c r="K86" s="35" t="s">
        <v>433</v>
      </c>
    </row>
    <row r="87">
      <c r="A87" s="54"/>
      <c r="B87" s="39"/>
      <c r="C87" s="39"/>
      <c r="D87" s="39"/>
      <c r="E87" s="54"/>
      <c r="F87" s="76"/>
      <c r="G87" s="76"/>
      <c r="H87" s="57"/>
      <c r="I87" s="63"/>
      <c r="J87" s="39"/>
      <c r="K87" s="35" t="s">
        <v>433</v>
      </c>
    </row>
    <row r="88">
      <c r="A88" s="39"/>
      <c r="B88" s="39"/>
      <c r="C88" s="39"/>
      <c r="D88" s="39"/>
      <c r="E88" s="39"/>
      <c r="F88" s="76"/>
      <c r="G88" s="76"/>
      <c r="H88" s="57"/>
      <c r="I88" s="63"/>
      <c r="J88" s="39"/>
      <c r="K88" s="35" t="s">
        <v>433</v>
      </c>
    </row>
    <row r="89">
      <c r="A89" s="39"/>
      <c r="B89" s="39"/>
      <c r="C89" s="39"/>
      <c r="D89" s="39"/>
      <c r="E89" s="39"/>
      <c r="F89" s="76"/>
      <c r="G89" s="76"/>
      <c r="H89" s="57"/>
      <c r="I89" s="63"/>
      <c r="J89" s="39"/>
      <c r="K89" s="35" t="s">
        <v>433</v>
      </c>
    </row>
    <row r="90">
      <c r="A90" s="39"/>
      <c r="B90" s="39"/>
      <c r="C90" s="39"/>
      <c r="D90" s="39"/>
      <c r="E90" s="54"/>
      <c r="F90" s="76"/>
      <c r="G90" s="76"/>
      <c r="H90" s="57"/>
      <c r="I90" s="63"/>
      <c r="J90" s="39"/>
      <c r="K90" s="35" t="s">
        <v>433</v>
      </c>
    </row>
    <row r="91">
      <c r="A91" s="39"/>
      <c r="B91" s="39"/>
      <c r="C91" s="39"/>
      <c r="D91" s="39"/>
      <c r="E91" s="54"/>
      <c r="F91" s="76"/>
      <c r="G91" s="76"/>
      <c r="H91" s="57"/>
      <c r="I91" s="63"/>
      <c r="J91" s="39"/>
      <c r="K91" s="35" t="s">
        <v>433</v>
      </c>
    </row>
    <row r="92">
      <c r="A92" s="54"/>
      <c r="B92" s="39"/>
      <c r="C92" s="39"/>
      <c r="D92" s="39"/>
      <c r="E92" s="54"/>
      <c r="F92" s="77"/>
      <c r="G92" s="76"/>
      <c r="H92" s="57"/>
      <c r="I92" s="63"/>
      <c r="J92" s="39"/>
      <c r="K92" s="35" t="s">
        <v>433</v>
      </c>
    </row>
    <row r="93">
      <c r="A93" s="39"/>
      <c r="B93" s="39"/>
      <c r="C93" s="39"/>
      <c r="D93" s="39"/>
      <c r="E93" s="39"/>
      <c r="F93" s="39"/>
      <c r="G93" s="76"/>
      <c r="H93" s="57"/>
      <c r="I93" s="63"/>
      <c r="J93" s="39"/>
      <c r="K93" s="35" t="s">
        <v>433</v>
      </c>
    </row>
    <row r="94">
      <c r="A94" s="54"/>
      <c r="B94" s="39"/>
      <c r="C94" s="39"/>
      <c r="D94" s="39"/>
      <c r="E94" s="39"/>
      <c r="F94" s="76"/>
      <c r="G94" s="76"/>
      <c r="H94" s="57"/>
      <c r="I94" s="63"/>
      <c r="J94" s="39"/>
      <c r="K94" s="35" t="s">
        <v>433</v>
      </c>
    </row>
    <row r="95">
      <c r="A95" s="54"/>
      <c r="B95" s="39"/>
      <c r="C95" s="39"/>
      <c r="D95" s="39"/>
      <c r="E95" s="39"/>
      <c r="F95" s="39"/>
      <c r="G95" s="76"/>
      <c r="H95" s="57"/>
      <c r="I95" s="63"/>
      <c r="J95" s="39"/>
      <c r="K95" s="35" t="s">
        <v>433</v>
      </c>
    </row>
    <row r="96">
      <c r="A96" s="39"/>
      <c r="B96" s="39"/>
      <c r="C96" s="39"/>
      <c r="D96" s="39"/>
      <c r="E96" s="54"/>
      <c r="F96" s="54"/>
      <c r="G96" s="76"/>
      <c r="H96" s="57"/>
      <c r="I96" s="63"/>
      <c r="J96" s="39"/>
      <c r="K96" s="35" t="s">
        <v>433</v>
      </c>
    </row>
    <row r="97">
      <c r="A97" s="39"/>
      <c r="B97" s="39"/>
      <c r="C97" s="39"/>
      <c r="D97" s="39"/>
      <c r="E97" s="39"/>
      <c r="F97" s="76"/>
      <c r="G97" s="76"/>
      <c r="H97" s="57"/>
      <c r="I97" s="63"/>
      <c r="J97" s="39"/>
      <c r="K97" s="35" t="s">
        <v>433</v>
      </c>
    </row>
    <row r="98">
      <c r="A98" s="39"/>
      <c r="B98" s="39"/>
      <c r="C98" s="39"/>
      <c r="D98" s="39"/>
      <c r="E98" s="54"/>
      <c r="F98" s="77"/>
      <c r="G98" s="76"/>
      <c r="H98" s="57"/>
      <c r="I98" s="63"/>
      <c r="J98" s="79"/>
      <c r="K98" s="35" t="s">
        <v>433</v>
      </c>
    </row>
    <row r="99">
      <c r="A99" s="39"/>
      <c r="B99" s="39"/>
      <c r="C99" s="39"/>
      <c r="D99" s="39"/>
      <c r="E99" s="39"/>
      <c r="F99" s="76"/>
      <c r="G99" s="76"/>
      <c r="H99" s="57"/>
      <c r="I99" s="63"/>
      <c r="J99" s="79"/>
      <c r="K99" s="35" t="s">
        <v>433</v>
      </c>
    </row>
    <row r="100">
      <c r="A100" s="54"/>
      <c r="B100" s="39"/>
      <c r="C100" s="39"/>
      <c r="D100" s="39"/>
      <c r="E100" s="54"/>
      <c r="F100" s="39"/>
      <c r="G100" s="76"/>
      <c r="H100" s="57"/>
      <c r="I100" s="63"/>
      <c r="J100" s="39"/>
      <c r="K100" s="35" t="s">
        <v>433</v>
      </c>
    </row>
    <row r="101">
      <c r="A101" s="39"/>
      <c r="B101" s="39"/>
      <c r="C101" s="39"/>
      <c r="D101" s="39"/>
      <c r="E101" s="54"/>
      <c r="F101" s="54"/>
      <c r="G101" s="76"/>
      <c r="H101" s="57"/>
      <c r="I101" s="63"/>
      <c r="J101" s="79"/>
      <c r="K101" s="35" t="s">
        <v>433</v>
      </c>
    </row>
    <row r="102">
      <c r="A102" s="39"/>
      <c r="B102" s="39"/>
      <c r="C102" s="39"/>
      <c r="D102" s="39"/>
      <c r="E102" s="39"/>
      <c r="F102" s="76"/>
      <c r="G102" s="76"/>
      <c r="H102" s="57"/>
      <c r="I102" s="63"/>
      <c r="J102" s="39"/>
      <c r="K102" s="35" t="s">
        <v>433</v>
      </c>
    </row>
    <row r="103">
      <c r="A103" s="54"/>
      <c r="B103" s="39"/>
      <c r="C103" s="39"/>
      <c r="D103" s="39"/>
      <c r="E103" s="39"/>
      <c r="F103" s="76"/>
      <c r="G103" s="76"/>
      <c r="H103" s="57"/>
      <c r="I103" s="63"/>
      <c r="J103" s="39"/>
      <c r="K103" s="35" t="s">
        <v>433</v>
      </c>
    </row>
    <row r="104">
      <c r="A104" s="39"/>
      <c r="B104" s="39"/>
      <c r="C104" s="39"/>
      <c r="D104" s="39"/>
      <c r="E104" s="39"/>
      <c r="F104" s="76"/>
      <c r="G104" s="76"/>
      <c r="H104" s="57"/>
      <c r="I104" s="63"/>
      <c r="J104" s="39"/>
      <c r="K104" s="35" t="s">
        <v>433</v>
      </c>
    </row>
    <row r="105">
      <c r="A105" s="39"/>
      <c r="B105" s="39"/>
      <c r="C105" s="39"/>
      <c r="D105" s="39"/>
      <c r="E105" s="54"/>
      <c r="F105" s="54"/>
      <c r="G105" s="76"/>
      <c r="H105" s="57"/>
      <c r="I105" s="63"/>
      <c r="J105" s="79"/>
      <c r="K105" s="35" t="s">
        <v>433</v>
      </c>
    </row>
    <row r="106">
      <c r="A106" s="39"/>
      <c r="B106" s="39"/>
      <c r="C106" s="39"/>
      <c r="D106" s="39"/>
      <c r="E106" s="39"/>
      <c r="F106" s="54"/>
      <c r="G106" s="76"/>
      <c r="H106" s="57"/>
      <c r="I106" s="61"/>
      <c r="J106" s="79"/>
      <c r="K106" s="35" t="s">
        <v>433</v>
      </c>
    </row>
    <row r="107">
      <c r="A107" s="54"/>
      <c r="B107" s="39"/>
      <c r="C107" s="39"/>
      <c r="D107" s="39"/>
      <c r="E107" s="39"/>
      <c r="F107" s="54"/>
      <c r="G107" s="76"/>
      <c r="H107" s="57"/>
      <c r="I107" s="63"/>
      <c r="J107" s="79"/>
      <c r="K107" s="35" t="s">
        <v>433</v>
      </c>
    </row>
    <row r="108">
      <c r="A108" s="39"/>
      <c r="B108" s="39"/>
      <c r="C108" s="39"/>
      <c r="D108" s="39"/>
      <c r="E108" s="39"/>
      <c r="F108" s="54"/>
      <c r="G108" s="76"/>
      <c r="H108" s="57"/>
      <c r="I108" s="63"/>
      <c r="J108" s="79"/>
      <c r="K108" s="35" t="s">
        <v>433</v>
      </c>
    </row>
    <row r="109">
      <c r="A109" s="39"/>
      <c r="B109" s="39"/>
      <c r="C109" s="39"/>
      <c r="D109" s="39"/>
      <c r="E109" s="39"/>
      <c r="F109" s="54"/>
      <c r="G109" s="76"/>
      <c r="H109" s="57"/>
      <c r="I109" s="61"/>
      <c r="J109" s="79"/>
      <c r="K109" s="35" t="s">
        <v>433</v>
      </c>
    </row>
    <row r="110">
      <c r="A110" s="39"/>
      <c r="B110" s="39"/>
      <c r="C110" s="39"/>
      <c r="D110" s="39"/>
      <c r="E110" s="54"/>
      <c r="F110" s="54"/>
      <c r="G110" s="76"/>
      <c r="H110" s="57"/>
      <c r="I110" s="63"/>
      <c r="J110" s="79"/>
      <c r="K110" s="35" t="s">
        <v>433</v>
      </c>
    </row>
    <row r="111">
      <c r="A111" s="39"/>
      <c r="B111" s="39"/>
      <c r="C111" s="39"/>
      <c r="D111" s="39"/>
      <c r="E111" s="54"/>
      <c r="F111" s="54"/>
      <c r="G111" s="76"/>
      <c r="H111" s="57"/>
      <c r="I111" s="63"/>
      <c r="J111" s="79"/>
      <c r="K111" s="35" t="s">
        <v>433</v>
      </c>
    </row>
    <row r="112">
      <c r="A112" s="54"/>
      <c r="B112" s="39"/>
      <c r="C112" s="39"/>
      <c r="D112" s="39"/>
      <c r="E112" s="54"/>
      <c r="F112" s="54"/>
      <c r="G112" s="76"/>
      <c r="H112" s="57"/>
      <c r="I112" s="61"/>
      <c r="J112" s="79"/>
      <c r="K112" s="35" t="s">
        <v>433</v>
      </c>
    </row>
    <row r="113">
      <c r="A113" s="39"/>
      <c r="B113" s="39"/>
      <c r="C113" s="39"/>
      <c r="D113" s="39"/>
      <c r="E113" s="54"/>
      <c r="F113" s="54"/>
      <c r="G113" s="76"/>
      <c r="H113" s="57"/>
      <c r="I113" s="61"/>
      <c r="J113" s="79"/>
      <c r="K113" s="35" t="s">
        <v>433</v>
      </c>
    </row>
    <row r="114">
      <c r="A114" s="39"/>
      <c r="B114" s="39"/>
      <c r="C114" s="39"/>
      <c r="D114" s="39"/>
      <c r="E114" s="39"/>
      <c r="F114" s="54"/>
      <c r="G114" s="76"/>
      <c r="H114" s="57"/>
      <c r="I114" s="63"/>
      <c r="J114" s="79"/>
      <c r="K114" s="35" t="s">
        <v>433</v>
      </c>
    </row>
    <row r="115">
      <c r="A115" s="54"/>
      <c r="B115" s="39"/>
      <c r="C115" s="39"/>
      <c r="D115" s="39"/>
      <c r="E115" s="54"/>
      <c r="F115" s="54"/>
      <c r="G115" s="76"/>
      <c r="H115" s="57"/>
      <c r="I115" s="61"/>
      <c r="J115" s="79"/>
      <c r="K115" s="35" t="s">
        <v>433</v>
      </c>
    </row>
    <row r="116">
      <c r="A116" s="39"/>
      <c r="B116" s="39"/>
      <c r="C116" s="39"/>
      <c r="D116" s="39"/>
      <c r="E116" s="39"/>
      <c r="F116" s="54"/>
      <c r="G116" s="76"/>
      <c r="H116" s="57"/>
      <c r="I116" s="63"/>
      <c r="J116" s="79"/>
      <c r="K116" s="35" t="s">
        <v>433</v>
      </c>
    </row>
    <row r="117">
      <c r="I117" s="26"/>
      <c r="K117" s="26"/>
    </row>
    <row r="118">
      <c r="I118" s="26"/>
      <c r="K118" s="26"/>
    </row>
    <row r="119">
      <c r="I119" s="26"/>
      <c r="K119" s="26"/>
    </row>
    <row r="120">
      <c r="I120" s="26"/>
      <c r="K120" s="26"/>
    </row>
    <row r="121">
      <c r="I121" s="26"/>
      <c r="K121" s="26"/>
    </row>
    <row r="122">
      <c r="I122" s="26"/>
      <c r="K122" s="26"/>
    </row>
    <row r="123">
      <c r="I123" s="26"/>
      <c r="K123" s="26"/>
    </row>
    <row r="124">
      <c r="I124" s="26"/>
      <c r="K124" s="26"/>
    </row>
    <row r="125">
      <c r="I125" s="26"/>
      <c r="K125" s="26"/>
    </row>
    <row r="126">
      <c r="I126" s="26"/>
      <c r="K126" s="26"/>
    </row>
    <row r="127">
      <c r="I127" s="26"/>
      <c r="K127" s="26"/>
    </row>
    <row r="128">
      <c r="I128" s="26"/>
      <c r="K128" s="26"/>
    </row>
    <row r="129">
      <c r="I129" s="26"/>
      <c r="K129" s="26"/>
    </row>
    <row r="130">
      <c r="I130" s="26"/>
      <c r="K130" s="26"/>
    </row>
    <row r="131">
      <c r="I131" s="26"/>
      <c r="K131" s="26"/>
    </row>
    <row r="132">
      <c r="I132" s="26"/>
      <c r="K132" s="26"/>
    </row>
    <row r="133">
      <c r="I133" s="26"/>
      <c r="K133" s="26"/>
    </row>
    <row r="134">
      <c r="I134" s="26"/>
      <c r="K134" s="26"/>
    </row>
    <row r="135">
      <c r="I135" s="26"/>
      <c r="K135" s="26"/>
    </row>
    <row r="136">
      <c r="I136" s="26"/>
      <c r="K136" s="26"/>
    </row>
    <row r="137">
      <c r="I137" s="26"/>
      <c r="K137" s="26"/>
    </row>
    <row r="138">
      <c r="I138" s="26"/>
      <c r="K138" s="26"/>
    </row>
    <row r="139">
      <c r="I139" s="26"/>
      <c r="K139" s="26"/>
    </row>
    <row r="140">
      <c r="I140" s="26"/>
      <c r="K140" s="26"/>
    </row>
    <row r="141">
      <c r="I141" s="26"/>
      <c r="K141" s="26"/>
    </row>
    <row r="142">
      <c r="I142" s="26"/>
      <c r="K142" s="26"/>
    </row>
    <row r="143">
      <c r="I143" s="26"/>
      <c r="K143" s="26"/>
    </row>
    <row r="144">
      <c r="I144" s="26"/>
      <c r="K144" s="26"/>
    </row>
    <row r="145">
      <c r="I145" s="26"/>
      <c r="K145" s="26"/>
    </row>
    <row r="146">
      <c r="I146" s="26"/>
      <c r="K146" s="26"/>
    </row>
    <row r="147">
      <c r="I147" s="26"/>
      <c r="K147" s="26"/>
    </row>
    <row r="148">
      <c r="I148" s="26"/>
      <c r="K148" s="26"/>
    </row>
    <row r="149">
      <c r="I149" s="26"/>
      <c r="K149" s="26"/>
    </row>
    <row r="150">
      <c r="I150" s="26"/>
      <c r="K150" s="26"/>
    </row>
    <row r="151">
      <c r="I151" s="26"/>
      <c r="K151" s="26"/>
    </row>
    <row r="152">
      <c r="I152" s="26"/>
      <c r="K152" s="26"/>
    </row>
    <row r="153">
      <c r="I153" s="26"/>
      <c r="K153" s="26"/>
    </row>
    <row r="154">
      <c r="I154" s="26"/>
      <c r="K154" s="26"/>
    </row>
    <row r="155">
      <c r="I155" s="26"/>
      <c r="K155" s="26"/>
    </row>
    <row r="156">
      <c r="I156" s="26"/>
      <c r="K156" s="26"/>
    </row>
    <row r="157">
      <c r="I157" s="26"/>
      <c r="K157" s="26"/>
    </row>
    <row r="158">
      <c r="I158" s="26"/>
      <c r="K158" s="26"/>
    </row>
    <row r="159">
      <c r="I159" s="26"/>
      <c r="K159" s="26"/>
    </row>
    <row r="160">
      <c r="I160" s="26"/>
      <c r="K160" s="26"/>
    </row>
    <row r="161">
      <c r="I161" s="26"/>
      <c r="K161" s="26"/>
    </row>
    <row r="162">
      <c r="I162" s="26"/>
      <c r="K162" s="26"/>
    </row>
    <row r="163">
      <c r="I163" s="26"/>
      <c r="K163" s="26"/>
    </row>
    <row r="164">
      <c r="I164" s="26"/>
      <c r="K164" s="26"/>
    </row>
    <row r="165">
      <c r="I165" s="26"/>
      <c r="K165" s="26"/>
    </row>
    <row r="166">
      <c r="I166" s="26"/>
      <c r="K166" s="26"/>
    </row>
    <row r="167">
      <c r="I167" s="26"/>
      <c r="K167" s="26"/>
    </row>
    <row r="168">
      <c r="I168" s="26"/>
      <c r="K168" s="26"/>
    </row>
    <row r="169">
      <c r="I169" s="26"/>
      <c r="K169" s="26"/>
    </row>
    <row r="170">
      <c r="I170" s="26"/>
      <c r="K170" s="26"/>
    </row>
    <row r="171">
      <c r="I171" s="26"/>
      <c r="K171" s="26"/>
    </row>
    <row r="172">
      <c r="I172" s="26"/>
      <c r="K172" s="26"/>
    </row>
    <row r="173">
      <c r="I173" s="26"/>
      <c r="K173" s="26"/>
    </row>
    <row r="174">
      <c r="I174" s="26"/>
      <c r="K174" s="26"/>
    </row>
    <row r="175">
      <c r="I175" s="26"/>
      <c r="K175" s="26"/>
    </row>
    <row r="176">
      <c r="I176" s="26"/>
      <c r="K176" s="26"/>
    </row>
    <row r="177">
      <c r="I177" s="26"/>
      <c r="K177" s="26"/>
    </row>
    <row r="178">
      <c r="I178" s="26"/>
      <c r="K178" s="26"/>
    </row>
    <row r="179">
      <c r="I179" s="26"/>
      <c r="K179" s="26"/>
    </row>
    <row r="180">
      <c r="I180" s="26"/>
      <c r="K180" s="26"/>
    </row>
    <row r="181">
      <c r="I181" s="26"/>
      <c r="K181" s="26"/>
    </row>
    <row r="182">
      <c r="I182" s="26"/>
      <c r="K182" s="26"/>
    </row>
    <row r="183">
      <c r="I183" s="26"/>
      <c r="K183" s="26"/>
    </row>
    <row r="184">
      <c r="I184" s="26"/>
      <c r="K184" s="26"/>
    </row>
    <row r="185">
      <c r="I185" s="26"/>
      <c r="K185" s="26"/>
    </row>
    <row r="186">
      <c r="I186" s="26"/>
      <c r="K186" s="26"/>
    </row>
    <row r="187">
      <c r="I187" s="26"/>
      <c r="K187" s="26"/>
    </row>
    <row r="188">
      <c r="I188" s="26"/>
      <c r="K188" s="26"/>
    </row>
    <row r="189">
      <c r="I189" s="26"/>
      <c r="K189" s="26"/>
    </row>
    <row r="190">
      <c r="I190" s="26"/>
      <c r="K190" s="26"/>
    </row>
    <row r="191">
      <c r="I191" s="26"/>
      <c r="K191" s="26"/>
    </row>
    <row r="192">
      <c r="I192" s="26"/>
      <c r="K192" s="26"/>
    </row>
    <row r="193">
      <c r="I193" s="26"/>
      <c r="K193" s="26"/>
    </row>
    <row r="194">
      <c r="I194" s="26"/>
      <c r="K194" s="26"/>
    </row>
    <row r="195">
      <c r="I195" s="26"/>
      <c r="K195" s="26"/>
    </row>
    <row r="196">
      <c r="I196" s="26"/>
      <c r="K196" s="26"/>
    </row>
    <row r="197">
      <c r="I197" s="26"/>
      <c r="K197" s="26"/>
    </row>
    <row r="198">
      <c r="I198" s="26"/>
      <c r="K198" s="26"/>
    </row>
    <row r="199">
      <c r="I199" s="26"/>
      <c r="K199" s="26"/>
    </row>
    <row r="200">
      <c r="I200" s="26"/>
      <c r="K200" s="26"/>
    </row>
    <row r="201">
      <c r="I201" s="26"/>
      <c r="K201" s="26"/>
    </row>
    <row r="202">
      <c r="I202" s="26"/>
      <c r="K202" s="26"/>
    </row>
    <row r="203">
      <c r="I203" s="26"/>
      <c r="K203" s="26"/>
    </row>
    <row r="204">
      <c r="I204" s="26"/>
      <c r="K204" s="26"/>
    </row>
    <row r="205">
      <c r="I205" s="26"/>
      <c r="K205" s="26"/>
    </row>
    <row r="206">
      <c r="I206" s="26"/>
      <c r="K206" s="26"/>
    </row>
    <row r="207">
      <c r="I207" s="26"/>
      <c r="K207" s="26"/>
    </row>
    <row r="208">
      <c r="I208" s="26"/>
      <c r="K208" s="26"/>
    </row>
    <row r="209">
      <c r="I209" s="26"/>
      <c r="K209" s="26"/>
    </row>
    <row r="210">
      <c r="I210" s="26"/>
      <c r="K210" s="26"/>
    </row>
    <row r="211">
      <c r="I211" s="26"/>
      <c r="K211" s="26"/>
    </row>
    <row r="212">
      <c r="I212" s="26"/>
      <c r="K212" s="26"/>
    </row>
    <row r="213">
      <c r="I213" s="26"/>
      <c r="K213" s="26"/>
    </row>
    <row r="214">
      <c r="I214" s="26"/>
      <c r="K214" s="26"/>
    </row>
    <row r="215">
      <c r="I215" s="26"/>
      <c r="K215" s="26"/>
    </row>
    <row r="216">
      <c r="I216" s="26"/>
      <c r="K216" s="26"/>
    </row>
    <row r="217">
      <c r="I217" s="26"/>
      <c r="K217" s="26"/>
    </row>
    <row r="218">
      <c r="I218" s="26"/>
      <c r="K218" s="26"/>
    </row>
    <row r="219">
      <c r="I219" s="26"/>
      <c r="K219" s="26"/>
    </row>
    <row r="220">
      <c r="I220" s="26"/>
      <c r="K220" s="26"/>
    </row>
    <row r="221">
      <c r="I221" s="26"/>
      <c r="K221" s="26"/>
    </row>
    <row r="222">
      <c r="I222" s="26"/>
      <c r="K222" s="26"/>
    </row>
    <row r="223">
      <c r="I223" s="26"/>
      <c r="K223" s="26"/>
    </row>
    <row r="224">
      <c r="I224" s="26"/>
      <c r="K224" s="26"/>
    </row>
    <row r="225">
      <c r="I225" s="26"/>
      <c r="K225" s="26"/>
    </row>
    <row r="226">
      <c r="I226" s="26"/>
      <c r="K226" s="26"/>
    </row>
    <row r="227">
      <c r="I227" s="26"/>
      <c r="K227" s="26"/>
    </row>
    <row r="228">
      <c r="I228" s="26"/>
      <c r="K228" s="26"/>
    </row>
    <row r="229">
      <c r="I229" s="26"/>
      <c r="K229" s="26"/>
    </row>
    <row r="230">
      <c r="I230" s="26"/>
      <c r="K230" s="26"/>
    </row>
    <row r="231">
      <c r="I231" s="26"/>
      <c r="K231" s="26"/>
    </row>
    <row r="232">
      <c r="I232" s="26"/>
      <c r="K232" s="26"/>
    </row>
    <row r="233">
      <c r="I233" s="26"/>
      <c r="K233" s="26"/>
    </row>
    <row r="234">
      <c r="I234" s="26"/>
      <c r="K234" s="26"/>
    </row>
    <row r="235">
      <c r="I235" s="26"/>
      <c r="K235" s="26"/>
    </row>
    <row r="236">
      <c r="I236" s="26"/>
      <c r="K236" s="26"/>
    </row>
    <row r="237">
      <c r="I237" s="26"/>
      <c r="K237" s="26"/>
    </row>
    <row r="238">
      <c r="I238" s="26"/>
      <c r="K238" s="26"/>
    </row>
    <row r="239">
      <c r="I239" s="26"/>
      <c r="K239" s="26"/>
    </row>
    <row r="240">
      <c r="I240" s="26"/>
      <c r="K240" s="26"/>
    </row>
    <row r="241">
      <c r="I241" s="26"/>
      <c r="K241" s="26"/>
    </row>
    <row r="242">
      <c r="I242" s="26"/>
      <c r="K242" s="26"/>
    </row>
    <row r="243">
      <c r="I243" s="26"/>
      <c r="K243" s="26"/>
    </row>
    <row r="244">
      <c r="I244" s="26"/>
      <c r="K244" s="26"/>
    </row>
    <row r="245">
      <c r="I245" s="26"/>
      <c r="K245" s="26"/>
    </row>
    <row r="246">
      <c r="I246" s="26"/>
      <c r="K246" s="26"/>
    </row>
    <row r="247">
      <c r="I247" s="26"/>
      <c r="K247" s="26"/>
    </row>
    <row r="248">
      <c r="I248" s="26"/>
      <c r="K248" s="26"/>
    </row>
    <row r="249">
      <c r="I249" s="26"/>
      <c r="K249" s="26"/>
    </row>
    <row r="250">
      <c r="I250" s="26"/>
      <c r="K250" s="26"/>
    </row>
    <row r="251">
      <c r="I251" s="26"/>
      <c r="K251" s="26"/>
    </row>
    <row r="252">
      <c r="I252" s="26"/>
      <c r="K252" s="26"/>
    </row>
    <row r="253">
      <c r="I253" s="26"/>
      <c r="K253" s="26"/>
    </row>
    <row r="254">
      <c r="I254" s="26"/>
      <c r="K254" s="26"/>
    </row>
    <row r="255">
      <c r="I255" s="26"/>
      <c r="K255" s="26"/>
    </row>
    <row r="256">
      <c r="I256" s="26"/>
      <c r="K256" s="26"/>
    </row>
    <row r="257">
      <c r="I257" s="26"/>
      <c r="K257" s="26"/>
    </row>
    <row r="258">
      <c r="I258" s="26"/>
      <c r="K258" s="26"/>
    </row>
    <row r="259">
      <c r="I259" s="26"/>
      <c r="K259" s="26"/>
    </row>
    <row r="260">
      <c r="I260" s="26"/>
      <c r="K260" s="26"/>
    </row>
    <row r="261">
      <c r="I261" s="26"/>
      <c r="K261" s="26"/>
    </row>
    <row r="262">
      <c r="I262" s="26"/>
      <c r="K262" s="26"/>
    </row>
    <row r="263">
      <c r="I263" s="26"/>
      <c r="K263" s="26"/>
    </row>
    <row r="264">
      <c r="I264" s="26"/>
      <c r="K264" s="26"/>
    </row>
    <row r="265">
      <c r="I265" s="26"/>
      <c r="K265" s="26"/>
    </row>
    <row r="266">
      <c r="I266" s="26"/>
      <c r="K266" s="26"/>
    </row>
    <row r="267">
      <c r="I267" s="26"/>
      <c r="K267" s="26"/>
    </row>
    <row r="268">
      <c r="I268" s="26"/>
      <c r="K268" s="26"/>
    </row>
    <row r="269">
      <c r="I269" s="26"/>
      <c r="K269" s="26"/>
    </row>
    <row r="270">
      <c r="I270" s="26"/>
      <c r="K270" s="26"/>
    </row>
    <row r="271">
      <c r="I271" s="26"/>
      <c r="K271" s="26"/>
    </row>
    <row r="272">
      <c r="I272" s="26"/>
      <c r="K272" s="26"/>
    </row>
    <row r="273">
      <c r="I273" s="26"/>
      <c r="K273" s="26"/>
    </row>
    <row r="274">
      <c r="I274" s="26"/>
      <c r="K274" s="26"/>
    </row>
    <row r="275">
      <c r="I275" s="26"/>
      <c r="K275" s="26"/>
    </row>
    <row r="276">
      <c r="I276" s="26"/>
      <c r="K276" s="26"/>
    </row>
    <row r="277">
      <c r="I277" s="26"/>
      <c r="K277" s="26"/>
    </row>
    <row r="278">
      <c r="I278" s="26"/>
      <c r="K278" s="26"/>
    </row>
    <row r="279">
      <c r="I279" s="26"/>
      <c r="K279" s="26"/>
    </row>
    <row r="280">
      <c r="I280" s="26"/>
      <c r="K280" s="26"/>
    </row>
    <row r="281">
      <c r="I281" s="26"/>
      <c r="K281" s="26"/>
    </row>
    <row r="282">
      <c r="I282" s="26"/>
      <c r="K282" s="26"/>
    </row>
    <row r="283">
      <c r="I283" s="26"/>
      <c r="K283" s="26"/>
    </row>
    <row r="284">
      <c r="I284" s="26"/>
      <c r="K284" s="26"/>
    </row>
    <row r="285">
      <c r="I285" s="26"/>
      <c r="K285" s="26"/>
    </row>
    <row r="286">
      <c r="I286" s="26"/>
      <c r="K286" s="26"/>
    </row>
    <row r="287">
      <c r="I287" s="26"/>
      <c r="K287" s="26"/>
    </row>
    <row r="288">
      <c r="I288" s="26"/>
      <c r="K288" s="26"/>
    </row>
    <row r="289">
      <c r="I289" s="26"/>
      <c r="K289" s="26"/>
    </row>
    <row r="290">
      <c r="I290" s="26"/>
      <c r="K290" s="26"/>
    </row>
    <row r="291">
      <c r="I291" s="26"/>
      <c r="K291" s="26"/>
    </row>
    <row r="292">
      <c r="I292" s="26"/>
      <c r="K292" s="26"/>
    </row>
    <row r="293">
      <c r="I293" s="26"/>
      <c r="K293" s="26"/>
    </row>
    <row r="294">
      <c r="I294" s="26"/>
      <c r="K294" s="26"/>
    </row>
    <row r="295">
      <c r="I295" s="26"/>
      <c r="K295" s="26"/>
    </row>
    <row r="296">
      <c r="I296" s="26"/>
      <c r="K296" s="26"/>
    </row>
    <row r="297">
      <c r="I297" s="26"/>
      <c r="K297" s="26"/>
    </row>
    <row r="298">
      <c r="I298" s="26"/>
      <c r="K298" s="26"/>
    </row>
    <row r="299">
      <c r="I299" s="26"/>
      <c r="K299" s="26"/>
    </row>
    <row r="300">
      <c r="I300" s="26"/>
      <c r="K300" s="26"/>
    </row>
    <row r="301">
      <c r="I301" s="26"/>
      <c r="K301" s="26"/>
    </row>
    <row r="302">
      <c r="I302" s="26"/>
      <c r="K302" s="26"/>
    </row>
    <row r="303">
      <c r="I303" s="26"/>
      <c r="K303" s="26"/>
    </row>
    <row r="304">
      <c r="I304" s="26"/>
      <c r="K304" s="26"/>
    </row>
    <row r="305">
      <c r="I305" s="26"/>
      <c r="K305" s="26"/>
    </row>
    <row r="306">
      <c r="I306" s="26"/>
      <c r="K306" s="26"/>
    </row>
    <row r="307">
      <c r="I307" s="26"/>
      <c r="K307" s="26"/>
    </row>
    <row r="308">
      <c r="I308" s="26"/>
      <c r="K308" s="26"/>
    </row>
    <row r="309">
      <c r="I309" s="26"/>
      <c r="K309" s="26"/>
    </row>
    <row r="310">
      <c r="I310" s="26"/>
      <c r="K310" s="26"/>
    </row>
    <row r="311">
      <c r="I311" s="26"/>
      <c r="K311" s="26"/>
    </row>
    <row r="312">
      <c r="I312" s="26"/>
      <c r="K312" s="26"/>
    </row>
    <row r="313">
      <c r="I313" s="26"/>
      <c r="K313" s="26"/>
    </row>
    <row r="314">
      <c r="I314" s="26"/>
      <c r="K314" s="26"/>
    </row>
    <row r="315">
      <c r="I315" s="26"/>
      <c r="K315" s="26"/>
    </row>
    <row r="316">
      <c r="I316" s="26"/>
      <c r="K316" s="26"/>
    </row>
    <row r="317">
      <c r="I317" s="26"/>
      <c r="K317" s="26"/>
    </row>
    <row r="318">
      <c r="I318" s="26"/>
      <c r="K318" s="26"/>
    </row>
    <row r="319">
      <c r="I319" s="26"/>
      <c r="K319" s="26"/>
    </row>
    <row r="320">
      <c r="I320" s="26"/>
      <c r="K320" s="26"/>
    </row>
    <row r="321">
      <c r="I321" s="26"/>
      <c r="K321" s="26"/>
    </row>
    <row r="322">
      <c r="I322" s="26"/>
      <c r="K322" s="26"/>
    </row>
    <row r="323">
      <c r="I323" s="26"/>
      <c r="K323" s="26"/>
    </row>
    <row r="324">
      <c r="I324" s="26"/>
      <c r="K324" s="26"/>
    </row>
    <row r="325">
      <c r="I325" s="26"/>
      <c r="K325" s="26"/>
    </row>
    <row r="326">
      <c r="I326" s="26"/>
      <c r="K326" s="26"/>
    </row>
    <row r="327">
      <c r="I327" s="26"/>
      <c r="K327" s="26"/>
    </row>
    <row r="328">
      <c r="I328" s="26"/>
      <c r="K328" s="26"/>
    </row>
    <row r="329">
      <c r="I329" s="26"/>
      <c r="K329" s="26"/>
    </row>
    <row r="330">
      <c r="I330" s="26"/>
      <c r="K330" s="26"/>
    </row>
    <row r="331">
      <c r="I331" s="26"/>
      <c r="K331" s="26"/>
    </row>
    <row r="332">
      <c r="I332" s="26"/>
      <c r="K332" s="26"/>
    </row>
    <row r="333">
      <c r="I333" s="26"/>
      <c r="K333" s="26"/>
    </row>
    <row r="334">
      <c r="I334" s="26"/>
      <c r="K334" s="26"/>
    </row>
    <row r="335">
      <c r="I335" s="26"/>
      <c r="K335" s="26"/>
    </row>
    <row r="336">
      <c r="I336" s="26"/>
      <c r="K336" s="26"/>
    </row>
    <row r="337">
      <c r="I337" s="26"/>
      <c r="K337" s="26"/>
    </row>
    <row r="338">
      <c r="I338" s="26"/>
      <c r="K338" s="26"/>
    </row>
    <row r="339">
      <c r="I339" s="26"/>
      <c r="K339" s="26"/>
    </row>
    <row r="340">
      <c r="I340" s="26"/>
      <c r="K340" s="26"/>
    </row>
    <row r="341">
      <c r="I341" s="26"/>
      <c r="K341" s="26"/>
    </row>
    <row r="342">
      <c r="I342" s="26"/>
      <c r="K342" s="26"/>
    </row>
    <row r="343">
      <c r="I343" s="26"/>
      <c r="K343" s="26"/>
    </row>
    <row r="344">
      <c r="I344" s="26"/>
      <c r="K344" s="26"/>
    </row>
    <row r="345">
      <c r="I345" s="26"/>
      <c r="K345" s="26"/>
    </row>
    <row r="346">
      <c r="I346" s="26"/>
      <c r="K346" s="26"/>
    </row>
    <row r="347">
      <c r="I347" s="26"/>
      <c r="K347" s="26"/>
    </row>
    <row r="348">
      <c r="I348" s="26"/>
      <c r="K348" s="26"/>
    </row>
    <row r="349">
      <c r="I349" s="26"/>
      <c r="K349" s="26"/>
    </row>
    <row r="350">
      <c r="I350" s="26"/>
      <c r="K350" s="26"/>
    </row>
    <row r="351">
      <c r="I351" s="26"/>
      <c r="K351" s="26"/>
    </row>
    <row r="352">
      <c r="I352" s="26"/>
      <c r="K352" s="26"/>
    </row>
    <row r="353">
      <c r="I353" s="26"/>
      <c r="K353" s="26"/>
    </row>
    <row r="354">
      <c r="I354" s="26"/>
      <c r="K354" s="26"/>
    </row>
    <row r="355">
      <c r="I355" s="26"/>
      <c r="K355" s="26"/>
    </row>
    <row r="356">
      <c r="I356" s="26"/>
      <c r="K356" s="26"/>
    </row>
    <row r="357">
      <c r="I357" s="26"/>
      <c r="K357" s="26"/>
    </row>
    <row r="358">
      <c r="I358" s="26"/>
      <c r="K358" s="26"/>
    </row>
    <row r="359">
      <c r="I359" s="26"/>
      <c r="K359" s="26"/>
    </row>
    <row r="360">
      <c r="I360" s="26"/>
      <c r="K360" s="26"/>
    </row>
    <row r="361">
      <c r="I361" s="26"/>
      <c r="K361" s="26"/>
    </row>
    <row r="362">
      <c r="I362" s="26"/>
      <c r="K362" s="26"/>
    </row>
    <row r="363">
      <c r="I363" s="26"/>
      <c r="K363" s="26"/>
    </row>
    <row r="364">
      <c r="I364" s="26"/>
      <c r="K364" s="26"/>
    </row>
    <row r="365">
      <c r="I365" s="26"/>
      <c r="K365" s="26"/>
    </row>
    <row r="366">
      <c r="I366" s="26"/>
      <c r="K366" s="26"/>
    </row>
    <row r="367">
      <c r="I367" s="26"/>
      <c r="K367" s="26"/>
    </row>
    <row r="368">
      <c r="I368" s="26"/>
      <c r="K368" s="26"/>
    </row>
    <row r="369">
      <c r="I369" s="26"/>
      <c r="K369" s="26"/>
    </row>
    <row r="370">
      <c r="I370" s="26"/>
      <c r="K370" s="26"/>
    </row>
    <row r="371">
      <c r="I371" s="26"/>
      <c r="K371" s="26"/>
    </row>
    <row r="372">
      <c r="I372" s="26"/>
      <c r="K372" s="26"/>
    </row>
    <row r="373">
      <c r="I373" s="26"/>
      <c r="K373" s="26"/>
    </row>
    <row r="374">
      <c r="I374" s="26"/>
      <c r="K374" s="26"/>
    </row>
    <row r="375">
      <c r="I375" s="26"/>
      <c r="K375" s="26"/>
    </row>
    <row r="376">
      <c r="I376" s="26"/>
      <c r="K376" s="26"/>
    </row>
    <row r="377">
      <c r="I377" s="26"/>
      <c r="K377" s="26"/>
    </row>
    <row r="378">
      <c r="I378" s="26"/>
      <c r="K378" s="26"/>
    </row>
    <row r="379">
      <c r="I379" s="26"/>
      <c r="K379" s="26"/>
    </row>
    <row r="380">
      <c r="I380" s="26"/>
      <c r="K380" s="26"/>
    </row>
    <row r="381">
      <c r="I381" s="26"/>
      <c r="K381" s="26"/>
    </row>
    <row r="382">
      <c r="I382" s="26"/>
      <c r="K382" s="26"/>
    </row>
    <row r="383">
      <c r="I383" s="26"/>
      <c r="K383" s="26"/>
    </row>
    <row r="384">
      <c r="I384" s="26"/>
      <c r="K384" s="26"/>
    </row>
    <row r="385">
      <c r="I385" s="26"/>
      <c r="K385" s="26"/>
    </row>
    <row r="386">
      <c r="I386" s="26"/>
      <c r="K386" s="26"/>
    </row>
    <row r="387">
      <c r="I387" s="26"/>
      <c r="K387" s="26"/>
    </row>
    <row r="388">
      <c r="I388" s="26"/>
      <c r="K388" s="26"/>
    </row>
    <row r="389">
      <c r="I389" s="26"/>
      <c r="K389" s="26"/>
    </row>
    <row r="390">
      <c r="I390" s="26"/>
      <c r="K390" s="26"/>
    </row>
    <row r="391">
      <c r="I391" s="26"/>
      <c r="K391" s="26"/>
    </row>
    <row r="392">
      <c r="I392" s="26"/>
      <c r="K392" s="26"/>
    </row>
    <row r="393">
      <c r="I393" s="26"/>
      <c r="K393" s="26"/>
    </row>
    <row r="394">
      <c r="I394" s="26"/>
      <c r="K394" s="26"/>
    </row>
    <row r="395">
      <c r="I395" s="26"/>
      <c r="K395" s="26"/>
    </row>
    <row r="396">
      <c r="I396" s="26"/>
      <c r="K396" s="26"/>
    </row>
    <row r="397">
      <c r="I397" s="26"/>
      <c r="K397" s="26"/>
    </row>
    <row r="398">
      <c r="I398" s="26"/>
      <c r="K398" s="26"/>
    </row>
    <row r="399">
      <c r="I399" s="26"/>
      <c r="K399" s="26"/>
    </row>
    <row r="400">
      <c r="I400" s="26"/>
      <c r="K400" s="26"/>
    </row>
    <row r="401">
      <c r="I401" s="26"/>
      <c r="K401" s="26"/>
    </row>
    <row r="402">
      <c r="I402" s="26"/>
      <c r="K402" s="26"/>
    </row>
    <row r="403">
      <c r="I403" s="26"/>
      <c r="K403" s="26"/>
    </row>
    <row r="404">
      <c r="I404" s="26"/>
      <c r="K404" s="26"/>
    </row>
    <row r="405">
      <c r="I405" s="26"/>
      <c r="K405" s="26"/>
    </row>
    <row r="406">
      <c r="I406" s="26"/>
      <c r="K406" s="26"/>
    </row>
    <row r="407">
      <c r="I407" s="26"/>
      <c r="K407" s="26"/>
    </row>
    <row r="408">
      <c r="I408" s="26"/>
      <c r="K408" s="26"/>
    </row>
    <row r="409">
      <c r="I409" s="26"/>
      <c r="K409" s="26"/>
    </row>
    <row r="410">
      <c r="I410" s="26"/>
      <c r="K410" s="26"/>
    </row>
    <row r="411">
      <c r="I411" s="26"/>
      <c r="K411" s="26"/>
    </row>
    <row r="412">
      <c r="I412" s="26"/>
      <c r="K412" s="26"/>
    </row>
    <row r="413">
      <c r="I413" s="26"/>
      <c r="K413" s="26"/>
    </row>
    <row r="414">
      <c r="I414" s="26"/>
      <c r="K414" s="26"/>
    </row>
    <row r="415">
      <c r="I415" s="26"/>
      <c r="K415" s="26"/>
    </row>
    <row r="416">
      <c r="I416" s="26"/>
      <c r="K416" s="26"/>
    </row>
    <row r="417">
      <c r="I417" s="26"/>
      <c r="K417" s="26"/>
    </row>
    <row r="418">
      <c r="I418" s="26"/>
      <c r="K418" s="26"/>
    </row>
    <row r="419">
      <c r="I419" s="26"/>
      <c r="K419" s="26"/>
    </row>
    <row r="420">
      <c r="I420" s="26"/>
      <c r="K420" s="26"/>
    </row>
    <row r="421">
      <c r="I421" s="26"/>
      <c r="K421" s="26"/>
    </row>
    <row r="422">
      <c r="I422" s="26"/>
      <c r="K422" s="26"/>
    </row>
    <row r="423">
      <c r="I423" s="26"/>
      <c r="K423" s="26"/>
    </row>
    <row r="424">
      <c r="I424" s="26"/>
      <c r="K424" s="26"/>
    </row>
    <row r="425">
      <c r="I425" s="26"/>
      <c r="K425" s="26"/>
    </row>
    <row r="426">
      <c r="I426" s="26"/>
      <c r="K426" s="26"/>
    </row>
    <row r="427">
      <c r="I427" s="26"/>
      <c r="K427" s="26"/>
    </row>
    <row r="428">
      <c r="I428" s="26"/>
      <c r="K428" s="26"/>
    </row>
    <row r="429">
      <c r="I429" s="26"/>
      <c r="K429" s="26"/>
    </row>
    <row r="430">
      <c r="I430" s="26"/>
      <c r="K430" s="26"/>
    </row>
    <row r="431">
      <c r="I431" s="26"/>
      <c r="K431" s="26"/>
    </row>
    <row r="432">
      <c r="I432" s="26"/>
      <c r="K432" s="26"/>
    </row>
    <row r="433">
      <c r="I433" s="26"/>
      <c r="K433" s="26"/>
    </row>
    <row r="434">
      <c r="I434" s="26"/>
      <c r="K434" s="26"/>
    </row>
    <row r="435">
      <c r="I435" s="26"/>
      <c r="K435" s="26"/>
    </row>
    <row r="436">
      <c r="I436" s="26"/>
      <c r="K436" s="26"/>
    </row>
    <row r="437">
      <c r="I437" s="26"/>
      <c r="K437" s="26"/>
    </row>
    <row r="438">
      <c r="I438" s="26"/>
      <c r="K438" s="26"/>
    </row>
    <row r="439">
      <c r="I439" s="26"/>
      <c r="K439" s="26"/>
    </row>
    <row r="440">
      <c r="I440" s="26"/>
      <c r="K440" s="26"/>
    </row>
    <row r="441">
      <c r="I441" s="26"/>
      <c r="K441" s="26"/>
    </row>
    <row r="442">
      <c r="I442" s="26"/>
      <c r="K442" s="26"/>
    </row>
    <row r="443">
      <c r="I443" s="26"/>
      <c r="K443" s="26"/>
    </row>
    <row r="444">
      <c r="I444" s="26"/>
      <c r="K444" s="26"/>
    </row>
    <row r="445">
      <c r="I445" s="26"/>
      <c r="K445" s="26"/>
    </row>
    <row r="446">
      <c r="I446" s="26"/>
      <c r="K446" s="26"/>
    </row>
    <row r="447">
      <c r="I447" s="26"/>
      <c r="K447" s="26"/>
    </row>
    <row r="448">
      <c r="I448" s="26"/>
      <c r="K448" s="26"/>
    </row>
    <row r="449">
      <c r="I449" s="26"/>
      <c r="K449" s="26"/>
    </row>
    <row r="450">
      <c r="I450" s="26"/>
      <c r="K450" s="26"/>
    </row>
    <row r="451">
      <c r="I451" s="26"/>
      <c r="K451" s="26"/>
    </row>
    <row r="452">
      <c r="I452" s="26"/>
      <c r="K452" s="26"/>
    </row>
    <row r="453">
      <c r="I453" s="26"/>
      <c r="K453" s="26"/>
    </row>
    <row r="454">
      <c r="I454" s="26"/>
      <c r="K454" s="26"/>
    </row>
    <row r="455">
      <c r="I455" s="26"/>
      <c r="K455" s="26"/>
    </row>
    <row r="456">
      <c r="I456" s="26"/>
      <c r="K456" s="26"/>
    </row>
    <row r="457">
      <c r="I457" s="26"/>
      <c r="K457" s="26"/>
    </row>
    <row r="458">
      <c r="I458" s="26"/>
      <c r="K458" s="26"/>
    </row>
    <row r="459">
      <c r="I459" s="26"/>
      <c r="K459" s="26"/>
    </row>
    <row r="460">
      <c r="I460" s="26"/>
      <c r="K460" s="26"/>
    </row>
    <row r="461">
      <c r="I461" s="26"/>
      <c r="K461" s="26"/>
    </row>
    <row r="462">
      <c r="I462" s="26"/>
      <c r="K462" s="26"/>
    </row>
    <row r="463">
      <c r="I463" s="26"/>
      <c r="K463" s="26"/>
    </row>
    <row r="464">
      <c r="I464" s="26"/>
      <c r="K464" s="26"/>
    </row>
    <row r="465">
      <c r="I465" s="26"/>
      <c r="K465" s="26"/>
    </row>
    <row r="466">
      <c r="I466" s="26"/>
      <c r="K466" s="26"/>
    </row>
    <row r="467">
      <c r="I467" s="26"/>
      <c r="K467" s="26"/>
    </row>
    <row r="468">
      <c r="I468" s="26"/>
      <c r="K468" s="26"/>
    </row>
    <row r="469">
      <c r="I469" s="26"/>
      <c r="K469" s="26"/>
    </row>
    <row r="470">
      <c r="I470" s="26"/>
      <c r="K470" s="26"/>
    </row>
    <row r="471">
      <c r="I471" s="26"/>
      <c r="K471" s="26"/>
    </row>
    <row r="472">
      <c r="I472" s="26"/>
      <c r="K472" s="26"/>
    </row>
    <row r="473">
      <c r="I473" s="26"/>
      <c r="K473" s="26"/>
    </row>
    <row r="474">
      <c r="I474" s="26"/>
      <c r="K474" s="26"/>
    </row>
    <row r="475">
      <c r="I475" s="26"/>
      <c r="K475" s="26"/>
    </row>
    <row r="476">
      <c r="I476" s="26"/>
      <c r="K476" s="26"/>
    </row>
    <row r="477">
      <c r="I477" s="26"/>
      <c r="K477" s="26"/>
    </row>
    <row r="478">
      <c r="I478" s="26"/>
      <c r="K478" s="26"/>
    </row>
    <row r="479">
      <c r="I479" s="26"/>
      <c r="K479" s="26"/>
    </row>
    <row r="480">
      <c r="I480" s="26"/>
      <c r="K480" s="26"/>
    </row>
    <row r="481">
      <c r="I481" s="26"/>
      <c r="K481" s="26"/>
    </row>
    <row r="482">
      <c r="I482" s="26"/>
      <c r="K482" s="26"/>
    </row>
    <row r="483">
      <c r="I483" s="26"/>
      <c r="K483" s="26"/>
    </row>
    <row r="484">
      <c r="I484" s="26"/>
      <c r="K484" s="26"/>
    </row>
    <row r="485">
      <c r="I485" s="26"/>
      <c r="K485" s="26"/>
    </row>
    <row r="486">
      <c r="I486" s="26"/>
      <c r="K486" s="26"/>
    </row>
    <row r="487">
      <c r="I487" s="26"/>
      <c r="K487" s="26"/>
    </row>
    <row r="488">
      <c r="I488" s="26"/>
      <c r="K488" s="26"/>
    </row>
    <row r="489">
      <c r="I489" s="26"/>
      <c r="K489" s="26"/>
    </row>
    <row r="490">
      <c r="I490" s="26"/>
      <c r="K490" s="26"/>
    </row>
    <row r="491">
      <c r="I491" s="26"/>
      <c r="K491" s="26"/>
    </row>
    <row r="492">
      <c r="I492" s="26"/>
      <c r="K492" s="26"/>
    </row>
    <row r="493">
      <c r="I493" s="26"/>
      <c r="K493" s="26"/>
    </row>
    <row r="494">
      <c r="I494" s="26"/>
      <c r="K494" s="26"/>
    </row>
    <row r="495">
      <c r="I495" s="26"/>
      <c r="K495" s="26"/>
    </row>
    <row r="496">
      <c r="I496" s="26"/>
      <c r="K496" s="26"/>
    </row>
    <row r="497">
      <c r="I497" s="26"/>
      <c r="K497" s="26"/>
    </row>
    <row r="498">
      <c r="I498" s="26"/>
      <c r="K498" s="26"/>
    </row>
    <row r="499">
      <c r="I499" s="26"/>
      <c r="K499" s="26"/>
    </row>
    <row r="500">
      <c r="I500" s="26"/>
      <c r="K500" s="26"/>
    </row>
    <row r="501">
      <c r="I501" s="26"/>
      <c r="K501" s="26"/>
    </row>
    <row r="502">
      <c r="I502" s="26"/>
      <c r="K502" s="26"/>
    </row>
    <row r="503">
      <c r="I503" s="26"/>
      <c r="K503" s="26"/>
    </row>
    <row r="504">
      <c r="I504" s="26"/>
      <c r="K504" s="26"/>
    </row>
    <row r="505">
      <c r="I505" s="26"/>
      <c r="K505" s="26"/>
    </row>
    <row r="506">
      <c r="I506" s="26"/>
      <c r="K506" s="26"/>
    </row>
    <row r="507">
      <c r="I507" s="26"/>
      <c r="K507" s="26"/>
    </row>
    <row r="508">
      <c r="I508" s="26"/>
      <c r="K508" s="26"/>
    </row>
    <row r="509">
      <c r="I509" s="26"/>
      <c r="K509" s="26"/>
    </row>
    <row r="510">
      <c r="I510" s="26"/>
      <c r="K510" s="26"/>
    </row>
    <row r="511">
      <c r="I511" s="26"/>
      <c r="K511" s="26"/>
    </row>
    <row r="512">
      <c r="I512" s="26"/>
      <c r="K512" s="26"/>
    </row>
    <row r="513">
      <c r="I513" s="26"/>
      <c r="K513" s="26"/>
    </row>
    <row r="514">
      <c r="I514" s="26"/>
      <c r="K514" s="26"/>
    </row>
    <row r="515">
      <c r="I515" s="26"/>
      <c r="K515" s="26"/>
    </row>
    <row r="516">
      <c r="I516" s="26"/>
      <c r="K516" s="26"/>
    </row>
    <row r="517">
      <c r="I517" s="26"/>
      <c r="K517" s="26"/>
    </row>
    <row r="518">
      <c r="I518" s="26"/>
      <c r="K518" s="26"/>
    </row>
    <row r="519">
      <c r="I519" s="26"/>
      <c r="K519" s="26"/>
    </row>
    <row r="520">
      <c r="I520" s="26"/>
      <c r="K520" s="26"/>
    </row>
    <row r="521">
      <c r="I521" s="26"/>
      <c r="K521" s="26"/>
    </row>
    <row r="522">
      <c r="I522" s="26"/>
      <c r="K522" s="26"/>
    </row>
    <row r="523">
      <c r="I523" s="26"/>
      <c r="K523" s="26"/>
    </row>
    <row r="524">
      <c r="I524" s="26"/>
      <c r="K524" s="26"/>
    </row>
    <row r="525">
      <c r="I525" s="26"/>
      <c r="K525" s="26"/>
    </row>
    <row r="526">
      <c r="I526" s="26"/>
      <c r="K526" s="26"/>
    </row>
    <row r="527">
      <c r="I527" s="26"/>
      <c r="K527" s="26"/>
    </row>
    <row r="528">
      <c r="I528" s="26"/>
      <c r="K528" s="26"/>
    </row>
    <row r="529">
      <c r="I529" s="26"/>
      <c r="K529" s="26"/>
    </row>
    <row r="530">
      <c r="I530" s="26"/>
      <c r="K530" s="26"/>
    </row>
    <row r="531">
      <c r="I531" s="26"/>
      <c r="K531" s="26"/>
    </row>
    <row r="532">
      <c r="I532" s="26"/>
      <c r="K532" s="26"/>
    </row>
    <row r="533">
      <c r="I533" s="26"/>
      <c r="K533" s="26"/>
    </row>
    <row r="534">
      <c r="I534" s="26"/>
      <c r="K534" s="26"/>
    </row>
    <row r="535">
      <c r="I535" s="26"/>
      <c r="K535" s="26"/>
    </row>
    <row r="536">
      <c r="I536" s="26"/>
      <c r="K536" s="26"/>
    </row>
    <row r="537">
      <c r="I537" s="26"/>
      <c r="K537" s="26"/>
    </row>
    <row r="538">
      <c r="I538" s="26"/>
      <c r="K538" s="26"/>
    </row>
    <row r="539">
      <c r="I539" s="26"/>
      <c r="K539" s="26"/>
    </row>
    <row r="540">
      <c r="I540" s="26"/>
      <c r="K540" s="26"/>
    </row>
    <row r="541">
      <c r="I541" s="26"/>
      <c r="K541" s="26"/>
    </row>
    <row r="542">
      <c r="I542" s="26"/>
      <c r="K542" s="26"/>
    </row>
    <row r="543">
      <c r="I543" s="26"/>
      <c r="K543" s="26"/>
    </row>
    <row r="544">
      <c r="I544" s="26"/>
      <c r="K544" s="26"/>
    </row>
    <row r="545">
      <c r="I545" s="26"/>
      <c r="K545" s="26"/>
    </row>
    <row r="546">
      <c r="I546" s="26"/>
      <c r="K546" s="26"/>
    </row>
    <row r="547">
      <c r="I547" s="26"/>
      <c r="K547" s="26"/>
    </row>
    <row r="548">
      <c r="I548" s="26"/>
      <c r="K548" s="26"/>
    </row>
    <row r="549">
      <c r="I549" s="26"/>
      <c r="K549" s="26"/>
    </row>
    <row r="550">
      <c r="I550" s="26"/>
      <c r="K550" s="26"/>
    </row>
    <row r="551">
      <c r="I551" s="26"/>
      <c r="K551" s="26"/>
    </row>
    <row r="552">
      <c r="I552" s="26"/>
      <c r="K552" s="26"/>
    </row>
    <row r="553">
      <c r="I553" s="26"/>
      <c r="K553" s="26"/>
    </row>
    <row r="554">
      <c r="I554" s="26"/>
      <c r="K554" s="26"/>
    </row>
    <row r="555">
      <c r="I555" s="26"/>
      <c r="K555" s="26"/>
    </row>
    <row r="556">
      <c r="I556" s="26"/>
      <c r="K556" s="26"/>
    </row>
    <row r="557">
      <c r="I557" s="26"/>
      <c r="K557" s="26"/>
    </row>
    <row r="558">
      <c r="I558" s="26"/>
      <c r="K558" s="26"/>
    </row>
    <row r="559">
      <c r="I559" s="26"/>
      <c r="K559" s="26"/>
    </row>
    <row r="560">
      <c r="I560" s="26"/>
      <c r="K560" s="26"/>
    </row>
    <row r="561">
      <c r="I561" s="26"/>
      <c r="K561" s="26"/>
    </row>
    <row r="562">
      <c r="I562" s="26"/>
      <c r="K562" s="26"/>
    </row>
    <row r="563">
      <c r="I563" s="26"/>
      <c r="K563" s="26"/>
    </row>
    <row r="564">
      <c r="I564" s="26"/>
      <c r="K564" s="26"/>
    </row>
    <row r="565">
      <c r="I565" s="26"/>
      <c r="K565" s="26"/>
    </row>
    <row r="566">
      <c r="I566" s="26"/>
      <c r="K566" s="26"/>
    </row>
    <row r="567">
      <c r="I567" s="26"/>
      <c r="K567" s="26"/>
    </row>
    <row r="568">
      <c r="I568" s="26"/>
      <c r="K568" s="26"/>
    </row>
    <row r="569">
      <c r="I569" s="26"/>
      <c r="K569" s="26"/>
    </row>
    <row r="570">
      <c r="I570" s="26"/>
      <c r="K570" s="26"/>
    </row>
    <row r="571">
      <c r="I571" s="26"/>
      <c r="K571" s="26"/>
    </row>
    <row r="572">
      <c r="I572" s="26"/>
      <c r="K572" s="26"/>
    </row>
    <row r="573">
      <c r="I573" s="26"/>
      <c r="K573" s="26"/>
    </row>
    <row r="574">
      <c r="I574" s="26"/>
      <c r="K574" s="26"/>
    </row>
    <row r="575">
      <c r="I575" s="26"/>
      <c r="K575" s="26"/>
    </row>
    <row r="576">
      <c r="I576" s="26"/>
      <c r="K576" s="26"/>
    </row>
    <row r="577">
      <c r="I577" s="26"/>
      <c r="K577" s="26"/>
    </row>
    <row r="578">
      <c r="I578" s="26"/>
      <c r="K578" s="26"/>
    </row>
    <row r="579">
      <c r="I579" s="26"/>
      <c r="K579" s="26"/>
    </row>
    <row r="580">
      <c r="I580" s="26"/>
      <c r="K580" s="26"/>
    </row>
    <row r="581">
      <c r="I581" s="26"/>
      <c r="K581" s="26"/>
    </row>
    <row r="582">
      <c r="I582" s="26"/>
      <c r="K582" s="26"/>
    </row>
    <row r="583">
      <c r="I583" s="26"/>
      <c r="K583" s="26"/>
    </row>
    <row r="584">
      <c r="I584" s="26"/>
      <c r="K584" s="26"/>
    </row>
    <row r="585">
      <c r="I585" s="26"/>
      <c r="K585" s="26"/>
    </row>
    <row r="586">
      <c r="I586" s="26"/>
      <c r="K586" s="26"/>
    </row>
    <row r="587">
      <c r="I587" s="26"/>
      <c r="K587" s="26"/>
    </row>
    <row r="588">
      <c r="I588" s="26"/>
      <c r="K588" s="26"/>
    </row>
    <row r="589">
      <c r="I589" s="26"/>
      <c r="K589" s="26"/>
    </row>
    <row r="590">
      <c r="I590" s="26"/>
      <c r="K590" s="26"/>
    </row>
    <row r="591">
      <c r="I591" s="26"/>
      <c r="K591" s="26"/>
    </row>
    <row r="592">
      <c r="I592" s="26"/>
      <c r="K592" s="26"/>
    </row>
    <row r="593">
      <c r="I593" s="26"/>
      <c r="K593" s="26"/>
    </row>
    <row r="594">
      <c r="I594" s="26"/>
      <c r="K594" s="26"/>
    </row>
    <row r="595">
      <c r="I595" s="26"/>
      <c r="K595" s="26"/>
    </row>
    <row r="596">
      <c r="I596" s="26"/>
      <c r="K596" s="26"/>
    </row>
    <row r="597">
      <c r="I597" s="26"/>
      <c r="K597" s="26"/>
    </row>
    <row r="598">
      <c r="I598" s="26"/>
      <c r="K598" s="26"/>
    </row>
    <row r="599">
      <c r="I599" s="26"/>
      <c r="K599" s="26"/>
    </row>
    <row r="600">
      <c r="I600" s="26"/>
      <c r="K600" s="26"/>
    </row>
    <row r="601">
      <c r="I601" s="26"/>
      <c r="K601" s="26"/>
    </row>
    <row r="602">
      <c r="I602" s="26"/>
      <c r="K602" s="26"/>
    </row>
    <row r="603">
      <c r="I603" s="26"/>
      <c r="K603" s="26"/>
    </row>
    <row r="604">
      <c r="I604" s="26"/>
      <c r="K604" s="26"/>
    </row>
    <row r="605">
      <c r="I605" s="26"/>
      <c r="K605" s="26"/>
    </row>
    <row r="606">
      <c r="I606" s="26"/>
      <c r="K606" s="26"/>
    </row>
    <row r="607">
      <c r="I607" s="26"/>
      <c r="K607" s="26"/>
    </row>
    <row r="608">
      <c r="I608" s="26"/>
      <c r="K608" s="26"/>
    </row>
    <row r="609">
      <c r="I609" s="26"/>
      <c r="K609" s="26"/>
    </row>
    <row r="610">
      <c r="I610" s="26"/>
      <c r="K610" s="26"/>
    </row>
    <row r="611">
      <c r="I611" s="26"/>
      <c r="K611" s="26"/>
    </row>
    <row r="612">
      <c r="I612" s="26"/>
      <c r="K612" s="26"/>
    </row>
    <row r="613">
      <c r="I613" s="26"/>
      <c r="K613" s="26"/>
    </row>
    <row r="614">
      <c r="I614" s="26"/>
      <c r="K614" s="26"/>
    </row>
    <row r="615">
      <c r="I615" s="26"/>
      <c r="K615" s="26"/>
    </row>
    <row r="616">
      <c r="I616" s="26"/>
      <c r="K616" s="26"/>
    </row>
    <row r="617">
      <c r="I617" s="26"/>
      <c r="K617" s="26"/>
    </row>
    <row r="618">
      <c r="I618" s="26"/>
      <c r="K618" s="26"/>
    </row>
    <row r="619">
      <c r="I619" s="26"/>
      <c r="K619" s="26"/>
    </row>
    <row r="620">
      <c r="I620" s="26"/>
      <c r="K620" s="26"/>
    </row>
    <row r="621">
      <c r="I621" s="26"/>
      <c r="K621" s="26"/>
    </row>
    <row r="622">
      <c r="I622" s="26"/>
      <c r="K622" s="26"/>
    </row>
    <row r="623">
      <c r="I623" s="26"/>
      <c r="K623" s="26"/>
    </row>
    <row r="624">
      <c r="I624" s="26"/>
      <c r="K624" s="26"/>
    </row>
    <row r="625">
      <c r="I625" s="26"/>
      <c r="K625" s="26"/>
    </row>
    <row r="626">
      <c r="I626" s="26"/>
      <c r="K626" s="26"/>
    </row>
    <row r="627">
      <c r="I627" s="26"/>
      <c r="K627" s="26"/>
    </row>
    <row r="628">
      <c r="I628" s="26"/>
      <c r="K628" s="26"/>
    </row>
    <row r="629">
      <c r="I629" s="26"/>
      <c r="K629" s="26"/>
    </row>
    <row r="630">
      <c r="I630" s="26"/>
      <c r="K630" s="26"/>
    </row>
    <row r="631">
      <c r="I631" s="26"/>
      <c r="K631" s="26"/>
    </row>
    <row r="632">
      <c r="I632" s="26"/>
      <c r="K632" s="26"/>
    </row>
    <row r="633">
      <c r="I633" s="26"/>
      <c r="K633" s="26"/>
    </row>
    <row r="634">
      <c r="I634" s="26"/>
      <c r="K634" s="26"/>
    </row>
    <row r="635">
      <c r="I635" s="26"/>
      <c r="K635" s="26"/>
    </row>
    <row r="636">
      <c r="I636" s="26"/>
      <c r="K636" s="26"/>
    </row>
    <row r="637">
      <c r="I637" s="26"/>
      <c r="K637" s="26"/>
    </row>
    <row r="638">
      <c r="I638" s="26"/>
      <c r="K638" s="26"/>
    </row>
    <row r="639">
      <c r="I639" s="26"/>
      <c r="K639" s="26"/>
    </row>
    <row r="640">
      <c r="I640" s="26"/>
      <c r="K640" s="26"/>
    </row>
    <row r="641">
      <c r="I641" s="26"/>
      <c r="K641" s="26"/>
    </row>
    <row r="642">
      <c r="I642" s="26"/>
      <c r="K642" s="26"/>
    </row>
    <row r="643">
      <c r="I643" s="26"/>
      <c r="K643" s="26"/>
    </row>
    <row r="644">
      <c r="I644" s="26"/>
      <c r="K644" s="26"/>
    </row>
    <row r="645">
      <c r="I645" s="26"/>
      <c r="K645" s="26"/>
    </row>
    <row r="646">
      <c r="I646" s="26"/>
      <c r="K646" s="26"/>
    </row>
    <row r="647">
      <c r="I647" s="26"/>
      <c r="K647" s="26"/>
    </row>
    <row r="648">
      <c r="I648" s="26"/>
      <c r="K648" s="26"/>
    </row>
    <row r="649">
      <c r="I649" s="26"/>
      <c r="K649" s="26"/>
    </row>
    <row r="650">
      <c r="I650" s="26"/>
      <c r="K650" s="26"/>
    </row>
    <row r="651">
      <c r="I651" s="26"/>
      <c r="K651" s="26"/>
    </row>
    <row r="652">
      <c r="I652" s="26"/>
      <c r="K652" s="26"/>
    </row>
    <row r="653">
      <c r="I653" s="26"/>
      <c r="K653" s="26"/>
    </row>
    <row r="654">
      <c r="I654" s="26"/>
      <c r="K654" s="26"/>
    </row>
    <row r="655">
      <c r="I655" s="26"/>
      <c r="K655" s="26"/>
    </row>
    <row r="656">
      <c r="I656" s="26"/>
      <c r="K656" s="26"/>
    </row>
    <row r="657">
      <c r="I657" s="26"/>
      <c r="K657" s="26"/>
    </row>
    <row r="658">
      <c r="I658" s="26"/>
      <c r="K658" s="26"/>
    </row>
    <row r="659">
      <c r="I659" s="26"/>
      <c r="K659" s="26"/>
    </row>
    <row r="660">
      <c r="I660" s="26"/>
      <c r="K660" s="26"/>
    </row>
    <row r="661">
      <c r="I661" s="26"/>
      <c r="K661" s="26"/>
    </row>
    <row r="662">
      <c r="I662" s="26"/>
      <c r="K662" s="26"/>
    </row>
    <row r="663">
      <c r="I663" s="26"/>
      <c r="K663" s="26"/>
    </row>
    <row r="664">
      <c r="I664" s="26"/>
      <c r="K664" s="26"/>
    </row>
    <row r="665">
      <c r="I665" s="26"/>
      <c r="K665" s="26"/>
    </row>
    <row r="666">
      <c r="I666" s="26"/>
      <c r="K666" s="26"/>
    </row>
    <row r="667">
      <c r="I667" s="26"/>
      <c r="K667" s="26"/>
    </row>
    <row r="668">
      <c r="I668" s="26"/>
      <c r="K668" s="26"/>
    </row>
    <row r="669">
      <c r="I669" s="26"/>
      <c r="K669" s="26"/>
    </row>
    <row r="670">
      <c r="I670" s="26"/>
      <c r="K670" s="26"/>
    </row>
    <row r="671">
      <c r="I671" s="26"/>
      <c r="K671" s="26"/>
    </row>
    <row r="672">
      <c r="I672" s="26"/>
      <c r="K672" s="26"/>
    </row>
    <row r="673">
      <c r="I673" s="26"/>
      <c r="K673" s="26"/>
    </row>
    <row r="674">
      <c r="I674" s="26"/>
      <c r="K674" s="26"/>
    </row>
    <row r="675">
      <c r="I675" s="26"/>
      <c r="K675" s="26"/>
    </row>
    <row r="676">
      <c r="I676" s="26"/>
      <c r="K676" s="26"/>
    </row>
    <row r="677">
      <c r="I677" s="26"/>
      <c r="K677" s="26"/>
    </row>
    <row r="678">
      <c r="I678" s="26"/>
      <c r="K678" s="26"/>
    </row>
    <row r="679">
      <c r="I679" s="26"/>
      <c r="K679" s="26"/>
    </row>
    <row r="680">
      <c r="I680" s="26"/>
      <c r="K680" s="26"/>
    </row>
    <row r="681">
      <c r="I681" s="26"/>
      <c r="K681" s="26"/>
    </row>
    <row r="682">
      <c r="I682" s="26"/>
      <c r="K682" s="26"/>
    </row>
    <row r="683">
      <c r="I683" s="26"/>
      <c r="K683" s="26"/>
    </row>
    <row r="684">
      <c r="I684" s="26"/>
      <c r="K684" s="26"/>
    </row>
    <row r="685">
      <c r="I685" s="26"/>
      <c r="K685" s="26"/>
    </row>
    <row r="686">
      <c r="I686" s="26"/>
      <c r="K686" s="26"/>
    </row>
    <row r="687">
      <c r="I687" s="26"/>
      <c r="K687" s="26"/>
    </row>
    <row r="688">
      <c r="I688" s="26"/>
      <c r="K688" s="26"/>
    </row>
    <row r="689">
      <c r="I689" s="26"/>
      <c r="K689" s="26"/>
    </row>
    <row r="690">
      <c r="I690" s="26"/>
      <c r="K690" s="26"/>
    </row>
    <row r="691">
      <c r="I691" s="26"/>
      <c r="K691" s="26"/>
    </row>
    <row r="692">
      <c r="I692" s="26"/>
      <c r="K692" s="26"/>
    </row>
    <row r="693">
      <c r="I693" s="26"/>
      <c r="K693" s="26"/>
    </row>
    <row r="694">
      <c r="I694" s="26"/>
      <c r="K694" s="26"/>
    </row>
    <row r="695">
      <c r="I695" s="26"/>
      <c r="K695" s="26"/>
    </row>
    <row r="696">
      <c r="I696" s="26"/>
      <c r="K696" s="26"/>
    </row>
    <row r="697">
      <c r="I697" s="26"/>
      <c r="K697" s="26"/>
    </row>
    <row r="698">
      <c r="I698" s="26"/>
      <c r="K698" s="26"/>
    </row>
    <row r="699">
      <c r="I699" s="26"/>
      <c r="K699" s="26"/>
    </row>
    <row r="700">
      <c r="I700" s="26"/>
      <c r="K700" s="26"/>
    </row>
    <row r="701">
      <c r="I701" s="26"/>
      <c r="K701" s="26"/>
    </row>
    <row r="702">
      <c r="I702" s="26"/>
      <c r="K702" s="26"/>
    </row>
    <row r="703">
      <c r="I703" s="26"/>
      <c r="K703" s="26"/>
    </row>
    <row r="704">
      <c r="I704" s="26"/>
      <c r="K704" s="26"/>
    </row>
    <row r="705">
      <c r="I705" s="26"/>
      <c r="K705" s="26"/>
    </row>
    <row r="706">
      <c r="I706" s="26"/>
      <c r="K706" s="26"/>
    </row>
    <row r="707">
      <c r="I707" s="26"/>
      <c r="K707" s="26"/>
    </row>
    <row r="708">
      <c r="I708" s="26"/>
      <c r="K708" s="26"/>
    </row>
    <row r="709">
      <c r="I709" s="26"/>
      <c r="K709" s="26"/>
    </row>
    <row r="710">
      <c r="I710" s="26"/>
      <c r="K710" s="26"/>
    </row>
    <row r="711">
      <c r="I711" s="26"/>
      <c r="K711" s="26"/>
    </row>
    <row r="712">
      <c r="I712" s="26"/>
      <c r="K712" s="26"/>
    </row>
    <row r="713">
      <c r="I713" s="26"/>
      <c r="K713" s="26"/>
    </row>
    <row r="714">
      <c r="I714" s="26"/>
      <c r="K714" s="26"/>
    </row>
    <row r="715">
      <c r="I715" s="26"/>
      <c r="K715" s="26"/>
    </row>
    <row r="716">
      <c r="I716" s="26"/>
      <c r="K716" s="26"/>
    </row>
    <row r="717">
      <c r="I717" s="26"/>
      <c r="K717" s="26"/>
    </row>
    <row r="718">
      <c r="I718" s="26"/>
      <c r="K718" s="26"/>
    </row>
    <row r="719">
      <c r="I719" s="26"/>
      <c r="K719" s="26"/>
    </row>
    <row r="720">
      <c r="I720" s="26"/>
      <c r="K720" s="26"/>
    </row>
    <row r="721">
      <c r="I721" s="26"/>
      <c r="K721" s="26"/>
    </row>
    <row r="722">
      <c r="I722" s="26"/>
      <c r="K722" s="26"/>
    </row>
    <row r="723">
      <c r="I723" s="26"/>
      <c r="K723" s="26"/>
    </row>
    <row r="724">
      <c r="I724" s="26"/>
      <c r="K724" s="26"/>
    </row>
    <row r="725">
      <c r="I725" s="26"/>
      <c r="K725" s="26"/>
    </row>
    <row r="726">
      <c r="I726" s="26"/>
      <c r="K726" s="26"/>
    </row>
    <row r="727">
      <c r="I727" s="26"/>
      <c r="K727" s="26"/>
    </row>
    <row r="728">
      <c r="I728" s="26"/>
      <c r="K728" s="26"/>
    </row>
    <row r="729">
      <c r="I729" s="26"/>
      <c r="K729" s="26"/>
    </row>
    <row r="730">
      <c r="I730" s="26"/>
      <c r="K730" s="26"/>
    </row>
    <row r="731">
      <c r="I731" s="26"/>
      <c r="K731" s="26"/>
    </row>
    <row r="732">
      <c r="I732" s="26"/>
      <c r="K732" s="26"/>
    </row>
    <row r="733">
      <c r="I733" s="26"/>
      <c r="K733" s="26"/>
    </row>
    <row r="734">
      <c r="I734" s="26"/>
      <c r="K734" s="26"/>
    </row>
    <row r="735">
      <c r="I735" s="26"/>
      <c r="K735" s="26"/>
    </row>
    <row r="736">
      <c r="I736" s="26"/>
      <c r="K736" s="26"/>
    </row>
    <row r="737">
      <c r="I737" s="26"/>
      <c r="K737" s="26"/>
    </row>
    <row r="738">
      <c r="I738" s="26"/>
      <c r="K738" s="26"/>
    </row>
    <row r="739">
      <c r="I739" s="26"/>
      <c r="K739" s="26"/>
    </row>
    <row r="740">
      <c r="I740" s="26"/>
      <c r="K740" s="26"/>
    </row>
    <row r="741">
      <c r="I741" s="26"/>
      <c r="K741" s="26"/>
    </row>
    <row r="742">
      <c r="I742" s="26"/>
      <c r="K742" s="26"/>
    </row>
    <row r="743">
      <c r="I743" s="26"/>
      <c r="K743" s="26"/>
    </row>
    <row r="744">
      <c r="I744" s="26"/>
      <c r="K744" s="26"/>
    </row>
    <row r="745">
      <c r="I745" s="26"/>
      <c r="K745" s="26"/>
    </row>
    <row r="746">
      <c r="I746" s="26"/>
      <c r="K746" s="26"/>
    </row>
    <row r="747">
      <c r="I747" s="26"/>
      <c r="K747" s="26"/>
    </row>
    <row r="748">
      <c r="I748" s="26"/>
      <c r="K748" s="26"/>
    </row>
    <row r="749">
      <c r="I749" s="26"/>
      <c r="K749" s="26"/>
    </row>
    <row r="750">
      <c r="I750" s="26"/>
      <c r="K750" s="26"/>
    </row>
    <row r="751">
      <c r="I751" s="26"/>
      <c r="K751" s="26"/>
    </row>
    <row r="752">
      <c r="I752" s="26"/>
      <c r="K752" s="26"/>
    </row>
    <row r="753">
      <c r="I753" s="26"/>
      <c r="K753" s="26"/>
    </row>
    <row r="754">
      <c r="I754" s="26"/>
      <c r="K754" s="26"/>
    </row>
    <row r="755">
      <c r="I755" s="26"/>
      <c r="K755" s="26"/>
    </row>
    <row r="756">
      <c r="I756" s="26"/>
      <c r="K756" s="26"/>
    </row>
    <row r="757">
      <c r="I757" s="26"/>
      <c r="K757" s="26"/>
    </row>
    <row r="758">
      <c r="I758" s="26"/>
      <c r="K758" s="26"/>
    </row>
    <row r="759">
      <c r="I759" s="26"/>
      <c r="K759" s="26"/>
    </row>
    <row r="760">
      <c r="I760" s="26"/>
      <c r="K760" s="26"/>
    </row>
    <row r="761">
      <c r="I761" s="26"/>
      <c r="K761" s="26"/>
    </row>
    <row r="762">
      <c r="I762" s="26"/>
      <c r="K762" s="26"/>
    </row>
    <row r="763">
      <c r="I763" s="26"/>
      <c r="K763" s="26"/>
    </row>
    <row r="764">
      <c r="I764" s="26"/>
      <c r="K764" s="26"/>
    </row>
    <row r="765">
      <c r="I765" s="26"/>
      <c r="K765" s="26"/>
    </row>
    <row r="766">
      <c r="I766" s="26"/>
      <c r="K766" s="26"/>
    </row>
    <row r="767">
      <c r="I767" s="26"/>
      <c r="K767" s="26"/>
    </row>
    <row r="768">
      <c r="I768" s="26"/>
      <c r="K768" s="26"/>
    </row>
    <row r="769">
      <c r="I769" s="26"/>
      <c r="K769" s="26"/>
    </row>
    <row r="770">
      <c r="I770" s="26"/>
      <c r="K770" s="26"/>
    </row>
    <row r="771">
      <c r="I771" s="26"/>
      <c r="K771" s="26"/>
    </row>
    <row r="772">
      <c r="I772" s="26"/>
      <c r="K772" s="26"/>
    </row>
    <row r="773">
      <c r="I773" s="26"/>
      <c r="K773" s="26"/>
    </row>
    <row r="774">
      <c r="I774" s="26"/>
      <c r="K774" s="26"/>
    </row>
    <row r="775">
      <c r="I775" s="26"/>
      <c r="K775" s="26"/>
    </row>
    <row r="776">
      <c r="I776" s="26"/>
      <c r="K776" s="26"/>
    </row>
    <row r="777">
      <c r="I777" s="26"/>
      <c r="K777" s="26"/>
    </row>
    <row r="778">
      <c r="I778" s="26"/>
      <c r="K778" s="26"/>
    </row>
    <row r="779">
      <c r="I779" s="26"/>
      <c r="K779" s="26"/>
    </row>
    <row r="780">
      <c r="I780" s="26"/>
      <c r="K780" s="26"/>
    </row>
    <row r="781">
      <c r="I781" s="26"/>
      <c r="K781" s="26"/>
    </row>
    <row r="782">
      <c r="I782" s="26"/>
      <c r="K782" s="26"/>
    </row>
    <row r="783">
      <c r="I783" s="26"/>
      <c r="K783" s="26"/>
    </row>
    <row r="784">
      <c r="I784" s="26"/>
      <c r="K784" s="26"/>
    </row>
    <row r="785">
      <c r="I785" s="26"/>
      <c r="K785" s="26"/>
    </row>
    <row r="786">
      <c r="I786" s="26"/>
      <c r="K786" s="26"/>
    </row>
    <row r="787">
      <c r="I787" s="26"/>
      <c r="K787" s="26"/>
    </row>
    <row r="788">
      <c r="I788" s="26"/>
      <c r="K788" s="26"/>
    </row>
    <row r="789">
      <c r="I789" s="26"/>
      <c r="K789" s="26"/>
    </row>
    <row r="790">
      <c r="I790" s="26"/>
      <c r="K790" s="26"/>
    </row>
    <row r="791">
      <c r="I791" s="26"/>
      <c r="K791" s="26"/>
    </row>
    <row r="792">
      <c r="I792" s="26"/>
      <c r="K792" s="26"/>
    </row>
    <row r="793">
      <c r="I793" s="26"/>
      <c r="K793" s="26"/>
    </row>
    <row r="794">
      <c r="I794" s="26"/>
      <c r="K794" s="26"/>
    </row>
    <row r="795">
      <c r="I795" s="26"/>
      <c r="K795" s="26"/>
    </row>
    <row r="796">
      <c r="I796" s="26"/>
      <c r="K796" s="26"/>
    </row>
    <row r="797">
      <c r="I797" s="26"/>
      <c r="K797" s="26"/>
    </row>
    <row r="798">
      <c r="I798" s="26"/>
      <c r="K798" s="26"/>
    </row>
    <row r="799">
      <c r="I799" s="26"/>
      <c r="K799" s="26"/>
    </row>
    <row r="800">
      <c r="I800" s="26"/>
      <c r="K800" s="26"/>
    </row>
    <row r="801">
      <c r="I801" s="26"/>
      <c r="K801" s="26"/>
    </row>
    <row r="802">
      <c r="I802" s="26"/>
      <c r="K802" s="26"/>
    </row>
    <row r="803">
      <c r="I803" s="26"/>
      <c r="K803" s="26"/>
    </row>
    <row r="804">
      <c r="I804" s="26"/>
      <c r="K804" s="26"/>
    </row>
    <row r="805">
      <c r="I805" s="26"/>
      <c r="K805" s="26"/>
    </row>
    <row r="806">
      <c r="I806" s="26"/>
      <c r="K806" s="26"/>
    </row>
    <row r="807">
      <c r="I807" s="26"/>
      <c r="K807" s="26"/>
    </row>
    <row r="808">
      <c r="I808" s="26"/>
      <c r="K808" s="26"/>
    </row>
    <row r="809">
      <c r="I809" s="26"/>
      <c r="K809" s="26"/>
    </row>
    <row r="810">
      <c r="I810" s="26"/>
      <c r="K810" s="26"/>
    </row>
    <row r="811">
      <c r="I811" s="26"/>
      <c r="K811" s="26"/>
    </row>
    <row r="812">
      <c r="I812" s="26"/>
      <c r="K812" s="26"/>
    </row>
    <row r="813">
      <c r="I813" s="26"/>
      <c r="K813" s="26"/>
    </row>
    <row r="814">
      <c r="I814" s="26"/>
      <c r="K814" s="26"/>
    </row>
    <row r="815">
      <c r="I815" s="26"/>
      <c r="K815" s="26"/>
    </row>
    <row r="816">
      <c r="I816" s="26"/>
      <c r="K816" s="26"/>
    </row>
    <row r="817">
      <c r="I817" s="26"/>
      <c r="K817" s="26"/>
    </row>
    <row r="818">
      <c r="I818" s="26"/>
      <c r="K818" s="26"/>
    </row>
    <row r="819">
      <c r="I819" s="26"/>
      <c r="K819" s="26"/>
    </row>
    <row r="820">
      <c r="I820" s="26"/>
      <c r="K820" s="26"/>
    </row>
    <row r="821">
      <c r="I821" s="26"/>
      <c r="K821" s="26"/>
    </row>
    <row r="822">
      <c r="I822" s="26"/>
      <c r="K822" s="26"/>
    </row>
    <row r="823">
      <c r="I823" s="26"/>
      <c r="K823" s="26"/>
    </row>
    <row r="824">
      <c r="I824" s="26"/>
      <c r="K824" s="26"/>
    </row>
    <row r="825">
      <c r="I825" s="26"/>
      <c r="K825" s="26"/>
    </row>
    <row r="826">
      <c r="I826" s="26"/>
      <c r="K826" s="26"/>
    </row>
    <row r="827">
      <c r="I827" s="26"/>
      <c r="K827" s="26"/>
    </row>
    <row r="828">
      <c r="I828" s="26"/>
      <c r="K828" s="26"/>
    </row>
    <row r="829">
      <c r="I829" s="26"/>
      <c r="K829" s="26"/>
    </row>
    <row r="830">
      <c r="I830" s="26"/>
      <c r="K830" s="26"/>
    </row>
    <row r="831">
      <c r="I831" s="26"/>
      <c r="K831" s="26"/>
    </row>
    <row r="832">
      <c r="I832" s="26"/>
      <c r="K832" s="26"/>
    </row>
    <row r="833">
      <c r="I833" s="26"/>
      <c r="K833" s="26"/>
    </row>
    <row r="834">
      <c r="I834" s="26"/>
      <c r="K834" s="26"/>
    </row>
    <row r="835">
      <c r="I835" s="26"/>
      <c r="K835" s="26"/>
    </row>
    <row r="836">
      <c r="I836" s="26"/>
      <c r="K836" s="26"/>
    </row>
    <row r="837">
      <c r="I837" s="26"/>
      <c r="K837" s="26"/>
    </row>
    <row r="838">
      <c r="I838" s="26"/>
      <c r="K838" s="26"/>
    </row>
    <row r="839">
      <c r="I839" s="26"/>
      <c r="K839" s="26"/>
    </row>
    <row r="840">
      <c r="I840" s="26"/>
      <c r="K840" s="26"/>
    </row>
    <row r="841">
      <c r="I841" s="26"/>
      <c r="K841" s="26"/>
    </row>
    <row r="842">
      <c r="I842" s="26"/>
      <c r="K842" s="26"/>
    </row>
    <row r="843">
      <c r="I843" s="26"/>
      <c r="K843" s="26"/>
    </row>
    <row r="844">
      <c r="I844" s="26"/>
      <c r="K844" s="26"/>
    </row>
    <row r="845">
      <c r="I845" s="26"/>
      <c r="K845" s="26"/>
    </row>
    <row r="846">
      <c r="I846" s="26"/>
      <c r="K846" s="26"/>
    </row>
    <row r="847">
      <c r="I847" s="26"/>
      <c r="K847" s="26"/>
    </row>
    <row r="848">
      <c r="I848" s="26"/>
      <c r="K848" s="26"/>
    </row>
    <row r="849">
      <c r="I849" s="26"/>
      <c r="K849" s="26"/>
    </row>
    <row r="850">
      <c r="I850" s="26"/>
      <c r="K850" s="26"/>
    </row>
    <row r="851">
      <c r="I851" s="26"/>
      <c r="K851" s="26"/>
    </row>
    <row r="852">
      <c r="I852" s="26"/>
      <c r="K852" s="26"/>
    </row>
    <row r="853">
      <c r="I853" s="26"/>
      <c r="K853" s="26"/>
    </row>
    <row r="854">
      <c r="I854" s="26"/>
      <c r="K854" s="26"/>
    </row>
    <row r="855">
      <c r="I855" s="26"/>
      <c r="K855" s="26"/>
    </row>
    <row r="856">
      <c r="I856" s="26"/>
      <c r="K856" s="26"/>
    </row>
    <row r="857">
      <c r="I857" s="26"/>
      <c r="K857" s="26"/>
    </row>
    <row r="858">
      <c r="I858" s="26"/>
      <c r="K858" s="26"/>
    </row>
    <row r="859">
      <c r="I859" s="26"/>
      <c r="K859" s="26"/>
    </row>
    <row r="860">
      <c r="I860" s="26"/>
      <c r="K860" s="26"/>
    </row>
    <row r="861">
      <c r="I861" s="26"/>
      <c r="K861" s="26"/>
    </row>
    <row r="862">
      <c r="I862" s="26"/>
      <c r="K862" s="26"/>
    </row>
    <row r="863">
      <c r="I863" s="26"/>
      <c r="K863" s="26"/>
    </row>
    <row r="864">
      <c r="I864" s="26"/>
      <c r="K864" s="26"/>
    </row>
    <row r="865">
      <c r="I865" s="26"/>
      <c r="K865" s="26"/>
    </row>
    <row r="866">
      <c r="I866" s="26"/>
      <c r="K866" s="26"/>
    </row>
    <row r="867">
      <c r="I867" s="26"/>
      <c r="K867" s="26"/>
    </row>
    <row r="868">
      <c r="I868" s="26"/>
      <c r="K868" s="26"/>
    </row>
    <row r="869">
      <c r="I869" s="26"/>
      <c r="K869" s="26"/>
    </row>
    <row r="870">
      <c r="I870" s="26"/>
      <c r="K870" s="26"/>
    </row>
    <row r="871">
      <c r="I871" s="26"/>
      <c r="K871" s="26"/>
    </row>
    <row r="872">
      <c r="I872" s="26"/>
      <c r="K872" s="26"/>
    </row>
    <row r="873">
      <c r="I873" s="26"/>
      <c r="K873" s="26"/>
    </row>
    <row r="874">
      <c r="I874" s="26"/>
      <c r="K874" s="26"/>
    </row>
    <row r="875">
      <c r="I875" s="26"/>
      <c r="K875" s="26"/>
    </row>
    <row r="876">
      <c r="I876" s="26"/>
      <c r="K876" s="26"/>
    </row>
    <row r="877">
      <c r="I877" s="26"/>
      <c r="K877" s="26"/>
    </row>
    <row r="878">
      <c r="I878" s="26"/>
      <c r="K878" s="26"/>
    </row>
    <row r="879">
      <c r="I879" s="26"/>
      <c r="K879" s="26"/>
    </row>
    <row r="880">
      <c r="I880" s="26"/>
      <c r="K880" s="26"/>
    </row>
    <row r="881">
      <c r="I881" s="26"/>
      <c r="K881" s="26"/>
    </row>
    <row r="882">
      <c r="I882" s="26"/>
      <c r="K882" s="26"/>
    </row>
    <row r="883">
      <c r="I883" s="26"/>
      <c r="K883" s="26"/>
    </row>
    <row r="884">
      <c r="I884" s="26"/>
      <c r="K884" s="26"/>
    </row>
    <row r="885">
      <c r="I885" s="26"/>
      <c r="K885" s="26"/>
    </row>
    <row r="886">
      <c r="I886" s="26"/>
      <c r="K886" s="26"/>
    </row>
    <row r="887">
      <c r="I887" s="26"/>
      <c r="K887" s="26"/>
    </row>
    <row r="888">
      <c r="I888" s="26"/>
      <c r="K888" s="26"/>
    </row>
    <row r="889">
      <c r="I889" s="26"/>
      <c r="K889" s="26"/>
    </row>
    <row r="890">
      <c r="I890" s="26"/>
      <c r="K890" s="26"/>
    </row>
    <row r="891">
      <c r="I891" s="26"/>
      <c r="K891" s="26"/>
    </row>
    <row r="892">
      <c r="I892" s="26"/>
      <c r="K892" s="26"/>
    </row>
    <row r="893">
      <c r="I893" s="26"/>
      <c r="K893" s="26"/>
    </row>
    <row r="894">
      <c r="I894" s="26"/>
      <c r="K894" s="26"/>
    </row>
    <row r="895">
      <c r="I895" s="26"/>
      <c r="K895" s="26"/>
    </row>
    <row r="896">
      <c r="I896" s="26"/>
      <c r="K896" s="26"/>
    </row>
    <row r="897">
      <c r="I897" s="26"/>
      <c r="K897" s="26"/>
    </row>
    <row r="898">
      <c r="I898" s="26"/>
      <c r="K898" s="26"/>
    </row>
    <row r="899">
      <c r="I899" s="26"/>
      <c r="K899" s="26"/>
    </row>
    <row r="900">
      <c r="I900" s="26"/>
      <c r="K900" s="26"/>
    </row>
    <row r="901">
      <c r="I901" s="26"/>
      <c r="K901" s="26"/>
    </row>
    <row r="902">
      <c r="I902" s="26"/>
      <c r="K902" s="26"/>
    </row>
    <row r="903">
      <c r="I903" s="26"/>
      <c r="K903" s="26"/>
    </row>
    <row r="904">
      <c r="I904" s="26"/>
      <c r="K904" s="26"/>
    </row>
    <row r="905">
      <c r="I905" s="26"/>
      <c r="K905" s="26"/>
    </row>
    <row r="906">
      <c r="I906" s="26"/>
      <c r="K906" s="26"/>
    </row>
    <row r="907">
      <c r="I907" s="26"/>
      <c r="K907" s="26"/>
    </row>
    <row r="908">
      <c r="I908" s="26"/>
      <c r="K908" s="26"/>
    </row>
    <row r="909">
      <c r="I909" s="26"/>
      <c r="K909" s="26"/>
    </row>
    <row r="910">
      <c r="I910" s="26"/>
      <c r="K910" s="26"/>
    </row>
    <row r="911">
      <c r="I911" s="26"/>
      <c r="K911" s="26"/>
    </row>
    <row r="912">
      <c r="I912" s="26"/>
      <c r="K912" s="26"/>
    </row>
    <row r="913">
      <c r="I913" s="26"/>
      <c r="K913" s="26"/>
    </row>
    <row r="914">
      <c r="I914" s="26"/>
      <c r="K914" s="26"/>
    </row>
    <row r="915">
      <c r="I915" s="26"/>
      <c r="K915" s="26"/>
    </row>
    <row r="916">
      <c r="I916" s="26"/>
      <c r="K916" s="26"/>
    </row>
    <row r="917">
      <c r="I917" s="26"/>
      <c r="K917" s="26"/>
    </row>
    <row r="918">
      <c r="I918" s="26"/>
      <c r="K918" s="26"/>
    </row>
    <row r="919">
      <c r="I919" s="26"/>
      <c r="K919" s="26"/>
    </row>
    <row r="920">
      <c r="I920" s="26"/>
      <c r="K920" s="26"/>
    </row>
    <row r="921">
      <c r="I921" s="26"/>
      <c r="K921" s="26"/>
    </row>
    <row r="922">
      <c r="I922" s="26"/>
      <c r="K922" s="26"/>
    </row>
    <row r="923">
      <c r="I923" s="26"/>
      <c r="K923" s="26"/>
    </row>
    <row r="924">
      <c r="I924" s="26"/>
      <c r="K924" s="26"/>
    </row>
    <row r="925">
      <c r="I925" s="26"/>
      <c r="K925" s="26"/>
    </row>
    <row r="926">
      <c r="I926" s="26"/>
      <c r="K926" s="26"/>
    </row>
    <row r="927">
      <c r="I927" s="26"/>
      <c r="K927" s="26"/>
    </row>
    <row r="928">
      <c r="I928" s="26"/>
      <c r="K928" s="26"/>
    </row>
    <row r="929">
      <c r="I929" s="26"/>
      <c r="K929" s="26"/>
    </row>
    <row r="930">
      <c r="I930" s="26"/>
      <c r="K930" s="26"/>
    </row>
    <row r="931">
      <c r="I931" s="26"/>
      <c r="K931" s="26"/>
    </row>
    <row r="932">
      <c r="I932" s="26"/>
      <c r="K932" s="26"/>
    </row>
    <row r="933">
      <c r="I933" s="26"/>
      <c r="K933" s="26"/>
    </row>
    <row r="934">
      <c r="I934" s="26"/>
      <c r="K934" s="26"/>
    </row>
    <row r="935">
      <c r="I935" s="26"/>
      <c r="K935" s="26"/>
    </row>
    <row r="936">
      <c r="I936" s="26"/>
      <c r="K936" s="26"/>
    </row>
    <row r="937">
      <c r="I937" s="26"/>
      <c r="K937" s="26"/>
    </row>
    <row r="938">
      <c r="I938" s="26"/>
      <c r="K938" s="26"/>
    </row>
    <row r="939">
      <c r="I939" s="26"/>
      <c r="K939" s="26"/>
    </row>
    <row r="940">
      <c r="I940" s="26"/>
      <c r="K940" s="26"/>
    </row>
    <row r="941">
      <c r="I941" s="26"/>
      <c r="K941" s="26"/>
    </row>
    <row r="942">
      <c r="I942" s="26"/>
      <c r="K942" s="26"/>
    </row>
    <row r="943">
      <c r="I943" s="26"/>
      <c r="K943" s="26"/>
    </row>
    <row r="944">
      <c r="I944" s="26"/>
      <c r="K944" s="26"/>
    </row>
    <row r="945">
      <c r="I945" s="26"/>
      <c r="K945" s="26"/>
    </row>
    <row r="946">
      <c r="I946" s="26"/>
      <c r="K946" s="26"/>
    </row>
    <row r="947">
      <c r="I947" s="26"/>
      <c r="K947" s="26"/>
    </row>
    <row r="948">
      <c r="I948" s="26"/>
      <c r="K948" s="26"/>
    </row>
    <row r="949">
      <c r="I949" s="26"/>
      <c r="K949" s="26"/>
    </row>
    <row r="950">
      <c r="I950" s="26"/>
      <c r="K950" s="26"/>
    </row>
    <row r="951">
      <c r="I951" s="26"/>
      <c r="K951" s="26"/>
    </row>
    <row r="952">
      <c r="I952" s="26"/>
      <c r="K952" s="26"/>
    </row>
    <row r="953">
      <c r="I953" s="26"/>
      <c r="K953" s="26"/>
    </row>
    <row r="954">
      <c r="I954" s="26"/>
      <c r="K954" s="26"/>
    </row>
    <row r="955">
      <c r="I955" s="26"/>
      <c r="K955" s="26"/>
    </row>
    <row r="956">
      <c r="I956" s="26"/>
      <c r="K956" s="26"/>
    </row>
    <row r="957">
      <c r="I957" s="26"/>
      <c r="K957" s="26"/>
    </row>
    <row r="958">
      <c r="I958" s="26"/>
      <c r="K958" s="26"/>
    </row>
    <row r="959">
      <c r="I959" s="26"/>
      <c r="K959" s="26"/>
    </row>
    <row r="960">
      <c r="I960" s="26"/>
      <c r="K960" s="26"/>
    </row>
    <row r="961">
      <c r="I961" s="26"/>
      <c r="K961" s="26"/>
    </row>
    <row r="962">
      <c r="I962" s="26"/>
      <c r="K962" s="26"/>
    </row>
    <row r="963">
      <c r="I963" s="26"/>
      <c r="K963" s="26"/>
    </row>
    <row r="964">
      <c r="I964" s="26"/>
      <c r="K964" s="26"/>
    </row>
    <row r="965">
      <c r="I965" s="26"/>
      <c r="K965" s="26"/>
    </row>
    <row r="966">
      <c r="I966" s="26"/>
      <c r="K966" s="26"/>
    </row>
    <row r="967">
      <c r="I967" s="26"/>
      <c r="K967" s="26"/>
    </row>
    <row r="968">
      <c r="I968" s="26"/>
      <c r="K968" s="26"/>
    </row>
    <row r="969">
      <c r="I969" s="26"/>
      <c r="K969" s="26"/>
    </row>
    <row r="970">
      <c r="I970" s="26"/>
      <c r="K970" s="26"/>
    </row>
    <row r="971">
      <c r="I971" s="26"/>
      <c r="K971" s="26"/>
    </row>
    <row r="972">
      <c r="I972" s="26"/>
      <c r="K972" s="26"/>
    </row>
    <row r="973">
      <c r="I973" s="26"/>
      <c r="K973" s="26"/>
    </row>
    <row r="974">
      <c r="I974" s="26"/>
      <c r="K974" s="26"/>
    </row>
    <row r="975">
      <c r="I975" s="26"/>
      <c r="K975" s="26"/>
    </row>
    <row r="976">
      <c r="I976" s="26"/>
      <c r="K976" s="26"/>
    </row>
    <row r="977">
      <c r="I977" s="26"/>
      <c r="K977" s="26"/>
    </row>
    <row r="978">
      <c r="I978" s="26"/>
      <c r="K978" s="26"/>
    </row>
    <row r="979">
      <c r="I979" s="26"/>
      <c r="K979" s="26"/>
    </row>
    <row r="980">
      <c r="I980" s="26"/>
      <c r="K980" s="26"/>
    </row>
    <row r="981">
      <c r="I981" s="26"/>
      <c r="K981" s="26"/>
    </row>
    <row r="982">
      <c r="I982" s="26"/>
      <c r="K982" s="26"/>
    </row>
    <row r="983">
      <c r="I983" s="26"/>
      <c r="K983" s="26"/>
    </row>
    <row r="984">
      <c r="I984" s="26"/>
      <c r="K984" s="26"/>
    </row>
    <row r="985">
      <c r="I985" s="26"/>
      <c r="K985" s="26"/>
    </row>
    <row r="986">
      <c r="I986" s="26"/>
      <c r="K986" s="26"/>
    </row>
    <row r="987">
      <c r="I987" s="26"/>
      <c r="K987" s="26"/>
    </row>
    <row r="988">
      <c r="I988" s="26"/>
      <c r="K988" s="26"/>
    </row>
    <row r="989">
      <c r="I989" s="26"/>
      <c r="K989" s="26"/>
    </row>
    <row r="990">
      <c r="I990" s="26"/>
      <c r="K990" s="26"/>
    </row>
    <row r="991">
      <c r="I991" s="26"/>
      <c r="K991" s="26"/>
    </row>
    <row r="992">
      <c r="I992" s="26"/>
      <c r="K992" s="26"/>
    </row>
    <row r="993">
      <c r="I993" s="26"/>
      <c r="K993" s="26"/>
    </row>
    <row r="994">
      <c r="I994" s="26"/>
      <c r="K994" s="26"/>
    </row>
    <row r="995">
      <c r="I995" s="26"/>
      <c r="K995" s="26"/>
    </row>
    <row r="996">
      <c r="I996" s="26"/>
      <c r="K996" s="26"/>
    </row>
    <row r="997">
      <c r="I997" s="26"/>
      <c r="K997" s="26"/>
    </row>
    <row r="998">
      <c r="I998" s="26"/>
      <c r="K998" s="26"/>
    </row>
    <row r="999">
      <c r="I999" s="26"/>
      <c r="K999" s="26"/>
    </row>
    <row r="1000">
      <c r="I1000" s="26"/>
      <c r="K1000" s="26"/>
    </row>
    <row r="1001">
      <c r="I1001" s="26"/>
      <c r="K1001" s="26"/>
    </row>
    <row r="1002">
      <c r="I1002" s="26"/>
      <c r="K1002" s="26"/>
    </row>
    <row r="1003">
      <c r="I1003" s="26"/>
      <c r="K1003" s="26"/>
    </row>
    <row r="1004">
      <c r="I1004" s="26"/>
      <c r="K1004" s="26"/>
    </row>
    <row r="1005">
      <c r="I1005" s="26"/>
      <c r="K1005" s="26"/>
    </row>
    <row r="1006">
      <c r="I1006" s="26"/>
      <c r="K1006" s="26"/>
    </row>
    <row r="1007">
      <c r="I1007" s="26"/>
      <c r="K1007" s="26"/>
    </row>
  </sheetData>
  <hyperlinks>
    <hyperlink r:id="rId1" ref="H2"/>
    <hyperlink r:id="rId2" ref="H3"/>
    <hyperlink r:id="rId3" ref="J3"/>
    <hyperlink r:id="rId4" ref="H4"/>
    <hyperlink r:id="rId5" ref="I4"/>
    <hyperlink r:id="rId6" ref="H5"/>
    <hyperlink r:id="rId7" ref="H6"/>
    <hyperlink r:id="rId8" ref="H7"/>
    <hyperlink r:id="rId9" ref="H8"/>
    <hyperlink r:id="rId10" ref="I8"/>
    <hyperlink r:id="rId11" ref="H9"/>
    <hyperlink r:id="rId12" ref="I9"/>
    <hyperlink r:id="rId13" ref="J9"/>
    <hyperlink r:id="rId14" ref="H10"/>
    <hyperlink r:id="rId15" ref="I10"/>
    <hyperlink r:id="rId16" ref="J10"/>
    <hyperlink r:id="rId17" ref="H11"/>
    <hyperlink r:id="rId18" ref="I11"/>
    <hyperlink r:id="rId19" ref="H12"/>
    <hyperlink r:id="rId20" ref="I12"/>
    <hyperlink r:id="rId21" ref="H13"/>
    <hyperlink r:id="rId22" ref="I13"/>
    <hyperlink r:id="rId23" ref="H14"/>
    <hyperlink r:id="rId24" ref="I14"/>
    <hyperlink r:id="rId25" ref="J14"/>
    <hyperlink r:id="rId26" ref="H15"/>
    <hyperlink r:id="rId27" ref="I15"/>
    <hyperlink r:id="rId28" ref="J15"/>
    <hyperlink r:id="rId29" ref="H16"/>
    <hyperlink r:id="rId30" ref="H17"/>
    <hyperlink r:id="rId31" ref="I17"/>
    <hyperlink r:id="rId32" ref="J17"/>
    <hyperlink r:id="rId33" ref="H18"/>
    <hyperlink r:id="rId34" ref="I18"/>
    <hyperlink r:id="rId35" ref="H19"/>
    <hyperlink r:id="rId36" ref="H20"/>
    <hyperlink r:id="rId37" ref="H21"/>
    <hyperlink r:id="rId38" ref="H22"/>
    <hyperlink r:id="rId39" ref="H23"/>
    <hyperlink r:id="rId40" ref="J23"/>
    <hyperlink r:id="rId41" ref="H24"/>
    <hyperlink r:id="rId42" ref="H25"/>
    <hyperlink r:id="rId43" ref="I25"/>
    <hyperlink r:id="rId44" ref="H26"/>
    <hyperlink r:id="rId45" ref="H27"/>
    <hyperlink r:id="rId46" ref="H28"/>
    <hyperlink r:id="rId47" ref="I28"/>
    <hyperlink r:id="rId48" ref="H29"/>
    <hyperlink r:id="rId49" ref="I29"/>
    <hyperlink r:id="rId50" ref="H30"/>
    <hyperlink r:id="rId51" ref="I30"/>
    <hyperlink r:id="rId52" ref="J30"/>
    <hyperlink r:id="rId53" ref="H31"/>
    <hyperlink r:id="rId54" ref="H32"/>
    <hyperlink r:id="rId55" ref="H33"/>
    <hyperlink r:id="rId56" ref="I33"/>
    <hyperlink r:id="rId57" ref="J33"/>
    <hyperlink r:id="rId58" ref="H34"/>
    <hyperlink r:id="rId59" ref="H35"/>
    <hyperlink r:id="rId60" ref="I35"/>
    <hyperlink r:id="rId61" ref="H36"/>
    <hyperlink r:id="rId62" ref="H37"/>
    <hyperlink r:id="rId63" ref="I37"/>
    <hyperlink r:id="rId64" ref="H38"/>
    <hyperlink r:id="rId65" ref="H39"/>
    <hyperlink r:id="rId66" ref="I39"/>
    <hyperlink r:id="rId67" ref="H40"/>
    <hyperlink r:id="rId68" ref="H41"/>
    <hyperlink r:id="rId69" ref="I41"/>
    <hyperlink r:id="rId70" ref="H42"/>
    <hyperlink r:id="rId71" ref="J42"/>
    <hyperlink r:id="rId72" ref="H43"/>
    <hyperlink r:id="rId73" ref="I43"/>
    <hyperlink r:id="rId74" ref="J43"/>
    <hyperlink r:id="rId75" ref="H44"/>
    <hyperlink r:id="rId76" ref="H45"/>
    <hyperlink r:id="rId77" ref="I45"/>
    <hyperlink r:id="rId78" ref="H46"/>
    <hyperlink r:id="rId79" ref="I46"/>
    <hyperlink r:id="rId80" ref="H47"/>
    <hyperlink r:id="rId81" ref="I47"/>
    <hyperlink r:id="rId82" ref="H48"/>
    <hyperlink r:id="rId83" ref="I48"/>
    <hyperlink r:id="rId84" ref="H49"/>
    <hyperlink r:id="rId85" ref="I49"/>
    <hyperlink r:id="rId86" ref="J49"/>
    <hyperlink r:id="rId87" ref="H50"/>
    <hyperlink r:id="rId88" ref="I50"/>
    <hyperlink r:id="rId89" ref="H51"/>
    <hyperlink r:id="rId90" ref="H52"/>
    <hyperlink r:id="rId91" ref="I52"/>
    <hyperlink r:id="rId92" ref="H53"/>
    <hyperlink r:id="rId93" ref="I53"/>
    <hyperlink r:id="rId94" ref="H54"/>
    <hyperlink r:id="rId95" ref="I54"/>
    <hyperlink r:id="rId96" ref="J54"/>
    <hyperlink r:id="rId97" ref="H55"/>
    <hyperlink r:id="rId98" ref="I55"/>
    <hyperlink r:id="rId99" location="kernel-components" ref="H56"/>
    <hyperlink r:id="rId100" ref="I56"/>
    <hyperlink r:id="rId101" ref="J56"/>
    <hyperlink r:id="rId102" location="2021-11-06-security-patch-level-vulnerability-details" ref="H57"/>
    <hyperlink r:id="rId103" ref="I57"/>
    <hyperlink r:id="rId104" ref="J57"/>
    <hyperlink r:id="rId105" ref="H58"/>
    <hyperlink r:id="rId106" ref="I58"/>
    <hyperlink r:id="rId107" ref="H59"/>
    <hyperlink r:id="rId108" ref="I59"/>
    <hyperlink r:id="rId109" ref="H60"/>
    <hyperlink r:id="rId110" ref="I60"/>
    <hyperlink r:id="rId111" ref="H61"/>
    <hyperlink r:id="rId112" ref="I61"/>
    <hyperlink r:id="rId113" ref="J61"/>
    <hyperlink r:id="rId114" ref="H62"/>
    <hyperlink r:id="rId115" ref="I62"/>
    <hyperlink r:id="rId116" ref="J62"/>
    <hyperlink r:id="rId117" ref="H63"/>
    <hyperlink r:id="rId118" ref="I63"/>
    <hyperlink r:id="rId119" ref="H64"/>
    <hyperlink r:id="rId120" ref="H65"/>
    <hyperlink r:id="rId121" ref="H66"/>
    <hyperlink r:id="rId122" ref="H67"/>
    <hyperlink r:id="rId123" ref="H68"/>
    <hyperlink r:id="rId124" ref="H69"/>
    <hyperlink r:id="rId125" ref="H70"/>
    <hyperlink r:id="rId126" ref="J70"/>
  </hyperlinks>
  <drawing r:id="rId12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38"/>
    <col customWidth="1" min="2" max="2" width="9.25"/>
    <col customWidth="1" min="3" max="3" width="15.0"/>
    <col customWidth="1" min="4" max="4" width="14.88"/>
    <col customWidth="1" min="5" max="5" width="34.75"/>
    <col customWidth="1" min="6" max="6" width="13.75"/>
    <col customWidth="1" min="7" max="7" width="11.25"/>
    <col customWidth="1" min="10" max="10" width="17.63"/>
  </cols>
  <sheetData>
    <row r="1">
      <c r="A1" s="7" t="s">
        <v>13</v>
      </c>
      <c r="B1" s="7" t="s">
        <v>14</v>
      </c>
      <c r="C1" s="7" t="s">
        <v>15</v>
      </c>
      <c r="D1" s="7" t="s">
        <v>16</v>
      </c>
      <c r="E1" s="7" t="s">
        <v>17</v>
      </c>
      <c r="F1" s="7" t="s">
        <v>18</v>
      </c>
      <c r="G1" s="7" t="s">
        <v>19</v>
      </c>
      <c r="H1" s="7" t="s">
        <v>20</v>
      </c>
      <c r="I1" s="7" t="s">
        <v>21</v>
      </c>
      <c r="J1" s="7" t="s">
        <v>22</v>
      </c>
      <c r="K1" s="8" t="s">
        <v>23</v>
      </c>
    </row>
    <row r="2">
      <c r="A2" s="39" t="s">
        <v>679</v>
      </c>
      <c r="B2" s="39" t="s">
        <v>286</v>
      </c>
      <c r="C2" s="39" t="s">
        <v>287</v>
      </c>
      <c r="D2" s="39" t="s">
        <v>27</v>
      </c>
      <c r="E2" s="54" t="s">
        <v>680</v>
      </c>
      <c r="F2" s="80">
        <v>43837.0</v>
      </c>
      <c r="G2" s="55">
        <v>43838.0</v>
      </c>
      <c r="H2" s="14" t="s">
        <v>681</v>
      </c>
      <c r="I2" s="12" t="s">
        <v>30</v>
      </c>
      <c r="J2" s="14" t="s">
        <v>682</v>
      </c>
      <c r="K2" s="81" t="s">
        <v>683</v>
      </c>
      <c r="L2" s="12" t="s">
        <v>433</v>
      </c>
    </row>
    <row r="3">
      <c r="A3" s="39" t="s">
        <v>684</v>
      </c>
      <c r="B3" s="39" t="s">
        <v>37</v>
      </c>
      <c r="C3" s="39" t="s">
        <v>397</v>
      </c>
      <c r="D3" s="39" t="s">
        <v>27</v>
      </c>
      <c r="E3" s="39" t="s">
        <v>685</v>
      </c>
      <c r="F3" s="39" t="s">
        <v>30</v>
      </c>
      <c r="G3" s="58">
        <v>43872.0</v>
      </c>
      <c r="H3" s="14" t="s">
        <v>686</v>
      </c>
      <c r="I3" s="14" t="s">
        <v>687</v>
      </c>
      <c r="J3" s="14" t="s">
        <v>688</v>
      </c>
      <c r="K3" s="81" t="s">
        <v>689</v>
      </c>
      <c r="L3" s="12" t="s">
        <v>433</v>
      </c>
    </row>
    <row r="4">
      <c r="A4" s="54" t="s">
        <v>690</v>
      </c>
      <c r="B4" s="39" t="s">
        <v>25</v>
      </c>
      <c r="C4" s="39" t="s">
        <v>26</v>
      </c>
      <c r="D4" s="39" t="s">
        <v>27</v>
      </c>
      <c r="E4" s="39" t="s">
        <v>544</v>
      </c>
      <c r="F4" s="55">
        <v>43879.0</v>
      </c>
      <c r="G4" s="55">
        <v>43885.0</v>
      </c>
      <c r="H4" s="14" t="s">
        <v>691</v>
      </c>
      <c r="I4" s="12" t="s">
        <v>30</v>
      </c>
      <c r="J4" s="18" t="s">
        <v>692</v>
      </c>
      <c r="K4" s="81" t="s">
        <v>413</v>
      </c>
      <c r="L4" s="12" t="s">
        <v>433</v>
      </c>
    </row>
    <row r="5">
      <c r="A5" s="39" t="s">
        <v>693</v>
      </c>
      <c r="B5" s="82" t="s">
        <v>694</v>
      </c>
      <c r="C5" s="82" t="s">
        <v>695</v>
      </c>
      <c r="D5" s="82" t="s">
        <v>696</v>
      </c>
      <c r="E5" s="82" t="s">
        <v>697</v>
      </c>
      <c r="F5" s="82" t="s">
        <v>30</v>
      </c>
      <c r="G5" s="83">
        <v>43906.0</v>
      </c>
      <c r="H5" s="84" t="s">
        <v>698</v>
      </c>
      <c r="I5" s="82" t="s">
        <v>30</v>
      </c>
      <c r="J5" s="82" t="s">
        <v>30</v>
      </c>
      <c r="K5" s="81" t="s">
        <v>322</v>
      </c>
      <c r="L5" s="12" t="s">
        <v>433</v>
      </c>
    </row>
    <row r="6">
      <c r="A6" s="82" t="s">
        <v>699</v>
      </c>
      <c r="B6" s="82" t="s">
        <v>694</v>
      </c>
      <c r="C6" s="82" t="s">
        <v>695</v>
      </c>
      <c r="D6" s="39" t="s">
        <v>54</v>
      </c>
      <c r="E6" s="54" t="s">
        <v>700</v>
      </c>
      <c r="F6" s="85" t="s">
        <v>30</v>
      </c>
      <c r="G6" s="83">
        <v>43906.0</v>
      </c>
      <c r="H6" s="84" t="s">
        <v>698</v>
      </c>
      <c r="I6" s="82" t="s">
        <v>30</v>
      </c>
      <c r="J6" s="82" t="s">
        <v>30</v>
      </c>
      <c r="K6" s="81" t="s">
        <v>322</v>
      </c>
      <c r="L6" s="12" t="s">
        <v>433</v>
      </c>
    </row>
    <row r="7">
      <c r="A7" s="20" t="s">
        <v>701</v>
      </c>
      <c r="B7" s="20" t="s">
        <v>25</v>
      </c>
      <c r="C7" s="20" t="s">
        <v>26</v>
      </c>
      <c r="D7" s="20" t="s">
        <v>27</v>
      </c>
      <c r="E7" s="20" t="s">
        <v>544</v>
      </c>
      <c r="F7" s="22">
        <v>43916.0</v>
      </c>
      <c r="G7" s="23">
        <v>43921.0</v>
      </c>
      <c r="H7" s="29" t="s">
        <v>702</v>
      </c>
      <c r="I7" s="20" t="s">
        <v>30</v>
      </c>
      <c r="J7" s="21" t="s">
        <v>30</v>
      </c>
      <c r="K7" s="20" t="s">
        <v>30</v>
      </c>
      <c r="L7" s="12"/>
    </row>
    <row r="8">
      <c r="A8" s="20" t="s">
        <v>703</v>
      </c>
      <c r="B8" s="20" t="s">
        <v>25</v>
      </c>
      <c r="C8" s="20" t="s">
        <v>26</v>
      </c>
      <c r="D8" s="20" t="s">
        <v>27</v>
      </c>
      <c r="E8" s="20" t="s">
        <v>704</v>
      </c>
      <c r="F8" s="22">
        <v>43922.0</v>
      </c>
      <c r="G8" s="23">
        <v>43928.0</v>
      </c>
      <c r="H8" s="29" t="s">
        <v>705</v>
      </c>
      <c r="I8" s="20" t="s">
        <v>30</v>
      </c>
      <c r="J8" s="41" t="s">
        <v>706</v>
      </c>
      <c r="K8" s="20" t="s">
        <v>30</v>
      </c>
      <c r="L8" s="12"/>
    </row>
    <row r="9">
      <c r="A9" s="39" t="s">
        <v>707</v>
      </c>
      <c r="B9" s="39" t="s">
        <v>286</v>
      </c>
      <c r="C9" s="39" t="s">
        <v>287</v>
      </c>
      <c r="D9" s="39" t="s">
        <v>27</v>
      </c>
      <c r="E9" s="39" t="s">
        <v>708</v>
      </c>
      <c r="F9" s="86">
        <v>43898.0</v>
      </c>
      <c r="G9" s="55">
        <v>43924.0</v>
      </c>
      <c r="H9" s="14" t="s">
        <v>709</v>
      </c>
      <c r="I9" s="12" t="s">
        <v>30</v>
      </c>
      <c r="J9" s="12" t="s">
        <v>30</v>
      </c>
      <c r="K9" s="81" t="s">
        <v>710</v>
      </c>
      <c r="L9" s="12" t="s">
        <v>433</v>
      </c>
    </row>
    <row r="10">
      <c r="A10" s="54" t="s">
        <v>711</v>
      </c>
      <c r="B10" s="39" t="s">
        <v>286</v>
      </c>
      <c r="C10" s="39" t="s">
        <v>287</v>
      </c>
      <c r="D10" s="39" t="s">
        <v>27</v>
      </c>
      <c r="E10" s="54" t="s">
        <v>712</v>
      </c>
      <c r="F10" s="58">
        <v>43922.0</v>
      </c>
      <c r="G10" s="55">
        <v>43924.0</v>
      </c>
      <c r="H10" s="14" t="s">
        <v>709</v>
      </c>
      <c r="I10" s="12" t="s">
        <v>30</v>
      </c>
      <c r="J10" s="14" t="s">
        <v>713</v>
      </c>
      <c r="K10" s="81" t="s">
        <v>710</v>
      </c>
      <c r="L10" s="12" t="s">
        <v>433</v>
      </c>
    </row>
    <row r="11">
      <c r="A11" s="54" t="s">
        <v>714</v>
      </c>
      <c r="B11" s="39" t="s">
        <v>37</v>
      </c>
      <c r="C11" s="39" t="s">
        <v>38</v>
      </c>
      <c r="D11" s="39" t="s">
        <v>27</v>
      </c>
      <c r="E11" s="87" t="s">
        <v>715</v>
      </c>
      <c r="F11" s="39" t="s">
        <v>30</v>
      </c>
      <c r="G11" s="55">
        <v>43935.0</v>
      </c>
      <c r="H11" s="14" t="s">
        <v>716</v>
      </c>
      <c r="I11" s="12" t="s">
        <v>30</v>
      </c>
      <c r="J11" s="14" t="s">
        <v>717</v>
      </c>
      <c r="K11" s="81" t="s">
        <v>718</v>
      </c>
      <c r="L11" s="12" t="s">
        <v>433</v>
      </c>
    </row>
    <row r="12">
      <c r="A12" s="39" t="s">
        <v>719</v>
      </c>
      <c r="B12" s="39" t="s">
        <v>37</v>
      </c>
      <c r="C12" s="39" t="s">
        <v>38</v>
      </c>
      <c r="D12" s="39" t="s">
        <v>27</v>
      </c>
      <c r="E12" s="87" t="s">
        <v>715</v>
      </c>
      <c r="F12" s="39" t="s">
        <v>30</v>
      </c>
      <c r="G12" s="55">
        <v>43935.0</v>
      </c>
      <c r="H12" s="14" t="s">
        <v>720</v>
      </c>
      <c r="I12" s="12" t="s">
        <v>30</v>
      </c>
      <c r="J12" s="14" t="s">
        <v>721</v>
      </c>
      <c r="K12" s="81" t="s">
        <v>722</v>
      </c>
      <c r="L12" s="12" t="s">
        <v>433</v>
      </c>
    </row>
    <row r="13">
      <c r="A13" s="39" t="s">
        <v>723</v>
      </c>
      <c r="B13" s="39" t="s">
        <v>37</v>
      </c>
      <c r="C13" s="39" t="s">
        <v>38</v>
      </c>
      <c r="D13" s="39" t="s">
        <v>27</v>
      </c>
      <c r="E13" s="39" t="s">
        <v>724</v>
      </c>
      <c r="F13" s="58">
        <v>43913.0</v>
      </c>
      <c r="G13" s="55">
        <v>43935.0</v>
      </c>
      <c r="H13" s="14" t="s">
        <v>725</v>
      </c>
      <c r="I13" s="12" t="s">
        <v>30</v>
      </c>
      <c r="J13" s="14" t="s">
        <v>726</v>
      </c>
      <c r="K13" s="81" t="s">
        <v>722</v>
      </c>
      <c r="L13" s="12" t="s">
        <v>433</v>
      </c>
    </row>
    <row r="14">
      <c r="A14" s="54" t="s">
        <v>727</v>
      </c>
      <c r="B14" s="39" t="s">
        <v>302</v>
      </c>
      <c r="C14" s="39" t="s">
        <v>728</v>
      </c>
      <c r="D14" s="39" t="s">
        <v>54</v>
      </c>
      <c r="E14" s="54" t="s">
        <v>729</v>
      </c>
      <c r="F14" s="58">
        <v>43943.0</v>
      </c>
      <c r="G14" s="55">
        <v>43946.0</v>
      </c>
      <c r="H14" s="14" t="s">
        <v>730</v>
      </c>
      <c r="I14" s="14" t="s">
        <v>731</v>
      </c>
      <c r="J14" s="12" t="s">
        <v>30</v>
      </c>
      <c r="K14" s="81" t="s">
        <v>30</v>
      </c>
      <c r="L14" s="12" t="s">
        <v>433</v>
      </c>
    </row>
    <row r="15">
      <c r="A15" s="20" t="s">
        <v>732</v>
      </c>
      <c r="B15" s="20" t="s">
        <v>37</v>
      </c>
      <c r="C15" s="20" t="s">
        <v>38</v>
      </c>
      <c r="D15" s="20" t="s">
        <v>27</v>
      </c>
      <c r="E15" s="20" t="s">
        <v>724</v>
      </c>
      <c r="F15" s="20" t="s">
        <v>30</v>
      </c>
      <c r="G15" s="23">
        <v>43991.0</v>
      </c>
      <c r="H15" s="24" t="s">
        <v>733</v>
      </c>
      <c r="I15" s="24" t="s">
        <v>734</v>
      </c>
      <c r="J15" s="41" t="s">
        <v>735</v>
      </c>
      <c r="K15" s="81" t="s">
        <v>736</v>
      </c>
      <c r="L15" s="12" t="s">
        <v>433</v>
      </c>
    </row>
    <row r="16">
      <c r="A16" s="20" t="s">
        <v>737</v>
      </c>
      <c r="B16" s="20" t="s">
        <v>37</v>
      </c>
      <c r="C16" s="20" t="s">
        <v>397</v>
      </c>
      <c r="D16" s="20" t="s">
        <v>27</v>
      </c>
      <c r="E16" s="20" t="s">
        <v>738</v>
      </c>
      <c r="F16" s="20" t="s">
        <v>30</v>
      </c>
      <c r="G16" s="23">
        <v>44054.0</v>
      </c>
      <c r="H16" s="24" t="s">
        <v>739</v>
      </c>
      <c r="I16" s="24" t="s">
        <v>734</v>
      </c>
      <c r="J16" s="41" t="s">
        <v>740</v>
      </c>
      <c r="K16" s="81" t="s">
        <v>501</v>
      </c>
      <c r="L16" s="12" t="s">
        <v>433</v>
      </c>
    </row>
    <row r="17">
      <c r="A17" s="54" t="s">
        <v>741</v>
      </c>
      <c r="B17" s="39" t="s">
        <v>25</v>
      </c>
      <c r="C17" s="39" t="s">
        <v>26</v>
      </c>
      <c r="D17" s="39" t="s">
        <v>27</v>
      </c>
      <c r="E17" s="54" t="s">
        <v>742</v>
      </c>
      <c r="F17" s="17">
        <v>44123.0</v>
      </c>
      <c r="G17" s="55">
        <v>44124.0</v>
      </c>
      <c r="H17" s="14" t="s">
        <v>743</v>
      </c>
      <c r="I17" s="14" t="s">
        <v>744</v>
      </c>
      <c r="J17" s="14" t="s">
        <v>745</v>
      </c>
      <c r="K17" s="12" t="s">
        <v>746</v>
      </c>
      <c r="L17" s="12" t="s">
        <v>433</v>
      </c>
    </row>
    <row r="18">
      <c r="A18" s="50" t="s">
        <v>747</v>
      </c>
      <c r="B18" s="39" t="s">
        <v>37</v>
      </c>
      <c r="C18" s="39" t="s">
        <v>38</v>
      </c>
      <c r="D18" s="51" t="s">
        <v>27</v>
      </c>
      <c r="E18" s="52" t="s">
        <v>748</v>
      </c>
      <c r="F18" s="17">
        <v>44126.0</v>
      </c>
      <c r="G18" s="88">
        <v>44145.0</v>
      </c>
      <c r="H18" s="14" t="s">
        <v>749</v>
      </c>
      <c r="I18" s="89" t="s">
        <v>750</v>
      </c>
      <c r="J18" s="14" t="s">
        <v>751</v>
      </c>
      <c r="K18" s="12" t="s">
        <v>746</v>
      </c>
      <c r="L18" s="12" t="s">
        <v>433</v>
      </c>
    </row>
    <row r="19">
      <c r="A19" s="50" t="s">
        <v>752</v>
      </c>
      <c r="B19" s="39" t="s">
        <v>25</v>
      </c>
      <c r="C19" s="39" t="s">
        <v>26</v>
      </c>
      <c r="D19" s="51" t="s">
        <v>27</v>
      </c>
      <c r="E19" s="52" t="s">
        <v>753</v>
      </c>
      <c r="F19" s="13">
        <v>44133.0</v>
      </c>
      <c r="G19" s="53">
        <v>44137.0</v>
      </c>
      <c r="H19" s="14" t="s">
        <v>754</v>
      </c>
      <c r="I19" s="14" t="s">
        <v>755</v>
      </c>
      <c r="J19" s="14" t="s">
        <v>756</v>
      </c>
      <c r="K19" s="12" t="s">
        <v>757</v>
      </c>
      <c r="L19" s="12" t="s">
        <v>433</v>
      </c>
    </row>
    <row r="20">
      <c r="A20" s="50" t="s">
        <v>758</v>
      </c>
      <c r="B20" s="39" t="s">
        <v>25</v>
      </c>
      <c r="C20" s="39" t="s">
        <v>26</v>
      </c>
      <c r="D20" s="51" t="s">
        <v>27</v>
      </c>
      <c r="E20" s="52" t="s">
        <v>759</v>
      </c>
      <c r="F20" s="13">
        <v>44135.0</v>
      </c>
      <c r="G20" s="53">
        <v>44137.0</v>
      </c>
      <c r="H20" s="14" t="s">
        <v>760</v>
      </c>
      <c r="I20" s="14" t="s">
        <v>761</v>
      </c>
      <c r="J20" s="14" t="s">
        <v>762</v>
      </c>
      <c r="K20" s="12" t="s">
        <v>746</v>
      </c>
      <c r="L20" s="12" t="s">
        <v>433</v>
      </c>
    </row>
    <row r="21">
      <c r="A21" s="50" t="s">
        <v>763</v>
      </c>
      <c r="B21" s="39" t="s">
        <v>32</v>
      </c>
      <c r="C21" s="39" t="s">
        <v>79</v>
      </c>
      <c r="D21" s="51" t="s">
        <v>27</v>
      </c>
      <c r="E21" s="52" t="s">
        <v>764</v>
      </c>
      <c r="F21" s="90">
        <v>44130.0</v>
      </c>
      <c r="G21" s="53">
        <v>44140.0</v>
      </c>
      <c r="H21" s="14" t="s">
        <v>765</v>
      </c>
      <c r="I21" s="14" t="s">
        <v>766</v>
      </c>
      <c r="J21" s="14" t="s">
        <v>767</v>
      </c>
      <c r="K21" s="12" t="s">
        <v>746</v>
      </c>
      <c r="L21" s="12" t="s">
        <v>433</v>
      </c>
    </row>
    <row r="22">
      <c r="A22" s="54" t="s">
        <v>768</v>
      </c>
      <c r="B22" s="39" t="s">
        <v>32</v>
      </c>
      <c r="C22" s="39" t="s">
        <v>79</v>
      </c>
      <c r="D22" s="39" t="s">
        <v>769</v>
      </c>
      <c r="E22" s="39" t="s">
        <v>770</v>
      </c>
      <c r="F22" s="58">
        <v>44133.0</v>
      </c>
      <c r="G22" s="53">
        <v>44140.0</v>
      </c>
      <c r="H22" s="14" t="s">
        <v>765</v>
      </c>
      <c r="I22" s="14" t="s">
        <v>771</v>
      </c>
      <c r="J22" s="14" t="s">
        <v>772</v>
      </c>
      <c r="K22" s="12" t="s">
        <v>746</v>
      </c>
      <c r="L22" s="12" t="s">
        <v>433</v>
      </c>
    </row>
    <row r="23">
      <c r="A23" s="54" t="s">
        <v>773</v>
      </c>
      <c r="B23" s="39" t="s">
        <v>32</v>
      </c>
      <c r="C23" s="39" t="s">
        <v>79</v>
      </c>
      <c r="D23" s="51" t="s">
        <v>27</v>
      </c>
      <c r="E23" s="52" t="s">
        <v>774</v>
      </c>
      <c r="F23" s="58">
        <v>44130.0</v>
      </c>
      <c r="G23" s="53">
        <v>44140.0</v>
      </c>
      <c r="H23" s="14" t="s">
        <v>765</v>
      </c>
      <c r="I23" s="14" t="s">
        <v>775</v>
      </c>
      <c r="J23" s="14" t="s">
        <v>776</v>
      </c>
      <c r="K23" s="12" t="s">
        <v>746</v>
      </c>
      <c r="L23" s="12" t="s">
        <v>433</v>
      </c>
    </row>
    <row r="24">
      <c r="A24" s="20" t="s">
        <v>777</v>
      </c>
      <c r="B24" s="20" t="s">
        <v>25</v>
      </c>
      <c r="C24" s="20" t="s">
        <v>26</v>
      </c>
      <c r="D24" s="20" t="s">
        <v>27</v>
      </c>
      <c r="E24" s="91" t="s">
        <v>778</v>
      </c>
      <c r="F24" s="92">
        <v>44144.0</v>
      </c>
      <c r="G24" s="93">
        <v>44146.0</v>
      </c>
      <c r="H24" s="29" t="s">
        <v>779</v>
      </c>
      <c r="I24" s="20" t="s">
        <v>30</v>
      </c>
      <c r="J24" s="21" t="s">
        <v>30</v>
      </c>
      <c r="K24" s="21" t="s">
        <v>30</v>
      </c>
    </row>
    <row r="25">
      <c r="A25" s="20" t="s">
        <v>780</v>
      </c>
      <c r="B25" s="20" t="s">
        <v>25</v>
      </c>
      <c r="C25" s="20" t="s">
        <v>26</v>
      </c>
      <c r="D25" s="20" t="s">
        <v>27</v>
      </c>
      <c r="E25" s="21" t="s">
        <v>781</v>
      </c>
      <c r="F25" s="43">
        <v>44142.0</v>
      </c>
      <c r="G25" s="23">
        <v>44146.0</v>
      </c>
      <c r="H25" s="29" t="s">
        <v>779</v>
      </c>
      <c r="I25" s="20" t="s">
        <v>30</v>
      </c>
      <c r="J25" s="21" t="s">
        <v>30</v>
      </c>
      <c r="K25" s="21" t="s">
        <v>30</v>
      </c>
    </row>
    <row r="26">
      <c r="A26" s="20" t="s">
        <v>782</v>
      </c>
      <c r="B26" s="20" t="s">
        <v>783</v>
      </c>
      <c r="C26" s="20" t="s">
        <v>784</v>
      </c>
      <c r="D26" s="20" t="s">
        <v>54</v>
      </c>
      <c r="E26" s="20" t="s">
        <v>785</v>
      </c>
      <c r="F26" s="49" t="s">
        <v>30</v>
      </c>
      <c r="G26" s="9">
        <v>44168.0</v>
      </c>
      <c r="H26" s="29" t="s">
        <v>786</v>
      </c>
      <c r="I26" s="20" t="s">
        <v>30</v>
      </c>
      <c r="J26" s="21" t="s">
        <v>30</v>
      </c>
      <c r="K26" s="20" t="s">
        <v>787</v>
      </c>
      <c r="L26" s="42" t="s">
        <v>433</v>
      </c>
    </row>
    <row r="27">
      <c r="A27" s="54"/>
      <c r="B27" s="39"/>
      <c r="C27" s="39"/>
      <c r="D27" s="39"/>
      <c r="E27" s="39"/>
      <c r="F27" s="39"/>
      <c r="G27" s="37"/>
      <c r="H27" s="57"/>
      <c r="I27" s="57"/>
      <c r="J27" s="39"/>
    </row>
    <row r="28">
      <c r="A28" s="54"/>
      <c r="B28" s="39"/>
      <c r="C28" s="39"/>
      <c r="D28" s="39"/>
      <c r="E28" s="39"/>
      <c r="F28" s="39"/>
      <c r="G28" s="76"/>
      <c r="H28" s="57"/>
      <c r="I28" s="57"/>
      <c r="J28" s="39"/>
      <c r="K28" s="12" t="s">
        <v>433</v>
      </c>
    </row>
    <row r="29">
      <c r="A29" s="54"/>
      <c r="B29" s="39"/>
      <c r="C29" s="39"/>
      <c r="D29" s="39"/>
      <c r="E29" s="39"/>
      <c r="F29" s="39"/>
      <c r="G29" s="76"/>
      <c r="H29" s="57"/>
      <c r="I29" s="57"/>
      <c r="J29" s="39"/>
      <c r="K29" s="12" t="s">
        <v>433</v>
      </c>
    </row>
    <row r="30">
      <c r="A30" s="54"/>
      <c r="B30" s="39"/>
      <c r="C30" s="39"/>
      <c r="D30" s="39"/>
      <c r="E30" s="39"/>
      <c r="F30" s="39"/>
      <c r="G30" s="76"/>
      <c r="H30" s="57"/>
      <c r="I30" s="57"/>
      <c r="J30" s="39"/>
      <c r="K30" s="12" t="s">
        <v>433</v>
      </c>
    </row>
    <row r="31">
      <c r="A31" s="54"/>
      <c r="B31" s="39"/>
      <c r="C31" s="39"/>
      <c r="D31" s="39"/>
      <c r="E31" s="39"/>
      <c r="F31" s="39"/>
      <c r="G31" s="76"/>
      <c r="H31" s="57"/>
      <c r="I31" s="57"/>
      <c r="J31" s="39"/>
      <c r="K31" s="12" t="s">
        <v>433</v>
      </c>
    </row>
    <row r="32">
      <c r="A32" s="54"/>
      <c r="B32" s="39"/>
      <c r="C32" s="39"/>
      <c r="D32" s="39"/>
      <c r="E32" s="39"/>
      <c r="F32" s="39"/>
      <c r="G32" s="76"/>
      <c r="H32" s="57"/>
      <c r="I32" s="57"/>
      <c r="J32" s="39"/>
      <c r="K32" s="12" t="s">
        <v>433</v>
      </c>
    </row>
    <row r="33">
      <c r="A33" s="54"/>
      <c r="B33" s="39"/>
      <c r="C33" s="39"/>
      <c r="D33" s="39"/>
      <c r="E33" s="39"/>
      <c r="F33" s="39"/>
      <c r="G33" s="76"/>
      <c r="H33" s="57"/>
      <c r="I33" s="39"/>
      <c r="J33" s="39"/>
      <c r="K33" s="12" t="s">
        <v>433</v>
      </c>
    </row>
    <row r="34">
      <c r="A34" s="39"/>
      <c r="B34" s="39"/>
      <c r="C34" s="39"/>
      <c r="D34" s="39"/>
      <c r="E34" s="39"/>
      <c r="F34" s="39"/>
      <c r="G34" s="76"/>
      <c r="H34" s="57"/>
      <c r="I34" s="57"/>
      <c r="J34" s="39"/>
      <c r="K34" s="12" t="s">
        <v>433</v>
      </c>
    </row>
    <row r="35">
      <c r="A35" s="54"/>
      <c r="B35" s="39"/>
      <c r="C35" s="39"/>
      <c r="D35" s="39"/>
      <c r="E35" s="39"/>
      <c r="F35" s="39"/>
      <c r="G35" s="76"/>
      <c r="H35" s="57"/>
      <c r="I35" s="57"/>
      <c r="J35" s="39"/>
      <c r="K35" s="12" t="s">
        <v>433</v>
      </c>
    </row>
    <row r="36">
      <c r="A36" s="54"/>
      <c r="B36" s="39"/>
      <c r="C36" s="39"/>
      <c r="D36" s="39"/>
      <c r="E36" s="39"/>
      <c r="F36" s="39"/>
      <c r="G36" s="76"/>
      <c r="H36" s="57"/>
      <c r="I36" s="57"/>
      <c r="J36" s="39"/>
      <c r="K36" s="12" t="s">
        <v>433</v>
      </c>
    </row>
    <row r="37">
      <c r="A37" s="54"/>
      <c r="B37" s="39"/>
      <c r="C37" s="39"/>
      <c r="D37" s="39"/>
      <c r="E37" s="39"/>
      <c r="F37" s="39"/>
      <c r="G37" s="76"/>
      <c r="H37" s="57"/>
      <c r="I37" s="39"/>
      <c r="J37" s="39"/>
      <c r="K37" s="12" t="s">
        <v>433</v>
      </c>
    </row>
    <row r="38">
      <c r="A38" s="54"/>
      <c r="B38" s="39"/>
      <c r="C38" s="39"/>
      <c r="D38" s="39"/>
      <c r="E38" s="54"/>
      <c r="F38" s="39"/>
      <c r="G38" s="76"/>
      <c r="H38" s="57"/>
      <c r="I38" s="57"/>
      <c r="J38" s="39"/>
      <c r="K38" s="12" t="s">
        <v>433</v>
      </c>
    </row>
    <row r="39">
      <c r="A39" s="54"/>
      <c r="B39" s="39"/>
      <c r="C39" s="39"/>
      <c r="D39" s="39"/>
      <c r="E39" s="39"/>
      <c r="F39" s="39"/>
      <c r="G39" s="76"/>
      <c r="H39" s="57"/>
      <c r="I39" s="57"/>
      <c r="J39" s="39"/>
      <c r="K39" s="12" t="s">
        <v>433</v>
      </c>
    </row>
    <row r="40">
      <c r="A40" s="54"/>
      <c r="B40" s="39"/>
      <c r="C40" s="39"/>
      <c r="D40" s="39"/>
      <c r="E40" s="39"/>
      <c r="F40" s="39"/>
      <c r="G40" s="76"/>
      <c r="H40" s="57"/>
      <c r="I40" s="57"/>
      <c r="J40" s="39"/>
      <c r="K40" s="12" t="s">
        <v>433</v>
      </c>
    </row>
    <row r="41">
      <c r="A41" s="54"/>
      <c r="B41" s="39"/>
      <c r="C41" s="39"/>
      <c r="D41" s="39"/>
      <c r="E41" s="39"/>
      <c r="F41" s="39"/>
      <c r="G41" s="76"/>
      <c r="H41" s="57"/>
      <c r="I41" s="57"/>
      <c r="J41" s="39"/>
      <c r="K41" s="12" t="s">
        <v>433</v>
      </c>
    </row>
    <row r="42">
      <c r="A42" s="54"/>
      <c r="B42" s="39"/>
      <c r="C42" s="39"/>
      <c r="D42" s="39"/>
      <c r="E42" s="39"/>
      <c r="F42" s="39"/>
      <c r="G42" s="76"/>
      <c r="H42" s="57"/>
      <c r="I42" s="57"/>
      <c r="J42" s="39"/>
      <c r="K42" s="12" t="s">
        <v>433</v>
      </c>
    </row>
    <row r="43">
      <c r="A43" s="54"/>
      <c r="B43" s="39"/>
      <c r="C43" s="39"/>
      <c r="D43" s="39"/>
      <c r="E43" s="39"/>
      <c r="F43" s="39"/>
      <c r="G43" s="76"/>
      <c r="H43" s="57"/>
      <c r="I43" s="57"/>
      <c r="J43" s="39"/>
      <c r="K43" s="12" t="s">
        <v>433</v>
      </c>
    </row>
    <row r="44">
      <c r="A44" s="54"/>
      <c r="B44" s="39"/>
      <c r="C44" s="39"/>
      <c r="D44" s="39"/>
      <c r="E44" s="39"/>
      <c r="F44" s="39"/>
      <c r="G44" s="76"/>
      <c r="H44" s="57"/>
      <c r="I44" s="57"/>
      <c r="J44" s="39"/>
      <c r="K44" s="12" t="s">
        <v>433</v>
      </c>
    </row>
    <row r="45">
      <c r="A45" s="54"/>
      <c r="B45" s="39"/>
      <c r="C45" s="39"/>
      <c r="D45" s="39"/>
      <c r="E45" s="39"/>
      <c r="F45" s="39"/>
      <c r="G45" s="76"/>
      <c r="H45" s="57"/>
      <c r="I45" s="57"/>
      <c r="J45" s="39"/>
      <c r="K45" s="12" t="s">
        <v>433</v>
      </c>
    </row>
    <row r="46">
      <c r="A46" s="54"/>
      <c r="B46" s="39"/>
      <c r="C46" s="39"/>
      <c r="D46" s="39"/>
      <c r="E46" s="39"/>
      <c r="F46" s="39"/>
      <c r="G46" s="76"/>
      <c r="H46" s="57"/>
      <c r="I46" s="57"/>
      <c r="J46" s="39"/>
      <c r="K46" s="12" t="s">
        <v>433</v>
      </c>
    </row>
    <row r="47">
      <c r="A47" s="54"/>
      <c r="B47" s="39"/>
      <c r="C47" s="39"/>
      <c r="D47" s="39"/>
      <c r="E47" s="54"/>
      <c r="F47" s="39"/>
      <c r="G47" s="76"/>
      <c r="H47" s="57"/>
      <c r="I47" s="39"/>
      <c r="J47" s="39"/>
      <c r="K47" s="12" t="s">
        <v>433</v>
      </c>
    </row>
    <row r="48">
      <c r="A48" s="39"/>
      <c r="B48" s="39"/>
      <c r="C48" s="39"/>
      <c r="D48" s="39"/>
      <c r="E48" s="39"/>
      <c r="F48" s="76"/>
      <c r="G48" s="76"/>
      <c r="H48" s="57"/>
      <c r="I48" s="57"/>
      <c r="J48" s="39"/>
      <c r="K48" s="12" t="s">
        <v>433</v>
      </c>
    </row>
    <row r="49">
      <c r="A49" s="54"/>
      <c r="B49" s="39"/>
      <c r="C49" s="39"/>
      <c r="D49" s="39"/>
      <c r="E49" s="54"/>
      <c r="F49" s="39"/>
      <c r="G49" s="76"/>
      <c r="H49" s="57"/>
      <c r="I49" s="57"/>
      <c r="J49" s="39"/>
      <c r="K49" s="12" t="s">
        <v>433</v>
      </c>
    </row>
    <row r="50">
      <c r="A50" s="54"/>
      <c r="B50" s="39"/>
      <c r="C50" s="39"/>
      <c r="D50" s="39"/>
      <c r="E50" s="54"/>
      <c r="F50" s="76"/>
      <c r="G50" s="76"/>
      <c r="H50" s="57"/>
      <c r="I50" s="57"/>
      <c r="J50" s="39"/>
      <c r="K50" s="12" t="s">
        <v>433</v>
      </c>
    </row>
    <row r="51">
      <c r="A51" s="54"/>
      <c r="B51" s="39"/>
      <c r="C51" s="39"/>
      <c r="D51" s="39"/>
      <c r="E51" s="54"/>
      <c r="F51" s="76"/>
      <c r="G51" s="76"/>
      <c r="H51" s="57"/>
      <c r="I51" s="57"/>
      <c r="J51" s="39"/>
      <c r="K51" s="12" t="s">
        <v>433</v>
      </c>
    </row>
    <row r="52">
      <c r="A52" s="39"/>
      <c r="B52" s="39"/>
      <c r="C52" s="39"/>
      <c r="D52" s="39"/>
      <c r="E52" s="39"/>
      <c r="F52" s="39"/>
      <c r="G52" s="76"/>
      <c r="H52" s="57"/>
      <c r="I52" s="39"/>
      <c r="J52" s="39"/>
      <c r="K52" s="12" t="s">
        <v>433</v>
      </c>
    </row>
    <row r="53">
      <c r="A53" s="54"/>
      <c r="B53" s="39"/>
      <c r="C53" s="39"/>
      <c r="D53" s="39"/>
      <c r="E53" s="39"/>
      <c r="F53" s="39"/>
      <c r="G53" s="76"/>
      <c r="H53" s="57"/>
      <c r="I53" s="57"/>
      <c r="J53" s="39"/>
      <c r="K53" s="12" t="s">
        <v>433</v>
      </c>
    </row>
    <row r="54">
      <c r="A54" s="54"/>
      <c r="B54" s="39"/>
      <c r="C54" s="39"/>
      <c r="D54" s="39"/>
      <c r="E54" s="39"/>
      <c r="F54" s="39"/>
      <c r="G54" s="76"/>
      <c r="H54" s="57"/>
      <c r="I54" s="57"/>
      <c r="J54" s="39"/>
      <c r="K54" s="12" t="s">
        <v>433</v>
      </c>
    </row>
    <row r="55">
      <c r="A55" s="54"/>
      <c r="B55" s="39"/>
      <c r="C55" s="39"/>
      <c r="D55" s="39"/>
      <c r="E55" s="39"/>
      <c r="F55" s="39"/>
      <c r="G55" s="76"/>
      <c r="H55" s="57"/>
      <c r="I55" s="57"/>
      <c r="J55" s="39"/>
      <c r="K55" s="12" t="s">
        <v>433</v>
      </c>
    </row>
    <row r="56">
      <c r="A56" s="54"/>
      <c r="B56" s="39"/>
      <c r="C56" s="39"/>
      <c r="D56" s="39"/>
      <c r="E56" s="39"/>
      <c r="F56" s="39"/>
      <c r="G56" s="76"/>
      <c r="H56" s="57"/>
      <c r="I56" s="57"/>
      <c r="J56" s="39"/>
      <c r="K56" s="12" t="s">
        <v>433</v>
      </c>
    </row>
    <row r="57">
      <c r="A57" s="39"/>
      <c r="B57" s="39"/>
      <c r="C57" s="39"/>
      <c r="D57" s="39"/>
      <c r="E57" s="39"/>
      <c r="F57" s="76"/>
      <c r="G57" s="76"/>
      <c r="H57" s="57"/>
      <c r="I57" s="57"/>
      <c r="J57" s="39"/>
      <c r="K57" s="12" t="s">
        <v>433</v>
      </c>
    </row>
    <row r="58">
      <c r="A58" s="75"/>
      <c r="B58" s="39"/>
      <c r="C58" s="39"/>
      <c r="D58" s="39"/>
      <c r="E58" s="54"/>
      <c r="F58" s="76"/>
      <c r="G58" s="76"/>
      <c r="H58" s="57"/>
      <c r="I58" s="57"/>
      <c r="J58" s="39"/>
      <c r="K58" s="12" t="s">
        <v>433</v>
      </c>
    </row>
    <row r="59">
      <c r="A59" s="39"/>
      <c r="B59" s="39"/>
      <c r="C59" s="39"/>
      <c r="D59" s="39"/>
      <c r="E59" s="54"/>
      <c r="F59" s="76"/>
      <c r="G59" s="76"/>
      <c r="H59" s="57"/>
      <c r="I59" s="57"/>
      <c r="J59" s="39"/>
      <c r="K59" s="12" t="s">
        <v>433</v>
      </c>
    </row>
    <row r="60">
      <c r="A60" s="54"/>
      <c r="B60" s="39"/>
      <c r="C60" s="39"/>
      <c r="D60" s="39"/>
      <c r="E60" s="54"/>
      <c r="F60" s="76"/>
      <c r="G60" s="76"/>
      <c r="H60" s="57"/>
      <c r="I60" s="57"/>
      <c r="J60" s="39"/>
      <c r="K60" s="12" t="s">
        <v>433</v>
      </c>
    </row>
    <row r="61">
      <c r="A61" s="39"/>
      <c r="B61" s="39"/>
      <c r="C61" s="39"/>
      <c r="D61" s="39"/>
      <c r="E61" s="39"/>
      <c r="F61" s="76"/>
      <c r="G61" s="76"/>
      <c r="H61" s="57"/>
      <c r="I61" s="39"/>
      <c r="J61" s="39"/>
      <c r="K61" s="12" t="s">
        <v>433</v>
      </c>
    </row>
    <row r="62">
      <c r="A62" s="54"/>
      <c r="B62" s="39"/>
      <c r="C62" s="39"/>
      <c r="D62" s="79"/>
      <c r="E62" s="54"/>
      <c r="F62" s="39"/>
      <c r="G62" s="76"/>
      <c r="H62" s="57"/>
      <c r="I62" s="57"/>
      <c r="J62" s="39"/>
      <c r="K62" s="12" t="s">
        <v>433</v>
      </c>
    </row>
    <row r="63">
      <c r="A63" s="54"/>
      <c r="B63" s="39"/>
      <c r="C63" s="39"/>
      <c r="D63" s="39"/>
      <c r="E63" s="39"/>
      <c r="F63" s="76"/>
      <c r="G63" s="76"/>
      <c r="H63" s="57"/>
      <c r="I63" s="57"/>
      <c r="J63" s="39"/>
      <c r="K63" s="12" t="s">
        <v>433</v>
      </c>
    </row>
    <row r="64">
      <c r="A64" s="54"/>
      <c r="B64" s="39"/>
      <c r="C64" s="39"/>
      <c r="D64" s="39"/>
      <c r="E64" s="54"/>
      <c r="F64" s="39"/>
      <c r="G64" s="76"/>
      <c r="H64" s="57"/>
      <c r="I64" s="57"/>
      <c r="J64" s="39"/>
      <c r="K64" s="12" t="s">
        <v>433</v>
      </c>
    </row>
    <row r="65">
      <c r="A65" s="39"/>
      <c r="B65" s="39"/>
      <c r="C65" s="39"/>
      <c r="D65" s="39"/>
      <c r="E65" s="54"/>
      <c r="F65" s="39"/>
      <c r="G65" s="76"/>
      <c r="H65" s="57"/>
      <c r="I65" s="57"/>
      <c r="J65" s="39"/>
      <c r="K65" s="12" t="s">
        <v>433</v>
      </c>
    </row>
    <row r="66">
      <c r="A66" s="39"/>
      <c r="B66" s="39"/>
      <c r="C66" s="39"/>
      <c r="D66" s="39"/>
      <c r="E66" s="39"/>
      <c r="F66" s="39"/>
      <c r="G66" s="76"/>
      <c r="H66" s="57"/>
      <c r="I66" s="57"/>
      <c r="J66" s="39"/>
      <c r="K66" s="12" t="s">
        <v>433</v>
      </c>
    </row>
    <row r="67">
      <c r="A67" s="54"/>
      <c r="B67" s="39"/>
      <c r="C67" s="39"/>
      <c r="D67" s="39"/>
      <c r="E67" s="54"/>
      <c r="F67" s="77"/>
      <c r="G67" s="76"/>
      <c r="H67" s="57"/>
      <c r="I67" s="57"/>
      <c r="J67" s="39"/>
      <c r="K67" s="12" t="s">
        <v>433</v>
      </c>
    </row>
    <row r="68">
      <c r="A68" s="39"/>
      <c r="B68" s="39"/>
      <c r="C68" s="39"/>
      <c r="D68" s="39"/>
      <c r="E68" s="39"/>
      <c r="F68" s="76"/>
      <c r="G68" s="76"/>
      <c r="H68" s="57"/>
      <c r="I68" s="57"/>
      <c r="J68" s="39"/>
      <c r="K68" s="12" t="s">
        <v>433</v>
      </c>
    </row>
    <row r="69">
      <c r="A69" s="39"/>
      <c r="B69" s="39"/>
      <c r="C69" s="39"/>
      <c r="D69" s="39"/>
      <c r="E69" s="39"/>
      <c r="F69" s="39"/>
      <c r="G69" s="76"/>
      <c r="H69" s="57"/>
      <c r="I69" s="57"/>
      <c r="J69" s="39"/>
      <c r="K69" s="12" t="s">
        <v>433</v>
      </c>
    </row>
    <row r="70">
      <c r="A70" s="39"/>
      <c r="B70" s="39"/>
      <c r="C70" s="39"/>
      <c r="D70" s="39"/>
      <c r="E70" s="39"/>
      <c r="F70" s="76"/>
      <c r="G70" s="76"/>
      <c r="H70" s="57"/>
      <c r="I70" s="57"/>
      <c r="J70" s="39"/>
      <c r="K70" s="12" t="s">
        <v>433</v>
      </c>
    </row>
    <row r="71">
      <c r="A71" s="39"/>
      <c r="B71" s="39"/>
      <c r="C71" s="39"/>
      <c r="D71" s="78"/>
      <c r="E71" s="54"/>
      <c r="F71" s="76"/>
      <c r="G71" s="76"/>
      <c r="H71" s="62"/>
      <c r="I71" s="62"/>
      <c r="J71" s="39"/>
      <c r="K71" s="12" t="s">
        <v>433</v>
      </c>
    </row>
    <row r="72">
      <c r="A72" s="39"/>
      <c r="B72" s="39"/>
      <c r="C72" s="39"/>
      <c r="D72" s="39"/>
      <c r="E72" s="39"/>
      <c r="F72" s="39"/>
      <c r="G72" s="76"/>
      <c r="H72" s="57"/>
      <c r="I72" s="39"/>
      <c r="J72" s="39"/>
      <c r="K72" s="12" t="s">
        <v>433</v>
      </c>
    </row>
    <row r="73">
      <c r="A73" s="39"/>
      <c r="B73" s="39"/>
      <c r="C73" s="39"/>
      <c r="D73" s="39"/>
      <c r="E73" s="54"/>
      <c r="F73" s="39"/>
      <c r="G73" s="76"/>
      <c r="H73" s="57"/>
      <c r="I73" s="39"/>
      <c r="J73" s="39"/>
      <c r="K73" s="12" t="s">
        <v>433</v>
      </c>
    </row>
    <row r="74">
      <c r="A74" s="39"/>
      <c r="B74" s="39"/>
      <c r="C74" s="39"/>
      <c r="D74" s="39"/>
      <c r="E74" s="39"/>
      <c r="F74" s="39"/>
      <c r="G74" s="76"/>
      <c r="H74" s="57"/>
      <c r="I74" s="57"/>
      <c r="J74" s="39"/>
      <c r="K74" s="12" t="s">
        <v>433</v>
      </c>
    </row>
    <row r="75">
      <c r="A75" s="39"/>
      <c r="B75" s="39"/>
      <c r="C75" s="39"/>
      <c r="D75" s="39"/>
      <c r="E75" s="39"/>
      <c r="F75" s="76"/>
      <c r="G75" s="76"/>
      <c r="H75" s="57"/>
      <c r="I75" s="57"/>
      <c r="J75" s="39"/>
      <c r="K75" s="12" t="s">
        <v>433</v>
      </c>
    </row>
    <row r="76">
      <c r="A76" s="39"/>
      <c r="B76" s="39"/>
      <c r="C76" s="39"/>
      <c r="D76" s="39"/>
      <c r="E76" s="54"/>
      <c r="F76" s="39"/>
      <c r="G76" s="76"/>
      <c r="H76" s="57"/>
      <c r="I76" s="57"/>
      <c r="J76" s="39"/>
      <c r="K76" s="12" t="s">
        <v>433</v>
      </c>
    </row>
    <row r="77">
      <c r="A77" s="39"/>
      <c r="B77" s="39"/>
      <c r="C77" s="39"/>
      <c r="D77" s="39"/>
      <c r="E77" s="54"/>
      <c r="F77" s="39"/>
      <c r="G77" s="76"/>
      <c r="H77" s="57"/>
      <c r="I77" s="57"/>
      <c r="J77" s="39"/>
      <c r="K77" s="12" t="s">
        <v>433</v>
      </c>
    </row>
    <row r="78">
      <c r="A78" s="39"/>
      <c r="B78" s="39"/>
      <c r="C78" s="39"/>
      <c r="D78" s="39"/>
      <c r="E78" s="54"/>
      <c r="F78" s="39"/>
      <c r="G78" s="76"/>
      <c r="H78" s="57"/>
      <c r="I78" s="57"/>
      <c r="J78" s="39"/>
      <c r="K78" s="12" t="s">
        <v>433</v>
      </c>
    </row>
    <row r="79">
      <c r="A79" s="54"/>
      <c r="B79" s="39"/>
      <c r="C79" s="39"/>
      <c r="D79" s="39"/>
      <c r="E79" s="54"/>
      <c r="F79" s="76"/>
      <c r="G79" s="76"/>
      <c r="H79" s="57"/>
      <c r="I79" s="57"/>
      <c r="J79" s="39"/>
      <c r="K79" s="12" t="s">
        <v>433</v>
      </c>
    </row>
    <row r="80">
      <c r="A80" s="75"/>
      <c r="B80" s="39"/>
      <c r="C80" s="39"/>
      <c r="D80" s="39"/>
      <c r="E80" s="54"/>
      <c r="F80" s="39"/>
      <c r="G80" s="76"/>
      <c r="H80" s="57"/>
      <c r="I80" s="57"/>
      <c r="J80" s="39"/>
      <c r="K80" s="12" t="s">
        <v>433</v>
      </c>
    </row>
    <row r="81">
      <c r="A81" s="54"/>
      <c r="B81" s="39"/>
      <c r="C81" s="39"/>
      <c r="D81" s="39"/>
      <c r="E81" s="54"/>
      <c r="F81" s="76"/>
      <c r="G81" s="76"/>
      <c r="H81" s="57"/>
      <c r="I81" s="57"/>
      <c r="J81" s="39"/>
      <c r="K81" s="12" t="s">
        <v>433</v>
      </c>
    </row>
    <row r="82">
      <c r="A82" s="39"/>
      <c r="B82" s="39"/>
      <c r="C82" s="39"/>
      <c r="D82" s="39"/>
      <c r="E82" s="39"/>
      <c r="F82" s="76"/>
      <c r="G82" s="76"/>
      <c r="H82" s="57"/>
      <c r="I82" s="57"/>
      <c r="J82" s="39"/>
      <c r="K82" s="12" t="s">
        <v>433</v>
      </c>
    </row>
    <row r="83">
      <c r="A83" s="39"/>
      <c r="B83" s="39"/>
      <c r="C83" s="39"/>
      <c r="D83" s="39"/>
      <c r="E83" s="39"/>
      <c r="F83" s="76"/>
      <c r="G83" s="76"/>
      <c r="H83" s="57"/>
      <c r="I83" s="57"/>
      <c r="J83" s="39"/>
      <c r="K83" s="12" t="s">
        <v>433</v>
      </c>
    </row>
    <row r="84">
      <c r="A84" s="39"/>
      <c r="B84" s="39"/>
      <c r="C84" s="39"/>
      <c r="D84" s="39"/>
      <c r="E84" s="54"/>
      <c r="F84" s="76"/>
      <c r="G84" s="76"/>
      <c r="H84" s="57"/>
      <c r="I84" s="57"/>
      <c r="J84" s="39"/>
      <c r="K84" s="12" t="s">
        <v>433</v>
      </c>
    </row>
    <row r="85">
      <c r="A85" s="39"/>
      <c r="B85" s="39"/>
      <c r="C85" s="39"/>
      <c r="D85" s="39"/>
      <c r="E85" s="54"/>
      <c r="F85" s="76"/>
      <c r="G85" s="76"/>
      <c r="H85" s="57"/>
      <c r="I85" s="57"/>
      <c r="J85" s="39"/>
      <c r="K85" s="12" t="s">
        <v>433</v>
      </c>
    </row>
    <row r="86">
      <c r="A86" s="54"/>
      <c r="B86" s="39"/>
      <c r="C86" s="39"/>
      <c r="D86" s="39"/>
      <c r="E86" s="54"/>
      <c r="F86" s="77"/>
      <c r="G86" s="76"/>
      <c r="H86" s="57"/>
      <c r="I86" s="57"/>
      <c r="J86" s="39"/>
      <c r="K86" s="12" t="s">
        <v>433</v>
      </c>
    </row>
    <row r="87">
      <c r="A87" s="39"/>
      <c r="B87" s="39"/>
      <c r="C87" s="39"/>
      <c r="D87" s="39"/>
      <c r="E87" s="39"/>
      <c r="F87" s="39"/>
      <c r="G87" s="76"/>
      <c r="H87" s="57"/>
      <c r="I87" s="57"/>
      <c r="J87" s="39"/>
      <c r="K87" s="12" t="s">
        <v>433</v>
      </c>
    </row>
    <row r="88">
      <c r="A88" s="54"/>
      <c r="B88" s="39"/>
      <c r="C88" s="39"/>
      <c r="D88" s="39"/>
      <c r="E88" s="39"/>
      <c r="F88" s="76"/>
      <c r="G88" s="76"/>
      <c r="H88" s="57"/>
      <c r="I88" s="57"/>
      <c r="J88" s="39"/>
      <c r="K88" s="12" t="s">
        <v>433</v>
      </c>
    </row>
    <row r="89">
      <c r="A89" s="54"/>
      <c r="B89" s="39"/>
      <c r="C89" s="39"/>
      <c r="D89" s="39"/>
      <c r="E89" s="39"/>
      <c r="F89" s="39"/>
      <c r="G89" s="76"/>
      <c r="H89" s="57"/>
      <c r="I89" s="57"/>
      <c r="J89" s="39"/>
      <c r="K89" s="12" t="s">
        <v>433</v>
      </c>
    </row>
    <row r="90">
      <c r="A90" s="39"/>
      <c r="B90" s="39"/>
      <c r="C90" s="39"/>
      <c r="D90" s="39"/>
      <c r="E90" s="54"/>
      <c r="F90" s="54"/>
      <c r="G90" s="76"/>
      <c r="H90" s="57"/>
      <c r="I90" s="57"/>
      <c r="J90" s="39"/>
      <c r="K90" s="12" t="s">
        <v>433</v>
      </c>
    </row>
    <row r="91">
      <c r="A91" s="39"/>
      <c r="B91" s="39"/>
      <c r="C91" s="39"/>
      <c r="D91" s="39"/>
      <c r="E91" s="39"/>
      <c r="F91" s="76"/>
      <c r="G91" s="76"/>
      <c r="H91" s="57"/>
      <c r="I91" s="57"/>
      <c r="J91" s="39"/>
      <c r="K91" s="12" t="s">
        <v>433</v>
      </c>
    </row>
    <row r="92">
      <c r="A92" s="39"/>
      <c r="B92" s="39"/>
      <c r="C92" s="39"/>
      <c r="D92" s="39"/>
      <c r="E92" s="54"/>
      <c r="F92" s="77"/>
      <c r="G92" s="76"/>
      <c r="H92" s="57"/>
      <c r="I92" s="57"/>
      <c r="J92" s="79"/>
      <c r="K92" s="12" t="s">
        <v>433</v>
      </c>
    </row>
    <row r="93">
      <c r="A93" s="39"/>
      <c r="B93" s="39"/>
      <c r="C93" s="39"/>
      <c r="D93" s="39"/>
      <c r="E93" s="39"/>
      <c r="F93" s="76"/>
      <c r="G93" s="76"/>
      <c r="H93" s="57"/>
      <c r="I93" s="57"/>
      <c r="J93" s="79"/>
      <c r="K93" s="12" t="s">
        <v>433</v>
      </c>
    </row>
    <row r="94">
      <c r="A94" s="54"/>
      <c r="B94" s="39"/>
      <c r="C94" s="39"/>
      <c r="D94" s="39"/>
      <c r="E94" s="54"/>
      <c r="F94" s="39"/>
      <c r="G94" s="76"/>
      <c r="H94" s="57"/>
      <c r="I94" s="57"/>
      <c r="J94" s="39"/>
      <c r="K94" s="12" t="s">
        <v>433</v>
      </c>
    </row>
    <row r="95">
      <c r="A95" s="39"/>
      <c r="B95" s="39"/>
      <c r="C95" s="39"/>
      <c r="D95" s="39"/>
      <c r="E95" s="54"/>
      <c r="F95" s="54"/>
      <c r="G95" s="76"/>
      <c r="H95" s="57"/>
      <c r="I95" s="57"/>
      <c r="J95" s="79"/>
      <c r="K95" s="12" t="s">
        <v>433</v>
      </c>
    </row>
    <row r="96">
      <c r="A96" s="39"/>
      <c r="B96" s="39"/>
      <c r="C96" s="39"/>
      <c r="D96" s="39"/>
      <c r="E96" s="39"/>
      <c r="F96" s="76"/>
      <c r="G96" s="76"/>
      <c r="H96" s="57"/>
      <c r="I96" s="57"/>
      <c r="J96" s="39"/>
      <c r="K96" s="12" t="s">
        <v>433</v>
      </c>
    </row>
    <row r="97">
      <c r="A97" s="54"/>
      <c r="B97" s="39"/>
      <c r="C97" s="39"/>
      <c r="D97" s="39"/>
      <c r="E97" s="39"/>
      <c r="F97" s="76"/>
      <c r="G97" s="76"/>
      <c r="H97" s="57"/>
      <c r="I97" s="57"/>
      <c r="J97" s="39"/>
      <c r="K97" s="12" t="s">
        <v>433</v>
      </c>
    </row>
    <row r="98">
      <c r="A98" s="39"/>
      <c r="B98" s="39"/>
      <c r="C98" s="39"/>
      <c r="D98" s="39"/>
      <c r="E98" s="39"/>
      <c r="F98" s="76"/>
      <c r="G98" s="76"/>
      <c r="H98" s="57"/>
      <c r="I98" s="57"/>
      <c r="J98" s="39"/>
      <c r="K98" s="12" t="s">
        <v>433</v>
      </c>
    </row>
    <row r="99">
      <c r="A99" s="39"/>
      <c r="B99" s="39"/>
      <c r="C99" s="39"/>
      <c r="D99" s="39"/>
      <c r="E99" s="54"/>
      <c r="F99" s="54"/>
      <c r="G99" s="76"/>
      <c r="H99" s="57"/>
      <c r="I99" s="57"/>
      <c r="J99" s="79"/>
      <c r="K99" s="12" t="s">
        <v>433</v>
      </c>
    </row>
    <row r="100">
      <c r="A100" s="39"/>
      <c r="B100" s="39"/>
      <c r="C100" s="39"/>
      <c r="D100" s="39"/>
      <c r="E100" s="39"/>
      <c r="F100" s="54"/>
      <c r="G100" s="76"/>
      <c r="H100" s="57"/>
      <c r="I100" s="39"/>
      <c r="J100" s="79"/>
      <c r="K100" s="12" t="s">
        <v>433</v>
      </c>
    </row>
    <row r="101">
      <c r="A101" s="54"/>
      <c r="B101" s="39"/>
      <c r="C101" s="39"/>
      <c r="D101" s="39"/>
      <c r="E101" s="39"/>
      <c r="F101" s="54"/>
      <c r="G101" s="76"/>
      <c r="H101" s="57"/>
      <c r="I101" s="57"/>
      <c r="J101" s="79"/>
      <c r="K101" s="12" t="s">
        <v>433</v>
      </c>
    </row>
    <row r="102">
      <c r="A102" s="39"/>
      <c r="B102" s="39"/>
      <c r="C102" s="39"/>
      <c r="D102" s="39"/>
      <c r="E102" s="39"/>
      <c r="F102" s="54"/>
      <c r="G102" s="76"/>
      <c r="H102" s="57"/>
      <c r="I102" s="57"/>
      <c r="J102" s="79"/>
      <c r="K102" s="12" t="s">
        <v>433</v>
      </c>
    </row>
    <row r="103">
      <c r="A103" s="39"/>
      <c r="B103" s="39"/>
      <c r="C103" s="39"/>
      <c r="D103" s="39"/>
      <c r="E103" s="39"/>
      <c r="F103" s="54"/>
      <c r="G103" s="76"/>
      <c r="H103" s="57"/>
      <c r="I103" s="39"/>
      <c r="J103" s="79"/>
      <c r="K103" s="12" t="s">
        <v>433</v>
      </c>
    </row>
    <row r="104">
      <c r="A104" s="39"/>
      <c r="B104" s="39"/>
      <c r="C104" s="39"/>
      <c r="D104" s="39"/>
      <c r="E104" s="54"/>
      <c r="F104" s="54"/>
      <c r="G104" s="76"/>
      <c r="H104" s="57"/>
      <c r="I104" s="57"/>
      <c r="J104" s="79"/>
      <c r="K104" s="12" t="s">
        <v>433</v>
      </c>
    </row>
    <row r="105">
      <c r="A105" s="39"/>
      <c r="B105" s="39"/>
      <c r="C105" s="39"/>
      <c r="D105" s="39"/>
      <c r="E105" s="54"/>
      <c r="F105" s="54"/>
      <c r="G105" s="76"/>
      <c r="H105" s="57"/>
      <c r="I105" s="57"/>
      <c r="J105" s="79"/>
      <c r="K105" s="12" t="s">
        <v>433</v>
      </c>
    </row>
    <row r="106">
      <c r="A106" s="54"/>
      <c r="B106" s="39"/>
      <c r="C106" s="39"/>
      <c r="D106" s="39"/>
      <c r="E106" s="54"/>
      <c r="F106" s="54"/>
      <c r="G106" s="76"/>
      <c r="H106" s="57"/>
      <c r="I106" s="39"/>
      <c r="J106" s="79"/>
      <c r="K106" s="12" t="s">
        <v>433</v>
      </c>
    </row>
    <row r="107">
      <c r="A107" s="39"/>
      <c r="B107" s="39"/>
      <c r="C107" s="39"/>
      <c r="D107" s="39"/>
      <c r="E107" s="54"/>
      <c r="F107" s="54"/>
      <c r="G107" s="76"/>
      <c r="H107" s="57"/>
      <c r="I107" s="39"/>
      <c r="J107" s="79"/>
      <c r="K107" s="12" t="s">
        <v>433</v>
      </c>
    </row>
    <row r="108">
      <c r="A108" s="39"/>
      <c r="B108" s="39"/>
      <c r="C108" s="39"/>
      <c r="D108" s="39"/>
      <c r="E108" s="39"/>
      <c r="F108" s="54"/>
      <c r="G108" s="76"/>
      <c r="H108" s="57"/>
      <c r="I108" s="57"/>
      <c r="J108" s="79"/>
      <c r="K108" s="12" t="s">
        <v>433</v>
      </c>
    </row>
    <row r="109">
      <c r="A109" s="54"/>
      <c r="B109" s="39"/>
      <c r="C109" s="39"/>
      <c r="D109" s="39"/>
      <c r="E109" s="54"/>
      <c r="F109" s="54"/>
      <c r="G109" s="76"/>
      <c r="H109" s="57"/>
      <c r="I109" s="39"/>
      <c r="J109" s="79"/>
      <c r="K109" s="12" t="s">
        <v>433</v>
      </c>
    </row>
    <row r="110">
      <c r="A110" s="39"/>
      <c r="B110" s="39"/>
      <c r="C110" s="39"/>
      <c r="D110" s="39"/>
      <c r="E110" s="39"/>
      <c r="F110" s="54"/>
      <c r="G110" s="76"/>
      <c r="H110" s="57"/>
      <c r="I110" s="57"/>
      <c r="J110" s="79"/>
      <c r="K110" s="12" t="s">
        <v>433</v>
      </c>
    </row>
  </sheetData>
  <hyperlinks>
    <hyperlink r:id="rId1" ref="H2"/>
    <hyperlink r:id="rId2" ref="J2"/>
    <hyperlink r:id="rId3" ref="H3"/>
    <hyperlink r:id="rId4" ref="I3"/>
    <hyperlink r:id="rId5" ref="J3"/>
    <hyperlink r:id="rId6" ref="H4"/>
    <hyperlink r:id="rId7" ref="J4"/>
    <hyperlink r:id="rId8" ref="H5"/>
    <hyperlink r:id="rId9" ref="H6"/>
    <hyperlink r:id="rId10" ref="H7"/>
    <hyperlink r:id="rId11" ref="H8"/>
    <hyperlink r:id="rId12" ref="J8"/>
    <hyperlink r:id="rId13" ref="H9"/>
    <hyperlink r:id="rId14" ref="H10"/>
    <hyperlink r:id="rId15" ref="J10"/>
    <hyperlink r:id="rId16" ref="H11"/>
    <hyperlink r:id="rId17" ref="J11"/>
    <hyperlink r:id="rId18" ref="H12"/>
    <hyperlink r:id="rId19" ref="J12"/>
    <hyperlink r:id="rId20" ref="H13"/>
    <hyperlink r:id="rId21" ref="J13"/>
    <hyperlink r:id="rId22" ref="H14"/>
    <hyperlink r:id="rId23" ref="I14"/>
    <hyperlink r:id="rId24" ref="H15"/>
    <hyperlink r:id="rId25" ref="I15"/>
    <hyperlink r:id="rId26" ref="J15"/>
    <hyperlink r:id="rId27" ref="H16"/>
    <hyperlink r:id="rId28" ref="I16"/>
    <hyperlink r:id="rId29" ref="J16"/>
    <hyperlink r:id="rId30" ref="H17"/>
    <hyperlink r:id="rId31" ref="I17"/>
    <hyperlink r:id="rId32" ref="J17"/>
    <hyperlink r:id="rId33" ref="H18"/>
    <hyperlink r:id="rId34" ref="I18"/>
    <hyperlink r:id="rId35" ref="J18"/>
    <hyperlink r:id="rId36" ref="H19"/>
    <hyperlink r:id="rId37" ref="I19"/>
    <hyperlink r:id="rId38" ref="J19"/>
    <hyperlink r:id="rId39" ref="H20"/>
    <hyperlink r:id="rId40" ref="I20"/>
    <hyperlink r:id="rId41" ref="J20"/>
    <hyperlink r:id="rId42" ref="H21"/>
    <hyperlink r:id="rId43" ref="I21"/>
    <hyperlink r:id="rId44" ref="J21"/>
    <hyperlink r:id="rId45" ref="H22"/>
    <hyperlink r:id="rId46" ref="I22"/>
    <hyperlink r:id="rId47" ref="J22"/>
    <hyperlink r:id="rId48" ref="H23"/>
    <hyperlink r:id="rId49" ref="I23"/>
    <hyperlink r:id="rId50" ref="J23"/>
    <hyperlink r:id="rId51" ref="H24"/>
    <hyperlink r:id="rId52" ref="H25"/>
    <hyperlink r:id="rId53" ref="H26"/>
  </hyperlinks>
  <drawing r:id="rId5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38"/>
    <col customWidth="1" min="2" max="2" width="9.25"/>
    <col customWidth="1" min="3" max="3" width="15.0"/>
    <col customWidth="1" min="4" max="4" width="14.88"/>
    <col customWidth="1" min="5" max="5" width="34.75"/>
    <col customWidth="1" min="6" max="6" width="13.75"/>
    <col customWidth="1" min="7" max="7" width="11.25"/>
    <col customWidth="1" min="10" max="10" width="17.63"/>
  </cols>
  <sheetData>
    <row r="1">
      <c r="A1" s="7" t="s">
        <v>13</v>
      </c>
      <c r="B1" s="7" t="s">
        <v>14</v>
      </c>
      <c r="C1" s="7" t="s">
        <v>15</v>
      </c>
      <c r="D1" s="7" t="s">
        <v>16</v>
      </c>
      <c r="E1" s="7" t="s">
        <v>17</v>
      </c>
      <c r="F1" s="7" t="s">
        <v>18</v>
      </c>
      <c r="G1" s="7" t="s">
        <v>19</v>
      </c>
      <c r="H1" s="7" t="s">
        <v>20</v>
      </c>
      <c r="I1" s="11" t="s">
        <v>21</v>
      </c>
      <c r="J1" s="7" t="s">
        <v>22</v>
      </c>
      <c r="K1" s="8" t="s">
        <v>23</v>
      </c>
    </row>
    <row r="2">
      <c r="A2" s="39" t="s">
        <v>788</v>
      </c>
      <c r="B2" s="39" t="s">
        <v>32</v>
      </c>
      <c r="C2" s="39" t="s">
        <v>79</v>
      </c>
      <c r="D2" s="39" t="s">
        <v>27</v>
      </c>
      <c r="E2" s="54" t="s">
        <v>789</v>
      </c>
      <c r="F2" s="94" t="s">
        <v>30</v>
      </c>
      <c r="G2" s="55">
        <v>43503.0</v>
      </c>
      <c r="H2" s="95" t="s">
        <v>790</v>
      </c>
      <c r="I2" s="96" t="s">
        <v>791</v>
      </c>
      <c r="J2" s="14" t="s">
        <v>792</v>
      </c>
      <c r="K2" s="81" t="s">
        <v>793</v>
      </c>
      <c r="L2" s="12" t="s">
        <v>433</v>
      </c>
    </row>
    <row r="3">
      <c r="A3" s="39" t="s">
        <v>794</v>
      </c>
      <c r="B3" s="39" t="s">
        <v>32</v>
      </c>
      <c r="C3" s="39" t="s">
        <v>79</v>
      </c>
      <c r="D3" s="39" t="s">
        <v>27</v>
      </c>
      <c r="E3" s="39" t="s">
        <v>795</v>
      </c>
      <c r="F3" s="97" t="s">
        <v>30</v>
      </c>
      <c r="G3" s="55">
        <v>43503.0</v>
      </c>
      <c r="H3" s="95" t="s">
        <v>790</v>
      </c>
      <c r="I3" s="96" t="s">
        <v>796</v>
      </c>
      <c r="J3" s="14" t="s">
        <v>797</v>
      </c>
      <c r="K3" s="81" t="s">
        <v>793</v>
      </c>
      <c r="L3" s="12" t="s">
        <v>433</v>
      </c>
    </row>
    <row r="4">
      <c r="A4" s="54" t="s">
        <v>798</v>
      </c>
      <c r="B4" s="39" t="s">
        <v>37</v>
      </c>
      <c r="C4" s="39" t="s">
        <v>397</v>
      </c>
      <c r="D4" s="39" t="s">
        <v>769</v>
      </c>
      <c r="E4" s="39" t="s">
        <v>799</v>
      </c>
      <c r="F4" s="97" t="s">
        <v>30</v>
      </c>
      <c r="G4" s="55">
        <v>43508.0</v>
      </c>
      <c r="H4" s="95" t="s">
        <v>800</v>
      </c>
      <c r="I4" s="33" t="s">
        <v>30</v>
      </c>
      <c r="J4" s="12" t="s">
        <v>30</v>
      </c>
      <c r="K4" s="81" t="s">
        <v>801</v>
      </c>
      <c r="L4" s="12" t="s">
        <v>433</v>
      </c>
    </row>
    <row r="5">
      <c r="A5" s="39" t="s">
        <v>802</v>
      </c>
      <c r="B5" s="39" t="s">
        <v>25</v>
      </c>
      <c r="C5" s="39" t="s">
        <v>26</v>
      </c>
      <c r="D5" s="39" t="s">
        <v>27</v>
      </c>
      <c r="E5" s="39" t="s">
        <v>803</v>
      </c>
      <c r="F5" s="55">
        <v>43523.0</v>
      </c>
      <c r="G5" s="55">
        <v>43525.0</v>
      </c>
      <c r="H5" s="95" t="s">
        <v>804</v>
      </c>
      <c r="I5" s="96" t="s">
        <v>805</v>
      </c>
      <c r="J5" s="12" t="s">
        <v>30</v>
      </c>
      <c r="K5" s="81" t="s">
        <v>413</v>
      </c>
      <c r="L5" s="12" t="s">
        <v>433</v>
      </c>
    </row>
    <row r="6">
      <c r="A6" s="39" t="s">
        <v>806</v>
      </c>
      <c r="B6" s="39" t="s">
        <v>37</v>
      </c>
      <c r="C6" s="39" t="s">
        <v>38</v>
      </c>
      <c r="D6" s="39" t="s">
        <v>27</v>
      </c>
      <c r="E6" s="54" t="s">
        <v>807</v>
      </c>
      <c r="F6" s="94" t="s">
        <v>30</v>
      </c>
      <c r="G6" s="55">
        <v>43536.0</v>
      </c>
      <c r="H6" s="95" t="s">
        <v>808</v>
      </c>
      <c r="I6" s="96" t="s">
        <v>809</v>
      </c>
      <c r="J6" s="12" t="s">
        <v>30</v>
      </c>
      <c r="K6" s="81" t="s">
        <v>401</v>
      </c>
      <c r="L6" s="12" t="s">
        <v>433</v>
      </c>
    </row>
    <row r="7">
      <c r="A7" s="39" t="s">
        <v>810</v>
      </c>
      <c r="B7" s="39" t="s">
        <v>37</v>
      </c>
      <c r="C7" s="39" t="s">
        <v>38</v>
      </c>
      <c r="D7" s="39" t="s">
        <v>27</v>
      </c>
      <c r="E7" s="39" t="s">
        <v>811</v>
      </c>
      <c r="F7" s="55">
        <v>43518.0</v>
      </c>
      <c r="G7" s="55">
        <v>43536.0</v>
      </c>
      <c r="H7" s="95" t="s">
        <v>812</v>
      </c>
      <c r="I7" s="96" t="s">
        <v>813</v>
      </c>
      <c r="J7" s="12" t="s">
        <v>30</v>
      </c>
      <c r="K7" s="81" t="s">
        <v>814</v>
      </c>
      <c r="L7" s="12" t="s">
        <v>433</v>
      </c>
    </row>
    <row r="8">
      <c r="A8" s="54" t="s">
        <v>815</v>
      </c>
      <c r="B8" s="39" t="s">
        <v>37</v>
      </c>
      <c r="C8" s="39" t="s">
        <v>38</v>
      </c>
      <c r="D8" s="39" t="s">
        <v>769</v>
      </c>
      <c r="E8" s="54" t="s">
        <v>816</v>
      </c>
      <c r="F8" s="97" t="s">
        <v>30</v>
      </c>
      <c r="G8" s="55">
        <v>43536.0</v>
      </c>
      <c r="H8" s="95" t="s">
        <v>817</v>
      </c>
      <c r="I8" s="33" t="s">
        <v>30</v>
      </c>
      <c r="J8" s="12" t="s">
        <v>30</v>
      </c>
      <c r="K8" s="81" t="s">
        <v>818</v>
      </c>
      <c r="L8" s="12" t="s">
        <v>433</v>
      </c>
    </row>
    <row r="9">
      <c r="A9" s="54" t="s">
        <v>819</v>
      </c>
      <c r="B9" s="39" t="s">
        <v>37</v>
      </c>
      <c r="C9" s="39" t="s">
        <v>38</v>
      </c>
      <c r="D9" s="39" t="s">
        <v>27</v>
      </c>
      <c r="E9" s="54" t="s">
        <v>820</v>
      </c>
      <c r="F9" s="97" t="s">
        <v>30</v>
      </c>
      <c r="G9" s="55">
        <v>43564.0</v>
      </c>
      <c r="H9" s="95" t="s">
        <v>821</v>
      </c>
      <c r="I9" s="33" t="s">
        <v>30</v>
      </c>
      <c r="J9" s="12" t="s">
        <v>30</v>
      </c>
      <c r="K9" s="81" t="s">
        <v>822</v>
      </c>
      <c r="L9" s="12" t="s">
        <v>433</v>
      </c>
    </row>
    <row r="10">
      <c r="A10" s="39" t="s">
        <v>823</v>
      </c>
      <c r="B10" s="39" t="s">
        <v>37</v>
      </c>
      <c r="C10" s="39" t="s">
        <v>38</v>
      </c>
      <c r="D10" s="39" t="s">
        <v>27</v>
      </c>
      <c r="E10" s="54" t="s">
        <v>824</v>
      </c>
      <c r="F10" s="55">
        <v>43541.0</v>
      </c>
      <c r="G10" s="55">
        <v>43564.0</v>
      </c>
      <c r="H10" s="95" t="s">
        <v>825</v>
      </c>
      <c r="I10" s="96" t="s">
        <v>826</v>
      </c>
      <c r="J10" s="12" t="s">
        <v>30</v>
      </c>
      <c r="K10" s="81" t="s">
        <v>814</v>
      </c>
      <c r="L10" s="12" t="s">
        <v>433</v>
      </c>
    </row>
    <row r="11">
      <c r="A11" s="39" t="s">
        <v>827</v>
      </c>
      <c r="B11" s="39" t="s">
        <v>828</v>
      </c>
      <c r="C11" s="39" t="s">
        <v>829</v>
      </c>
      <c r="D11" s="39" t="s">
        <v>27</v>
      </c>
      <c r="E11" s="39" t="s">
        <v>830</v>
      </c>
      <c r="F11" s="97" t="s">
        <v>30</v>
      </c>
      <c r="G11" s="55">
        <v>43598.0</v>
      </c>
      <c r="H11" s="95" t="s">
        <v>831</v>
      </c>
      <c r="I11" s="16" t="s">
        <v>832</v>
      </c>
      <c r="J11" s="12" t="s">
        <v>30</v>
      </c>
      <c r="K11" s="81" t="s">
        <v>30</v>
      </c>
      <c r="L11" s="12" t="s">
        <v>433</v>
      </c>
    </row>
    <row r="12">
      <c r="A12" s="54" t="s">
        <v>833</v>
      </c>
      <c r="B12" s="39" t="s">
        <v>286</v>
      </c>
      <c r="C12" s="39" t="s">
        <v>287</v>
      </c>
      <c r="D12" s="39" t="s">
        <v>27</v>
      </c>
      <c r="E12" s="54" t="s">
        <v>834</v>
      </c>
      <c r="F12" s="39" t="s">
        <v>30</v>
      </c>
      <c r="G12" s="55">
        <v>43634.0</v>
      </c>
      <c r="H12" s="14" t="s">
        <v>835</v>
      </c>
      <c r="I12" s="35" t="s">
        <v>30</v>
      </c>
      <c r="J12" s="14" t="s">
        <v>836</v>
      </c>
      <c r="K12" s="81" t="s">
        <v>837</v>
      </c>
      <c r="L12" s="12" t="s">
        <v>433</v>
      </c>
    </row>
    <row r="13">
      <c r="A13" s="54" t="s">
        <v>838</v>
      </c>
      <c r="B13" s="39" t="s">
        <v>286</v>
      </c>
      <c r="C13" s="39" t="s">
        <v>287</v>
      </c>
      <c r="D13" s="39" t="s">
        <v>54</v>
      </c>
      <c r="E13" s="54" t="s">
        <v>839</v>
      </c>
      <c r="F13" s="39" t="s">
        <v>30</v>
      </c>
      <c r="G13" s="55">
        <v>43636.0</v>
      </c>
      <c r="H13" s="14" t="s">
        <v>840</v>
      </c>
      <c r="I13" s="35" t="s">
        <v>30</v>
      </c>
      <c r="J13" s="12" t="s">
        <v>30</v>
      </c>
      <c r="K13" s="81" t="s">
        <v>841</v>
      </c>
      <c r="L13" s="12" t="s">
        <v>433</v>
      </c>
    </row>
    <row r="14">
      <c r="A14" s="54" t="s">
        <v>842</v>
      </c>
      <c r="B14" s="39" t="s">
        <v>37</v>
      </c>
      <c r="C14" s="39" t="s">
        <v>38</v>
      </c>
      <c r="D14" s="39" t="s">
        <v>54</v>
      </c>
      <c r="E14" s="54" t="s">
        <v>843</v>
      </c>
      <c r="F14" s="39" t="s">
        <v>30</v>
      </c>
      <c r="G14" s="55">
        <v>43655.0</v>
      </c>
      <c r="H14" s="14" t="s">
        <v>844</v>
      </c>
      <c r="I14" s="35" t="s">
        <v>30</v>
      </c>
      <c r="J14" s="12" t="s">
        <v>30</v>
      </c>
      <c r="K14" s="81" t="s">
        <v>845</v>
      </c>
      <c r="L14" s="12" t="s">
        <v>433</v>
      </c>
    </row>
    <row r="15">
      <c r="A15" s="54" t="s">
        <v>846</v>
      </c>
      <c r="B15" s="39" t="s">
        <v>37</v>
      </c>
      <c r="C15" s="39" t="s">
        <v>38</v>
      </c>
      <c r="D15" s="39" t="s">
        <v>27</v>
      </c>
      <c r="E15" s="54" t="s">
        <v>820</v>
      </c>
      <c r="F15" s="39" t="s">
        <v>30</v>
      </c>
      <c r="G15" s="55">
        <v>43655.0</v>
      </c>
      <c r="H15" s="14" t="s">
        <v>847</v>
      </c>
      <c r="I15" s="16" t="s">
        <v>848</v>
      </c>
      <c r="J15" s="12" t="s">
        <v>30</v>
      </c>
      <c r="K15" s="81" t="s">
        <v>849</v>
      </c>
      <c r="L15" s="12" t="s">
        <v>433</v>
      </c>
    </row>
    <row r="16">
      <c r="A16" s="54" t="s">
        <v>850</v>
      </c>
      <c r="B16" s="39" t="s">
        <v>37</v>
      </c>
      <c r="C16" s="39" t="s">
        <v>397</v>
      </c>
      <c r="D16" s="39" t="s">
        <v>27</v>
      </c>
      <c r="E16" s="54" t="s">
        <v>685</v>
      </c>
      <c r="F16" s="39" t="s">
        <v>30</v>
      </c>
      <c r="G16" s="55">
        <v>43731.0</v>
      </c>
      <c r="H16" s="14" t="s">
        <v>851</v>
      </c>
      <c r="I16" s="35" t="s">
        <v>30</v>
      </c>
      <c r="J16" s="14" t="s">
        <v>852</v>
      </c>
      <c r="K16" s="81" t="s">
        <v>401</v>
      </c>
      <c r="L16" s="12" t="s">
        <v>433</v>
      </c>
    </row>
    <row r="17">
      <c r="A17" s="50" t="s">
        <v>853</v>
      </c>
      <c r="B17" s="39" t="s">
        <v>25</v>
      </c>
      <c r="C17" s="39" t="s">
        <v>53</v>
      </c>
      <c r="D17" s="98" t="s">
        <v>27</v>
      </c>
      <c r="E17" s="99" t="s">
        <v>854</v>
      </c>
      <c r="F17" s="100">
        <v>43734.0</v>
      </c>
      <c r="G17" s="101">
        <v>43744.0</v>
      </c>
      <c r="H17" s="102" t="s">
        <v>855</v>
      </c>
      <c r="I17" s="103" t="s">
        <v>856</v>
      </c>
      <c r="J17" s="14" t="s">
        <v>857</v>
      </c>
      <c r="K17" s="81" t="s">
        <v>858</v>
      </c>
      <c r="L17" s="12" t="s">
        <v>433</v>
      </c>
    </row>
    <row r="18">
      <c r="A18" s="50" t="s">
        <v>859</v>
      </c>
      <c r="B18" s="39" t="s">
        <v>318</v>
      </c>
      <c r="C18" s="39" t="s">
        <v>860</v>
      </c>
      <c r="D18" s="51" t="s">
        <v>54</v>
      </c>
      <c r="E18" s="52" t="s">
        <v>861</v>
      </c>
      <c r="F18" s="12" t="s">
        <v>30</v>
      </c>
      <c r="G18" s="53">
        <v>43766.0</v>
      </c>
      <c r="H18" s="14" t="s">
        <v>862</v>
      </c>
      <c r="I18" s="35" t="s">
        <v>30</v>
      </c>
      <c r="J18" s="12" t="s">
        <v>30</v>
      </c>
      <c r="K18" s="81" t="s">
        <v>322</v>
      </c>
      <c r="L18" s="12" t="s">
        <v>433</v>
      </c>
    </row>
    <row r="19">
      <c r="A19" s="50" t="s">
        <v>863</v>
      </c>
      <c r="B19" s="39" t="s">
        <v>25</v>
      </c>
      <c r="C19" s="39" t="s">
        <v>26</v>
      </c>
      <c r="D19" s="51" t="s">
        <v>27</v>
      </c>
      <c r="E19" s="52" t="s">
        <v>864</v>
      </c>
      <c r="F19" s="13">
        <v>43767.0</v>
      </c>
      <c r="G19" s="53">
        <v>43769.0</v>
      </c>
      <c r="H19" s="14" t="s">
        <v>865</v>
      </c>
      <c r="I19" s="16" t="s">
        <v>866</v>
      </c>
      <c r="J19" s="14" t="s">
        <v>867</v>
      </c>
      <c r="K19" s="81" t="s">
        <v>868</v>
      </c>
      <c r="L19" s="12" t="s">
        <v>433</v>
      </c>
    </row>
    <row r="20">
      <c r="A20" s="50" t="s">
        <v>869</v>
      </c>
      <c r="B20" s="39" t="s">
        <v>37</v>
      </c>
      <c r="C20" s="39" t="s">
        <v>397</v>
      </c>
      <c r="D20" s="51" t="s">
        <v>27</v>
      </c>
      <c r="E20" s="54" t="s">
        <v>685</v>
      </c>
      <c r="F20" s="12" t="s">
        <v>30</v>
      </c>
      <c r="G20" s="53">
        <v>43781.0</v>
      </c>
      <c r="H20" s="14" t="s">
        <v>870</v>
      </c>
      <c r="I20" s="35" t="s">
        <v>30</v>
      </c>
      <c r="J20" s="14" t="s">
        <v>852</v>
      </c>
      <c r="K20" s="81" t="s">
        <v>871</v>
      </c>
      <c r="L20" s="12" t="s">
        <v>433</v>
      </c>
    </row>
    <row r="21">
      <c r="A21" s="50" t="s">
        <v>872</v>
      </c>
      <c r="B21" s="39" t="s">
        <v>37</v>
      </c>
      <c r="C21" s="39" t="s">
        <v>38</v>
      </c>
      <c r="D21" s="51" t="s">
        <v>27</v>
      </c>
      <c r="E21" s="54" t="s">
        <v>873</v>
      </c>
      <c r="F21" s="12" t="s">
        <v>30</v>
      </c>
      <c r="G21" s="53">
        <v>43809.0</v>
      </c>
      <c r="H21" s="14" t="s">
        <v>874</v>
      </c>
      <c r="I21" s="16" t="s">
        <v>875</v>
      </c>
      <c r="J21" s="14" t="s">
        <v>876</v>
      </c>
      <c r="K21" s="81" t="s">
        <v>868</v>
      </c>
      <c r="L21" s="12" t="s">
        <v>433</v>
      </c>
    </row>
    <row r="22">
      <c r="A22" s="54"/>
      <c r="B22" s="39"/>
      <c r="C22" s="39"/>
      <c r="D22" s="39"/>
      <c r="E22" s="39"/>
      <c r="F22" s="39"/>
      <c r="G22" s="76"/>
      <c r="H22" s="57"/>
      <c r="I22" s="63"/>
      <c r="J22" s="39"/>
      <c r="K22" s="12" t="s">
        <v>433</v>
      </c>
      <c r="L22" s="12" t="s">
        <v>433</v>
      </c>
    </row>
    <row r="23">
      <c r="A23" s="54"/>
      <c r="B23" s="39"/>
      <c r="C23" s="39"/>
      <c r="D23" s="39"/>
      <c r="E23" s="39"/>
      <c r="F23" s="39"/>
      <c r="G23" s="76"/>
      <c r="H23" s="57"/>
      <c r="I23" s="63"/>
      <c r="J23" s="79"/>
      <c r="K23" s="12" t="s">
        <v>433</v>
      </c>
      <c r="L23" s="12" t="s">
        <v>433</v>
      </c>
    </row>
    <row r="24">
      <c r="A24" s="54"/>
      <c r="B24" s="39"/>
      <c r="C24" s="39"/>
      <c r="D24" s="39"/>
      <c r="E24" s="39"/>
      <c r="F24" s="39"/>
      <c r="G24" s="76"/>
      <c r="H24" s="57"/>
      <c r="I24" s="63"/>
      <c r="J24" s="39"/>
      <c r="K24" s="12" t="s">
        <v>433</v>
      </c>
    </row>
    <row r="25">
      <c r="A25" s="54"/>
      <c r="B25" s="39"/>
      <c r="C25" s="39"/>
      <c r="D25" s="39"/>
      <c r="E25" s="39"/>
      <c r="F25" s="76"/>
      <c r="G25" s="76"/>
      <c r="H25" s="57"/>
      <c r="I25" s="63"/>
      <c r="J25" s="39"/>
      <c r="K25" s="12" t="s">
        <v>433</v>
      </c>
    </row>
    <row r="26">
      <c r="A26" s="54"/>
      <c r="B26" s="39"/>
      <c r="C26" s="39"/>
      <c r="D26" s="39"/>
      <c r="E26" s="39"/>
      <c r="F26" s="76"/>
      <c r="G26" s="76"/>
      <c r="H26" s="57"/>
      <c r="I26" s="63"/>
      <c r="J26" s="39"/>
      <c r="K26" s="12" t="s">
        <v>433</v>
      </c>
    </row>
    <row r="27">
      <c r="A27" s="54"/>
      <c r="B27" s="39"/>
      <c r="C27" s="39"/>
      <c r="D27" s="39"/>
      <c r="E27" s="39"/>
      <c r="F27" s="39"/>
      <c r="G27" s="76"/>
      <c r="H27" s="57"/>
      <c r="I27" s="63"/>
      <c r="J27" s="39"/>
      <c r="K27" s="12" t="s">
        <v>433</v>
      </c>
    </row>
    <row r="28">
      <c r="A28" s="54"/>
      <c r="B28" s="39"/>
      <c r="C28" s="39"/>
      <c r="D28" s="39"/>
      <c r="E28" s="39"/>
      <c r="F28" s="39"/>
      <c r="G28" s="76"/>
      <c r="H28" s="57"/>
      <c r="I28" s="63"/>
      <c r="J28" s="39"/>
      <c r="K28" s="12" t="s">
        <v>433</v>
      </c>
    </row>
    <row r="29">
      <c r="A29" s="54"/>
      <c r="B29" s="39"/>
      <c r="C29" s="39"/>
      <c r="D29" s="39"/>
      <c r="E29" s="39"/>
      <c r="F29" s="39"/>
      <c r="G29" s="76"/>
      <c r="H29" s="57"/>
      <c r="I29" s="63"/>
      <c r="J29" s="39"/>
      <c r="K29" s="12" t="s">
        <v>433</v>
      </c>
    </row>
    <row r="30">
      <c r="A30" s="54"/>
      <c r="B30" s="39"/>
      <c r="C30" s="39"/>
      <c r="D30" s="39"/>
      <c r="E30" s="39"/>
      <c r="F30" s="39"/>
      <c r="G30" s="76"/>
      <c r="H30" s="57"/>
      <c r="I30" s="63"/>
      <c r="J30" s="39"/>
      <c r="K30" s="12" t="s">
        <v>433</v>
      </c>
    </row>
    <row r="31">
      <c r="A31" s="54"/>
      <c r="B31" s="39"/>
      <c r="C31" s="39"/>
      <c r="D31" s="39"/>
      <c r="E31" s="39"/>
      <c r="F31" s="39"/>
      <c r="G31" s="76"/>
      <c r="H31" s="57"/>
      <c r="I31" s="63"/>
      <c r="J31" s="39"/>
      <c r="K31" s="12" t="s">
        <v>433</v>
      </c>
    </row>
    <row r="32">
      <c r="A32" s="54"/>
      <c r="B32" s="39"/>
      <c r="C32" s="39"/>
      <c r="D32" s="39"/>
      <c r="E32" s="39"/>
      <c r="F32" s="39"/>
      <c r="G32" s="76"/>
      <c r="H32" s="57"/>
      <c r="I32" s="63"/>
      <c r="J32" s="39"/>
      <c r="K32" s="12" t="s">
        <v>433</v>
      </c>
    </row>
    <row r="33">
      <c r="A33" s="54"/>
      <c r="B33" s="39"/>
      <c r="C33" s="39"/>
      <c r="D33" s="39"/>
      <c r="E33" s="39"/>
      <c r="F33" s="39"/>
      <c r="G33" s="76"/>
      <c r="H33" s="57"/>
      <c r="I33" s="61"/>
      <c r="J33" s="39"/>
      <c r="K33" s="12" t="s">
        <v>433</v>
      </c>
    </row>
    <row r="34">
      <c r="A34" s="39"/>
      <c r="B34" s="39"/>
      <c r="C34" s="39"/>
      <c r="D34" s="39"/>
      <c r="E34" s="39"/>
      <c r="F34" s="39"/>
      <c r="G34" s="76"/>
      <c r="H34" s="57"/>
      <c r="I34" s="63"/>
      <c r="J34" s="39"/>
      <c r="K34" s="12" t="s">
        <v>433</v>
      </c>
    </row>
    <row r="35">
      <c r="A35" s="54"/>
      <c r="B35" s="39"/>
      <c r="C35" s="39"/>
      <c r="D35" s="39"/>
      <c r="E35" s="39"/>
      <c r="F35" s="39"/>
      <c r="G35" s="76"/>
      <c r="H35" s="57"/>
      <c r="I35" s="63"/>
      <c r="J35" s="39"/>
      <c r="K35" s="12" t="s">
        <v>433</v>
      </c>
    </row>
    <row r="36">
      <c r="A36" s="54"/>
      <c r="B36" s="39"/>
      <c r="C36" s="39"/>
      <c r="D36" s="39"/>
      <c r="E36" s="39"/>
      <c r="F36" s="39"/>
      <c r="G36" s="76"/>
      <c r="H36" s="57"/>
      <c r="I36" s="63"/>
      <c r="J36" s="39"/>
      <c r="K36" s="12" t="s">
        <v>433</v>
      </c>
    </row>
    <row r="37">
      <c r="A37" s="54"/>
      <c r="B37" s="39"/>
      <c r="C37" s="39"/>
      <c r="D37" s="39"/>
      <c r="E37" s="39"/>
      <c r="F37" s="39"/>
      <c r="G37" s="76"/>
      <c r="H37" s="57"/>
      <c r="I37" s="61"/>
      <c r="J37" s="39"/>
      <c r="K37" s="12" t="s">
        <v>433</v>
      </c>
    </row>
    <row r="38">
      <c r="A38" s="54"/>
      <c r="B38" s="39"/>
      <c r="C38" s="39"/>
      <c r="D38" s="39"/>
      <c r="E38" s="54"/>
      <c r="F38" s="39"/>
      <c r="G38" s="76"/>
      <c r="H38" s="57"/>
      <c r="I38" s="63"/>
      <c r="J38" s="39"/>
      <c r="K38" s="12" t="s">
        <v>433</v>
      </c>
    </row>
    <row r="39">
      <c r="A39" s="54"/>
      <c r="B39" s="39"/>
      <c r="C39" s="39"/>
      <c r="D39" s="39"/>
      <c r="E39" s="39"/>
      <c r="F39" s="39"/>
      <c r="G39" s="76"/>
      <c r="H39" s="57"/>
      <c r="I39" s="63"/>
      <c r="J39" s="39"/>
      <c r="K39" s="12" t="s">
        <v>433</v>
      </c>
    </row>
    <row r="40">
      <c r="A40" s="54"/>
      <c r="B40" s="39"/>
      <c r="C40" s="39"/>
      <c r="D40" s="39"/>
      <c r="E40" s="39"/>
      <c r="F40" s="39"/>
      <c r="G40" s="76"/>
      <c r="H40" s="57"/>
      <c r="I40" s="63"/>
      <c r="J40" s="39"/>
      <c r="K40" s="12" t="s">
        <v>433</v>
      </c>
    </row>
    <row r="41">
      <c r="A41" s="54"/>
      <c r="B41" s="39"/>
      <c r="C41" s="39"/>
      <c r="D41" s="39"/>
      <c r="E41" s="39"/>
      <c r="F41" s="39"/>
      <c r="G41" s="76"/>
      <c r="H41" s="57"/>
      <c r="I41" s="63"/>
      <c r="J41" s="39"/>
      <c r="K41" s="12" t="s">
        <v>433</v>
      </c>
    </row>
    <row r="42">
      <c r="A42" s="54"/>
      <c r="B42" s="39"/>
      <c r="C42" s="39"/>
      <c r="D42" s="39"/>
      <c r="E42" s="39"/>
      <c r="F42" s="39"/>
      <c r="G42" s="76"/>
      <c r="H42" s="57"/>
      <c r="I42" s="63"/>
      <c r="J42" s="39"/>
      <c r="K42" s="12" t="s">
        <v>433</v>
      </c>
    </row>
    <row r="43">
      <c r="A43" s="54"/>
      <c r="B43" s="39"/>
      <c r="C43" s="39"/>
      <c r="D43" s="39"/>
      <c r="E43" s="39"/>
      <c r="F43" s="39"/>
      <c r="G43" s="76"/>
      <c r="H43" s="57"/>
      <c r="I43" s="63"/>
      <c r="J43" s="39"/>
      <c r="K43" s="12" t="s">
        <v>433</v>
      </c>
    </row>
    <row r="44">
      <c r="A44" s="54"/>
      <c r="B44" s="39"/>
      <c r="C44" s="39"/>
      <c r="D44" s="39"/>
      <c r="E44" s="39"/>
      <c r="F44" s="39"/>
      <c r="G44" s="76"/>
      <c r="H44" s="57"/>
      <c r="I44" s="63"/>
      <c r="J44" s="39"/>
      <c r="K44" s="12" t="s">
        <v>433</v>
      </c>
    </row>
    <row r="45">
      <c r="A45" s="54"/>
      <c r="B45" s="39"/>
      <c r="C45" s="39"/>
      <c r="D45" s="39"/>
      <c r="E45" s="39"/>
      <c r="F45" s="39"/>
      <c r="G45" s="76"/>
      <c r="H45" s="57"/>
      <c r="I45" s="63"/>
      <c r="J45" s="39"/>
      <c r="K45" s="12" t="s">
        <v>433</v>
      </c>
    </row>
    <row r="46">
      <c r="A46" s="54"/>
      <c r="B46" s="39"/>
      <c r="C46" s="39"/>
      <c r="D46" s="39"/>
      <c r="E46" s="39"/>
      <c r="F46" s="39"/>
      <c r="G46" s="76"/>
      <c r="H46" s="57"/>
      <c r="I46" s="63"/>
      <c r="J46" s="39"/>
      <c r="K46" s="12" t="s">
        <v>433</v>
      </c>
    </row>
    <row r="47">
      <c r="A47" s="54"/>
      <c r="B47" s="39"/>
      <c r="C47" s="39"/>
      <c r="D47" s="39"/>
      <c r="E47" s="54"/>
      <c r="F47" s="39"/>
      <c r="G47" s="76"/>
      <c r="H47" s="57"/>
      <c r="I47" s="61"/>
      <c r="J47" s="39"/>
      <c r="K47" s="12" t="s">
        <v>433</v>
      </c>
    </row>
    <row r="48">
      <c r="A48" s="39"/>
      <c r="B48" s="39"/>
      <c r="C48" s="39"/>
      <c r="D48" s="39"/>
      <c r="E48" s="39"/>
      <c r="F48" s="76"/>
      <c r="G48" s="76"/>
      <c r="H48" s="57"/>
      <c r="I48" s="63"/>
      <c r="J48" s="39"/>
      <c r="K48" s="12" t="s">
        <v>433</v>
      </c>
    </row>
    <row r="49">
      <c r="A49" s="54"/>
      <c r="B49" s="39"/>
      <c r="C49" s="39"/>
      <c r="D49" s="39"/>
      <c r="E49" s="54"/>
      <c r="F49" s="39"/>
      <c r="G49" s="76"/>
      <c r="H49" s="57"/>
      <c r="I49" s="63"/>
      <c r="J49" s="39"/>
      <c r="K49" s="12" t="s">
        <v>433</v>
      </c>
    </row>
    <row r="50">
      <c r="A50" s="54"/>
      <c r="B50" s="39"/>
      <c r="C50" s="39"/>
      <c r="D50" s="39"/>
      <c r="E50" s="54"/>
      <c r="F50" s="76"/>
      <c r="G50" s="76"/>
      <c r="H50" s="57"/>
      <c r="I50" s="63"/>
      <c r="J50" s="39"/>
      <c r="K50" s="12" t="s">
        <v>433</v>
      </c>
    </row>
    <row r="51">
      <c r="A51" s="54"/>
      <c r="B51" s="39"/>
      <c r="C51" s="39"/>
      <c r="D51" s="39"/>
      <c r="E51" s="54"/>
      <c r="F51" s="76"/>
      <c r="G51" s="76"/>
      <c r="H51" s="57"/>
      <c r="I51" s="63"/>
      <c r="J51" s="39"/>
      <c r="K51" s="12" t="s">
        <v>433</v>
      </c>
    </row>
    <row r="52">
      <c r="A52" s="39"/>
      <c r="B52" s="39"/>
      <c r="C52" s="39"/>
      <c r="D52" s="39"/>
      <c r="E52" s="39"/>
      <c r="F52" s="39"/>
      <c r="G52" s="76"/>
      <c r="H52" s="57"/>
      <c r="I52" s="61"/>
      <c r="J52" s="39"/>
      <c r="K52" s="12" t="s">
        <v>433</v>
      </c>
    </row>
    <row r="53">
      <c r="A53" s="54"/>
      <c r="B53" s="39"/>
      <c r="C53" s="39"/>
      <c r="D53" s="39"/>
      <c r="E53" s="39"/>
      <c r="F53" s="39"/>
      <c r="G53" s="76"/>
      <c r="H53" s="57"/>
      <c r="I53" s="63"/>
      <c r="J53" s="39"/>
      <c r="K53" s="12" t="s">
        <v>433</v>
      </c>
    </row>
    <row r="54">
      <c r="A54" s="54"/>
      <c r="B54" s="39"/>
      <c r="C54" s="39"/>
      <c r="D54" s="39"/>
      <c r="E54" s="39"/>
      <c r="F54" s="39"/>
      <c r="G54" s="76"/>
      <c r="H54" s="57"/>
      <c r="I54" s="63"/>
      <c r="J54" s="39"/>
      <c r="K54" s="12" t="s">
        <v>433</v>
      </c>
    </row>
    <row r="55">
      <c r="A55" s="54"/>
      <c r="B55" s="39"/>
      <c r="C55" s="39"/>
      <c r="D55" s="39"/>
      <c r="E55" s="39"/>
      <c r="F55" s="39"/>
      <c r="G55" s="76"/>
      <c r="H55" s="57"/>
      <c r="I55" s="63"/>
      <c r="J55" s="39"/>
      <c r="K55" s="12" t="s">
        <v>433</v>
      </c>
    </row>
    <row r="56">
      <c r="A56" s="54"/>
      <c r="B56" s="39"/>
      <c r="C56" s="39"/>
      <c r="D56" s="39"/>
      <c r="E56" s="39"/>
      <c r="F56" s="39"/>
      <c r="G56" s="76"/>
      <c r="H56" s="57"/>
      <c r="I56" s="63"/>
      <c r="J56" s="39"/>
      <c r="K56" s="12" t="s">
        <v>433</v>
      </c>
    </row>
    <row r="57">
      <c r="A57" s="39"/>
      <c r="B57" s="39"/>
      <c r="C57" s="39"/>
      <c r="D57" s="39"/>
      <c r="E57" s="39"/>
      <c r="F57" s="76"/>
      <c r="G57" s="76"/>
      <c r="H57" s="57"/>
      <c r="I57" s="63"/>
      <c r="J57" s="39"/>
      <c r="K57" s="12" t="s">
        <v>433</v>
      </c>
    </row>
    <row r="58">
      <c r="A58" s="75"/>
      <c r="B58" s="39"/>
      <c r="C58" s="39"/>
      <c r="D58" s="39"/>
      <c r="E58" s="54"/>
      <c r="F58" s="76"/>
      <c r="G58" s="76"/>
      <c r="H58" s="57"/>
      <c r="I58" s="63"/>
      <c r="J58" s="39"/>
      <c r="K58" s="12" t="s">
        <v>433</v>
      </c>
    </row>
    <row r="59">
      <c r="A59" s="39"/>
      <c r="B59" s="39"/>
      <c r="C59" s="39"/>
      <c r="D59" s="39"/>
      <c r="E59" s="54"/>
      <c r="F59" s="76"/>
      <c r="G59" s="76"/>
      <c r="H59" s="57"/>
      <c r="I59" s="63"/>
      <c r="J59" s="39"/>
      <c r="K59" s="12" t="s">
        <v>433</v>
      </c>
    </row>
    <row r="60">
      <c r="A60" s="54"/>
      <c r="B60" s="39"/>
      <c r="C60" s="39"/>
      <c r="D60" s="39"/>
      <c r="E60" s="54"/>
      <c r="F60" s="76"/>
      <c r="G60" s="76"/>
      <c r="H60" s="57"/>
      <c r="I60" s="63"/>
      <c r="J60" s="39"/>
      <c r="K60" s="12" t="s">
        <v>433</v>
      </c>
    </row>
    <row r="61">
      <c r="A61" s="39"/>
      <c r="B61" s="39"/>
      <c r="C61" s="39"/>
      <c r="D61" s="39"/>
      <c r="E61" s="39"/>
      <c r="F61" s="76"/>
      <c r="G61" s="76"/>
      <c r="H61" s="57"/>
      <c r="I61" s="61"/>
      <c r="J61" s="39"/>
      <c r="K61" s="12" t="s">
        <v>433</v>
      </c>
    </row>
    <row r="62">
      <c r="A62" s="54"/>
      <c r="B62" s="39"/>
      <c r="C62" s="39"/>
      <c r="D62" s="79"/>
      <c r="E62" s="54"/>
      <c r="F62" s="39"/>
      <c r="G62" s="76"/>
      <c r="H62" s="57"/>
      <c r="I62" s="63"/>
      <c r="J62" s="39"/>
      <c r="K62" s="12" t="s">
        <v>433</v>
      </c>
    </row>
    <row r="63">
      <c r="A63" s="54"/>
      <c r="B63" s="39"/>
      <c r="C63" s="39"/>
      <c r="D63" s="39"/>
      <c r="E63" s="39"/>
      <c r="F63" s="76"/>
      <c r="G63" s="76"/>
      <c r="H63" s="57"/>
      <c r="I63" s="63"/>
      <c r="J63" s="39"/>
      <c r="K63" s="12" t="s">
        <v>433</v>
      </c>
    </row>
    <row r="64">
      <c r="A64" s="54"/>
      <c r="B64" s="39"/>
      <c r="C64" s="39"/>
      <c r="D64" s="39"/>
      <c r="E64" s="54"/>
      <c r="F64" s="39"/>
      <c r="G64" s="76"/>
      <c r="H64" s="57"/>
      <c r="I64" s="63"/>
      <c r="J64" s="39"/>
      <c r="K64" s="12" t="s">
        <v>433</v>
      </c>
    </row>
    <row r="65">
      <c r="A65" s="39"/>
      <c r="B65" s="39"/>
      <c r="C65" s="39"/>
      <c r="D65" s="39"/>
      <c r="E65" s="54"/>
      <c r="F65" s="39"/>
      <c r="G65" s="76"/>
      <c r="H65" s="57"/>
      <c r="I65" s="63"/>
      <c r="J65" s="39"/>
      <c r="K65" s="12" t="s">
        <v>433</v>
      </c>
    </row>
    <row r="66">
      <c r="A66" s="39"/>
      <c r="B66" s="39"/>
      <c r="C66" s="39"/>
      <c r="D66" s="39"/>
      <c r="E66" s="39"/>
      <c r="F66" s="39"/>
      <c r="G66" s="76"/>
      <c r="H66" s="57"/>
      <c r="I66" s="63"/>
      <c r="J66" s="39"/>
      <c r="K66" s="12" t="s">
        <v>433</v>
      </c>
    </row>
    <row r="67">
      <c r="A67" s="54"/>
      <c r="B67" s="39"/>
      <c r="C67" s="39"/>
      <c r="D67" s="39"/>
      <c r="E67" s="54"/>
      <c r="F67" s="77"/>
      <c r="G67" s="76"/>
      <c r="H67" s="57"/>
      <c r="I67" s="63"/>
      <c r="J67" s="39"/>
      <c r="K67" s="12" t="s">
        <v>433</v>
      </c>
    </row>
    <row r="68">
      <c r="A68" s="39"/>
      <c r="B68" s="39"/>
      <c r="C68" s="39"/>
      <c r="D68" s="39"/>
      <c r="E68" s="39"/>
      <c r="F68" s="76"/>
      <c r="G68" s="76"/>
      <c r="H68" s="57"/>
      <c r="I68" s="63"/>
      <c r="J68" s="39"/>
      <c r="K68" s="12" t="s">
        <v>433</v>
      </c>
    </row>
    <row r="69">
      <c r="A69" s="39"/>
      <c r="B69" s="39"/>
      <c r="C69" s="39"/>
      <c r="D69" s="39"/>
      <c r="E69" s="39"/>
      <c r="F69" s="39"/>
      <c r="G69" s="76"/>
      <c r="H69" s="57"/>
      <c r="I69" s="63"/>
      <c r="J69" s="39"/>
      <c r="K69" s="12" t="s">
        <v>433</v>
      </c>
    </row>
    <row r="70">
      <c r="A70" s="39"/>
      <c r="B70" s="39"/>
      <c r="C70" s="39"/>
      <c r="D70" s="39"/>
      <c r="E70" s="39"/>
      <c r="F70" s="76"/>
      <c r="G70" s="76"/>
      <c r="H70" s="57"/>
      <c r="I70" s="63"/>
      <c r="J70" s="39"/>
      <c r="K70" s="12" t="s">
        <v>433</v>
      </c>
    </row>
    <row r="71">
      <c r="A71" s="39"/>
      <c r="B71" s="39"/>
      <c r="C71" s="39"/>
      <c r="D71" s="78"/>
      <c r="E71" s="54"/>
      <c r="F71" s="76"/>
      <c r="G71" s="76"/>
      <c r="H71" s="62"/>
      <c r="I71" s="69"/>
      <c r="J71" s="39"/>
      <c r="K71" s="12" t="s">
        <v>433</v>
      </c>
    </row>
    <row r="72">
      <c r="A72" s="39"/>
      <c r="B72" s="39"/>
      <c r="C72" s="39"/>
      <c r="D72" s="39"/>
      <c r="E72" s="39"/>
      <c r="F72" s="39"/>
      <c r="G72" s="76"/>
      <c r="H72" s="57"/>
      <c r="I72" s="61"/>
      <c r="J72" s="39"/>
      <c r="K72" s="12" t="s">
        <v>433</v>
      </c>
    </row>
    <row r="73">
      <c r="A73" s="39"/>
      <c r="B73" s="39"/>
      <c r="C73" s="39"/>
      <c r="D73" s="39"/>
      <c r="E73" s="54"/>
      <c r="F73" s="39"/>
      <c r="G73" s="76"/>
      <c r="H73" s="57"/>
      <c r="I73" s="61"/>
      <c r="J73" s="39"/>
      <c r="K73" s="12" t="s">
        <v>433</v>
      </c>
    </row>
    <row r="74">
      <c r="A74" s="39"/>
      <c r="B74" s="39"/>
      <c r="C74" s="39"/>
      <c r="D74" s="39"/>
      <c r="E74" s="39"/>
      <c r="F74" s="39"/>
      <c r="G74" s="76"/>
      <c r="H74" s="57"/>
      <c r="I74" s="63"/>
      <c r="J74" s="39"/>
      <c r="K74" s="12" t="s">
        <v>433</v>
      </c>
    </row>
    <row r="75">
      <c r="A75" s="39"/>
      <c r="B75" s="39"/>
      <c r="C75" s="39"/>
      <c r="D75" s="39"/>
      <c r="E75" s="39"/>
      <c r="F75" s="76"/>
      <c r="G75" s="76"/>
      <c r="H75" s="57"/>
      <c r="I75" s="63"/>
      <c r="J75" s="39"/>
      <c r="K75" s="12" t="s">
        <v>433</v>
      </c>
    </row>
    <row r="76">
      <c r="A76" s="39"/>
      <c r="B76" s="39"/>
      <c r="C76" s="39"/>
      <c r="D76" s="39"/>
      <c r="E76" s="54"/>
      <c r="F76" s="39"/>
      <c r="G76" s="76"/>
      <c r="H76" s="57"/>
      <c r="I76" s="63"/>
      <c r="J76" s="39"/>
      <c r="K76" s="12" t="s">
        <v>433</v>
      </c>
    </row>
    <row r="77">
      <c r="A77" s="39"/>
      <c r="B77" s="39"/>
      <c r="C77" s="39"/>
      <c r="D77" s="39"/>
      <c r="E77" s="54"/>
      <c r="F77" s="39"/>
      <c r="G77" s="76"/>
      <c r="H77" s="57"/>
      <c r="I77" s="63"/>
      <c r="J77" s="39"/>
      <c r="K77" s="12" t="s">
        <v>433</v>
      </c>
    </row>
    <row r="78">
      <c r="A78" s="39"/>
      <c r="B78" s="39"/>
      <c r="C78" s="39"/>
      <c r="D78" s="39"/>
      <c r="E78" s="54"/>
      <c r="F78" s="39"/>
      <c r="G78" s="76"/>
      <c r="H78" s="57"/>
      <c r="I78" s="63"/>
      <c r="J78" s="39"/>
      <c r="K78" s="12" t="s">
        <v>433</v>
      </c>
    </row>
    <row r="79">
      <c r="A79" s="54"/>
      <c r="B79" s="39"/>
      <c r="C79" s="39"/>
      <c r="D79" s="39"/>
      <c r="E79" s="54"/>
      <c r="F79" s="76"/>
      <c r="G79" s="76"/>
      <c r="H79" s="57"/>
      <c r="I79" s="63"/>
      <c r="J79" s="39"/>
      <c r="K79" s="12" t="s">
        <v>433</v>
      </c>
    </row>
    <row r="80">
      <c r="A80" s="75"/>
      <c r="B80" s="39"/>
      <c r="C80" s="39"/>
      <c r="D80" s="39"/>
      <c r="E80" s="54"/>
      <c r="F80" s="39"/>
      <c r="G80" s="76"/>
      <c r="H80" s="57"/>
      <c r="I80" s="63"/>
      <c r="J80" s="39"/>
      <c r="K80" s="12" t="s">
        <v>433</v>
      </c>
    </row>
    <row r="81">
      <c r="A81" s="54"/>
      <c r="B81" s="39"/>
      <c r="C81" s="39"/>
      <c r="D81" s="39"/>
      <c r="E81" s="54"/>
      <c r="F81" s="76"/>
      <c r="G81" s="76"/>
      <c r="H81" s="57"/>
      <c r="I81" s="63"/>
      <c r="J81" s="39"/>
      <c r="K81" s="12" t="s">
        <v>433</v>
      </c>
    </row>
    <row r="82">
      <c r="A82" s="39"/>
      <c r="B82" s="39"/>
      <c r="C82" s="39"/>
      <c r="D82" s="39"/>
      <c r="E82" s="39"/>
      <c r="F82" s="76"/>
      <c r="G82" s="76"/>
      <c r="H82" s="57"/>
      <c r="I82" s="63"/>
      <c r="J82" s="39"/>
      <c r="K82" s="12" t="s">
        <v>433</v>
      </c>
    </row>
    <row r="83">
      <c r="A83" s="39"/>
      <c r="B83" s="39"/>
      <c r="C83" s="39"/>
      <c r="D83" s="39"/>
      <c r="E83" s="39"/>
      <c r="F83" s="76"/>
      <c r="G83" s="76"/>
      <c r="H83" s="57"/>
      <c r="I83" s="63"/>
      <c r="J83" s="39"/>
      <c r="K83" s="12" t="s">
        <v>433</v>
      </c>
    </row>
    <row r="84">
      <c r="A84" s="39"/>
      <c r="B84" s="39"/>
      <c r="C84" s="39"/>
      <c r="D84" s="39"/>
      <c r="E84" s="54"/>
      <c r="F84" s="76"/>
      <c r="G84" s="76"/>
      <c r="H84" s="57"/>
      <c r="I84" s="63"/>
      <c r="J84" s="39"/>
      <c r="K84" s="12" t="s">
        <v>433</v>
      </c>
    </row>
    <row r="85">
      <c r="A85" s="39"/>
      <c r="B85" s="39"/>
      <c r="C85" s="39"/>
      <c r="D85" s="39"/>
      <c r="E85" s="54"/>
      <c r="F85" s="76"/>
      <c r="G85" s="76"/>
      <c r="H85" s="57"/>
      <c r="I85" s="63"/>
      <c r="J85" s="39"/>
      <c r="K85" s="12" t="s">
        <v>433</v>
      </c>
    </row>
    <row r="86">
      <c r="A86" s="54"/>
      <c r="B86" s="39"/>
      <c r="C86" s="39"/>
      <c r="D86" s="39"/>
      <c r="E86" s="54"/>
      <c r="F86" s="77"/>
      <c r="G86" s="76"/>
      <c r="H86" s="57"/>
      <c r="I86" s="63"/>
      <c r="J86" s="39"/>
      <c r="K86" s="12" t="s">
        <v>433</v>
      </c>
    </row>
    <row r="87">
      <c r="A87" s="39"/>
      <c r="B87" s="39"/>
      <c r="C87" s="39"/>
      <c r="D87" s="39"/>
      <c r="E87" s="39"/>
      <c r="F87" s="39"/>
      <c r="G87" s="76"/>
      <c r="H87" s="57"/>
      <c r="I87" s="63"/>
      <c r="J87" s="39"/>
      <c r="K87" s="12" t="s">
        <v>433</v>
      </c>
    </row>
    <row r="88">
      <c r="A88" s="54"/>
      <c r="B88" s="39"/>
      <c r="C88" s="39"/>
      <c r="D88" s="39"/>
      <c r="E88" s="39"/>
      <c r="F88" s="76"/>
      <c r="G88" s="76"/>
      <c r="H88" s="57"/>
      <c r="I88" s="63"/>
      <c r="J88" s="39"/>
      <c r="K88" s="12" t="s">
        <v>433</v>
      </c>
    </row>
    <row r="89">
      <c r="A89" s="54"/>
      <c r="B89" s="39"/>
      <c r="C89" s="39"/>
      <c r="D89" s="39"/>
      <c r="E89" s="39"/>
      <c r="F89" s="39"/>
      <c r="G89" s="76"/>
      <c r="H89" s="57"/>
      <c r="I89" s="63"/>
      <c r="J89" s="39"/>
      <c r="K89" s="12" t="s">
        <v>433</v>
      </c>
    </row>
    <row r="90">
      <c r="A90" s="39"/>
      <c r="B90" s="39"/>
      <c r="C90" s="39"/>
      <c r="D90" s="39"/>
      <c r="E90" s="54"/>
      <c r="F90" s="54"/>
      <c r="G90" s="76"/>
      <c r="H90" s="57"/>
      <c r="I90" s="63"/>
      <c r="J90" s="39"/>
      <c r="K90" s="12" t="s">
        <v>433</v>
      </c>
    </row>
    <row r="91">
      <c r="A91" s="39"/>
      <c r="B91" s="39"/>
      <c r="C91" s="39"/>
      <c r="D91" s="39"/>
      <c r="E91" s="39"/>
      <c r="F91" s="76"/>
      <c r="G91" s="76"/>
      <c r="H91" s="57"/>
      <c r="I91" s="63"/>
      <c r="J91" s="39"/>
      <c r="K91" s="12" t="s">
        <v>433</v>
      </c>
    </row>
    <row r="92">
      <c r="A92" s="39"/>
      <c r="B92" s="39"/>
      <c r="C92" s="39"/>
      <c r="D92" s="39"/>
      <c r="E92" s="54"/>
      <c r="F92" s="77"/>
      <c r="G92" s="76"/>
      <c r="H92" s="57"/>
      <c r="I92" s="63"/>
      <c r="J92" s="79"/>
      <c r="K92" s="12" t="s">
        <v>433</v>
      </c>
    </row>
    <row r="93">
      <c r="A93" s="39"/>
      <c r="B93" s="39"/>
      <c r="C93" s="39"/>
      <c r="D93" s="39"/>
      <c r="E93" s="39"/>
      <c r="F93" s="76"/>
      <c r="G93" s="76"/>
      <c r="H93" s="57"/>
      <c r="I93" s="63"/>
      <c r="J93" s="79"/>
      <c r="K93" s="12" t="s">
        <v>433</v>
      </c>
    </row>
    <row r="94">
      <c r="A94" s="54"/>
      <c r="B94" s="39"/>
      <c r="C94" s="39"/>
      <c r="D94" s="39"/>
      <c r="E94" s="54"/>
      <c r="F94" s="39"/>
      <c r="G94" s="76"/>
      <c r="H94" s="57"/>
      <c r="I94" s="63"/>
      <c r="J94" s="39"/>
      <c r="K94" s="12" t="s">
        <v>433</v>
      </c>
    </row>
    <row r="95">
      <c r="A95" s="39"/>
      <c r="B95" s="39"/>
      <c r="C95" s="39"/>
      <c r="D95" s="39"/>
      <c r="E95" s="54"/>
      <c r="F95" s="54"/>
      <c r="G95" s="76"/>
      <c r="H95" s="57"/>
      <c r="I95" s="63"/>
      <c r="J95" s="79"/>
      <c r="K95" s="12" t="s">
        <v>433</v>
      </c>
    </row>
    <row r="96">
      <c r="A96" s="39"/>
      <c r="B96" s="39"/>
      <c r="C96" s="39"/>
      <c r="D96" s="39"/>
      <c r="E96" s="39"/>
      <c r="F96" s="76"/>
      <c r="G96" s="76"/>
      <c r="H96" s="57"/>
      <c r="I96" s="63"/>
      <c r="J96" s="39"/>
      <c r="K96" s="12" t="s">
        <v>433</v>
      </c>
    </row>
    <row r="97">
      <c r="A97" s="54"/>
      <c r="B97" s="39"/>
      <c r="C97" s="39"/>
      <c r="D97" s="39"/>
      <c r="E97" s="39"/>
      <c r="F97" s="76"/>
      <c r="G97" s="76"/>
      <c r="H97" s="57"/>
      <c r="I97" s="63"/>
      <c r="J97" s="39"/>
      <c r="K97" s="12" t="s">
        <v>433</v>
      </c>
    </row>
    <row r="98">
      <c r="A98" s="39"/>
      <c r="B98" s="39"/>
      <c r="C98" s="39"/>
      <c r="D98" s="39"/>
      <c r="E98" s="39"/>
      <c r="F98" s="76"/>
      <c r="G98" s="76"/>
      <c r="H98" s="57"/>
      <c r="I98" s="63"/>
      <c r="J98" s="39"/>
      <c r="K98" s="12" t="s">
        <v>433</v>
      </c>
    </row>
    <row r="99">
      <c r="A99" s="39"/>
      <c r="B99" s="39"/>
      <c r="C99" s="39"/>
      <c r="D99" s="39"/>
      <c r="E99" s="54"/>
      <c r="F99" s="54"/>
      <c r="G99" s="76"/>
      <c r="H99" s="57"/>
      <c r="I99" s="63"/>
      <c r="J99" s="79"/>
      <c r="K99" s="12" t="s">
        <v>433</v>
      </c>
    </row>
    <row r="100">
      <c r="A100" s="39"/>
      <c r="B100" s="39"/>
      <c r="C100" s="39"/>
      <c r="D100" s="39"/>
      <c r="E100" s="39"/>
      <c r="F100" s="54"/>
      <c r="G100" s="76"/>
      <c r="H100" s="57"/>
      <c r="I100" s="61"/>
      <c r="J100" s="79"/>
      <c r="K100" s="12" t="s">
        <v>433</v>
      </c>
    </row>
    <row r="101">
      <c r="A101" s="54"/>
      <c r="B101" s="39"/>
      <c r="C101" s="39"/>
      <c r="D101" s="39"/>
      <c r="E101" s="39"/>
      <c r="F101" s="54"/>
      <c r="G101" s="76"/>
      <c r="H101" s="57"/>
      <c r="I101" s="63"/>
      <c r="J101" s="79"/>
      <c r="K101" s="12" t="s">
        <v>433</v>
      </c>
    </row>
    <row r="102">
      <c r="A102" s="39"/>
      <c r="B102" s="39"/>
      <c r="C102" s="39"/>
      <c r="D102" s="39"/>
      <c r="E102" s="39"/>
      <c r="F102" s="54"/>
      <c r="G102" s="76"/>
      <c r="H102" s="57"/>
      <c r="I102" s="63"/>
      <c r="J102" s="79"/>
      <c r="K102" s="12" t="s">
        <v>433</v>
      </c>
    </row>
    <row r="103">
      <c r="A103" s="39"/>
      <c r="B103" s="39"/>
      <c r="C103" s="39"/>
      <c r="D103" s="39"/>
      <c r="E103" s="39"/>
      <c r="F103" s="54"/>
      <c r="G103" s="76"/>
      <c r="H103" s="57"/>
      <c r="I103" s="61"/>
      <c r="J103" s="79"/>
      <c r="K103" s="12" t="s">
        <v>433</v>
      </c>
    </row>
    <row r="104">
      <c r="A104" s="39"/>
      <c r="B104" s="39"/>
      <c r="C104" s="39"/>
      <c r="D104" s="39"/>
      <c r="E104" s="54"/>
      <c r="F104" s="54"/>
      <c r="G104" s="76"/>
      <c r="H104" s="57"/>
      <c r="I104" s="63"/>
      <c r="J104" s="79"/>
      <c r="K104" s="12" t="s">
        <v>433</v>
      </c>
    </row>
    <row r="105">
      <c r="A105" s="39"/>
      <c r="B105" s="39"/>
      <c r="C105" s="39"/>
      <c r="D105" s="39"/>
      <c r="E105" s="54"/>
      <c r="F105" s="54"/>
      <c r="G105" s="76"/>
      <c r="H105" s="57"/>
      <c r="I105" s="63"/>
      <c r="J105" s="79"/>
      <c r="K105" s="12" t="s">
        <v>433</v>
      </c>
    </row>
    <row r="106">
      <c r="A106" s="54"/>
      <c r="B106" s="39"/>
      <c r="C106" s="39"/>
      <c r="D106" s="39"/>
      <c r="E106" s="54"/>
      <c r="F106" s="54"/>
      <c r="G106" s="76"/>
      <c r="H106" s="57"/>
      <c r="I106" s="61"/>
      <c r="J106" s="79"/>
      <c r="K106" s="12" t="s">
        <v>433</v>
      </c>
    </row>
    <row r="107">
      <c r="A107" s="39"/>
      <c r="B107" s="39"/>
      <c r="C107" s="39"/>
      <c r="D107" s="39"/>
      <c r="E107" s="54"/>
      <c r="F107" s="54"/>
      <c r="G107" s="76"/>
      <c r="H107" s="57"/>
      <c r="I107" s="61"/>
      <c r="J107" s="79"/>
      <c r="K107" s="12" t="s">
        <v>433</v>
      </c>
    </row>
    <row r="108">
      <c r="A108" s="39"/>
      <c r="B108" s="39"/>
      <c r="C108" s="39"/>
      <c r="D108" s="39"/>
      <c r="E108" s="39"/>
      <c r="F108" s="54"/>
      <c r="G108" s="76"/>
      <c r="H108" s="57"/>
      <c r="I108" s="63"/>
      <c r="J108" s="79"/>
      <c r="K108" s="12" t="s">
        <v>433</v>
      </c>
    </row>
    <row r="109">
      <c r="A109" s="54"/>
      <c r="B109" s="39"/>
      <c r="C109" s="39"/>
      <c r="D109" s="39"/>
      <c r="E109" s="54"/>
      <c r="F109" s="54"/>
      <c r="G109" s="76"/>
      <c r="H109" s="57"/>
      <c r="I109" s="61"/>
      <c r="J109" s="79"/>
      <c r="K109" s="12" t="s">
        <v>433</v>
      </c>
    </row>
    <row r="110">
      <c r="A110" s="39"/>
      <c r="B110" s="39"/>
      <c r="C110" s="39"/>
      <c r="D110" s="39"/>
      <c r="E110" s="39"/>
      <c r="F110" s="54"/>
      <c r="G110" s="76"/>
      <c r="H110" s="57"/>
      <c r="I110" s="63"/>
      <c r="J110" s="79"/>
      <c r="K110" s="12" t="s">
        <v>433</v>
      </c>
    </row>
    <row r="111">
      <c r="I111" s="26"/>
    </row>
    <row r="112">
      <c r="I112" s="26"/>
    </row>
    <row r="113">
      <c r="I113" s="26"/>
    </row>
    <row r="114">
      <c r="I114" s="26"/>
    </row>
    <row r="115">
      <c r="I115" s="26"/>
    </row>
    <row r="116">
      <c r="I116" s="26"/>
    </row>
    <row r="117">
      <c r="I117" s="26"/>
    </row>
    <row r="118">
      <c r="I118" s="26"/>
    </row>
    <row r="119">
      <c r="I119" s="26"/>
    </row>
    <row r="120">
      <c r="I120" s="26"/>
    </row>
    <row r="121">
      <c r="I121" s="26"/>
    </row>
    <row r="122">
      <c r="I122" s="26"/>
    </row>
    <row r="123">
      <c r="I123" s="26"/>
    </row>
    <row r="124">
      <c r="I124" s="26"/>
    </row>
    <row r="125">
      <c r="I125" s="26"/>
    </row>
    <row r="126">
      <c r="I126" s="26"/>
    </row>
    <row r="127">
      <c r="I127" s="26"/>
    </row>
    <row r="128">
      <c r="I128" s="26"/>
    </row>
    <row r="129">
      <c r="I129" s="26"/>
    </row>
    <row r="130">
      <c r="I130" s="26"/>
    </row>
    <row r="131">
      <c r="I131" s="26"/>
    </row>
    <row r="132">
      <c r="I132" s="26"/>
    </row>
    <row r="133">
      <c r="I133" s="26"/>
    </row>
    <row r="134">
      <c r="I134" s="26"/>
    </row>
    <row r="135">
      <c r="I135" s="26"/>
    </row>
    <row r="136">
      <c r="I136" s="26"/>
    </row>
    <row r="137">
      <c r="I137" s="26"/>
    </row>
    <row r="138">
      <c r="I138" s="26"/>
    </row>
    <row r="139">
      <c r="I139" s="26"/>
    </row>
    <row r="140">
      <c r="I140" s="26"/>
    </row>
    <row r="141">
      <c r="I141" s="26"/>
    </row>
    <row r="142">
      <c r="I142" s="26"/>
    </row>
    <row r="143">
      <c r="I143" s="26"/>
    </row>
    <row r="144">
      <c r="I144" s="26"/>
    </row>
    <row r="145">
      <c r="I145" s="26"/>
    </row>
    <row r="146">
      <c r="I146" s="26"/>
    </row>
    <row r="147">
      <c r="I147" s="26"/>
    </row>
    <row r="148">
      <c r="I148" s="26"/>
    </row>
    <row r="149">
      <c r="I149" s="26"/>
    </row>
    <row r="150">
      <c r="I150" s="26"/>
    </row>
    <row r="151">
      <c r="I151" s="26"/>
    </row>
    <row r="152">
      <c r="I152" s="26"/>
    </row>
    <row r="153">
      <c r="I153" s="26"/>
    </row>
    <row r="154">
      <c r="I154" s="26"/>
    </row>
    <row r="155">
      <c r="I155" s="26"/>
    </row>
    <row r="156">
      <c r="I156" s="26"/>
    </row>
    <row r="157">
      <c r="I157" s="26"/>
    </row>
    <row r="158">
      <c r="I158" s="26"/>
    </row>
    <row r="159">
      <c r="I159" s="26"/>
    </row>
    <row r="160">
      <c r="I160" s="26"/>
    </row>
    <row r="161">
      <c r="I161" s="26"/>
    </row>
    <row r="162">
      <c r="I162" s="26"/>
    </row>
    <row r="163">
      <c r="I163" s="26"/>
    </row>
    <row r="164">
      <c r="I164" s="26"/>
    </row>
    <row r="165">
      <c r="I165" s="26"/>
    </row>
    <row r="166">
      <c r="I166" s="26"/>
    </row>
    <row r="167">
      <c r="I167" s="26"/>
    </row>
    <row r="168">
      <c r="I168" s="26"/>
    </row>
    <row r="169">
      <c r="I169" s="26"/>
    </row>
    <row r="170">
      <c r="I170" s="26"/>
    </row>
    <row r="171">
      <c r="I171" s="26"/>
    </row>
    <row r="172">
      <c r="I172" s="26"/>
    </row>
    <row r="173">
      <c r="I173" s="26"/>
    </row>
    <row r="174">
      <c r="I174" s="26"/>
    </row>
    <row r="175">
      <c r="I175" s="26"/>
    </row>
    <row r="176">
      <c r="I176" s="26"/>
    </row>
    <row r="177">
      <c r="I177" s="26"/>
    </row>
    <row r="178">
      <c r="I178" s="26"/>
    </row>
    <row r="179">
      <c r="I179" s="26"/>
    </row>
    <row r="180">
      <c r="I180" s="26"/>
    </row>
    <row r="181">
      <c r="I181" s="26"/>
    </row>
    <row r="182">
      <c r="I182" s="26"/>
    </row>
    <row r="183">
      <c r="I183" s="26"/>
    </row>
    <row r="184">
      <c r="I184" s="26"/>
    </row>
    <row r="185">
      <c r="I185" s="26"/>
    </row>
    <row r="186">
      <c r="I186" s="26"/>
    </row>
    <row r="187">
      <c r="I187" s="26"/>
    </row>
    <row r="188">
      <c r="I188" s="26"/>
    </row>
    <row r="189">
      <c r="I189" s="26"/>
    </row>
    <row r="190">
      <c r="I190" s="26"/>
    </row>
    <row r="191">
      <c r="I191" s="26"/>
    </row>
    <row r="192">
      <c r="I192" s="26"/>
    </row>
    <row r="193">
      <c r="I193" s="26"/>
    </row>
    <row r="194">
      <c r="I194" s="26"/>
    </row>
    <row r="195">
      <c r="I195" s="26"/>
    </row>
    <row r="196">
      <c r="I196" s="26"/>
    </row>
    <row r="197">
      <c r="I197" s="26"/>
    </row>
    <row r="198">
      <c r="I198" s="26"/>
    </row>
    <row r="199">
      <c r="I199" s="26"/>
    </row>
    <row r="200">
      <c r="I200" s="26"/>
    </row>
    <row r="201">
      <c r="I201" s="26"/>
    </row>
    <row r="202">
      <c r="I202" s="26"/>
    </row>
    <row r="203">
      <c r="I203" s="26"/>
    </row>
    <row r="204">
      <c r="I204" s="26"/>
    </row>
    <row r="205">
      <c r="I205" s="26"/>
    </row>
    <row r="206">
      <c r="I206" s="26"/>
    </row>
    <row r="207">
      <c r="I207" s="26"/>
    </row>
    <row r="208">
      <c r="I208" s="26"/>
    </row>
    <row r="209">
      <c r="I209" s="26"/>
    </row>
    <row r="210">
      <c r="I210" s="26"/>
    </row>
    <row r="211">
      <c r="I211" s="26"/>
    </row>
    <row r="212">
      <c r="I212" s="26"/>
    </row>
    <row r="213">
      <c r="I213" s="26"/>
    </row>
    <row r="214">
      <c r="I214" s="26"/>
    </row>
    <row r="215">
      <c r="I215" s="26"/>
    </row>
    <row r="216">
      <c r="I216" s="26"/>
    </row>
    <row r="217">
      <c r="I217" s="26"/>
    </row>
    <row r="218">
      <c r="I218" s="26"/>
    </row>
    <row r="219">
      <c r="I219" s="26"/>
    </row>
    <row r="220">
      <c r="I220" s="26"/>
    </row>
    <row r="221">
      <c r="I221" s="26"/>
    </row>
    <row r="222">
      <c r="I222" s="26"/>
    </row>
    <row r="223">
      <c r="I223" s="26"/>
    </row>
    <row r="224">
      <c r="I224" s="26"/>
    </row>
    <row r="225">
      <c r="I225" s="26"/>
    </row>
    <row r="226">
      <c r="I226" s="26"/>
    </row>
    <row r="227">
      <c r="I227" s="26"/>
    </row>
    <row r="228">
      <c r="I228" s="26"/>
    </row>
    <row r="229">
      <c r="I229" s="26"/>
    </row>
    <row r="230">
      <c r="I230" s="26"/>
    </row>
    <row r="231">
      <c r="I231" s="26"/>
    </row>
    <row r="232">
      <c r="I232" s="26"/>
    </row>
    <row r="233">
      <c r="I233" s="26"/>
    </row>
    <row r="234">
      <c r="I234" s="26"/>
    </row>
    <row r="235">
      <c r="I235" s="26"/>
    </row>
    <row r="236">
      <c r="I236" s="26"/>
    </row>
    <row r="237">
      <c r="I237" s="26"/>
    </row>
    <row r="238">
      <c r="I238" s="26"/>
    </row>
    <row r="239">
      <c r="I239" s="26"/>
    </row>
    <row r="240">
      <c r="I240" s="26"/>
    </row>
    <row r="241">
      <c r="I241" s="26"/>
    </row>
    <row r="242">
      <c r="I242" s="26"/>
    </row>
    <row r="243">
      <c r="I243" s="26"/>
    </row>
    <row r="244">
      <c r="I244" s="26"/>
    </row>
    <row r="245">
      <c r="I245" s="26"/>
    </row>
    <row r="246">
      <c r="I246" s="26"/>
    </row>
    <row r="247">
      <c r="I247" s="26"/>
    </row>
    <row r="248">
      <c r="I248" s="26"/>
    </row>
    <row r="249">
      <c r="I249" s="26"/>
    </row>
    <row r="250">
      <c r="I250" s="26"/>
    </row>
    <row r="251">
      <c r="I251" s="26"/>
    </row>
    <row r="252">
      <c r="I252" s="26"/>
    </row>
    <row r="253">
      <c r="I253" s="26"/>
    </row>
    <row r="254">
      <c r="I254" s="26"/>
    </row>
    <row r="255">
      <c r="I255" s="26"/>
    </row>
    <row r="256">
      <c r="I256" s="26"/>
    </row>
    <row r="257">
      <c r="I257" s="26"/>
    </row>
    <row r="258">
      <c r="I258" s="26"/>
    </row>
    <row r="259">
      <c r="I259" s="26"/>
    </row>
    <row r="260">
      <c r="I260" s="26"/>
    </row>
    <row r="261">
      <c r="I261" s="26"/>
    </row>
    <row r="262">
      <c r="I262" s="26"/>
    </row>
    <row r="263">
      <c r="I263" s="26"/>
    </row>
    <row r="264">
      <c r="I264" s="26"/>
    </row>
    <row r="265">
      <c r="I265" s="26"/>
    </row>
    <row r="266">
      <c r="I266" s="26"/>
    </row>
    <row r="267">
      <c r="I267" s="26"/>
    </row>
    <row r="268">
      <c r="I268" s="26"/>
    </row>
    <row r="269">
      <c r="I269" s="26"/>
    </row>
    <row r="270">
      <c r="I270" s="26"/>
    </row>
    <row r="271">
      <c r="I271" s="26"/>
    </row>
    <row r="272">
      <c r="I272" s="26"/>
    </row>
    <row r="273">
      <c r="I273" s="26"/>
    </row>
    <row r="274">
      <c r="I274" s="26"/>
    </row>
    <row r="275">
      <c r="I275" s="26"/>
    </row>
    <row r="276">
      <c r="I276" s="26"/>
    </row>
    <row r="277">
      <c r="I277" s="26"/>
    </row>
    <row r="278">
      <c r="I278" s="26"/>
    </row>
    <row r="279">
      <c r="I279" s="26"/>
    </row>
    <row r="280">
      <c r="I280" s="26"/>
    </row>
    <row r="281">
      <c r="I281" s="26"/>
    </row>
    <row r="282">
      <c r="I282" s="26"/>
    </row>
    <row r="283">
      <c r="I283" s="26"/>
    </row>
    <row r="284">
      <c r="I284" s="26"/>
    </row>
    <row r="285">
      <c r="I285" s="26"/>
    </row>
    <row r="286">
      <c r="I286" s="26"/>
    </row>
    <row r="287">
      <c r="I287" s="26"/>
    </row>
    <row r="288">
      <c r="I288" s="26"/>
    </row>
    <row r="289">
      <c r="I289" s="26"/>
    </row>
    <row r="290">
      <c r="I290" s="26"/>
    </row>
    <row r="291">
      <c r="I291" s="26"/>
    </row>
    <row r="292">
      <c r="I292" s="26"/>
    </row>
    <row r="293">
      <c r="I293" s="26"/>
    </row>
    <row r="294">
      <c r="I294" s="26"/>
    </row>
    <row r="295">
      <c r="I295" s="26"/>
    </row>
    <row r="296">
      <c r="I296" s="26"/>
    </row>
    <row r="297">
      <c r="I297" s="26"/>
    </row>
    <row r="298">
      <c r="I298" s="26"/>
    </row>
    <row r="299">
      <c r="I299" s="26"/>
    </row>
    <row r="300">
      <c r="I300" s="26"/>
    </row>
    <row r="301">
      <c r="I301" s="26"/>
    </row>
    <row r="302">
      <c r="I302" s="26"/>
    </row>
    <row r="303">
      <c r="I303" s="26"/>
    </row>
    <row r="304">
      <c r="I304" s="26"/>
    </row>
    <row r="305">
      <c r="I305" s="26"/>
    </row>
    <row r="306">
      <c r="I306" s="26"/>
    </row>
    <row r="307">
      <c r="I307" s="26"/>
    </row>
    <row r="308">
      <c r="I308" s="26"/>
    </row>
    <row r="309">
      <c r="I309" s="26"/>
    </row>
    <row r="310">
      <c r="I310" s="26"/>
    </row>
    <row r="311">
      <c r="I311" s="26"/>
    </row>
    <row r="312">
      <c r="I312" s="26"/>
    </row>
    <row r="313">
      <c r="I313" s="26"/>
    </row>
    <row r="314">
      <c r="I314" s="26"/>
    </row>
    <row r="315">
      <c r="I315" s="26"/>
    </row>
    <row r="316">
      <c r="I316" s="26"/>
    </row>
    <row r="317">
      <c r="I317" s="26"/>
    </row>
    <row r="318">
      <c r="I318" s="26"/>
    </row>
    <row r="319">
      <c r="I319" s="26"/>
    </row>
    <row r="320">
      <c r="I320" s="26"/>
    </row>
    <row r="321">
      <c r="I321" s="26"/>
    </row>
    <row r="322">
      <c r="I322" s="26"/>
    </row>
    <row r="323">
      <c r="I323" s="26"/>
    </row>
    <row r="324">
      <c r="I324" s="26"/>
    </row>
    <row r="325">
      <c r="I325" s="26"/>
    </row>
    <row r="326">
      <c r="I326" s="26"/>
    </row>
    <row r="327">
      <c r="I327" s="26"/>
    </row>
    <row r="328">
      <c r="I328" s="26"/>
    </row>
    <row r="329">
      <c r="I329" s="26"/>
    </row>
    <row r="330">
      <c r="I330" s="26"/>
    </row>
    <row r="331">
      <c r="I331" s="26"/>
    </row>
    <row r="332">
      <c r="I332" s="26"/>
    </row>
    <row r="333">
      <c r="I333" s="26"/>
    </row>
    <row r="334">
      <c r="I334" s="26"/>
    </row>
    <row r="335">
      <c r="I335" s="26"/>
    </row>
    <row r="336">
      <c r="I336" s="26"/>
    </row>
    <row r="337">
      <c r="I337" s="26"/>
    </row>
    <row r="338">
      <c r="I338" s="26"/>
    </row>
    <row r="339">
      <c r="I339" s="26"/>
    </row>
    <row r="340">
      <c r="I340" s="26"/>
    </row>
    <row r="341">
      <c r="I341" s="26"/>
    </row>
    <row r="342">
      <c r="I342" s="26"/>
    </row>
    <row r="343">
      <c r="I343" s="26"/>
    </row>
    <row r="344">
      <c r="I344" s="26"/>
    </row>
    <row r="345">
      <c r="I345" s="26"/>
    </row>
    <row r="346">
      <c r="I346" s="26"/>
    </row>
    <row r="347">
      <c r="I347" s="26"/>
    </row>
    <row r="348">
      <c r="I348" s="26"/>
    </row>
    <row r="349">
      <c r="I349" s="26"/>
    </row>
    <row r="350">
      <c r="I350" s="26"/>
    </row>
    <row r="351">
      <c r="I351" s="26"/>
    </row>
    <row r="352">
      <c r="I352" s="26"/>
    </row>
    <row r="353">
      <c r="I353" s="26"/>
    </row>
    <row r="354">
      <c r="I354" s="26"/>
    </row>
    <row r="355">
      <c r="I355" s="26"/>
    </row>
    <row r="356">
      <c r="I356" s="26"/>
    </row>
    <row r="357">
      <c r="I357" s="26"/>
    </row>
    <row r="358">
      <c r="I358" s="26"/>
    </row>
    <row r="359">
      <c r="I359" s="26"/>
    </row>
    <row r="360">
      <c r="I360" s="26"/>
    </row>
    <row r="361">
      <c r="I361" s="26"/>
    </row>
    <row r="362">
      <c r="I362" s="26"/>
    </row>
    <row r="363">
      <c r="I363" s="26"/>
    </row>
    <row r="364">
      <c r="I364" s="26"/>
    </row>
    <row r="365">
      <c r="I365" s="26"/>
    </row>
    <row r="366">
      <c r="I366" s="26"/>
    </row>
    <row r="367">
      <c r="I367" s="26"/>
    </row>
    <row r="368">
      <c r="I368" s="26"/>
    </row>
    <row r="369">
      <c r="I369" s="26"/>
    </row>
    <row r="370">
      <c r="I370" s="26"/>
    </row>
    <row r="371">
      <c r="I371" s="26"/>
    </row>
    <row r="372">
      <c r="I372" s="26"/>
    </row>
    <row r="373">
      <c r="I373" s="26"/>
    </row>
    <row r="374">
      <c r="I374" s="26"/>
    </row>
    <row r="375">
      <c r="I375" s="26"/>
    </row>
    <row r="376">
      <c r="I376" s="26"/>
    </row>
    <row r="377">
      <c r="I377" s="26"/>
    </row>
    <row r="378">
      <c r="I378" s="26"/>
    </row>
    <row r="379">
      <c r="I379" s="26"/>
    </row>
    <row r="380">
      <c r="I380" s="26"/>
    </row>
    <row r="381">
      <c r="I381" s="26"/>
    </row>
    <row r="382">
      <c r="I382" s="26"/>
    </row>
    <row r="383">
      <c r="I383" s="26"/>
    </row>
    <row r="384">
      <c r="I384" s="26"/>
    </row>
    <row r="385">
      <c r="I385" s="26"/>
    </row>
    <row r="386">
      <c r="I386" s="26"/>
    </row>
    <row r="387">
      <c r="I387" s="26"/>
    </row>
    <row r="388">
      <c r="I388" s="26"/>
    </row>
    <row r="389">
      <c r="I389" s="26"/>
    </row>
    <row r="390">
      <c r="I390" s="26"/>
    </row>
    <row r="391">
      <c r="I391" s="26"/>
    </row>
    <row r="392">
      <c r="I392" s="26"/>
    </row>
    <row r="393">
      <c r="I393" s="26"/>
    </row>
    <row r="394">
      <c r="I394" s="26"/>
    </row>
    <row r="395">
      <c r="I395" s="26"/>
    </row>
    <row r="396">
      <c r="I396" s="26"/>
    </row>
    <row r="397">
      <c r="I397" s="26"/>
    </row>
    <row r="398">
      <c r="I398" s="26"/>
    </row>
    <row r="399">
      <c r="I399" s="26"/>
    </row>
    <row r="400">
      <c r="I400" s="26"/>
    </row>
    <row r="401">
      <c r="I401" s="26"/>
    </row>
    <row r="402">
      <c r="I402" s="26"/>
    </row>
    <row r="403">
      <c r="I403" s="26"/>
    </row>
    <row r="404">
      <c r="I404" s="26"/>
    </row>
    <row r="405">
      <c r="I405" s="26"/>
    </row>
    <row r="406">
      <c r="I406" s="26"/>
    </row>
    <row r="407">
      <c r="I407" s="26"/>
    </row>
    <row r="408">
      <c r="I408" s="26"/>
    </row>
    <row r="409">
      <c r="I409" s="26"/>
    </row>
    <row r="410">
      <c r="I410" s="26"/>
    </row>
    <row r="411">
      <c r="I411" s="26"/>
    </row>
    <row r="412">
      <c r="I412" s="26"/>
    </row>
    <row r="413">
      <c r="I413" s="26"/>
    </row>
    <row r="414">
      <c r="I414" s="26"/>
    </row>
    <row r="415">
      <c r="I415" s="26"/>
    </row>
    <row r="416">
      <c r="I416" s="26"/>
    </row>
    <row r="417">
      <c r="I417" s="26"/>
    </row>
    <row r="418">
      <c r="I418" s="26"/>
    </row>
    <row r="419">
      <c r="I419" s="26"/>
    </row>
    <row r="420">
      <c r="I420" s="26"/>
    </row>
    <row r="421">
      <c r="I421" s="26"/>
    </row>
    <row r="422">
      <c r="I422" s="26"/>
    </row>
    <row r="423">
      <c r="I423" s="26"/>
    </row>
    <row r="424">
      <c r="I424" s="26"/>
    </row>
    <row r="425">
      <c r="I425" s="26"/>
    </row>
    <row r="426">
      <c r="I426" s="26"/>
    </row>
    <row r="427">
      <c r="I427" s="26"/>
    </row>
    <row r="428">
      <c r="I428" s="26"/>
    </row>
    <row r="429">
      <c r="I429" s="26"/>
    </row>
    <row r="430">
      <c r="I430" s="26"/>
    </row>
    <row r="431">
      <c r="I431" s="26"/>
    </row>
    <row r="432">
      <c r="I432" s="26"/>
    </row>
    <row r="433">
      <c r="I433" s="26"/>
    </row>
    <row r="434">
      <c r="I434" s="26"/>
    </row>
    <row r="435">
      <c r="I435" s="26"/>
    </row>
    <row r="436">
      <c r="I436" s="26"/>
    </row>
    <row r="437">
      <c r="I437" s="26"/>
    </row>
    <row r="438">
      <c r="I438" s="26"/>
    </row>
    <row r="439">
      <c r="I439" s="26"/>
    </row>
    <row r="440">
      <c r="I440" s="26"/>
    </row>
    <row r="441">
      <c r="I441" s="26"/>
    </row>
    <row r="442">
      <c r="I442" s="26"/>
    </row>
    <row r="443">
      <c r="I443" s="26"/>
    </row>
    <row r="444">
      <c r="I444" s="26"/>
    </row>
    <row r="445">
      <c r="I445" s="26"/>
    </row>
    <row r="446">
      <c r="I446" s="26"/>
    </row>
    <row r="447">
      <c r="I447" s="26"/>
    </row>
    <row r="448">
      <c r="I448" s="26"/>
    </row>
    <row r="449">
      <c r="I449" s="26"/>
    </row>
    <row r="450">
      <c r="I450" s="26"/>
    </row>
    <row r="451">
      <c r="I451" s="26"/>
    </row>
    <row r="452">
      <c r="I452" s="26"/>
    </row>
    <row r="453">
      <c r="I453" s="26"/>
    </row>
    <row r="454">
      <c r="I454" s="26"/>
    </row>
    <row r="455">
      <c r="I455" s="26"/>
    </row>
    <row r="456">
      <c r="I456" s="26"/>
    </row>
    <row r="457">
      <c r="I457" s="26"/>
    </row>
    <row r="458">
      <c r="I458" s="26"/>
    </row>
    <row r="459">
      <c r="I459" s="26"/>
    </row>
    <row r="460">
      <c r="I460" s="26"/>
    </row>
    <row r="461">
      <c r="I461" s="26"/>
    </row>
    <row r="462">
      <c r="I462" s="26"/>
    </row>
    <row r="463">
      <c r="I463" s="26"/>
    </row>
    <row r="464">
      <c r="I464" s="26"/>
    </row>
    <row r="465">
      <c r="I465" s="26"/>
    </row>
    <row r="466">
      <c r="I466" s="26"/>
    </row>
    <row r="467">
      <c r="I467" s="26"/>
    </row>
    <row r="468">
      <c r="I468" s="26"/>
    </row>
    <row r="469">
      <c r="I469" s="26"/>
    </row>
    <row r="470">
      <c r="I470" s="26"/>
    </row>
    <row r="471">
      <c r="I471" s="26"/>
    </row>
    <row r="472">
      <c r="I472" s="26"/>
    </row>
    <row r="473">
      <c r="I473" s="26"/>
    </row>
    <row r="474">
      <c r="I474" s="26"/>
    </row>
    <row r="475">
      <c r="I475" s="26"/>
    </row>
    <row r="476">
      <c r="I476" s="26"/>
    </row>
    <row r="477">
      <c r="I477" s="26"/>
    </row>
    <row r="478">
      <c r="I478" s="26"/>
    </row>
    <row r="479">
      <c r="I479" s="26"/>
    </row>
    <row r="480">
      <c r="I480" s="26"/>
    </row>
    <row r="481">
      <c r="I481" s="26"/>
    </row>
    <row r="482">
      <c r="I482" s="26"/>
    </row>
    <row r="483">
      <c r="I483" s="26"/>
    </row>
    <row r="484">
      <c r="I484" s="26"/>
    </row>
    <row r="485">
      <c r="I485" s="26"/>
    </row>
    <row r="486">
      <c r="I486" s="26"/>
    </row>
    <row r="487">
      <c r="I487" s="26"/>
    </row>
    <row r="488">
      <c r="I488" s="26"/>
    </row>
    <row r="489">
      <c r="I489" s="26"/>
    </row>
    <row r="490">
      <c r="I490" s="26"/>
    </row>
    <row r="491">
      <c r="I491" s="26"/>
    </row>
    <row r="492">
      <c r="I492" s="26"/>
    </row>
    <row r="493">
      <c r="I493" s="26"/>
    </row>
    <row r="494">
      <c r="I494" s="26"/>
    </row>
    <row r="495">
      <c r="I495" s="26"/>
    </row>
    <row r="496">
      <c r="I496" s="26"/>
    </row>
    <row r="497">
      <c r="I497" s="26"/>
    </row>
    <row r="498">
      <c r="I498" s="26"/>
    </row>
    <row r="499">
      <c r="I499" s="26"/>
    </row>
    <row r="500">
      <c r="I500" s="26"/>
    </row>
    <row r="501">
      <c r="I501" s="26"/>
    </row>
    <row r="502">
      <c r="I502" s="26"/>
    </row>
    <row r="503">
      <c r="I503" s="26"/>
    </row>
    <row r="504">
      <c r="I504" s="26"/>
    </row>
    <row r="505">
      <c r="I505" s="26"/>
    </row>
    <row r="506">
      <c r="I506" s="26"/>
    </row>
    <row r="507">
      <c r="I507" s="26"/>
    </row>
    <row r="508">
      <c r="I508" s="26"/>
    </row>
    <row r="509">
      <c r="I509" s="26"/>
    </row>
    <row r="510">
      <c r="I510" s="26"/>
    </row>
    <row r="511">
      <c r="I511" s="26"/>
    </row>
    <row r="512">
      <c r="I512" s="26"/>
    </row>
    <row r="513">
      <c r="I513" s="26"/>
    </row>
    <row r="514">
      <c r="I514" s="26"/>
    </row>
    <row r="515">
      <c r="I515" s="26"/>
    </row>
    <row r="516">
      <c r="I516" s="26"/>
    </row>
    <row r="517">
      <c r="I517" s="26"/>
    </row>
    <row r="518">
      <c r="I518" s="26"/>
    </row>
    <row r="519">
      <c r="I519" s="26"/>
    </row>
    <row r="520">
      <c r="I520" s="26"/>
    </row>
    <row r="521">
      <c r="I521" s="26"/>
    </row>
    <row r="522">
      <c r="I522" s="26"/>
    </row>
    <row r="523">
      <c r="I523" s="26"/>
    </row>
    <row r="524">
      <c r="I524" s="26"/>
    </row>
    <row r="525">
      <c r="I525" s="26"/>
    </row>
    <row r="526">
      <c r="I526" s="26"/>
    </row>
    <row r="527">
      <c r="I527" s="26"/>
    </row>
    <row r="528">
      <c r="I528" s="26"/>
    </row>
    <row r="529">
      <c r="I529" s="26"/>
    </row>
    <row r="530">
      <c r="I530" s="26"/>
    </row>
    <row r="531">
      <c r="I531" s="26"/>
    </row>
    <row r="532">
      <c r="I532" s="26"/>
    </row>
    <row r="533">
      <c r="I533" s="26"/>
    </row>
    <row r="534">
      <c r="I534" s="26"/>
    </row>
    <row r="535">
      <c r="I535" s="26"/>
    </row>
    <row r="536">
      <c r="I536" s="26"/>
    </row>
    <row r="537">
      <c r="I537" s="26"/>
    </row>
    <row r="538">
      <c r="I538" s="26"/>
    </row>
    <row r="539">
      <c r="I539" s="26"/>
    </row>
    <row r="540">
      <c r="I540" s="26"/>
    </row>
    <row r="541">
      <c r="I541" s="26"/>
    </row>
    <row r="542">
      <c r="I542" s="26"/>
    </row>
    <row r="543">
      <c r="I543" s="26"/>
    </row>
    <row r="544">
      <c r="I544" s="26"/>
    </row>
    <row r="545">
      <c r="I545" s="26"/>
    </row>
    <row r="546">
      <c r="I546" s="26"/>
    </row>
    <row r="547">
      <c r="I547" s="26"/>
    </row>
    <row r="548">
      <c r="I548" s="26"/>
    </row>
    <row r="549">
      <c r="I549" s="26"/>
    </row>
    <row r="550">
      <c r="I550" s="26"/>
    </row>
    <row r="551">
      <c r="I551" s="26"/>
    </row>
    <row r="552">
      <c r="I552" s="26"/>
    </row>
    <row r="553">
      <c r="I553" s="26"/>
    </row>
    <row r="554">
      <c r="I554" s="26"/>
    </row>
    <row r="555">
      <c r="I555" s="26"/>
    </row>
    <row r="556">
      <c r="I556" s="26"/>
    </row>
    <row r="557">
      <c r="I557" s="26"/>
    </row>
    <row r="558">
      <c r="I558" s="26"/>
    </row>
    <row r="559">
      <c r="I559" s="26"/>
    </row>
    <row r="560">
      <c r="I560" s="26"/>
    </row>
    <row r="561">
      <c r="I561" s="26"/>
    </row>
    <row r="562">
      <c r="I562" s="26"/>
    </row>
    <row r="563">
      <c r="I563" s="26"/>
    </row>
    <row r="564">
      <c r="I564" s="26"/>
    </row>
    <row r="565">
      <c r="I565" s="26"/>
    </row>
    <row r="566">
      <c r="I566" s="26"/>
    </row>
    <row r="567">
      <c r="I567" s="26"/>
    </row>
    <row r="568">
      <c r="I568" s="26"/>
    </row>
    <row r="569">
      <c r="I569" s="26"/>
    </row>
    <row r="570">
      <c r="I570" s="26"/>
    </row>
    <row r="571">
      <c r="I571" s="26"/>
    </row>
    <row r="572">
      <c r="I572" s="26"/>
    </row>
    <row r="573">
      <c r="I573" s="26"/>
    </row>
    <row r="574">
      <c r="I574" s="26"/>
    </row>
    <row r="575">
      <c r="I575" s="26"/>
    </row>
    <row r="576">
      <c r="I576" s="26"/>
    </row>
    <row r="577">
      <c r="I577" s="26"/>
    </row>
    <row r="578">
      <c r="I578" s="26"/>
    </row>
    <row r="579">
      <c r="I579" s="26"/>
    </row>
    <row r="580">
      <c r="I580" s="26"/>
    </row>
    <row r="581">
      <c r="I581" s="26"/>
    </row>
    <row r="582">
      <c r="I582" s="26"/>
    </row>
    <row r="583">
      <c r="I583" s="26"/>
    </row>
    <row r="584">
      <c r="I584" s="26"/>
    </row>
    <row r="585">
      <c r="I585" s="26"/>
    </row>
    <row r="586">
      <c r="I586" s="26"/>
    </row>
    <row r="587">
      <c r="I587" s="26"/>
    </row>
    <row r="588">
      <c r="I588" s="26"/>
    </row>
    <row r="589">
      <c r="I589" s="26"/>
    </row>
    <row r="590">
      <c r="I590" s="26"/>
    </row>
    <row r="591">
      <c r="I591" s="26"/>
    </row>
    <row r="592">
      <c r="I592" s="26"/>
    </row>
    <row r="593">
      <c r="I593" s="26"/>
    </row>
    <row r="594">
      <c r="I594" s="26"/>
    </row>
    <row r="595">
      <c r="I595" s="26"/>
    </row>
    <row r="596">
      <c r="I596" s="26"/>
    </row>
    <row r="597">
      <c r="I597" s="26"/>
    </row>
    <row r="598">
      <c r="I598" s="26"/>
    </row>
    <row r="599">
      <c r="I599" s="26"/>
    </row>
    <row r="600">
      <c r="I600" s="26"/>
    </row>
    <row r="601">
      <c r="I601" s="26"/>
    </row>
    <row r="602">
      <c r="I602" s="26"/>
    </row>
    <row r="603">
      <c r="I603" s="26"/>
    </row>
    <row r="604">
      <c r="I604" s="26"/>
    </row>
    <row r="605">
      <c r="I605" s="26"/>
    </row>
    <row r="606">
      <c r="I606" s="26"/>
    </row>
    <row r="607">
      <c r="I607" s="26"/>
    </row>
    <row r="608">
      <c r="I608" s="26"/>
    </row>
    <row r="609">
      <c r="I609" s="26"/>
    </row>
    <row r="610">
      <c r="I610" s="26"/>
    </row>
    <row r="611">
      <c r="I611" s="26"/>
    </row>
    <row r="612">
      <c r="I612" s="26"/>
    </row>
    <row r="613">
      <c r="I613" s="26"/>
    </row>
    <row r="614">
      <c r="I614" s="26"/>
    </row>
    <row r="615">
      <c r="I615" s="26"/>
    </row>
    <row r="616">
      <c r="I616" s="26"/>
    </row>
    <row r="617">
      <c r="I617" s="26"/>
    </row>
    <row r="618">
      <c r="I618" s="26"/>
    </row>
    <row r="619">
      <c r="I619" s="26"/>
    </row>
    <row r="620">
      <c r="I620" s="26"/>
    </row>
    <row r="621">
      <c r="I621" s="26"/>
    </row>
    <row r="622">
      <c r="I622" s="26"/>
    </row>
    <row r="623">
      <c r="I623" s="26"/>
    </row>
    <row r="624">
      <c r="I624" s="26"/>
    </row>
    <row r="625">
      <c r="I625" s="26"/>
    </row>
    <row r="626">
      <c r="I626" s="26"/>
    </row>
    <row r="627">
      <c r="I627" s="26"/>
    </row>
    <row r="628">
      <c r="I628" s="26"/>
    </row>
    <row r="629">
      <c r="I629" s="26"/>
    </row>
    <row r="630">
      <c r="I630" s="26"/>
    </row>
    <row r="631">
      <c r="I631" s="26"/>
    </row>
    <row r="632">
      <c r="I632" s="26"/>
    </row>
    <row r="633">
      <c r="I633" s="26"/>
    </row>
    <row r="634">
      <c r="I634" s="26"/>
    </row>
    <row r="635">
      <c r="I635" s="26"/>
    </row>
    <row r="636">
      <c r="I636" s="26"/>
    </row>
    <row r="637">
      <c r="I637" s="26"/>
    </row>
    <row r="638">
      <c r="I638" s="26"/>
    </row>
    <row r="639">
      <c r="I639" s="26"/>
    </row>
    <row r="640">
      <c r="I640" s="26"/>
    </row>
    <row r="641">
      <c r="I641" s="26"/>
    </row>
    <row r="642">
      <c r="I642" s="26"/>
    </row>
    <row r="643">
      <c r="I643" s="26"/>
    </row>
    <row r="644">
      <c r="I644" s="26"/>
    </row>
    <row r="645">
      <c r="I645" s="26"/>
    </row>
    <row r="646">
      <c r="I646" s="26"/>
    </row>
    <row r="647">
      <c r="I647" s="26"/>
    </row>
    <row r="648">
      <c r="I648" s="26"/>
    </row>
    <row r="649">
      <c r="I649" s="26"/>
    </row>
    <row r="650">
      <c r="I650" s="26"/>
    </row>
    <row r="651">
      <c r="I651" s="26"/>
    </row>
    <row r="652">
      <c r="I652" s="26"/>
    </row>
    <row r="653">
      <c r="I653" s="26"/>
    </row>
    <row r="654">
      <c r="I654" s="26"/>
    </row>
    <row r="655">
      <c r="I655" s="26"/>
    </row>
    <row r="656">
      <c r="I656" s="26"/>
    </row>
    <row r="657">
      <c r="I657" s="26"/>
    </row>
    <row r="658">
      <c r="I658" s="26"/>
    </row>
    <row r="659">
      <c r="I659" s="26"/>
    </row>
    <row r="660">
      <c r="I660" s="26"/>
    </row>
    <row r="661">
      <c r="I661" s="26"/>
    </row>
    <row r="662">
      <c r="I662" s="26"/>
    </row>
    <row r="663">
      <c r="I663" s="26"/>
    </row>
    <row r="664">
      <c r="I664" s="26"/>
    </row>
    <row r="665">
      <c r="I665" s="26"/>
    </row>
    <row r="666">
      <c r="I666" s="26"/>
    </row>
    <row r="667">
      <c r="I667" s="26"/>
    </row>
    <row r="668">
      <c r="I668" s="26"/>
    </row>
    <row r="669">
      <c r="I669" s="26"/>
    </row>
    <row r="670">
      <c r="I670" s="26"/>
    </row>
    <row r="671">
      <c r="I671" s="26"/>
    </row>
    <row r="672">
      <c r="I672" s="26"/>
    </row>
    <row r="673">
      <c r="I673" s="26"/>
    </row>
    <row r="674">
      <c r="I674" s="26"/>
    </row>
    <row r="675">
      <c r="I675" s="26"/>
    </row>
    <row r="676">
      <c r="I676" s="26"/>
    </row>
    <row r="677">
      <c r="I677" s="26"/>
    </row>
    <row r="678">
      <c r="I678" s="26"/>
    </row>
    <row r="679">
      <c r="I679" s="26"/>
    </row>
    <row r="680">
      <c r="I680" s="26"/>
    </row>
    <row r="681">
      <c r="I681" s="26"/>
    </row>
    <row r="682">
      <c r="I682" s="26"/>
    </row>
    <row r="683">
      <c r="I683" s="26"/>
    </row>
    <row r="684">
      <c r="I684" s="26"/>
    </row>
    <row r="685">
      <c r="I685" s="26"/>
    </row>
    <row r="686">
      <c r="I686" s="26"/>
    </row>
    <row r="687">
      <c r="I687" s="26"/>
    </row>
    <row r="688">
      <c r="I688" s="26"/>
    </row>
    <row r="689">
      <c r="I689" s="26"/>
    </row>
    <row r="690">
      <c r="I690" s="26"/>
    </row>
    <row r="691">
      <c r="I691" s="26"/>
    </row>
    <row r="692">
      <c r="I692" s="26"/>
    </row>
    <row r="693">
      <c r="I693" s="26"/>
    </row>
    <row r="694">
      <c r="I694" s="26"/>
    </row>
    <row r="695">
      <c r="I695" s="26"/>
    </row>
    <row r="696">
      <c r="I696" s="26"/>
    </row>
    <row r="697">
      <c r="I697" s="26"/>
    </row>
    <row r="698">
      <c r="I698" s="26"/>
    </row>
    <row r="699">
      <c r="I699" s="26"/>
    </row>
    <row r="700">
      <c r="I700" s="26"/>
    </row>
    <row r="701">
      <c r="I701" s="26"/>
    </row>
    <row r="702">
      <c r="I702" s="26"/>
    </row>
    <row r="703">
      <c r="I703" s="26"/>
    </row>
    <row r="704">
      <c r="I704" s="26"/>
    </row>
    <row r="705">
      <c r="I705" s="26"/>
    </row>
    <row r="706">
      <c r="I706" s="26"/>
    </row>
    <row r="707">
      <c r="I707" s="26"/>
    </row>
    <row r="708">
      <c r="I708" s="26"/>
    </row>
    <row r="709">
      <c r="I709" s="26"/>
    </row>
    <row r="710">
      <c r="I710" s="26"/>
    </row>
    <row r="711">
      <c r="I711" s="26"/>
    </row>
    <row r="712">
      <c r="I712" s="26"/>
    </row>
    <row r="713">
      <c r="I713" s="26"/>
    </row>
    <row r="714">
      <c r="I714" s="26"/>
    </row>
    <row r="715">
      <c r="I715" s="26"/>
    </row>
    <row r="716">
      <c r="I716" s="26"/>
    </row>
    <row r="717">
      <c r="I717" s="26"/>
    </row>
    <row r="718">
      <c r="I718" s="26"/>
    </row>
    <row r="719">
      <c r="I719" s="26"/>
    </row>
    <row r="720">
      <c r="I720" s="26"/>
    </row>
    <row r="721">
      <c r="I721" s="26"/>
    </row>
    <row r="722">
      <c r="I722" s="26"/>
    </row>
    <row r="723">
      <c r="I723" s="26"/>
    </row>
    <row r="724">
      <c r="I724" s="26"/>
    </row>
    <row r="725">
      <c r="I725" s="26"/>
    </row>
    <row r="726">
      <c r="I726" s="26"/>
    </row>
    <row r="727">
      <c r="I727" s="26"/>
    </row>
    <row r="728">
      <c r="I728" s="26"/>
    </row>
    <row r="729">
      <c r="I729" s="26"/>
    </row>
    <row r="730">
      <c r="I730" s="26"/>
    </row>
    <row r="731">
      <c r="I731" s="26"/>
    </row>
    <row r="732">
      <c r="I732" s="26"/>
    </row>
    <row r="733">
      <c r="I733" s="26"/>
    </row>
    <row r="734">
      <c r="I734" s="26"/>
    </row>
    <row r="735">
      <c r="I735" s="26"/>
    </row>
    <row r="736">
      <c r="I736" s="26"/>
    </row>
    <row r="737">
      <c r="I737" s="26"/>
    </row>
    <row r="738">
      <c r="I738" s="26"/>
    </row>
    <row r="739">
      <c r="I739" s="26"/>
    </row>
    <row r="740">
      <c r="I740" s="26"/>
    </row>
    <row r="741">
      <c r="I741" s="26"/>
    </row>
    <row r="742">
      <c r="I742" s="26"/>
    </row>
    <row r="743">
      <c r="I743" s="26"/>
    </row>
    <row r="744">
      <c r="I744" s="26"/>
    </row>
    <row r="745">
      <c r="I745" s="26"/>
    </row>
    <row r="746">
      <c r="I746" s="26"/>
    </row>
    <row r="747">
      <c r="I747" s="26"/>
    </row>
    <row r="748">
      <c r="I748" s="26"/>
    </row>
    <row r="749">
      <c r="I749" s="26"/>
    </row>
    <row r="750">
      <c r="I750" s="26"/>
    </row>
    <row r="751">
      <c r="I751" s="26"/>
    </row>
    <row r="752">
      <c r="I752" s="26"/>
    </row>
    <row r="753">
      <c r="I753" s="26"/>
    </row>
    <row r="754">
      <c r="I754" s="26"/>
    </row>
    <row r="755">
      <c r="I755" s="26"/>
    </row>
    <row r="756">
      <c r="I756" s="26"/>
    </row>
    <row r="757">
      <c r="I757" s="26"/>
    </row>
    <row r="758">
      <c r="I758" s="26"/>
    </row>
    <row r="759">
      <c r="I759" s="26"/>
    </row>
    <row r="760">
      <c r="I760" s="26"/>
    </row>
    <row r="761">
      <c r="I761" s="26"/>
    </row>
    <row r="762">
      <c r="I762" s="26"/>
    </row>
    <row r="763">
      <c r="I763" s="26"/>
    </row>
    <row r="764">
      <c r="I764" s="26"/>
    </row>
    <row r="765">
      <c r="I765" s="26"/>
    </row>
    <row r="766">
      <c r="I766" s="26"/>
    </row>
    <row r="767">
      <c r="I767" s="26"/>
    </row>
    <row r="768">
      <c r="I768" s="26"/>
    </row>
    <row r="769">
      <c r="I769" s="26"/>
    </row>
    <row r="770">
      <c r="I770" s="26"/>
    </row>
    <row r="771">
      <c r="I771" s="26"/>
    </row>
    <row r="772">
      <c r="I772" s="26"/>
    </row>
    <row r="773">
      <c r="I773" s="26"/>
    </row>
    <row r="774">
      <c r="I774" s="26"/>
    </row>
    <row r="775">
      <c r="I775" s="26"/>
    </row>
    <row r="776">
      <c r="I776" s="26"/>
    </row>
    <row r="777">
      <c r="I777" s="26"/>
    </row>
    <row r="778">
      <c r="I778" s="26"/>
    </row>
    <row r="779">
      <c r="I779" s="26"/>
    </row>
    <row r="780">
      <c r="I780" s="26"/>
    </row>
    <row r="781">
      <c r="I781" s="26"/>
    </row>
    <row r="782">
      <c r="I782" s="26"/>
    </row>
    <row r="783">
      <c r="I783" s="26"/>
    </row>
    <row r="784">
      <c r="I784" s="26"/>
    </row>
    <row r="785">
      <c r="I785" s="26"/>
    </row>
    <row r="786">
      <c r="I786" s="26"/>
    </row>
    <row r="787">
      <c r="I787" s="26"/>
    </row>
    <row r="788">
      <c r="I788" s="26"/>
    </row>
    <row r="789">
      <c r="I789" s="26"/>
    </row>
    <row r="790">
      <c r="I790" s="26"/>
    </row>
    <row r="791">
      <c r="I791" s="26"/>
    </row>
    <row r="792">
      <c r="I792" s="26"/>
    </row>
    <row r="793">
      <c r="I793" s="26"/>
    </row>
    <row r="794">
      <c r="I794" s="26"/>
    </row>
    <row r="795">
      <c r="I795" s="26"/>
    </row>
    <row r="796">
      <c r="I796" s="26"/>
    </row>
    <row r="797">
      <c r="I797" s="26"/>
    </row>
    <row r="798">
      <c r="I798" s="26"/>
    </row>
    <row r="799">
      <c r="I799" s="26"/>
    </row>
    <row r="800">
      <c r="I800" s="26"/>
    </row>
    <row r="801">
      <c r="I801" s="26"/>
    </row>
    <row r="802">
      <c r="I802" s="26"/>
    </row>
    <row r="803">
      <c r="I803" s="26"/>
    </row>
    <row r="804">
      <c r="I804" s="26"/>
    </row>
    <row r="805">
      <c r="I805" s="26"/>
    </row>
    <row r="806">
      <c r="I806" s="26"/>
    </row>
    <row r="807">
      <c r="I807" s="26"/>
    </row>
    <row r="808">
      <c r="I808" s="26"/>
    </row>
    <row r="809">
      <c r="I809" s="26"/>
    </row>
    <row r="810">
      <c r="I810" s="26"/>
    </row>
    <row r="811">
      <c r="I811" s="26"/>
    </row>
    <row r="812">
      <c r="I812" s="26"/>
    </row>
    <row r="813">
      <c r="I813" s="26"/>
    </row>
    <row r="814">
      <c r="I814" s="26"/>
    </row>
    <row r="815">
      <c r="I815" s="26"/>
    </row>
    <row r="816">
      <c r="I816" s="26"/>
    </row>
    <row r="817">
      <c r="I817" s="26"/>
    </row>
    <row r="818">
      <c r="I818" s="26"/>
    </row>
    <row r="819">
      <c r="I819" s="26"/>
    </row>
    <row r="820">
      <c r="I820" s="26"/>
    </row>
    <row r="821">
      <c r="I821" s="26"/>
    </row>
    <row r="822">
      <c r="I822" s="26"/>
    </row>
    <row r="823">
      <c r="I823" s="26"/>
    </row>
    <row r="824">
      <c r="I824" s="26"/>
    </row>
    <row r="825">
      <c r="I825" s="26"/>
    </row>
    <row r="826">
      <c r="I826" s="26"/>
    </row>
    <row r="827">
      <c r="I827" s="26"/>
    </row>
    <row r="828">
      <c r="I828" s="26"/>
    </row>
    <row r="829">
      <c r="I829" s="26"/>
    </row>
    <row r="830">
      <c r="I830" s="26"/>
    </row>
    <row r="831">
      <c r="I831" s="26"/>
    </row>
    <row r="832">
      <c r="I832" s="26"/>
    </row>
    <row r="833">
      <c r="I833" s="26"/>
    </row>
    <row r="834">
      <c r="I834" s="26"/>
    </row>
    <row r="835">
      <c r="I835" s="26"/>
    </row>
    <row r="836">
      <c r="I836" s="26"/>
    </row>
    <row r="837">
      <c r="I837" s="26"/>
    </row>
    <row r="838">
      <c r="I838" s="26"/>
    </row>
    <row r="839">
      <c r="I839" s="26"/>
    </row>
    <row r="840">
      <c r="I840" s="26"/>
    </row>
    <row r="841">
      <c r="I841" s="26"/>
    </row>
    <row r="842">
      <c r="I842" s="26"/>
    </row>
    <row r="843">
      <c r="I843" s="26"/>
    </row>
    <row r="844">
      <c r="I844" s="26"/>
    </row>
    <row r="845">
      <c r="I845" s="26"/>
    </row>
    <row r="846">
      <c r="I846" s="26"/>
    </row>
    <row r="847">
      <c r="I847" s="26"/>
    </row>
    <row r="848">
      <c r="I848" s="26"/>
    </row>
    <row r="849">
      <c r="I849" s="26"/>
    </row>
    <row r="850">
      <c r="I850" s="26"/>
    </row>
    <row r="851">
      <c r="I851" s="26"/>
    </row>
    <row r="852">
      <c r="I852" s="26"/>
    </row>
    <row r="853">
      <c r="I853" s="26"/>
    </row>
    <row r="854">
      <c r="I854" s="26"/>
    </row>
    <row r="855">
      <c r="I855" s="26"/>
    </row>
    <row r="856">
      <c r="I856" s="26"/>
    </row>
    <row r="857">
      <c r="I857" s="26"/>
    </row>
    <row r="858">
      <c r="I858" s="26"/>
    </row>
    <row r="859">
      <c r="I859" s="26"/>
    </row>
    <row r="860">
      <c r="I860" s="26"/>
    </row>
    <row r="861">
      <c r="I861" s="26"/>
    </row>
    <row r="862">
      <c r="I862" s="26"/>
    </row>
    <row r="863">
      <c r="I863" s="26"/>
    </row>
    <row r="864">
      <c r="I864" s="26"/>
    </row>
    <row r="865">
      <c r="I865" s="26"/>
    </row>
    <row r="866">
      <c r="I866" s="26"/>
    </row>
    <row r="867">
      <c r="I867" s="26"/>
    </row>
    <row r="868">
      <c r="I868" s="26"/>
    </row>
    <row r="869">
      <c r="I869" s="26"/>
    </row>
    <row r="870">
      <c r="I870" s="26"/>
    </row>
    <row r="871">
      <c r="I871" s="26"/>
    </row>
    <row r="872">
      <c r="I872" s="26"/>
    </row>
    <row r="873">
      <c r="I873" s="26"/>
    </row>
    <row r="874">
      <c r="I874" s="26"/>
    </row>
    <row r="875">
      <c r="I875" s="26"/>
    </row>
    <row r="876">
      <c r="I876" s="26"/>
    </row>
    <row r="877">
      <c r="I877" s="26"/>
    </row>
    <row r="878">
      <c r="I878" s="26"/>
    </row>
    <row r="879">
      <c r="I879" s="26"/>
    </row>
    <row r="880">
      <c r="I880" s="26"/>
    </row>
    <row r="881">
      <c r="I881" s="26"/>
    </row>
    <row r="882">
      <c r="I882" s="26"/>
    </row>
    <row r="883">
      <c r="I883" s="26"/>
    </row>
    <row r="884">
      <c r="I884" s="26"/>
    </row>
    <row r="885">
      <c r="I885" s="26"/>
    </row>
    <row r="886">
      <c r="I886" s="26"/>
    </row>
    <row r="887">
      <c r="I887" s="26"/>
    </row>
    <row r="888">
      <c r="I888" s="26"/>
    </row>
    <row r="889">
      <c r="I889" s="26"/>
    </row>
    <row r="890">
      <c r="I890" s="26"/>
    </row>
    <row r="891">
      <c r="I891" s="26"/>
    </row>
    <row r="892">
      <c r="I892" s="26"/>
    </row>
    <row r="893">
      <c r="I893" s="26"/>
    </row>
    <row r="894">
      <c r="I894" s="26"/>
    </row>
    <row r="895">
      <c r="I895" s="26"/>
    </row>
    <row r="896">
      <c r="I896" s="26"/>
    </row>
    <row r="897">
      <c r="I897" s="26"/>
    </row>
    <row r="898">
      <c r="I898" s="26"/>
    </row>
    <row r="899">
      <c r="I899" s="26"/>
    </row>
    <row r="900">
      <c r="I900" s="26"/>
    </row>
    <row r="901">
      <c r="I901" s="26"/>
    </row>
    <row r="902">
      <c r="I902" s="26"/>
    </row>
    <row r="903">
      <c r="I903" s="26"/>
    </row>
    <row r="904">
      <c r="I904" s="26"/>
    </row>
    <row r="905">
      <c r="I905" s="26"/>
    </row>
    <row r="906">
      <c r="I906" s="26"/>
    </row>
    <row r="907">
      <c r="I907" s="26"/>
    </row>
    <row r="908">
      <c r="I908" s="26"/>
    </row>
    <row r="909">
      <c r="I909" s="26"/>
    </row>
    <row r="910">
      <c r="I910" s="26"/>
    </row>
    <row r="911">
      <c r="I911" s="26"/>
    </row>
    <row r="912">
      <c r="I912" s="26"/>
    </row>
    <row r="913">
      <c r="I913" s="26"/>
    </row>
    <row r="914">
      <c r="I914" s="26"/>
    </row>
    <row r="915">
      <c r="I915" s="26"/>
    </row>
    <row r="916">
      <c r="I916" s="26"/>
    </row>
    <row r="917">
      <c r="I917" s="26"/>
    </row>
    <row r="918">
      <c r="I918" s="26"/>
    </row>
    <row r="919">
      <c r="I919" s="26"/>
    </row>
    <row r="920">
      <c r="I920" s="26"/>
    </row>
    <row r="921">
      <c r="I921" s="26"/>
    </row>
    <row r="922">
      <c r="I922" s="26"/>
    </row>
    <row r="923">
      <c r="I923" s="26"/>
    </row>
    <row r="924">
      <c r="I924" s="26"/>
    </row>
    <row r="925">
      <c r="I925" s="26"/>
    </row>
    <row r="926">
      <c r="I926" s="26"/>
    </row>
    <row r="927">
      <c r="I927" s="26"/>
    </row>
    <row r="928">
      <c r="I928" s="26"/>
    </row>
    <row r="929">
      <c r="I929" s="26"/>
    </row>
    <row r="930">
      <c r="I930" s="26"/>
    </row>
    <row r="931">
      <c r="I931" s="26"/>
    </row>
    <row r="932">
      <c r="I932" s="26"/>
    </row>
    <row r="933">
      <c r="I933" s="26"/>
    </row>
    <row r="934">
      <c r="I934" s="26"/>
    </row>
    <row r="935">
      <c r="I935" s="26"/>
    </row>
    <row r="936">
      <c r="I936" s="26"/>
    </row>
    <row r="937">
      <c r="I937" s="26"/>
    </row>
    <row r="938">
      <c r="I938" s="26"/>
    </row>
    <row r="939">
      <c r="I939" s="26"/>
    </row>
    <row r="940">
      <c r="I940" s="26"/>
    </row>
    <row r="941">
      <c r="I941" s="26"/>
    </row>
    <row r="942">
      <c r="I942" s="26"/>
    </row>
    <row r="943">
      <c r="I943" s="26"/>
    </row>
    <row r="944">
      <c r="I944" s="26"/>
    </row>
    <row r="945">
      <c r="I945" s="26"/>
    </row>
    <row r="946">
      <c r="I946" s="26"/>
    </row>
    <row r="947">
      <c r="I947" s="26"/>
    </row>
    <row r="948">
      <c r="I948" s="26"/>
    </row>
    <row r="949">
      <c r="I949" s="26"/>
    </row>
    <row r="950">
      <c r="I950" s="26"/>
    </row>
    <row r="951">
      <c r="I951" s="26"/>
    </row>
    <row r="952">
      <c r="I952" s="26"/>
    </row>
    <row r="953">
      <c r="I953" s="26"/>
    </row>
    <row r="954">
      <c r="I954" s="26"/>
    </row>
    <row r="955">
      <c r="I955" s="26"/>
    </row>
    <row r="956">
      <c r="I956" s="26"/>
    </row>
    <row r="957">
      <c r="I957" s="26"/>
    </row>
    <row r="958">
      <c r="I958" s="26"/>
    </row>
    <row r="959">
      <c r="I959" s="26"/>
    </row>
    <row r="960">
      <c r="I960" s="26"/>
    </row>
    <row r="961">
      <c r="I961" s="26"/>
    </row>
    <row r="962">
      <c r="I962" s="26"/>
    </row>
    <row r="963">
      <c r="I963" s="26"/>
    </row>
    <row r="964">
      <c r="I964" s="26"/>
    </row>
    <row r="965">
      <c r="I965" s="26"/>
    </row>
    <row r="966">
      <c r="I966" s="26"/>
    </row>
    <row r="967">
      <c r="I967" s="26"/>
    </row>
    <row r="968">
      <c r="I968" s="26"/>
    </row>
    <row r="969">
      <c r="I969" s="26"/>
    </row>
    <row r="970">
      <c r="I970" s="26"/>
    </row>
    <row r="971">
      <c r="I971" s="26"/>
    </row>
    <row r="972">
      <c r="I972" s="26"/>
    </row>
    <row r="973">
      <c r="I973" s="26"/>
    </row>
    <row r="974">
      <c r="I974" s="26"/>
    </row>
    <row r="975">
      <c r="I975" s="26"/>
    </row>
    <row r="976">
      <c r="I976" s="26"/>
    </row>
    <row r="977">
      <c r="I977" s="26"/>
    </row>
    <row r="978">
      <c r="I978" s="26"/>
    </row>
    <row r="979">
      <c r="I979" s="26"/>
    </row>
    <row r="980">
      <c r="I980" s="26"/>
    </row>
    <row r="981">
      <c r="I981" s="26"/>
    </row>
    <row r="982">
      <c r="I982" s="26"/>
    </row>
    <row r="983">
      <c r="I983" s="26"/>
    </row>
    <row r="984">
      <c r="I984" s="26"/>
    </row>
    <row r="985">
      <c r="I985" s="26"/>
    </row>
    <row r="986">
      <c r="I986" s="26"/>
    </row>
    <row r="987">
      <c r="I987" s="26"/>
    </row>
    <row r="988">
      <c r="I988" s="26"/>
    </row>
    <row r="989">
      <c r="I989" s="26"/>
    </row>
    <row r="990">
      <c r="I990" s="26"/>
    </row>
    <row r="991">
      <c r="I991" s="26"/>
    </row>
    <row r="992">
      <c r="I992" s="26"/>
    </row>
    <row r="993">
      <c r="I993" s="26"/>
    </row>
    <row r="994">
      <c r="I994" s="26"/>
    </row>
    <row r="995">
      <c r="I995" s="26"/>
    </row>
    <row r="996">
      <c r="I996" s="26"/>
    </row>
    <row r="997">
      <c r="I997" s="26"/>
    </row>
    <row r="998">
      <c r="I998" s="26"/>
    </row>
    <row r="999">
      <c r="I999" s="26"/>
    </row>
    <row r="1000">
      <c r="I1000" s="26"/>
    </row>
    <row r="1001">
      <c r="I1001" s="26"/>
    </row>
  </sheetData>
  <hyperlinks>
    <hyperlink r:id="rId1" ref="H2"/>
    <hyperlink r:id="rId2" ref="I2"/>
    <hyperlink r:id="rId3" ref="J2"/>
    <hyperlink r:id="rId4" ref="H3"/>
    <hyperlink r:id="rId5" ref="I3"/>
    <hyperlink r:id="rId6" ref="J3"/>
    <hyperlink r:id="rId7" ref="H4"/>
    <hyperlink r:id="rId8" ref="H5"/>
    <hyperlink r:id="rId9" ref="I5"/>
    <hyperlink r:id="rId10" ref="H6"/>
    <hyperlink r:id="rId11" ref="I6"/>
    <hyperlink r:id="rId12" ref="H7"/>
    <hyperlink r:id="rId13" ref="I7"/>
    <hyperlink r:id="rId14" ref="H8"/>
    <hyperlink r:id="rId15" ref="H9"/>
    <hyperlink r:id="rId16" ref="H10"/>
    <hyperlink r:id="rId17" ref="I10"/>
    <hyperlink r:id="rId18" ref="H11"/>
    <hyperlink r:id="rId19" ref="I11"/>
    <hyperlink r:id="rId20" ref="H12"/>
    <hyperlink r:id="rId21" ref="J12"/>
    <hyperlink r:id="rId22" ref="H13"/>
    <hyperlink r:id="rId23" ref="H14"/>
    <hyperlink r:id="rId24" ref="H15"/>
    <hyperlink r:id="rId25" ref="I15"/>
    <hyperlink r:id="rId26" ref="H16"/>
    <hyperlink r:id="rId27" ref="J16"/>
    <hyperlink r:id="rId28" location="kernel-b" ref="H17"/>
    <hyperlink r:id="rId29" ref="I17"/>
    <hyperlink r:id="rId30" ref="J17"/>
    <hyperlink r:id="rId31" ref="H18"/>
    <hyperlink r:id="rId32" ref="H19"/>
    <hyperlink r:id="rId33" ref="I19"/>
    <hyperlink r:id="rId34" ref="J19"/>
    <hyperlink r:id="rId35" ref="H20"/>
    <hyperlink r:id="rId36" ref="J20"/>
    <hyperlink r:id="rId37" ref="H21"/>
    <hyperlink r:id="rId38" ref="I21"/>
    <hyperlink r:id="rId39" ref="J21"/>
  </hyperlinks>
  <drawing r:id="rId40"/>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5"/>
    <col customWidth="1" min="2" max="2" width="9.25"/>
    <col customWidth="1" min="3" max="3" width="15.0"/>
    <col customWidth="1" min="4" max="4" width="14.88"/>
    <col customWidth="1" min="5" max="5" width="34.75"/>
    <col customWidth="1" min="6" max="6" width="13.75"/>
    <col customWidth="1" min="7" max="7" width="11.25"/>
    <col customWidth="1" min="10" max="10" width="17.63"/>
  </cols>
  <sheetData>
    <row r="1">
      <c r="A1" s="7" t="s">
        <v>13</v>
      </c>
      <c r="B1" s="7" t="s">
        <v>14</v>
      </c>
      <c r="C1" s="7" t="s">
        <v>15</v>
      </c>
      <c r="D1" s="7" t="s">
        <v>16</v>
      </c>
      <c r="E1" s="7" t="s">
        <v>17</v>
      </c>
      <c r="F1" s="7" t="s">
        <v>18</v>
      </c>
      <c r="G1" s="7" t="s">
        <v>19</v>
      </c>
      <c r="H1" s="7" t="s">
        <v>20</v>
      </c>
      <c r="I1" s="7" t="s">
        <v>21</v>
      </c>
      <c r="J1" s="7" t="s">
        <v>22</v>
      </c>
      <c r="K1" s="8" t="s">
        <v>23</v>
      </c>
    </row>
    <row r="2">
      <c r="A2" s="54" t="s">
        <v>877</v>
      </c>
      <c r="B2" s="39" t="s">
        <v>37</v>
      </c>
      <c r="C2" s="39" t="s">
        <v>643</v>
      </c>
      <c r="D2" s="39" t="s">
        <v>27</v>
      </c>
      <c r="E2" s="39" t="s">
        <v>878</v>
      </c>
      <c r="F2" s="97" t="s">
        <v>30</v>
      </c>
      <c r="G2" s="55">
        <v>43109.0</v>
      </c>
      <c r="H2" s="95" t="s">
        <v>879</v>
      </c>
      <c r="I2" s="95" t="s">
        <v>880</v>
      </c>
      <c r="J2" s="12" t="s">
        <v>30</v>
      </c>
      <c r="K2" s="81" t="s">
        <v>881</v>
      </c>
      <c r="L2" s="12" t="s">
        <v>433</v>
      </c>
    </row>
    <row r="3">
      <c r="A3" s="54" t="s">
        <v>882</v>
      </c>
      <c r="B3" s="39" t="s">
        <v>184</v>
      </c>
      <c r="C3" s="39" t="s">
        <v>883</v>
      </c>
      <c r="D3" s="39" t="s">
        <v>27</v>
      </c>
      <c r="E3" s="39" t="s">
        <v>884</v>
      </c>
      <c r="F3" s="97" t="s">
        <v>30</v>
      </c>
      <c r="G3" s="55">
        <v>43137.0</v>
      </c>
      <c r="H3" s="95" t="s">
        <v>885</v>
      </c>
      <c r="I3" s="95" t="s">
        <v>886</v>
      </c>
      <c r="J3" s="12" t="s">
        <v>30</v>
      </c>
      <c r="K3" s="81" t="s">
        <v>887</v>
      </c>
    </row>
    <row r="4">
      <c r="A4" s="54" t="s">
        <v>888</v>
      </c>
      <c r="B4" s="39" t="s">
        <v>37</v>
      </c>
      <c r="C4" s="39" t="s">
        <v>38</v>
      </c>
      <c r="D4" s="39" t="s">
        <v>27</v>
      </c>
      <c r="E4" s="39" t="s">
        <v>889</v>
      </c>
      <c r="F4" s="97" t="s">
        <v>30</v>
      </c>
      <c r="G4" s="55">
        <v>43228.0</v>
      </c>
      <c r="H4" s="95" t="s">
        <v>890</v>
      </c>
      <c r="I4" s="95" t="s">
        <v>891</v>
      </c>
      <c r="J4" s="12" t="s">
        <v>30</v>
      </c>
      <c r="K4" s="81" t="s">
        <v>849</v>
      </c>
      <c r="L4" s="12" t="s">
        <v>433</v>
      </c>
    </row>
    <row r="5">
      <c r="A5" s="54" t="s">
        <v>892</v>
      </c>
      <c r="B5" s="39" t="s">
        <v>37</v>
      </c>
      <c r="C5" s="39" t="s">
        <v>893</v>
      </c>
      <c r="D5" s="39" t="s">
        <v>27</v>
      </c>
      <c r="E5" s="39" t="s">
        <v>894</v>
      </c>
      <c r="F5" s="97" t="s">
        <v>30</v>
      </c>
      <c r="G5" s="55">
        <v>43228.0</v>
      </c>
      <c r="H5" s="95" t="s">
        <v>895</v>
      </c>
      <c r="I5" s="95" t="s">
        <v>896</v>
      </c>
      <c r="J5" s="12" t="s">
        <v>30</v>
      </c>
      <c r="K5" s="81" t="s">
        <v>897</v>
      </c>
      <c r="L5" s="12" t="s">
        <v>433</v>
      </c>
    </row>
    <row r="6">
      <c r="A6" s="54" t="s">
        <v>898</v>
      </c>
      <c r="B6" s="39" t="s">
        <v>184</v>
      </c>
      <c r="C6" s="39" t="s">
        <v>185</v>
      </c>
      <c r="D6" s="39" t="s">
        <v>27</v>
      </c>
      <c r="E6" s="39" t="s">
        <v>899</v>
      </c>
      <c r="F6" s="97" t="s">
        <v>30</v>
      </c>
      <c r="G6" s="55">
        <v>43234.0</v>
      </c>
      <c r="H6" s="95" t="s">
        <v>900</v>
      </c>
      <c r="I6" s="95" t="s">
        <v>901</v>
      </c>
      <c r="J6" s="12" t="s">
        <v>30</v>
      </c>
      <c r="K6" s="81" t="s">
        <v>902</v>
      </c>
      <c r="L6" s="12" t="s">
        <v>433</v>
      </c>
    </row>
    <row r="7">
      <c r="A7" s="54" t="s">
        <v>903</v>
      </c>
      <c r="B7" s="39" t="s">
        <v>184</v>
      </c>
      <c r="C7" s="39" t="s">
        <v>883</v>
      </c>
      <c r="D7" s="39" t="s">
        <v>27</v>
      </c>
      <c r="E7" s="39" t="s">
        <v>904</v>
      </c>
      <c r="F7" s="97" t="s">
        <v>30</v>
      </c>
      <c r="G7" s="55">
        <v>43258.0</v>
      </c>
      <c r="H7" s="95" t="s">
        <v>905</v>
      </c>
      <c r="I7" s="95" t="s">
        <v>906</v>
      </c>
      <c r="J7" s="12" t="s">
        <v>30</v>
      </c>
      <c r="K7" s="81" t="s">
        <v>907</v>
      </c>
      <c r="L7" s="12" t="s">
        <v>433</v>
      </c>
    </row>
    <row r="8">
      <c r="A8" s="54" t="s">
        <v>908</v>
      </c>
      <c r="B8" s="39" t="s">
        <v>37</v>
      </c>
      <c r="C8" s="39" t="s">
        <v>893</v>
      </c>
      <c r="D8" s="39" t="s">
        <v>27</v>
      </c>
      <c r="E8" s="39" t="s">
        <v>909</v>
      </c>
      <c r="F8" s="55">
        <v>43292.0</v>
      </c>
      <c r="G8" s="55">
        <v>43326.0</v>
      </c>
      <c r="H8" s="95" t="s">
        <v>910</v>
      </c>
      <c r="I8" s="95" t="s">
        <v>911</v>
      </c>
      <c r="J8" s="12" t="s">
        <v>30</v>
      </c>
      <c r="K8" s="81" t="s">
        <v>912</v>
      </c>
      <c r="L8" s="12" t="s">
        <v>433</v>
      </c>
    </row>
    <row r="9">
      <c r="A9" s="54" t="s">
        <v>913</v>
      </c>
      <c r="B9" s="39" t="s">
        <v>37</v>
      </c>
      <c r="C9" s="39" t="s">
        <v>38</v>
      </c>
      <c r="D9" s="39" t="s">
        <v>27</v>
      </c>
      <c r="E9" s="39" t="s">
        <v>914</v>
      </c>
      <c r="F9" s="55">
        <v>43329.0</v>
      </c>
      <c r="G9" s="55">
        <v>43382.0</v>
      </c>
      <c r="H9" s="95" t="s">
        <v>915</v>
      </c>
      <c r="I9" s="95" t="s">
        <v>916</v>
      </c>
      <c r="J9" s="12" t="s">
        <v>30</v>
      </c>
      <c r="K9" s="81" t="s">
        <v>917</v>
      </c>
      <c r="L9" s="12" t="s">
        <v>433</v>
      </c>
    </row>
    <row r="10">
      <c r="A10" s="54" t="s">
        <v>918</v>
      </c>
      <c r="B10" s="39" t="s">
        <v>37</v>
      </c>
      <c r="C10" s="39" t="s">
        <v>38</v>
      </c>
      <c r="D10" s="39" t="s">
        <v>27</v>
      </c>
      <c r="E10" s="39" t="s">
        <v>919</v>
      </c>
      <c r="F10" s="55">
        <v>43390.0</v>
      </c>
      <c r="G10" s="55">
        <v>43417.0</v>
      </c>
      <c r="H10" s="95" t="s">
        <v>920</v>
      </c>
      <c r="I10" s="95" t="s">
        <v>921</v>
      </c>
      <c r="J10" s="12" t="s">
        <v>30</v>
      </c>
      <c r="K10" s="81" t="s">
        <v>922</v>
      </c>
      <c r="L10" s="12" t="s">
        <v>433</v>
      </c>
    </row>
    <row r="11">
      <c r="A11" s="54" t="s">
        <v>923</v>
      </c>
      <c r="B11" s="39" t="s">
        <v>184</v>
      </c>
      <c r="C11" s="39" t="s">
        <v>883</v>
      </c>
      <c r="D11" s="39" t="s">
        <v>27</v>
      </c>
      <c r="E11" s="39" t="s">
        <v>924</v>
      </c>
      <c r="F11" s="55">
        <v>43433.0</v>
      </c>
      <c r="G11" s="55">
        <v>43439.0</v>
      </c>
      <c r="H11" s="95" t="s">
        <v>925</v>
      </c>
      <c r="I11" s="95" t="s">
        <v>926</v>
      </c>
      <c r="J11" s="12" t="s">
        <v>30</v>
      </c>
      <c r="K11" s="81" t="s">
        <v>927</v>
      </c>
      <c r="L11" s="12" t="s">
        <v>433</v>
      </c>
    </row>
    <row r="12">
      <c r="A12" s="54" t="s">
        <v>928</v>
      </c>
      <c r="B12" s="39" t="s">
        <v>37</v>
      </c>
      <c r="C12" s="39" t="s">
        <v>38</v>
      </c>
      <c r="D12" s="39" t="s">
        <v>27</v>
      </c>
      <c r="E12" s="39" t="s">
        <v>929</v>
      </c>
      <c r="F12" s="55">
        <v>43402.0</v>
      </c>
      <c r="G12" s="55">
        <v>43445.0</v>
      </c>
      <c r="H12" s="95" t="s">
        <v>930</v>
      </c>
      <c r="I12" s="95" t="s">
        <v>931</v>
      </c>
      <c r="J12" s="12" t="s">
        <v>30</v>
      </c>
      <c r="K12" s="81" t="s">
        <v>922</v>
      </c>
      <c r="L12" s="12" t="s">
        <v>433</v>
      </c>
    </row>
    <row r="13">
      <c r="A13" s="54" t="s">
        <v>932</v>
      </c>
      <c r="B13" s="39" t="s">
        <v>37</v>
      </c>
      <c r="C13" s="39" t="s">
        <v>397</v>
      </c>
      <c r="D13" s="39" t="s">
        <v>27</v>
      </c>
      <c r="E13" s="39" t="s">
        <v>933</v>
      </c>
      <c r="F13" s="97" t="s">
        <v>30</v>
      </c>
      <c r="G13" s="55">
        <v>43453.0</v>
      </c>
      <c r="H13" s="95" t="s">
        <v>934</v>
      </c>
      <c r="I13" s="95" t="s">
        <v>935</v>
      </c>
      <c r="J13" s="12" t="s">
        <v>30</v>
      </c>
      <c r="K13" s="81" t="s">
        <v>801</v>
      </c>
      <c r="L13" s="12" t="s">
        <v>433</v>
      </c>
    </row>
    <row r="14">
      <c r="A14" s="54"/>
      <c r="B14" s="39"/>
      <c r="C14" s="39"/>
      <c r="D14" s="39"/>
      <c r="E14" s="39"/>
      <c r="F14" s="76"/>
      <c r="G14" s="76"/>
      <c r="H14" s="57"/>
      <c r="I14" s="57"/>
      <c r="J14" s="57"/>
      <c r="K14" s="12" t="s">
        <v>433</v>
      </c>
    </row>
    <row r="15">
      <c r="A15" s="54"/>
      <c r="B15" s="39"/>
      <c r="C15" s="39"/>
      <c r="D15" s="39"/>
      <c r="E15" s="39"/>
      <c r="F15" s="76"/>
      <c r="G15" s="76"/>
      <c r="H15" s="57"/>
      <c r="I15" s="57"/>
      <c r="J15" s="57"/>
      <c r="K15" s="12" t="s">
        <v>433</v>
      </c>
    </row>
    <row r="16">
      <c r="A16" s="54"/>
      <c r="B16" s="39"/>
      <c r="C16" s="39"/>
      <c r="D16" s="39"/>
      <c r="E16" s="39"/>
      <c r="F16" s="76"/>
      <c r="G16" s="76"/>
      <c r="H16" s="57"/>
      <c r="I16" s="57"/>
      <c r="J16" s="57"/>
      <c r="K16" s="12" t="s">
        <v>433</v>
      </c>
    </row>
    <row r="17">
      <c r="A17" s="54"/>
      <c r="B17" s="39"/>
      <c r="C17" s="39"/>
      <c r="D17" s="39"/>
      <c r="E17" s="39"/>
      <c r="F17" s="76"/>
      <c r="G17" s="76"/>
      <c r="H17" s="57"/>
      <c r="I17" s="57"/>
      <c r="J17" s="57"/>
      <c r="K17" s="12" t="s">
        <v>433</v>
      </c>
    </row>
    <row r="18">
      <c r="A18" s="54"/>
      <c r="B18" s="39"/>
      <c r="C18" s="39"/>
      <c r="D18" s="39"/>
      <c r="E18" s="39"/>
      <c r="F18" s="39"/>
      <c r="G18" s="76"/>
      <c r="H18" s="57"/>
      <c r="I18" s="57"/>
      <c r="J18" s="57"/>
      <c r="K18" s="12" t="s">
        <v>433</v>
      </c>
    </row>
    <row r="19">
      <c r="A19" s="54"/>
      <c r="B19" s="39"/>
      <c r="C19" s="39"/>
      <c r="D19" s="39"/>
      <c r="E19" s="39"/>
      <c r="F19" s="39"/>
      <c r="G19" s="76"/>
      <c r="H19" s="57"/>
      <c r="I19" s="57"/>
      <c r="J19" s="57"/>
      <c r="K19" s="12" t="s">
        <v>433</v>
      </c>
    </row>
    <row r="20">
      <c r="A20" s="54"/>
      <c r="B20" s="39"/>
      <c r="C20" s="39"/>
      <c r="D20" s="39"/>
      <c r="E20" s="39"/>
      <c r="F20" s="39"/>
      <c r="G20" s="76"/>
      <c r="H20" s="57"/>
      <c r="I20" s="57"/>
      <c r="J20" s="57"/>
      <c r="K20" s="12" t="s">
        <v>433</v>
      </c>
    </row>
    <row r="21">
      <c r="A21" s="54"/>
      <c r="B21" s="39"/>
      <c r="C21" s="39"/>
      <c r="D21" s="39"/>
      <c r="E21" s="39"/>
      <c r="F21" s="39"/>
      <c r="G21" s="76"/>
      <c r="H21" s="57"/>
      <c r="I21" s="57"/>
      <c r="J21" s="57"/>
      <c r="K21" s="12" t="s">
        <v>433</v>
      </c>
    </row>
    <row r="22">
      <c r="A22" s="54"/>
      <c r="B22" s="39"/>
      <c r="C22" s="39"/>
      <c r="D22" s="39"/>
      <c r="E22" s="39"/>
      <c r="F22" s="39"/>
      <c r="G22" s="76"/>
      <c r="H22" s="57"/>
      <c r="I22" s="57"/>
      <c r="J22" s="57"/>
      <c r="K22" s="12" t="s">
        <v>433</v>
      </c>
    </row>
    <row r="23">
      <c r="A23" s="54"/>
      <c r="B23" s="39"/>
      <c r="C23" s="39"/>
      <c r="D23" s="39"/>
      <c r="E23" s="39"/>
      <c r="F23" s="39"/>
      <c r="G23" s="76"/>
      <c r="H23" s="57"/>
      <c r="I23" s="57"/>
      <c r="J23" s="57"/>
      <c r="K23" s="12" t="s">
        <v>433</v>
      </c>
    </row>
    <row r="24">
      <c r="A24" s="54"/>
      <c r="B24" s="39"/>
      <c r="C24" s="39"/>
      <c r="D24" s="39"/>
      <c r="E24" s="39"/>
      <c r="F24" s="76"/>
      <c r="G24" s="76"/>
      <c r="H24" s="57"/>
      <c r="I24" s="57"/>
      <c r="J24" s="57"/>
      <c r="K24" s="12" t="s">
        <v>433</v>
      </c>
    </row>
    <row r="25">
      <c r="A25" s="54"/>
      <c r="B25" s="39"/>
      <c r="C25" s="39"/>
      <c r="D25" s="39"/>
      <c r="E25" s="39"/>
      <c r="F25" s="76"/>
      <c r="G25" s="76"/>
      <c r="H25" s="57"/>
      <c r="I25" s="57"/>
      <c r="J25" s="57"/>
      <c r="K25" s="12" t="s">
        <v>433</v>
      </c>
    </row>
    <row r="26">
      <c r="A26" s="54"/>
      <c r="B26" s="39"/>
      <c r="C26" s="39"/>
      <c r="D26" s="39"/>
      <c r="E26" s="39"/>
      <c r="F26" s="39"/>
      <c r="G26" s="76"/>
      <c r="H26" s="57"/>
      <c r="I26" s="57"/>
      <c r="J26" s="57"/>
      <c r="K26" s="12" t="s">
        <v>433</v>
      </c>
    </row>
    <row r="27">
      <c r="A27" s="54"/>
      <c r="B27" s="39"/>
      <c r="C27" s="39"/>
      <c r="D27" s="39"/>
      <c r="E27" s="39"/>
      <c r="F27" s="39"/>
      <c r="G27" s="76"/>
      <c r="H27" s="57"/>
      <c r="I27" s="57"/>
      <c r="J27" s="57"/>
      <c r="K27" s="12" t="s">
        <v>433</v>
      </c>
    </row>
    <row r="28">
      <c r="A28" s="54"/>
      <c r="B28" s="39"/>
      <c r="C28" s="39"/>
      <c r="D28" s="39"/>
      <c r="E28" s="39"/>
      <c r="F28" s="39"/>
      <c r="G28" s="76"/>
      <c r="H28" s="57"/>
      <c r="I28" s="57"/>
      <c r="J28" s="57"/>
      <c r="K28" s="12" t="s">
        <v>433</v>
      </c>
    </row>
    <row r="29">
      <c r="A29" s="54"/>
      <c r="B29" s="39"/>
      <c r="C29" s="39"/>
      <c r="D29" s="39"/>
      <c r="E29" s="39"/>
      <c r="F29" s="39"/>
      <c r="G29" s="76"/>
      <c r="H29" s="57"/>
      <c r="I29" s="57"/>
      <c r="J29" s="57"/>
      <c r="K29" s="12" t="s">
        <v>433</v>
      </c>
    </row>
    <row r="30">
      <c r="A30" s="54"/>
      <c r="B30" s="39"/>
      <c r="C30" s="39"/>
      <c r="D30" s="39"/>
      <c r="E30" s="39"/>
      <c r="F30" s="39"/>
      <c r="G30" s="76"/>
      <c r="H30" s="57"/>
      <c r="I30" s="57"/>
      <c r="J30" s="57"/>
      <c r="K30" s="12" t="s">
        <v>433</v>
      </c>
    </row>
    <row r="31">
      <c r="A31" s="54"/>
      <c r="B31" s="39"/>
      <c r="C31" s="39"/>
      <c r="D31" s="39"/>
      <c r="E31" s="39"/>
      <c r="F31" s="39"/>
      <c r="G31" s="76"/>
      <c r="H31" s="57"/>
      <c r="I31" s="57"/>
      <c r="J31" s="57"/>
      <c r="K31" s="12" t="s">
        <v>433</v>
      </c>
    </row>
    <row r="32">
      <c r="A32" s="54"/>
      <c r="B32" s="39"/>
      <c r="C32" s="39"/>
      <c r="D32" s="39"/>
      <c r="E32" s="39"/>
      <c r="F32" s="39"/>
      <c r="G32" s="76"/>
      <c r="H32" s="57"/>
      <c r="I32" s="39"/>
      <c r="J32" s="39"/>
      <c r="K32" s="12" t="s">
        <v>433</v>
      </c>
    </row>
    <row r="33">
      <c r="A33" s="39"/>
      <c r="B33" s="39"/>
      <c r="C33" s="39"/>
      <c r="D33" s="39"/>
      <c r="E33" s="39"/>
      <c r="F33" s="39"/>
      <c r="G33" s="76"/>
      <c r="H33" s="57"/>
      <c r="I33" s="57"/>
      <c r="J33" s="57"/>
      <c r="K33" s="12" t="s">
        <v>433</v>
      </c>
    </row>
    <row r="34">
      <c r="A34" s="54"/>
      <c r="B34" s="39"/>
      <c r="C34" s="39"/>
      <c r="D34" s="39"/>
      <c r="E34" s="39"/>
      <c r="F34" s="39"/>
      <c r="G34" s="76"/>
      <c r="H34" s="57"/>
      <c r="I34" s="57"/>
      <c r="J34" s="57"/>
      <c r="K34" s="12" t="s">
        <v>433</v>
      </c>
    </row>
    <row r="35">
      <c r="A35" s="54"/>
      <c r="B35" s="39"/>
      <c r="C35" s="39"/>
      <c r="D35" s="39"/>
      <c r="E35" s="39"/>
      <c r="F35" s="39"/>
      <c r="G35" s="76"/>
      <c r="H35" s="57"/>
      <c r="I35" s="57"/>
      <c r="J35" s="57"/>
      <c r="K35" s="12" t="s">
        <v>433</v>
      </c>
    </row>
    <row r="36">
      <c r="A36" s="54"/>
      <c r="B36" s="39"/>
      <c r="C36" s="39"/>
      <c r="D36" s="39"/>
      <c r="E36" s="39"/>
      <c r="F36" s="39"/>
      <c r="G36" s="76"/>
      <c r="H36" s="57"/>
      <c r="I36" s="39"/>
      <c r="J36" s="39"/>
      <c r="K36" s="12" t="s">
        <v>433</v>
      </c>
    </row>
    <row r="37">
      <c r="A37" s="54"/>
      <c r="B37" s="39"/>
      <c r="C37" s="39"/>
      <c r="D37" s="39"/>
      <c r="E37" s="54"/>
      <c r="F37" s="39"/>
      <c r="G37" s="76"/>
      <c r="H37" s="57"/>
      <c r="I37" s="57"/>
      <c r="J37" s="57"/>
      <c r="K37" s="12" t="s">
        <v>433</v>
      </c>
    </row>
    <row r="38">
      <c r="A38" s="54"/>
      <c r="B38" s="39"/>
      <c r="C38" s="39"/>
      <c r="D38" s="39"/>
      <c r="E38" s="39"/>
      <c r="F38" s="39"/>
      <c r="G38" s="76"/>
      <c r="H38" s="57"/>
      <c r="I38" s="57"/>
      <c r="J38" s="57"/>
      <c r="K38" s="12" t="s">
        <v>433</v>
      </c>
    </row>
    <row r="39">
      <c r="A39" s="54"/>
      <c r="B39" s="39"/>
      <c r="C39" s="39"/>
      <c r="D39" s="39"/>
      <c r="E39" s="39"/>
      <c r="F39" s="39"/>
      <c r="G39" s="76"/>
      <c r="H39" s="57"/>
      <c r="I39" s="57"/>
      <c r="J39" s="57"/>
      <c r="K39" s="12" t="s">
        <v>433</v>
      </c>
    </row>
    <row r="40">
      <c r="A40" s="54"/>
      <c r="B40" s="39"/>
      <c r="C40" s="39"/>
      <c r="D40" s="39"/>
      <c r="E40" s="39"/>
      <c r="F40" s="39"/>
      <c r="G40" s="76"/>
      <c r="H40" s="57"/>
      <c r="I40" s="57"/>
      <c r="J40" s="57"/>
      <c r="K40" s="12" t="s">
        <v>433</v>
      </c>
    </row>
    <row r="41">
      <c r="A41" s="54"/>
      <c r="B41" s="39"/>
      <c r="C41" s="39"/>
      <c r="D41" s="39"/>
      <c r="E41" s="39"/>
      <c r="F41" s="39"/>
      <c r="G41" s="76"/>
      <c r="H41" s="57"/>
      <c r="I41" s="57"/>
      <c r="J41" s="57"/>
      <c r="K41" s="12" t="s">
        <v>433</v>
      </c>
    </row>
    <row r="42">
      <c r="A42" s="54"/>
      <c r="B42" s="39"/>
      <c r="C42" s="39"/>
      <c r="D42" s="39"/>
      <c r="E42" s="39"/>
      <c r="F42" s="39"/>
      <c r="G42" s="76"/>
      <c r="H42" s="57"/>
      <c r="I42" s="57"/>
      <c r="J42" s="57"/>
      <c r="K42" s="12" t="s">
        <v>433</v>
      </c>
    </row>
    <row r="43">
      <c r="A43" s="54"/>
      <c r="B43" s="39"/>
      <c r="C43" s="39"/>
      <c r="D43" s="39"/>
      <c r="E43" s="39"/>
      <c r="F43" s="39"/>
      <c r="G43" s="76"/>
      <c r="H43" s="57"/>
      <c r="I43" s="57"/>
      <c r="J43" s="57"/>
      <c r="K43" s="12" t="s">
        <v>433</v>
      </c>
    </row>
    <row r="44">
      <c r="A44" s="54"/>
      <c r="B44" s="39"/>
      <c r="C44" s="39"/>
      <c r="D44" s="39"/>
      <c r="E44" s="39"/>
      <c r="F44" s="39"/>
      <c r="G44" s="76"/>
      <c r="H44" s="57"/>
      <c r="I44" s="57"/>
      <c r="J44" s="57"/>
      <c r="K44" s="12" t="s">
        <v>433</v>
      </c>
    </row>
    <row r="45">
      <c r="A45" s="54"/>
      <c r="B45" s="39"/>
      <c r="C45" s="39"/>
      <c r="D45" s="39"/>
      <c r="E45" s="39"/>
      <c r="F45" s="39"/>
      <c r="G45" s="76"/>
      <c r="H45" s="57"/>
      <c r="I45" s="57"/>
      <c r="J45" s="57"/>
      <c r="K45" s="12" t="s">
        <v>433</v>
      </c>
    </row>
    <row r="46">
      <c r="A46" s="54"/>
      <c r="B46" s="39"/>
      <c r="C46" s="39"/>
      <c r="D46" s="39"/>
      <c r="E46" s="54"/>
      <c r="F46" s="39"/>
      <c r="G46" s="76"/>
      <c r="H46" s="57"/>
      <c r="I46" s="39"/>
      <c r="J46" s="39"/>
      <c r="K46" s="12" t="s">
        <v>433</v>
      </c>
    </row>
    <row r="47">
      <c r="A47" s="39"/>
      <c r="B47" s="39"/>
      <c r="C47" s="39"/>
      <c r="D47" s="39"/>
      <c r="E47" s="39"/>
      <c r="F47" s="76"/>
      <c r="G47" s="76"/>
      <c r="H47" s="57"/>
      <c r="I47" s="57"/>
      <c r="J47" s="57"/>
      <c r="K47" s="12" t="s">
        <v>433</v>
      </c>
    </row>
    <row r="48">
      <c r="A48" s="54"/>
      <c r="B48" s="39"/>
      <c r="C48" s="39"/>
      <c r="D48" s="39"/>
      <c r="E48" s="54"/>
      <c r="F48" s="39"/>
      <c r="G48" s="76"/>
      <c r="H48" s="57"/>
      <c r="I48" s="57"/>
      <c r="J48" s="57"/>
      <c r="K48" s="12" t="s">
        <v>433</v>
      </c>
    </row>
    <row r="49">
      <c r="A49" s="54"/>
      <c r="B49" s="39"/>
      <c r="C49" s="39"/>
      <c r="D49" s="39"/>
      <c r="E49" s="54"/>
      <c r="F49" s="76"/>
      <c r="G49" s="76"/>
      <c r="H49" s="57"/>
      <c r="I49" s="57"/>
      <c r="J49" s="57"/>
      <c r="K49" s="12" t="s">
        <v>433</v>
      </c>
    </row>
    <row r="50">
      <c r="A50" s="54"/>
      <c r="B50" s="39"/>
      <c r="C50" s="39"/>
      <c r="D50" s="39"/>
      <c r="E50" s="54"/>
      <c r="F50" s="76"/>
      <c r="G50" s="76"/>
      <c r="H50" s="57"/>
      <c r="I50" s="57"/>
      <c r="J50" s="57"/>
      <c r="K50" s="12" t="s">
        <v>433</v>
      </c>
    </row>
    <row r="51">
      <c r="A51" s="39"/>
      <c r="B51" s="39"/>
      <c r="C51" s="39"/>
      <c r="D51" s="39"/>
      <c r="E51" s="39"/>
      <c r="F51" s="39"/>
      <c r="G51" s="76"/>
      <c r="H51" s="57"/>
      <c r="I51" s="39"/>
      <c r="J51" s="39"/>
      <c r="K51" s="12" t="s">
        <v>433</v>
      </c>
    </row>
    <row r="52">
      <c r="A52" s="54"/>
      <c r="B52" s="39"/>
      <c r="C52" s="39"/>
      <c r="D52" s="39"/>
      <c r="E52" s="39"/>
      <c r="F52" s="39"/>
      <c r="G52" s="76"/>
      <c r="H52" s="57"/>
      <c r="I52" s="57"/>
      <c r="J52" s="57"/>
      <c r="K52" s="12" t="s">
        <v>433</v>
      </c>
    </row>
    <row r="53">
      <c r="A53" s="54"/>
      <c r="B53" s="39"/>
      <c r="C53" s="39"/>
      <c r="D53" s="39"/>
      <c r="E53" s="39"/>
      <c r="F53" s="39"/>
      <c r="G53" s="76"/>
      <c r="H53" s="57"/>
      <c r="I53" s="57"/>
      <c r="J53" s="57"/>
      <c r="K53" s="12" t="s">
        <v>433</v>
      </c>
    </row>
    <row r="54">
      <c r="A54" s="54"/>
      <c r="B54" s="39"/>
      <c r="C54" s="39"/>
      <c r="D54" s="39"/>
      <c r="E54" s="39"/>
      <c r="F54" s="39"/>
      <c r="G54" s="76"/>
      <c r="H54" s="57"/>
      <c r="I54" s="57"/>
      <c r="J54" s="57"/>
      <c r="K54" s="12" t="s">
        <v>433</v>
      </c>
    </row>
    <row r="55">
      <c r="A55" s="54"/>
      <c r="B55" s="39"/>
      <c r="C55" s="39"/>
      <c r="D55" s="39"/>
      <c r="E55" s="39"/>
      <c r="F55" s="39"/>
      <c r="G55" s="76"/>
      <c r="H55" s="57"/>
      <c r="I55" s="57"/>
      <c r="J55" s="57"/>
      <c r="K55" s="12" t="s">
        <v>433</v>
      </c>
    </row>
    <row r="56">
      <c r="A56" s="39"/>
      <c r="B56" s="39"/>
      <c r="C56" s="39"/>
      <c r="D56" s="39"/>
      <c r="E56" s="39"/>
      <c r="F56" s="76"/>
      <c r="G56" s="76"/>
      <c r="H56" s="57"/>
      <c r="I56" s="57"/>
      <c r="J56" s="57"/>
      <c r="K56" s="12" t="s">
        <v>433</v>
      </c>
    </row>
    <row r="57">
      <c r="A57" s="75"/>
      <c r="B57" s="39"/>
      <c r="C57" s="39"/>
      <c r="D57" s="39"/>
      <c r="E57" s="54"/>
      <c r="F57" s="76"/>
      <c r="G57" s="76"/>
      <c r="H57" s="57"/>
      <c r="I57" s="57"/>
      <c r="J57" s="57"/>
      <c r="K57" s="12" t="s">
        <v>433</v>
      </c>
    </row>
    <row r="58">
      <c r="A58" s="39"/>
      <c r="B58" s="39"/>
      <c r="C58" s="39"/>
      <c r="D58" s="39"/>
      <c r="E58" s="54"/>
      <c r="F58" s="76"/>
      <c r="G58" s="76"/>
      <c r="H58" s="57"/>
      <c r="I58" s="57"/>
      <c r="J58" s="57"/>
      <c r="K58" s="12" t="s">
        <v>433</v>
      </c>
    </row>
    <row r="59">
      <c r="A59" s="54"/>
      <c r="B59" s="39"/>
      <c r="C59" s="39"/>
      <c r="D59" s="39"/>
      <c r="E59" s="54"/>
      <c r="F59" s="76"/>
      <c r="G59" s="76"/>
      <c r="H59" s="57"/>
      <c r="I59" s="57"/>
      <c r="J59" s="57"/>
      <c r="K59" s="12" t="s">
        <v>433</v>
      </c>
    </row>
    <row r="60">
      <c r="A60" s="39"/>
      <c r="B60" s="39"/>
      <c r="C60" s="39"/>
      <c r="D60" s="39"/>
      <c r="E60" s="39"/>
      <c r="F60" s="76"/>
      <c r="G60" s="76"/>
      <c r="H60" s="57"/>
      <c r="I60" s="39"/>
      <c r="J60" s="39"/>
      <c r="K60" s="12" t="s">
        <v>433</v>
      </c>
    </row>
    <row r="61">
      <c r="A61" s="54"/>
      <c r="B61" s="39"/>
      <c r="C61" s="39"/>
      <c r="D61" s="79"/>
      <c r="E61" s="54"/>
      <c r="F61" s="39"/>
      <c r="G61" s="76"/>
      <c r="H61" s="57"/>
      <c r="I61" s="57"/>
      <c r="J61" s="57"/>
      <c r="K61" s="12" t="s">
        <v>433</v>
      </c>
    </row>
    <row r="62">
      <c r="A62" s="54"/>
      <c r="B62" s="39"/>
      <c r="C62" s="39"/>
      <c r="D62" s="39"/>
      <c r="E62" s="39"/>
      <c r="F62" s="76"/>
      <c r="G62" s="76"/>
      <c r="H62" s="57"/>
      <c r="I62" s="57"/>
      <c r="J62" s="57"/>
      <c r="K62" s="12" t="s">
        <v>433</v>
      </c>
    </row>
    <row r="63">
      <c r="A63" s="54"/>
      <c r="B63" s="39"/>
      <c r="C63" s="39"/>
      <c r="D63" s="39"/>
      <c r="E63" s="54"/>
      <c r="F63" s="39"/>
      <c r="G63" s="76"/>
      <c r="H63" s="57"/>
      <c r="I63" s="57"/>
      <c r="J63" s="57"/>
      <c r="K63" s="12" t="s">
        <v>433</v>
      </c>
    </row>
    <row r="64">
      <c r="A64" s="39"/>
      <c r="B64" s="39"/>
      <c r="C64" s="39"/>
      <c r="D64" s="39"/>
      <c r="E64" s="54"/>
      <c r="F64" s="39"/>
      <c r="G64" s="76"/>
      <c r="H64" s="57"/>
      <c r="I64" s="57"/>
      <c r="J64" s="57"/>
      <c r="K64" s="12" t="s">
        <v>433</v>
      </c>
    </row>
    <row r="65">
      <c r="A65" s="39"/>
      <c r="B65" s="39"/>
      <c r="C65" s="39"/>
      <c r="D65" s="39"/>
      <c r="E65" s="39"/>
      <c r="F65" s="39"/>
      <c r="G65" s="76"/>
      <c r="H65" s="57"/>
      <c r="I65" s="57"/>
      <c r="J65" s="57"/>
      <c r="K65" s="12" t="s">
        <v>433</v>
      </c>
    </row>
    <row r="66">
      <c r="A66" s="54"/>
      <c r="B66" s="39"/>
      <c r="C66" s="39"/>
      <c r="D66" s="39"/>
      <c r="E66" s="54"/>
      <c r="F66" s="77"/>
      <c r="G66" s="76"/>
      <c r="H66" s="57"/>
      <c r="I66" s="57"/>
      <c r="J66" s="57"/>
      <c r="K66" s="12" t="s">
        <v>433</v>
      </c>
    </row>
    <row r="67">
      <c r="A67" s="39"/>
      <c r="B67" s="39"/>
      <c r="C67" s="39"/>
      <c r="D67" s="39"/>
      <c r="E67" s="39"/>
      <c r="F67" s="76"/>
      <c r="G67" s="76"/>
      <c r="H67" s="57"/>
      <c r="I67" s="57"/>
      <c r="J67" s="57"/>
      <c r="K67" s="12" t="s">
        <v>433</v>
      </c>
    </row>
    <row r="68">
      <c r="A68" s="39"/>
      <c r="B68" s="39"/>
      <c r="C68" s="39"/>
      <c r="D68" s="39"/>
      <c r="E68" s="39"/>
      <c r="F68" s="39"/>
      <c r="G68" s="76"/>
      <c r="H68" s="57"/>
      <c r="I68" s="57"/>
      <c r="J68" s="57"/>
      <c r="K68" s="12" t="s">
        <v>433</v>
      </c>
    </row>
    <row r="69">
      <c r="A69" s="39"/>
      <c r="B69" s="39"/>
      <c r="C69" s="39"/>
      <c r="D69" s="39"/>
      <c r="E69" s="39"/>
      <c r="F69" s="76"/>
      <c r="G69" s="76"/>
      <c r="H69" s="57"/>
      <c r="I69" s="57"/>
      <c r="J69" s="57"/>
      <c r="K69" s="12" t="s">
        <v>433</v>
      </c>
    </row>
    <row r="70">
      <c r="A70" s="39"/>
      <c r="B70" s="39"/>
      <c r="C70" s="39"/>
      <c r="D70" s="78"/>
      <c r="E70" s="54"/>
      <c r="F70" s="76"/>
      <c r="G70" s="76"/>
      <c r="H70" s="62"/>
      <c r="I70" s="62"/>
      <c r="J70" s="62"/>
      <c r="K70" s="12" t="s">
        <v>433</v>
      </c>
    </row>
    <row r="71">
      <c r="A71" s="39"/>
      <c r="B71" s="39"/>
      <c r="C71" s="39"/>
      <c r="D71" s="39"/>
      <c r="E71" s="39"/>
      <c r="F71" s="39"/>
      <c r="G71" s="76"/>
      <c r="H71" s="57"/>
      <c r="I71" s="39"/>
      <c r="J71" s="39"/>
      <c r="K71" s="12" t="s">
        <v>433</v>
      </c>
    </row>
    <row r="72">
      <c r="A72" s="39"/>
      <c r="B72" s="39"/>
      <c r="C72" s="39"/>
      <c r="D72" s="39"/>
      <c r="E72" s="54"/>
      <c r="F72" s="39"/>
      <c r="G72" s="76"/>
      <c r="H72" s="57"/>
      <c r="I72" s="39"/>
      <c r="J72" s="39"/>
      <c r="K72" s="12" t="s">
        <v>433</v>
      </c>
    </row>
    <row r="73">
      <c r="A73" s="39"/>
      <c r="B73" s="39"/>
      <c r="C73" s="39"/>
      <c r="D73" s="39"/>
      <c r="E73" s="39"/>
      <c r="F73" s="39"/>
      <c r="G73" s="76"/>
      <c r="H73" s="57"/>
      <c r="I73" s="57"/>
      <c r="J73" s="57"/>
      <c r="K73" s="12" t="s">
        <v>433</v>
      </c>
    </row>
    <row r="74">
      <c r="A74" s="39"/>
      <c r="B74" s="39"/>
      <c r="C74" s="39"/>
      <c r="D74" s="39"/>
      <c r="E74" s="39"/>
      <c r="F74" s="76"/>
      <c r="G74" s="76"/>
      <c r="H74" s="57"/>
      <c r="I74" s="57"/>
      <c r="J74" s="57"/>
      <c r="K74" s="12" t="s">
        <v>433</v>
      </c>
    </row>
    <row r="75">
      <c r="A75" s="39"/>
      <c r="B75" s="39"/>
      <c r="C75" s="39"/>
      <c r="D75" s="39"/>
      <c r="E75" s="54"/>
      <c r="F75" s="39"/>
      <c r="G75" s="76"/>
      <c r="H75" s="57"/>
      <c r="I75" s="57"/>
      <c r="J75" s="57"/>
      <c r="K75" s="12" t="s">
        <v>433</v>
      </c>
    </row>
    <row r="76">
      <c r="A76" s="39"/>
      <c r="B76" s="39"/>
      <c r="C76" s="39"/>
      <c r="D76" s="39"/>
      <c r="E76" s="54"/>
      <c r="F76" s="39"/>
      <c r="G76" s="76"/>
      <c r="H76" s="57"/>
      <c r="I76" s="57"/>
      <c r="J76" s="57"/>
      <c r="K76" s="12" t="s">
        <v>433</v>
      </c>
    </row>
    <row r="77">
      <c r="A77" s="39"/>
      <c r="B77" s="39"/>
      <c r="C77" s="39"/>
      <c r="D77" s="39"/>
      <c r="E77" s="54"/>
      <c r="F77" s="39"/>
      <c r="G77" s="76"/>
      <c r="H77" s="57"/>
      <c r="I77" s="57"/>
      <c r="J77" s="57"/>
      <c r="K77" s="12" t="s">
        <v>433</v>
      </c>
    </row>
    <row r="78">
      <c r="A78" s="54"/>
      <c r="B78" s="39"/>
      <c r="C78" s="39"/>
      <c r="D78" s="39"/>
      <c r="E78" s="54"/>
      <c r="F78" s="76"/>
      <c r="G78" s="76"/>
      <c r="H78" s="57"/>
      <c r="I78" s="57"/>
      <c r="J78" s="57"/>
      <c r="K78" s="12" t="s">
        <v>433</v>
      </c>
    </row>
    <row r="79">
      <c r="A79" s="75"/>
      <c r="B79" s="39"/>
      <c r="C79" s="39"/>
      <c r="D79" s="39"/>
      <c r="E79" s="54"/>
      <c r="F79" s="39"/>
      <c r="G79" s="76"/>
      <c r="H79" s="57"/>
      <c r="I79" s="57"/>
      <c r="J79" s="57"/>
      <c r="K79" s="12" t="s">
        <v>433</v>
      </c>
    </row>
    <row r="80">
      <c r="A80" s="54"/>
      <c r="B80" s="39"/>
      <c r="C80" s="39"/>
      <c r="D80" s="39"/>
      <c r="E80" s="54"/>
      <c r="F80" s="76"/>
      <c r="G80" s="76"/>
      <c r="H80" s="57"/>
      <c r="I80" s="57"/>
      <c r="J80" s="57"/>
      <c r="K80" s="12" t="s">
        <v>433</v>
      </c>
    </row>
    <row r="81">
      <c r="A81" s="39"/>
      <c r="B81" s="39"/>
      <c r="C81" s="39"/>
      <c r="D81" s="39"/>
      <c r="E81" s="39"/>
      <c r="F81" s="76"/>
      <c r="G81" s="76"/>
      <c r="H81" s="57"/>
      <c r="I81" s="57"/>
      <c r="J81" s="57"/>
      <c r="K81" s="12" t="s">
        <v>433</v>
      </c>
    </row>
    <row r="82">
      <c r="A82" s="39"/>
      <c r="B82" s="39"/>
      <c r="C82" s="39"/>
      <c r="D82" s="39"/>
      <c r="E82" s="39"/>
      <c r="F82" s="76"/>
      <c r="G82" s="76"/>
      <c r="H82" s="57"/>
      <c r="I82" s="57"/>
      <c r="J82" s="57"/>
      <c r="K82" s="12" t="s">
        <v>433</v>
      </c>
    </row>
    <row r="83">
      <c r="A83" s="39"/>
      <c r="B83" s="39"/>
      <c r="C83" s="39"/>
      <c r="D83" s="39"/>
      <c r="E83" s="54"/>
      <c r="F83" s="76"/>
      <c r="G83" s="76"/>
      <c r="H83" s="57"/>
      <c r="I83" s="57"/>
      <c r="J83" s="57"/>
      <c r="K83" s="12" t="s">
        <v>433</v>
      </c>
    </row>
    <row r="84">
      <c r="A84" s="39"/>
      <c r="B84" s="39"/>
      <c r="C84" s="39"/>
      <c r="D84" s="39"/>
      <c r="E84" s="54"/>
      <c r="F84" s="76"/>
      <c r="G84" s="76"/>
      <c r="H84" s="57"/>
      <c r="I84" s="57"/>
      <c r="J84" s="57"/>
      <c r="K84" s="12" t="s">
        <v>433</v>
      </c>
    </row>
    <row r="85">
      <c r="A85" s="54"/>
      <c r="B85" s="39"/>
      <c r="C85" s="39"/>
      <c r="D85" s="39"/>
      <c r="E85" s="54"/>
      <c r="F85" s="77"/>
      <c r="G85" s="76"/>
      <c r="H85" s="57"/>
      <c r="I85" s="57"/>
      <c r="J85" s="57"/>
      <c r="K85" s="12" t="s">
        <v>433</v>
      </c>
    </row>
    <row r="86">
      <c r="A86" s="39"/>
      <c r="B86" s="39"/>
      <c r="C86" s="39"/>
      <c r="D86" s="39"/>
      <c r="E86" s="39"/>
      <c r="F86" s="39"/>
      <c r="G86" s="76"/>
      <c r="H86" s="57"/>
      <c r="I86" s="57"/>
      <c r="J86" s="57"/>
      <c r="K86" s="12" t="s">
        <v>433</v>
      </c>
    </row>
    <row r="87">
      <c r="A87" s="54"/>
      <c r="B87" s="39"/>
      <c r="C87" s="39"/>
      <c r="D87" s="39"/>
      <c r="E87" s="39"/>
      <c r="F87" s="76"/>
      <c r="G87" s="76"/>
      <c r="H87" s="57"/>
      <c r="I87" s="57"/>
      <c r="J87" s="57"/>
      <c r="K87" s="12" t="s">
        <v>433</v>
      </c>
    </row>
    <row r="88">
      <c r="A88" s="54"/>
      <c r="B88" s="39"/>
      <c r="C88" s="39"/>
      <c r="D88" s="39"/>
      <c r="E88" s="39"/>
      <c r="F88" s="39"/>
      <c r="G88" s="76"/>
      <c r="H88" s="57"/>
      <c r="I88" s="57"/>
      <c r="J88" s="57"/>
      <c r="K88" s="12" t="s">
        <v>433</v>
      </c>
    </row>
    <row r="89">
      <c r="A89" s="39"/>
      <c r="B89" s="39"/>
      <c r="C89" s="39"/>
      <c r="D89" s="39"/>
      <c r="E89" s="54"/>
      <c r="F89" s="54"/>
      <c r="G89" s="76"/>
      <c r="H89" s="57"/>
      <c r="I89" s="57"/>
      <c r="J89" s="57"/>
      <c r="K89" s="12" t="s">
        <v>433</v>
      </c>
    </row>
    <row r="90">
      <c r="A90" s="39"/>
      <c r="B90" s="39"/>
      <c r="C90" s="39"/>
      <c r="D90" s="39"/>
      <c r="E90" s="39"/>
      <c r="F90" s="76"/>
      <c r="G90" s="76"/>
      <c r="H90" s="57"/>
      <c r="I90" s="57"/>
      <c r="J90" s="57"/>
      <c r="K90" s="12" t="s">
        <v>433</v>
      </c>
    </row>
    <row r="91">
      <c r="A91" s="39"/>
      <c r="B91" s="39"/>
      <c r="C91" s="39"/>
      <c r="D91" s="39"/>
      <c r="E91" s="54"/>
      <c r="F91" s="77"/>
      <c r="G91" s="76"/>
      <c r="H91" s="57"/>
      <c r="I91" s="57"/>
      <c r="J91" s="57"/>
      <c r="K91" s="12" t="s">
        <v>433</v>
      </c>
    </row>
    <row r="92">
      <c r="A92" s="39"/>
      <c r="B92" s="39"/>
      <c r="C92" s="39"/>
      <c r="D92" s="39"/>
      <c r="E92" s="39"/>
      <c r="F92" s="76"/>
      <c r="G92" s="76"/>
      <c r="H92" s="57"/>
      <c r="I92" s="57"/>
      <c r="J92" s="57"/>
      <c r="K92" s="12" t="s">
        <v>433</v>
      </c>
    </row>
    <row r="93">
      <c r="A93" s="54"/>
      <c r="B93" s="39"/>
      <c r="C93" s="39"/>
      <c r="D93" s="39"/>
      <c r="E93" s="54"/>
      <c r="F93" s="39"/>
      <c r="G93" s="76"/>
      <c r="H93" s="57"/>
      <c r="I93" s="57"/>
      <c r="J93" s="57"/>
      <c r="K93" s="12" t="s">
        <v>433</v>
      </c>
    </row>
    <row r="94">
      <c r="A94" s="39"/>
      <c r="B94" s="39"/>
      <c r="C94" s="39"/>
      <c r="D94" s="39"/>
      <c r="E94" s="54"/>
      <c r="F94" s="54"/>
      <c r="G94" s="76"/>
      <c r="H94" s="57"/>
      <c r="I94" s="57"/>
      <c r="J94" s="57"/>
      <c r="K94" s="12" t="s">
        <v>433</v>
      </c>
    </row>
    <row r="95">
      <c r="A95" s="39"/>
      <c r="B95" s="39"/>
      <c r="C95" s="39"/>
      <c r="D95" s="39"/>
      <c r="E95" s="39"/>
      <c r="F95" s="76"/>
      <c r="G95" s="76"/>
      <c r="H95" s="57"/>
      <c r="I95" s="57"/>
      <c r="J95" s="57"/>
      <c r="K95" s="12" t="s">
        <v>433</v>
      </c>
    </row>
    <row r="96">
      <c r="A96" s="54"/>
      <c r="B96" s="39"/>
      <c r="C96" s="39"/>
      <c r="D96" s="39"/>
      <c r="E96" s="39"/>
      <c r="F96" s="76"/>
      <c r="G96" s="76"/>
      <c r="H96" s="57"/>
      <c r="I96" s="57"/>
      <c r="J96" s="57"/>
      <c r="K96" s="12" t="s">
        <v>433</v>
      </c>
    </row>
    <row r="97">
      <c r="A97" s="39"/>
      <c r="B97" s="39"/>
      <c r="C97" s="39"/>
      <c r="D97" s="39"/>
      <c r="E97" s="39"/>
      <c r="F97" s="76"/>
      <c r="G97" s="76"/>
      <c r="H97" s="57"/>
      <c r="I97" s="57"/>
      <c r="J97" s="57"/>
      <c r="K97" s="12" t="s">
        <v>433</v>
      </c>
    </row>
    <row r="98">
      <c r="A98" s="39"/>
      <c r="B98" s="39"/>
      <c r="C98" s="39"/>
      <c r="D98" s="39"/>
      <c r="E98" s="54"/>
      <c r="F98" s="54"/>
      <c r="G98" s="76"/>
      <c r="H98" s="57"/>
      <c r="I98" s="57"/>
      <c r="J98" s="57"/>
      <c r="K98" s="12" t="s">
        <v>433</v>
      </c>
    </row>
    <row r="99">
      <c r="A99" s="39"/>
      <c r="B99" s="39"/>
      <c r="C99" s="39"/>
      <c r="D99" s="39"/>
      <c r="E99" s="39"/>
      <c r="F99" s="54"/>
      <c r="G99" s="76"/>
      <c r="H99" s="57"/>
      <c r="I99" s="39"/>
      <c r="J99" s="39"/>
      <c r="K99" s="12" t="s">
        <v>433</v>
      </c>
    </row>
    <row r="100">
      <c r="A100" s="54"/>
      <c r="B100" s="39"/>
      <c r="C100" s="39"/>
      <c r="D100" s="39"/>
      <c r="E100" s="39"/>
      <c r="F100" s="54"/>
      <c r="G100" s="76"/>
      <c r="H100" s="57"/>
      <c r="I100" s="57"/>
      <c r="J100" s="57"/>
      <c r="K100" s="12" t="s">
        <v>433</v>
      </c>
    </row>
    <row r="101">
      <c r="A101" s="39"/>
      <c r="B101" s="39"/>
      <c r="C101" s="39"/>
      <c r="D101" s="39"/>
      <c r="E101" s="39"/>
      <c r="F101" s="54"/>
      <c r="G101" s="76"/>
      <c r="H101" s="57"/>
      <c r="I101" s="57"/>
      <c r="J101" s="57"/>
      <c r="K101" s="12" t="s">
        <v>433</v>
      </c>
    </row>
    <row r="102">
      <c r="A102" s="39"/>
      <c r="B102" s="39"/>
      <c r="C102" s="39"/>
      <c r="D102" s="39"/>
      <c r="E102" s="39"/>
      <c r="F102" s="54"/>
      <c r="G102" s="76"/>
      <c r="H102" s="57"/>
      <c r="I102" s="39"/>
      <c r="J102" s="39"/>
      <c r="K102" s="12" t="s">
        <v>433</v>
      </c>
    </row>
    <row r="103">
      <c r="A103" s="39"/>
      <c r="B103" s="39"/>
      <c r="C103" s="39"/>
      <c r="D103" s="39"/>
      <c r="E103" s="54"/>
      <c r="F103" s="54"/>
      <c r="G103" s="76"/>
      <c r="H103" s="57"/>
      <c r="I103" s="57"/>
      <c r="J103" s="57"/>
      <c r="K103" s="12" t="s">
        <v>433</v>
      </c>
    </row>
    <row r="104">
      <c r="A104" s="39"/>
      <c r="B104" s="39"/>
      <c r="C104" s="39"/>
      <c r="D104" s="39"/>
      <c r="E104" s="54"/>
      <c r="F104" s="54"/>
      <c r="G104" s="76"/>
      <c r="H104" s="57"/>
      <c r="I104" s="57"/>
      <c r="J104" s="57"/>
      <c r="K104" s="12" t="s">
        <v>433</v>
      </c>
    </row>
    <row r="105">
      <c r="A105" s="54"/>
      <c r="B105" s="39"/>
      <c r="C105" s="39"/>
      <c r="D105" s="39"/>
      <c r="E105" s="54"/>
      <c r="F105" s="54"/>
      <c r="G105" s="76"/>
      <c r="H105" s="57"/>
      <c r="I105" s="39"/>
      <c r="J105" s="39"/>
      <c r="K105" s="12" t="s">
        <v>433</v>
      </c>
    </row>
    <row r="106">
      <c r="A106" s="39"/>
      <c r="B106" s="39"/>
      <c r="C106" s="39"/>
      <c r="D106" s="39"/>
      <c r="E106" s="54"/>
      <c r="F106" s="54"/>
      <c r="G106" s="76"/>
      <c r="H106" s="57"/>
      <c r="I106" s="39"/>
      <c r="J106" s="39"/>
      <c r="K106" s="12" t="s">
        <v>433</v>
      </c>
    </row>
    <row r="107">
      <c r="A107" s="39"/>
      <c r="B107" s="39"/>
      <c r="C107" s="39"/>
      <c r="D107" s="39"/>
      <c r="E107" s="39"/>
      <c r="F107" s="54"/>
      <c r="G107" s="76"/>
      <c r="H107" s="57"/>
      <c r="I107" s="57"/>
      <c r="J107" s="57"/>
      <c r="K107" s="12" t="s">
        <v>433</v>
      </c>
    </row>
    <row r="108">
      <c r="A108" s="54"/>
      <c r="B108" s="39"/>
      <c r="C108" s="39"/>
      <c r="D108" s="39"/>
      <c r="E108" s="54"/>
      <c r="F108" s="54"/>
      <c r="G108" s="76"/>
      <c r="H108" s="57"/>
      <c r="I108" s="39"/>
      <c r="J108" s="39"/>
      <c r="K108" s="12" t="s">
        <v>433</v>
      </c>
    </row>
    <row r="109">
      <c r="A109" s="39"/>
      <c r="B109" s="39"/>
      <c r="C109" s="39"/>
      <c r="D109" s="39"/>
      <c r="E109" s="39"/>
      <c r="F109" s="54"/>
      <c r="G109" s="76"/>
      <c r="H109" s="57"/>
      <c r="I109" s="57"/>
      <c r="J109" s="57"/>
      <c r="K109" s="12" t="s">
        <v>433</v>
      </c>
    </row>
  </sheetData>
  <hyperlinks>
    <hyperlink r:id="rId1" ref="H2"/>
    <hyperlink r:id="rId2" ref="I2"/>
    <hyperlink r:id="rId3" ref="H3"/>
    <hyperlink r:id="rId4" ref="I3"/>
    <hyperlink r:id="rId5" ref="H4"/>
    <hyperlink r:id="rId6" ref="I4"/>
    <hyperlink r:id="rId7" ref="H5"/>
    <hyperlink r:id="rId8" ref="I5"/>
    <hyperlink r:id="rId9" ref="H6"/>
    <hyperlink r:id="rId10" ref="I6"/>
    <hyperlink r:id="rId11" ref="H7"/>
    <hyperlink r:id="rId12" ref="I7"/>
    <hyperlink r:id="rId13" ref="H8"/>
    <hyperlink r:id="rId14" ref="I8"/>
    <hyperlink r:id="rId15" ref="H9"/>
    <hyperlink r:id="rId16" ref="I9"/>
    <hyperlink r:id="rId17" ref="H10"/>
    <hyperlink r:id="rId18" ref="I10"/>
    <hyperlink r:id="rId19" ref="H11"/>
    <hyperlink r:id="rId20" ref="I11"/>
    <hyperlink r:id="rId21" ref="H12"/>
    <hyperlink r:id="rId22" ref="I12"/>
    <hyperlink r:id="rId23" ref="H13"/>
    <hyperlink r:id="rId24" ref="I13"/>
  </hyperlinks>
  <drawing r:id="rId25"/>
</worksheet>
</file>