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m2025\"/>
    </mc:Choice>
  </mc:AlternateContent>
  <bookViews>
    <workbookView xWindow="240" yWindow="105" windowWidth="15150" windowHeight="7335" activeTab="2"/>
  </bookViews>
  <sheets>
    <sheet name="نتائج الشهادة من الرقمنة" sheetId="3" r:id="rId1"/>
    <sheet name="نتائج الشهادة. المعدلات السنوية" sheetId="1" r:id="rId2"/>
    <sheet name="تحليل الشهادة + التقويم المستمر" sheetId="2" r:id="rId3"/>
    <sheet name="المعايرة الاحصائية" sheetId="4" r:id="rId4"/>
  </sheets>
  <calcPr calcId="152511"/>
</workbook>
</file>

<file path=xl/calcChain.xml><?xml version="1.0" encoding="utf-8"?>
<calcChain xmlns="http://schemas.openxmlformats.org/spreadsheetml/2006/main">
  <c r="AH39" i="1" l="1"/>
  <c r="D204" i="2" l="1"/>
  <c r="D203" i="2"/>
  <c r="D202" i="2"/>
  <c r="D201" i="2"/>
  <c r="D200" i="2"/>
  <c r="D199" i="2"/>
  <c r="D198" i="2"/>
  <c r="D197" i="2"/>
  <c r="D196" i="2"/>
  <c r="D195" i="2"/>
  <c r="E46" i="2"/>
  <c r="E47" i="2"/>
  <c r="A25" i="1"/>
  <c r="A29" i="1"/>
  <c r="A47" i="1"/>
  <c r="A28" i="1"/>
  <c r="A14" i="1"/>
  <c r="A39" i="1"/>
  <c r="A24" i="1"/>
  <c r="A30" i="1"/>
  <c r="A9" i="1"/>
  <c r="A31" i="1"/>
  <c r="A48" i="1"/>
  <c r="A50" i="1"/>
  <c r="A51" i="1"/>
  <c r="A27" i="1"/>
  <c r="A20" i="1"/>
  <c r="A22" i="1"/>
  <c r="A23" i="1"/>
  <c r="A15" i="1"/>
  <c r="A33" i="1"/>
  <c r="A42" i="1"/>
  <c r="A38" i="1"/>
  <c r="A37" i="1"/>
  <c r="A10" i="1"/>
  <c r="A46" i="1"/>
  <c r="A21" i="1"/>
  <c r="A5" i="1"/>
  <c r="A43" i="1"/>
  <c r="A41" i="1"/>
  <c r="A18" i="1"/>
  <c r="A13" i="1"/>
  <c r="A49" i="1"/>
  <c r="A36" i="1"/>
  <c r="A26" i="1"/>
  <c r="A32" i="1"/>
  <c r="A7" i="1"/>
  <c r="A8" i="1"/>
  <c r="A16" i="1"/>
  <c r="A45" i="1"/>
  <c r="A17" i="1"/>
  <c r="A35" i="1"/>
  <c r="A6" i="1"/>
  <c r="A44" i="1"/>
  <c r="A40" i="1"/>
  <c r="A12" i="1"/>
  <c r="A19" i="1"/>
  <c r="A11" i="1"/>
  <c r="A3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47" i="1"/>
  <c r="C47" i="1"/>
  <c r="D47" i="1"/>
  <c r="E47" i="1"/>
  <c r="F47" i="1"/>
  <c r="S8" i="1" s="1"/>
  <c r="G47" i="1"/>
  <c r="H47" i="1"/>
  <c r="I47" i="1"/>
  <c r="J47" i="1"/>
  <c r="K47" i="1"/>
  <c r="L47" i="1"/>
  <c r="M47" i="1"/>
  <c r="N47" i="1"/>
  <c r="O47" i="1"/>
  <c r="P47" i="1"/>
  <c r="B28" i="1"/>
  <c r="C28" i="1"/>
  <c r="D28" i="1"/>
  <c r="E28" i="1"/>
  <c r="R28" i="1" s="1"/>
  <c r="F28" i="1"/>
  <c r="G28" i="1"/>
  <c r="H28" i="1"/>
  <c r="I28" i="1"/>
  <c r="J28" i="1"/>
  <c r="K28" i="1"/>
  <c r="L28" i="1"/>
  <c r="M28" i="1"/>
  <c r="N28" i="1"/>
  <c r="O28" i="1"/>
  <c r="P28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24" i="1"/>
  <c r="C24" i="1"/>
  <c r="D24" i="1"/>
  <c r="E24" i="1"/>
  <c r="F24" i="1"/>
  <c r="S12" i="1" s="1"/>
  <c r="G24" i="1"/>
  <c r="H24" i="1"/>
  <c r="I24" i="1"/>
  <c r="J24" i="1"/>
  <c r="K24" i="1"/>
  <c r="L24" i="1"/>
  <c r="M24" i="1"/>
  <c r="N24" i="1"/>
  <c r="O24" i="1"/>
  <c r="P24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9" i="1"/>
  <c r="C9" i="1"/>
  <c r="D9" i="1"/>
  <c r="E9" i="1"/>
  <c r="R14" i="1" s="1"/>
  <c r="F9" i="1"/>
  <c r="S14" i="1" s="1"/>
  <c r="G9" i="1"/>
  <c r="H9" i="1"/>
  <c r="I9" i="1"/>
  <c r="J9" i="1"/>
  <c r="K9" i="1"/>
  <c r="L9" i="1"/>
  <c r="M9" i="1"/>
  <c r="N9" i="1"/>
  <c r="O9" i="1"/>
  <c r="P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0" i="1"/>
  <c r="C20" i="1"/>
  <c r="D20" i="1"/>
  <c r="E20" i="1"/>
  <c r="F20" i="1"/>
  <c r="S20" i="1" s="1"/>
  <c r="G20" i="1"/>
  <c r="H20" i="1"/>
  <c r="I20" i="1"/>
  <c r="J20" i="1"/>
  <c r="K20" i="1"/>
  <c r="L20" i="1"/>
  <c r="M20" i="1"/>
  <c r="N20" i="1"/>
  <c r="O20" i="1"/>
  <c r="P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S22" i="1" s="1"/>
  <c r="G23" i="1"/>
  <c r="H23" i="1"/>
  <c r="I23" i="1"/>
  <c r="J23" i="1"/>
  <c r="K23" i="1"/>
  <c r="L23" i="1"/>
  <c r="M23" i="1"/>
  <c r="N23" i="1"/>
  <c r="O23" i="1"/>
  <c r="P2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33" i="1"/>
  <c r="C33" i="1"/>
  <c r="D33" i="1"/>
  <c r="E33" i="1"/>
  <c r="F33" i="1"/>
  <c r="S24" i="1" s="1"/>
  <c r="G33" i="1"/>
  <c r="H33" i="1"/>
  <c r="I33" i="1"/>
  <c r="J33" i="1"/>
  <c r="K33" i="1"/>
  <c r="L33" i="1"/>
  <c r="M33" i="1"/>
  <c r="N33" i="1"/>
  <c r="O33" i="1"/>
  <c r="P3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7" i="1"/>
  <c r="C37" i="1"/>
  <c r="D37" i="1"/>
  <c r="E37" i="1"/>
  <c r="F37" i="1"/>
  <c r="S27" i="1" s="1"/>
  <c r="G37" i="1"/>
  <c r="H37" i="1"/>
  <c r="I37" i="1"/>
  <c r="J37" i="1"/>
  <c r="K37" i="1"/>
  <c r="L37" i="1"/>
  <c r="M37" i="1"/>
  <c r="N37" i="1"/>
  <c r="O37" i="1"/>
  <c r="P37" i="1"/>
  <c r="B10" i="1"/>
  <c r="C10" i="1"/>
  <c r="D10" i="1"/>
  <c r="E10" i="1"/>
  <c r="F10" i="1"/>
  <c r="S28" i="1" s="1"/>
  <c r="G10" i="1"/>
  <c r="H10" i="1"/>
  <c r="I10" i="1"/>
  <c r="J10" i="1"/>
  <c r="K10" i="1"/>
  <c r="L10" i="1"/>
  <c r="M10" i="1"/>
  <c r="N10" i="1"/>
  <c r="O10" i="1"/>
  <c r="P10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21" i="1"/>
  <c r="C21" i="1"/>
  <c r="D21" i="1"/>
  <c r="E21" i="1"/>
  <c r="F21" i="1"/>
  <c r="S30" i="1" s="1"/>
  <c r="G21" i="1"/>
  <c r="H21" i="1"/>
  <c r="I21" i="1"/>
  <c r="J21" i="1"/>
  <c r="K21" i="1"/>
  <c r="L21" i="1"/>
  <c r="M21" i="1"/>
  <c r="N21" i="1"/>
  <c r="O21" i="1"/>
  <c r="P21" i="1"/>
  <c r="B5" i="1"/>
  <c r="C5" i="1"/>
  <c r="D5" i="1"/>
  <c r="E5" i="1"/>
  <c r="F5" i="1"/>
  <c r="S31" i="1" s="1"/>
  <c r="G5" i="1"/>
  <c r="H5" i="1"/>
  <c r="I5" i="1"/>
  <c r="J5" i="1"/>
  <c r="K5" i="1"/>
  <c r="L5" i="1"/>
  <c r="M5" i="1"/>
  <c r="N5" i="1"/>
  <c r="O5" i="1"/>
  <c r="P5" i="1"/>
  <c r="B43" i="1"/>
  <c r="C43" i="1"/>
  <c r="D43" i="1"/>
  <c r="E43" i="1"/>
  <c r="F43" i="1"/>
  <c r="S32" i="1" s="1"/>
  <c r="G43" i="1"/>
  <c r="H43" i="1"/>
  <c r="I43" i="1"/>
  <c r="J43" i="1"/>
  <c r="K43" i="1"/>
  <c r="L43" i="1"/>
  <c r="M43" i="1"/>
  <c r="N43" i="1"/>
  <c r="O43" i="1"/>
  <c r="P43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18" i="1"/>
  <c r="C18" i="1"/>
  <c r="D18" i="1"/>
  <c r="E18" i="1"/>
  <c r="F18" i="1"/>
  <c r="S34" i="1" s="1"/>
  <c r="G18" i="1"/>
  <c r="H18" i="1"/>
  <c r="I18" i="1"/>
  <c r="J18" i="1"/>
  <c r="K18" i="1"/>
  <c r="L18" i="1"/>
  <c r="M18" i="1"/>
  <c r="N18" i="1"/>
  <c r="O18" i="1"/>
  <c r="P18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49" i="1"/>
  <c r="C49" i="1"/>
  <c r="D49" i="1"/>
  <c r="E49" i="1"/>
  <c r="F49" i="1"/>
  <c r="S36" i="1" s="1"/>
  <c r="G49" i="1"/>
  <c r="H49" i="1"/>
  <c r="I49" i="1"/>
  <c r="J49" i="1"/>
  <c r="K49" i="1"/>
  <c r="L49" i="1"/>
  <c r="M49" i="1"/>
  <c r="N49" i="1"/>
  <c r="O49" i="1"/>
  <c r="P49" i="1"/>
  <c r="B36" i="1"/>
  <c r="C36" i="1"/>
  <c r="D36" i="1"/>
  <c r="E36" i="1"/>
  <c r="R36" i="1" s="1"/>
  <c r="F36" i="1"/>
  <c r="G36" i="1"/>
  <c r="H36" i="1"/>
  <c r="I36" i="1"/>
  <c r="J36" i="1"/>
  <c r="K36" i="1"/>
  <c r="L36" i="1"/>
  <c r="M36" i="1"/>
  <c r="N36" i="1"/>
  <c r="O36" i="1"/>
  <c r="P36" i="1"/>
  <c r="B26" i="1"/>
  <c r="C26" i="1"/>
  <c r="D26" i="1"/>
  <c r="E26" i="1"/>
  <c r="R38" i="1" s="1"/>
  <c r="F26" i="1"/>
  <c r="S38" i="1" s="1"/>
  <c r="G26" i="1"/>
  <c r="H26" i="1"/>
  <c r="I26" i="1"/>
  <c r="J26" i="1"/>
  <c r="K26" i="1"/>
  <c r="L26" i="1"/>
  <c r="M26" i="1"/>
  <c r="N26" i="1"/>
  <c r="O26" i="1"/>
  <c r="P26" i="1"/>
  <c r="B32" i="1"/>
  <c r="C32" i="1"/>
  <c r="D32" i="1"/>
  <c r="E32" i="1"/>
  <c r="R32" i="1" s="1"/>
  <c r="F32" i="1"/>
  <c r="S39" i="1" s="1"/>
  <c r="G32" i="1"/>
  <c r="H32" i="1"/>
  <c r="I32" i="1"/>
  <c r="J32" i="1"/>
  <c r="K32" i="1"/>
  <c r="L32" i="1"/>
  <c r="M32" i="1"/>
  <c r="N32" i="1"/>
  <c r="O32" i="1"/>
  <c r="P32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R8" i="1" s="1"/>
  <c r="F8" i="1"/>
  <c r="G8" i="1"/>
  <c r="H8" i="1"/>
  <c r="I8" i="1"/>
  <c r="J8" i="1"/>
  <c r="K8" i="1"/>
  <c r="L8" i="1"/>
  <c r="M8" i="1"/>
  <c r="N8" i="1"/>
  <c r="O8" i="1"/>
  <c r="P8" i="1"/>
  <c r="B16" i="1"/>
  <c r="C16" i="1"/>
  <c r="D16" i="1"/>
  <c r="E16" i="1"/>
  <c r="F16" i="1"/>
  <c r="S42" i="1" s="1"/>
  <c r="G16" i="1"/>
  <c r="H16" i="1"/>
  <c r="I16" i="1"/>
  <c r="J16" i="1"/>
  <c r="K16" i="1"/>
  <c r="L16" i="1"/>
  <c r="M16" i="1"/>
  <c r="N16" i="1"/>
  <c r="O16" i="1"/>
  <c r="P16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17" i="1"/>
  <c r="C17" i="1"/>
  <c r="D17" i="1"/>
  <c r="E17" i="1"/>
  <c r="F17" i="1"/>
  <c r="S44" i="1" s="1"/>
  <c r="G17" i="1"/>
  <c r="H17" i="1"/>
  <c r="I17" i="1"/>
  <c r="J17" i="1"/>
  <c r="K17" i="1"/>
  <c r="L17" i="1"/>
  <c r="M17" i="1"/>
  <c r="N17" i="1"/>
  <c r="O17" i="1"/>
  <c r="P17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6" i="1"/>
  <c r="C6" i="1"/>
  <c r="D6" i="1"/>
  <c r="E6" i="1"/>
  <c r="F6" i="1"/>
  <c r="S46" i="1" s="1"/>
  <c r="G6" i="1"/>
  <c r="H6" i="1"/>
  <c r="I6" i="1"/>
  <c r="J6" i="1"/>
  <c r="K6" i="1"/>
  <c r="L6" i="1"/>
  <c r="M6" i="1"/>
  <c r="N6" i="1"/>
  <c r="O6" i="1"/>
  <c r="P6" i="1"/>
  <c r="B44" i="1"/>
  <c r="C44" i="1"/>
  <c r="D44" i="1"/>
  <c r="E44" i="1"/>
  <c r="R44" i="1" s="1"/>
  <c r="F44" i="1"/>
  <c r="G44" i="1"/>
  <c r="H44" i="1"/>
  <c r="I44" i="1"/>
  <c r="J44" i="1"/>
  <c r="K44" i="1"/>
  <c r="L44" i="1"/>
  <c r="M44" i="1"/>
  <c r="N44" i="1"/>
  <c r="O44" i="1"/>
  <c r="P44" i="1"/>
  <c r="B40" i="1"/>
  <c r="C40" i="1"/>
  <c r="D40" i="1"/>
  <c r="E40" i="1"/>
  <c r="F40" i="1"/>
  <c r="S48" i="1" s="1"/>
  <c r="G40" i="1"/>
  <c r="H40" i="1"/>
  <c r="I40" i="1"/>
  <c r="J40" i="1"/>
  <c r="K40" i="1"/>
  <c r="L40" i="1"/>
  <c r="M40" i="1"/>
  <c r="N40" i="1"/>
  <c r="O40" i="1"/>
  <c r="P40" i="1"/>
  <c r="B12" i="1"/>
  <c r="C12" i="1"/>
  <c r="D12" i="1"/>
  <c r="E12" i="1"/>
  <c r="R12" i="1" s="1"/>
  <c r="F12" i="1"/>
  <c r="G12" i="1"/>
  <c r="H12" i="1"/>
  <c r="I12" i="1"/>
  <c r="J12" i="1"/>
  <c r="K12" i="1"/>
  <c r="L12" i="1"/>
  <c r="M12" i="1"/>
  <c r="N12" i="1"/>
  <c r="O12" i="1"/>
  <c r="P12" i="1"/>
  <c r="B19" i="1"/>
  <c r="C19" i="1"/>
  <c r="D19" i="1"/>
  <c r="E19" i="1"/>
  <c r="F19" i="1"/>
  <c r="S50" i="1" s="1"/>
  <c r="G19" i="1"/>
  <c r="H19" i="1"/>
  <c r="I19" i="1"/>
  <c r="J19" i="1"/>
  <c r="K19" i="1"/>
  <c r="L19" i="1"/>
  <c r="M19" i="1"/>
  <c r="N19" i="1"/>
  <c r="O19" i="1"/>
  <c r="P1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G6" i="1"/>
  <c r="AG7" i="1"/>
  <c r="AG8" i="1"/>
  <c r="AG9" i="1"/>
  <c r="AH9" i="1" s="1"/>
  <c r="AG10" i="1"/>
  <c r="AH10" i="1" s="1"/>
  <c r="AG11" i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G18" i="1"/>
  <c r="AG19" i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G28" i="1"/>
  <c r="AH28" i="1" s="1"/>
  <c r="AG29" i="1"/>
  <c r="AH29" i="1" s="1"/>
  <c r="AG30" i="1"/>
  <c r="AG31" i="1"/>
  <c r="AG32" i="1"/>
  <c r="AH32" i="1" s="1"/>
  <c r="AG33" i="1"/>
  <c r="AG34" i="1"/>
  <c r="AG35" i="1"/>
  <c r="AG36" i="1"/>
  <c r="AH36" i="1" s="1"/>
  <c r="AG37" i="1"/>
  <c r="AG38" i="1"/>
  <c r="AH38" i="1" s="1"/>
  <c r="AG39" i="1"/>
  <c r="AG40" i="1"/>
  <c r="AG41" i="1"/>
  <c r="AG42" i="1"/>
  <c r="AH42" i="1" s="1"/>
  <c r="AG43" i="1"/>
  <c r="AG44" i="1"/>
  <c r="AG45" i="1"/>
  <c r="AG46" i="1"/>
  <c r="AH46" i="1" s="1"/>
  <c r="AG47" i="1"/>
  <c r="AG48" i="1"/>
  <c r="AH48" i="1" s="1"/>
  <c r="AG49" i="1"/>
  <c r="AG50" i="1"/>
  <c r="AH50" i="1" s="1"/>
  <c r="AG51" i="1"/>
  <c r="R7" i="1"/>
  <c r="R9" i="1"/>
  <c r="R11" i="1"/>
  <c r="R13" i="1"/>
  <c r="S13" i="1"/>
  <c r="R15" i="1"/>
  <c r="R16" i="1"/>
  <c r="R17" i="1"/>
  <c r="R19" i="1"/>
  <c r="R20" i="1"/>
  <c r="R21" i="1"/>
  <c r="R23" i="1"/>
  <c r="R24" i="1"/>
  <c r="R25" i="1"/>
  <c r="R27" i="1"/>
  <c r="R29" i="1"/>
  <c r="S29" i="1"/>
  <c r="R31" i="1"/>
  <c r="R33" i="1"/>
  <c r="R35" i="1"/>
  <c r="R37" i="1"/>
  <c r="S37" i="1"/>
  <c r="R39" i="1"/>
  <c r="R40" i="1"/>
  <c r="R41" i="1"/>
  <c r="S41" i="1"/>
  <c r="R43" i="1"/>
  <c r="R45" i="1"/>
  <c r="S45" i="1"/>
  <c r="R47" i="1"/>
  <c r="R48" i="1"/>
  <c r="R49" i="1"/>
  <c r="R51" i="1"/>
  <c r="F34" i="1"/>
  <c r="E34" i="1"/>
  <c r="AG5" i="1"/>
  <c r="S40" i="1" l="1"/>
  <c r="S26" i="1"/>
  <c r="S18" i="1"/>
  <c r="S16" i="1"/>
  <c r="S10" i="1"/>
  <c r="S6" i="1"/>
  <c r="S49" i="1"/>
  <c r="S33" i="1"/>
  <c r="S25" i="1"/>
  <c r="S21" i="1"/>
  <c r="S17" i="1"/>
  <c r="S9" i="1"/>
  <c r="S51" i="1"/>
  <c r="R50" i="1"/>
  <c r="S47" i="1"/>
  <c r="R46" i="1"/>
  <c r="S43" i="1"/>
  <c r="R42" i="1"/>
  <c r="S35" i="1"/>
  <c r="R34" i="1"/>
  <c r="R30" i="1"/>
  <c r="R26" i="1"/>
  <c r="S23" i="1"/>
  <c r="R22" i="1"/>
  <c r="S19" i="1"/>
  <c r="R18" i="1"/>
  <c r="S15" i="1"/>
  <c r="S11" i="1"/>
  <c r="R10" i="1"/>
  <c r="S7" i="1"/>
  <c r="R6" i="1"/>
  <c r="AH6" i="1"/>
  <c r="O11" i="2"/>
  <c r="D229" i="2"/>
  <c r="D34" i="1"/>
  <c r="C34" i="1"/>
  <c r="B34" i="1"/>
  <c r="M11" i="2"/>
  <c r="L11" i="2"/>
  <c r="P34" i="1"/>
  <c r="O34" i="1"/>
  <c r="N34" i="1"/>
  <c r="M34" i="1"/>
  <c r="L34" i="1"/>
  <c r="K34" i="1"/>
  <c r="J34" i="1"/>
  <c r="I34" i="1"/>
  <c r="H34" i="1"/>
  <c r="G34" i="1"/>
  <c r="C28" i="2"/>
  <c r="C27" i="2"/>
  <c r="D28" i="2" l="1"/>
  <c r="C19" i="2"/>
  <c r="H17" i="4"/>
  <c r="I17" i="4" s="1"/>
  <c r="J17" i="4" s="1"/>
  <c r="K17" i="4" s="1"/>
  <c r="C21" i="2"/>
  <c r="H35" i="4"/>
  <c r="I35" i="4" s="1"/>
  <c r="J35" i="4" s="1"/>
  <c r="K35" i="4" s="1"/>
  <c r="C23" i="2"/>
  <c r="H56" i="4"/>
  <c r="I56" i="4" s="1"/>
  <c r="J56" i="4" s="1"/>
  <c r="K56" i="4" s="1"/>
  <c r="C25" i="2"/>
  <c r="H74" i="4"/>
  <c r="I74" i="4" s="1"/>
  <c r="J74" i="4" s="1"/>
  <c r="K74" i="4" s="1"/>
  <c r="C29" i="2"/>
  <c r="H96" i="4"/>
  <c r="I96" i="4" s="1"/>
  <c r="J96" i="4" s="1"/>
  <c r="K96" i="4" s="1"/>
  <c r="D27" i="2"/>
  <c r="A17" i="4"/>
  <c r="B17" i="4" s="1"/>
  <c r="C17" i="4" s="1"/>
  <c r="D17" i="4" s="1"/>
  <c r="C18" i="2"/>
  <c r="D84" i="2" s="1"/>
  <c r="A35" i="4"/>
  <c r="B35" i="4" s="1"/>
  <c r="C35" i="4" s="1"/>
  <c r="D35" i="4" s="1"/>
  <c r="C20" i="2"/>
  <c r="A56" i="4"/>
  <c r="B56" i="4" s="1"/>
  <c r="C56" i="4" s="1"/>
  <c r="D56" i="4" s="1"/>
  <c r="C22" i="2"/>
  <c r="A74" i="4"/>
  <c r="B74" i="4" s="1"/>
  <c r="C74" i="4" s="1"/>
  <c r="D74" i="4" s="1"/>
  <c r="C24" i="2"/>
  <c r="A96" i="4"/>
  <c r="B96" i="4" s="1"/>
  <c r="C96" i="4" s="1"/>
  <c r="D96" i="4" s="1"/>
  <c r="C26" i="2"/>
  <c r="I27" i="2"/>
  <c r="M29" i="2"/>
  <c r="N165" i="2" s="1"/>
  <c r="N68" i="2"/>
  <c r="G10" i="2"/>
  <c r="D44" i="4" s="1"/>
  <c r="G9" i="2"/>
  <c r="I10" i="2"/>
  <c r="I9" i="2"/>
  <c r="K10" i="2"/>
  <c r="K9" i="2"/>
  <c r="AD2" i="1"/>
  <c r="AF2" i="1"/>
  <c r="K245" i="2"/>
  <c r="N245" i="2"/>
  <c r="I229" i="2"/>
  <c r="C245" i="2"/>
  <c r="F245" i="2"/>
  <c r="F10" i="2"/>
  <c r="F9" i="2"/>
  <c r="H10" i="2"/>
  <c r="J44" i="4" s="1"/>
  <c r="H9" i="2"/>
  <c r="J9" i="2"/>
  <c r="I29" i="2"/>
  <c r="N9" i="2"/>
  <c r="J83" i="4" s="1"/>
  <c r="D10" i="2"/>
  <c r="E10" i="2"/>
  <c r="E9" i="2"/>
  <c r="J10" i="2"/>
  <c r="D37" i="2"/>
  <c r="G37" i="2"/>
  <c r="E40" i="2"/>
  <c r="D69" i="2"/>
  <c r="D71" i="2"/>
  <c r="D73" i="2"/>
  <c r="D75" i="2"/>
  <c r="D77" i="2"/>
  <c r="I69" i="2"/>
  <c r="I71" i="2"/>
  <c r="I73" i="2"/>
  <c r="I75" i="2"/>
  <c r="I77" i="2"/>
  <c r="N69" i="2"/>
  <c r="N71" i="2"/>
  <c r="N73" i="2"/>
  <c r="N75" i="2"/>
  <c r="N77" i="2"/>
  <c r="E37" i="2"/>
  <c r="D61" i="2"/>
  <c r="D68" i="2"/>
  <c r="D70" i="2"/>
  <c r="D72" i="2"/>
  <c r="D74" i="2"/>
  <c r="D76" i="2"/>
  <c r="I68" i="2"/>
  <c r="I70" i="2"/>
  <c r="I72" i="2"/>
  <c r="I74" i="2"/>
  <c r="I76" i="2"/>
  <c r="N70" i="2"/>
  <c r="N72" i="2"/>
  <c r="N74" i="2"/>
  <c r="N76" i="2"/>
  <c r="M28" i="2"/>
  <c r="L13" i="2"/>
  <c r="N11" i="2"/>
  <c r="I88" i="4" s="1"/>
  <c r="N13" i="2"/>
  <c r="H88" i="4" s="1"/>
  <c r="M10" i="2"/>
  <c r="L9" i="2"/>
  <c r="H27" i="2"/>
  <c r="M9" i="2"/>
  <c r="H28" i="2"/>
  <c r="H29" i="2"/>
  <c r="D146" i="2" s="1"/>
  <c r="M27" i="2"/>
  <c r="M13" i="2"/>
  <c r="L10" i="2"/>
  <c r="N10" i="2"/>
  <c r="J84" i="4" s="1"/>
  <c r="I28" i="2"/>
  <c r="D26" i="2" l="1"/>
  <c r="D24" i="2"/>
  <c r="D22" i="2"/>
  <c r="D20" i="2"/>
  <c r="D18" i="2"/>
  <c r="E27" i="2"/>
  <c r="D29" i="2"/>
  <c r="D56" i="2" s="1"/>
  <c r="D57" i="2" s="1"/>
  <c r="D25" i="2"/>
  <c r="E25" i="2" s="1"/>
  <c r="D23" i="2"/>
  <c r="E23" i="2" s="1"/>
  <c r="D21" i="2"/>
  <c r="E21" i="2" s="1"/>
  <c r="D19" i="2"/>
  <c r="E19" i="2" s="1"/>
  <c r="E28" i="2"/>
  <c r="D141" i="2"/>
  <c r="K88" i="4"/>
  <c r="L96" i="4"/>
  <c r="I25" i="2"/>
  <c r="J118" i="2"/>
  <c r="H25" i="2"/>
  <c r="J123" i="2" s="1"/>
  <c r="H26" i="2"/>
  <c r="D135" i="2" s="1"/>
  <c r="I26" i="2"/>
  <c r="J62" i="4"/>
  <c r="J63" i="4"/>
  <c r="J13" i="2"/>
  <c r="H67" i="4" s="1"/>
  <c r="J11" i="2"/>
  <c r="I67" i="4" s="1"/>
  <c r="D83" i="4"/>
  <c r="D84" i="4"/>
  <c r="K13" i="2"/>
  <c r="A88" i="4" s="1"/>
  <c r="K11" i="2"/>
  <c r="B88" i="4" s="1"/>
  <c r="J119" i="2" l="1"/>
  <c r="F19" i="2"/>
  <c r="G19" i="2" s="1"/>
  <c r="F21" i="2"/>
  <c r="G21" i="2" s="1"/>
  <c r="F23" i="2"/>
  <c r="G23" i="2" s="1"/>
  <c r="F25" i="2"/>
  <c r="G25" i="2" s="1"/>
  <c r="E29" i="2"/>
  <c r="F29" i="2" s="1"/>
  <c r="G29" i="2" s="1"/>
  <c r="D58" i="2"/>
  <c r="D59" i="2" s="1"/>
  <c r="D60" i="2" s="1"/>
  <c r="F28" i="2"/>
  <c r="G28" i="2" s="1"/>
  <c r="F27" i="2"/>
  <c r="G27" i="2" s="1"/>
  <c r="E18" i="2"/>
  <c r="F18" i="2" s="1"/>
  <c r="E20" i="2"/>
  <c r="E22" i="2"/>
  <c r="E24" i="2"/>
  <c r="E26" i="2"/>
  <c r="F26" i="2" s="1"/>
  <c r="D142" i="2"/>
  <c r="C88" i="4"/>
  <c r="D88" i="4"/>
  <c r="E88" i="4" s="1"/>
  <c r="E96" i="4"/>
  <c r="K67" i="4"/>
  <c r="L67" i="4" s="1"/>
  <c r="L74" i="4"/>
  <c r="D130" i="2"/>
  <c r="D131" i="2"/>
  <c r="D91" i="4"/>
  <c r="J120" i="2"/>
  <c r="J88" i="4"/>
  <c r="L88" i="4"/>
  <c r="C91" i="4"/>
  <c r="E91" i="4"/>
  <c r="H95" i="4"/>
  <c r="B95" i="4"/>
  <c r="D85" i="4"/>
  <c r="C99" i="4" s="1"/>
  <c r="D99" i="4" s="1"/>
  <c r="B91" i="4"/>
  <c r="A95" i="4"/>
  <c r="I95" i="4"/>
  <c r="J67" i="4"/>
  <c r="K70" i="4"/>
  <c r="J64" i="4"/>
  <c r="J77" i="4" s="1"/>
  <c r="K77" i="4" s="1"/>
  <c r="J70" i="4"/>
  <c r="L70" i="4"/>
  <c r="H73" i="4"/>
  <c r="I70" i="4"/>
  <c r="I73" i="4"/>
  <c r="D143" i="2" l="1"/>
  <c r="F24" i="2"/>
  <c r="G24" i="2" s="1"/>
  <c r="F20" i="2"/>
  <c r="G20" i="2" s="1"/>
  <c r="G26" i="2"/>
  <c r="G18" i="2"/>
  <c r="F22" i="2"/>
  <c r="G22" i="2" s="1"/>
  <c r="J121" i="2"/>
  <c r="D132" i="2"/>
  <c r="J95" i="4"/>
  <c r="C95" i="4"/>
  <c r="J73" i="4"/>
  <c r="D145" i="2" l="1"/>
  <c r="D144" i="2"/>
  <c r="K95" i="4"/>
  <c r="D134" i="2"/>
  <c r="D133" i="2"/>
  <c r="J122" i="2"/>
  <c r="K73" i="4"/>
  <c r="L73" i="4"/>
  <c r="L95" i="4" l="1"/>
  <c r="D95" i="4"/>
  <c r="E95" i="4"/>
  <c r="M26" i="2" l="1"/>
  <c r="K165" i="2" s="1"/>
  <c r="M25" i="2"/>
  <c r="H165" i="2" s="1"/>
  <c r="M24" i="2"/>
  <c r="E165" i="2" s="1"/>
  <c r="M23" i="2"/>
  <c r="B165" i="2" s="1"/>
  <c r="M22" i="2"/>
  <c r="N153" i="2" s="1"/>
  <c r="M21" i="2"/>
  <c r="K153" i="2" s="1"/>
  <c r="N12" i="2" l="1"/>
  <c r="G5" i="2"/>
  <c r="I4" i="2"/>
  <c r="J5" i="2"/>
  <c r="H4" i="2"/>
  <c r="J4" i="2"/>
  <c r="H5" i="2"/>
  <c r="J12" i="2"/>
  <c r="S5" i="1"/>
  <c r="K12" i="2"/>
  <c r="H20" i="2"/>
  <c r="D99" i="2" s="1"/>
  <c r="I20" i="2"/>
  <c r="E12" i="2"/>
  <c r="E11" i="2"/>
  <c r="B28" i="4" s="1"/>
  <c r="E13" i="2"/>
  <c r="A28" i="4" s="1"/>
  <c r="D23" i="4"/>
  <c r="H22" i="2"/>
  <c r="D109" i="2" s="1"/>
  <c r="I22" i="2"/>
  <c r="G12" i="2"/>
  <c r="G11" i="2"/>
  <c r="B48" i="4" s="1"/>
  <c r="G13" i="2"/>
  <c r="A48" i="4" s="1"/>
  <c r="D43" i="4"/>
  <c r="H24" i="2"/>
  <c r="D123" i="2" s="1"/>
  <c r="I24" i="2"/>
  <c r="I12" i="2"/>
  <c r="I11" i="2"/>
  <c r="B67" i="4" s="1"/>
  <c r="I13" i="2"/>
  <c r="A67" i="4" s="1"/>
  <c r="D62" i="4"/>
  <c r="J24" i="4"/>
  <c r="M18" i="2"/>
  <c r="B153" i="2" s="1"/>
  <c r="M19" i="2"/>
  <c r="E153" i="2" s="1"/>
  <c r="R5" i="1"/>
  <c r="C13" i="2"/>
  <c r="A9" i="4" s="1"/>
  <c r="C10" i="2"/>
  <c r="D5" i="4" s="1"/>
  <c r="C12" i="2"/>
  <c r="I18" i="2"/>
  <c r="C11" i="2"/>
  <c r="H18" i="2"/>
  <c r="D89" i="2" s="1"/>
  <c r="C9" i="2"/>
  <c r="D4" i="4" s="1"/>
  <c r="D9" i="2"/>
  <c r="J4" i="4" s="1"/>
  <c r="J5" i="4"/>
  <c r="H19" i="2"/>
  <c r="J89" i="2" s="1"/>
  <c r="D12" i="2"/>
  <c r="I19" i="2"/>
  <c r="J84" i="2"/>
  <c r="D11" i="2"/>
  <c r="D13" i="2"/>
  <c r="H9" i="4" s="1"/>
  <c r="I21" i="2"/>
  <c r="J94" i="2"/>
  <c r="H21" i="2"/>
  <c r="J99" i="2" s="1"/>
  <c r="F12" i="2"/>
  <c r="F11" i="2"/>
  <c r="I28" i="4" s="1"/>
  <c r="F13" i="2"/>
  <c r="H28" i="4" s="1"/>
  <c r="J23" i="4"/>
  <c r="I23" i="2"/>
  <c r="J104" i="2"/>
  <c r="D24" i="4"/>
  <c r="H23" i="2"/>
  <c r="J109" i="2" s="1"/>
  <c r="H12" i="2"/>
  <c r="H11" i="2"/>
  <c r="I48" i="4" s="1"/>
  <c r="H13" i="2"/>
  <c r="H48" i="4" s="1"/>
  <c r="J43" i="4"/>
  <c r="O4" i="2"/>
  <c r="D63" i="4"/>
  <c r="O5" i="2"/>
  <c r="P9" i="2"/>
  <c r="M20" i="2"/>
  <c r="H153" i="2" s="1"/>
  <c r="J95" i="2" l="1"/>
  <c r="P13" i="2"/>
  <c r="C48" i="4"/>
  <c r="D67" i="4"/>
  <c r="E67" i="4" s="1"/>
  <c r="E74" i="4"/>
  <c r="E73" i="4" s="1"/>
  <c r="A73" i="4"/>
  <c r="B73" i="4"/>
  <c r="C73" i="4"/>
  <c r="D73" i="4"/>
  <c r="E35" i="4"/>
  <c r="E34" i="4" s="1"/>
  <c r="D28" i="4"/>
  <c r="E28" i="4" s="1"/>
  <c r="C34" i="4"/>
  <c r="A34" i="4"/>
  <c r="B34" i="4"/>
  <c r="D34" i="4"/>
  <c r="K48" i="4"/>
  <c r="L48" i="4" s="1"/>
  <c r="L56" i="4"/>
  <c r="L55" i="4" s="1"/>
  <c r="H55" i="4"/>
  <c r="I55" i="4"/>
  <c r="J55" i="4"/>
  <c r="K55" i="4"/>
  <c r="K28" i="4"/>
  <c r="L28" i="4" s="1"/>
  <c r="L35" i="4"/>
  <c r="L34" i="4" s="1"/>
  <c r="I34" i="4"/>
  <c r="H34" i="4"/>
  <c r="J34" i="4"/>
  <c r="K34" i="4"/>
  <c r="E56" i="4"/>
  <c r="E55" i="4" s="1"/>
  <c r="D48" i="4"/>
  <c r="E48" i="4" s="1"/>
  <c r="B55" i="4"/>
  <c r="A55" i="4"/>
  <c r="C55" i="4"/>
  <c r="D55" i="4"/>
  <c r="J48" i="4"/>
  <c r="J28" i="4"/>
  <c r="C67" i="4"/>
  <c r="C28" i="4"/>
  <c r="I9" i="4"/>
  <c r="K9" i="4" s="1"/>
  <c r="L9" i="4" s="1"/>
  <c r="E152" i="2"/>
  <c r="B9" i="4"/>
  <c r="C9" i="4" s="1"/>
  <c r="B152" i="2"/>
  <c r="D119" i="2"/>
  <c r="D118" i="2"/>
  <c r="J105" i="2"/>
  <c r="D105" i="2"/>
  <c r="D104" i="2"/>
  <c r="D95" i="2"/>
  <c r="D94" i="2"/>
  <c r="C70" i="4"/>
  <c r="D64" i="4"/>
  <c r="C77" i="4" s="1"/>
  <c r="D77" i="4" s="1"/>
  <c r="E70" i="4"/>
  <c r="B70" i="4"/>
  <c r="D70" i="4"/>
  <c r="K51" i="4"/>
  <c r="L51" i="4"/>
  <c r="J51" i="4"/>
  <c r="I51" i="4"/>
  <c r="J45" i="4"/>
  <c r="J59" i="4" s="1"/>
  <c r="K59" i="4" s="1"/>
  <c r="J85" i="2"/>
  <c r="J6" i="4"/>
  <c r="J20" i="4" s="1"/>
  <c r="K20" i="4" s="1"/>
  <c r="K12" i="4"/>
  <c r="L12" i="4"/>
  <c r="I12" i="4"/>
  <c r="J12" i="4"/>
  <c r="D85" i="2"/>
  <c r="A16" i="4"/>
  <c r="D31" i="4"/>
  <c r="D25" i="4"/>
  <c r="C38" i="4" s="1"/>
  <c r="D38" i="4" s="1"/>
  <c r="C31" i="4"/>
  <c r="B31" i="4"/>
  <c r="E31" i="4"/>
  <c r="H16" i="4"/>
  <c r="C12" i="4"/>
  <c r="B12" i="4"/>
  <c r="E12" i="4"/>
  <c r="D6" i="4"/>
  <c r="C20" i="4" s="1"/>
  <c r="D20" i="4" s="1"/>
  <c r="D12" i="4"/>
  <c r="D9" i="4"/>
  <c r="E9" i="4" s="1"/>
  <c r="K91" i="4"/>
  <c r="J91" i="4"/>
  <c r="I91" i="4"/>
  <c r="J85" i="4"/>
  <c r="J99" i="4" s="1"/>
  <c r="K99" i="4" s="1"/>
  <c r="L91" i="4"/>
  <c r="L31" i="4"/>
  <c r="I31" i="4"/>
  <c r="J31" i="4"/>
  <c r="K31" i="4"/>
  <c r="J25" i="4"/>
  <c r="J38" i="4" s="1"/>
  <c r="K38" i="4" s="1"/>
  <c r="C51" i="4"/>
  <c r="D45" i="4"/>
  <c r="C59" i="4" s="1"/>
  <c r="D59" i="4" s="1"/>
  <c r="D51" i="4"/>
  <c r="E51" i="4"/>
  <c r="B51" i="4"/>
  <c r="J9" i="4"/>
  <c r="J96" i="2" l="1"/>
  <c r="J106" i="2"/>
  <c r="J86" i="2"/>
  <c r="D86" i="2"/>
  <c r="I16" i="4"/>
  <c r="B16" i="4"/>
  <c r="J97" i="2" l="1"/>
  <c r="D120" i="2"/>
  <c r="D122" i="2"/>
  <c r="D121" i="2"/>
  <c r="J87" i="2"/>
  <c r="J107" i="2"/>
  <c r="D96" i="2"/>
  <c r="D106" i="2"/>
  <c r="D87" i="2"/>
  <c r="D16" i="4"/>
  <c r="C16" i="4"/>
  <c r="J16" i="4"/>
  <c r="H34" i="2"/>
  <c r="F34" i="2"/>
  <c r="H37" i="2"/>
  <c r="H40" i="2"/>
  <c r="F40" i="2"/>
  <c r="C6" i="2"/>
  <c r="F37" i="2"/>
  <c r="J98" i="2" l="1"/>
  <c r="H193" i="2"/>
  <c r="O254" i="2"/>
  <c r="G254" i="2"/>
  <c r="E75" i="2"/>
  <c r="E71" i="2"/>
  <c r="E77" i="2"/>
  <c r="E70" i="2"/>
  <c r="E74" i="2"/>
  <c r="E69" i="2"/>
  <c r="E73" i="2"/>
  <c r="E68" i="2"/>
  <c r="E72" i="2"/>
  <c r="E76" i="2"/>
  <c r="D108" i="2"/>
  <c r="D107" i="2"/>
  <c r="J88" i="2"/>
  <c r="D98" i="2"/>
  <c r="D97" i="2"/>
  <c r="J108" i="2"/>
  <c r="D88" i="2"/>
  <c r="P4" i="2"/>
  <c r="O13" i="2"/>
  <c r="K16" i="4"/>
  <c r="L17" i="4"/>
  <c r="L16" i="4" s="1"/>
  <c r="E17" i="4"/>
  <c r="E16" i="4" s="1"/>
  <c r="D5" i="2"/>
  <c r="N4" i="2"/>
  <c r="N5" i="2"/>
  <c r="P5" i="2"/>
  <c r="D4" i="2"/>
  <c r="B27" i="2" l="1"/>
  <c r="N27" i="2" s="1"/>
  <c r="B18" i="2"/>
  <c r="N18" i="2" s="1"/>
  <c r="C153" i="2" s="1"/>
  <c r="P6" i="2" l="1"/>
  <c r="M6" i="2" l="1"/>
  <c r="N6" i="2" s="1"/>
  <c r="E48" i="2" s="1"/>
  <c r="E49" i="2" s="1"/>
  <c r="O9" i="2" l="1"/>
  <c r="J18" i="2"/>
  <c r="B21" i="2"/>
  <c r="N21" i="2" s="1"/>
  <c r="L153" i="2" s="1"/>
  <c r="B22" i="2"/>
  <c r="N22" i="2" s="1"/>
  <c r="O153" i="2" s="1"/>
  <c r="B23" i="2"/>
  <c r="N23" i="2" s="1"/>
  <c r="C165" i="2" s="1"/>
  <c r="B24" i="2"/>
  <c r="N24" i="2" s="1"/>
  <c r="F165" i="2" s="1"/>
  <c r="B25" i="2"/>
  <c r="N25" i="2" s="1"/>
  <c r="I165" i="2" s="1"/>
  <c r="B26" i="2"/>
  <c r="N26" i="2" s="1"/>
  <c r="L165" i="2" s="1"/>
  <c r="B28" i="2"/>
  <c r="N28" i="2" s="1"/>
  <c r="B29" i="2"/>
  <c r="P18" i="2" l="1"/>
  <c r="H195" i="2"/>
  <c r="C152" i="2"/>
  <c r="O18" i="2"/>
  <c r="J29" i="2"/>
  <c r="N29" i="2"/>
  <c r="O165" i="2" s="1"/>
  <c r="B19" i="2"/>
  <c r="B20" i="2"/>
  <c r="J28" i="2"/>
  <c r="J26" i="2"/>
  <c r="J24" i="2"/>
  <c r="J22" i="2"/>
  <c r="J25" i="2"/>
  <c r="J23" i="2"/>
  <c r="J21" i="2"/>
  <c r="C164" i="2" l="1"/>
  <c r="H200" i="2"/>
  <c r="F164" i="2"/>
  <c r="H201" i="2"/>
  <c r="O164" i="2"/>
  <c r="N166" i="2" s="1"/>
  <c r="H204" i="2"/>
  <c r="L152" i="2"/>
  <c r="K154" i="2" s="1"/>
  <c r="H198" i="2"/>
  <c r="I164" i="2"/>
  <c r="H166" i="2" s="1"/>
  <c r="H202" i="2"/>
  <c r="O152" i="2"/>
  <c r="N154" i="2" s="1"/>
  <c r="H199" i="2"/>
  <c r="L164" i="2"/>
  <c r="K166" i="2" s="1"/>
  <c r="H203" i="2"/>
  <c r="L195" i="2"/>
  <c r="N195" i="2"/>
  <c r="E166" i="2"/>
  <c r="B154" i="2"/>
  <c r="B166" i="2"/>
  <c r="O21" i="2"/>
  <c r="P21" i="2"/>
  <c r="O25" i="2"/>
  <c r="P25" i="2"/>
  <c r="O22" i="2"/>
  <c r="P22" i="2"/>
  <c r="O26" i="2"/>
  <c r="P26" i="2"/>
  <c r="O23" i="2"/>
  <c r="P23" i="2"/>
  <c r="O27" i="2"/>
  <c r="P27" i="2"/>
  <c r="O24" i="2"/>
  <c r="P24" i="2"/>
  <c r="O28" i="2"/>
  <c r="P28" i="2"/>
  <c r="O29" i="2"/>
  <c r="P29" i="2"/>
  <c r="J20" i="2"/>
  <c r="N20" i="2"/>
  <c r="I153" i="2" s="1"/>
  <c r="J19" i="2"/>
  <c r="N19" i="2"/>
  <c r="F153" i="2" s="1"/>
  <c r="F152" i="2" l="1"/>
  <c r="E154" i="2" s="1"/>
  <c r="H196" i="2"/>
  <c r="I152" i="2"/>
  <c r="H197" i="2"/>
  <c r="N203" i="2"/>
  <c r="L203" i="2"/>
  <c r="N199" i="2"/>
  <c r="L199" i="2"/>
  <c r="L202" i="2"/>
  <c r="N202" i="2"/>
  <c r="L198" i="2"/>
  <c r="N198" i="2"/>
  <c r="N204" i="2"/>
  <c r="L204" i="2"/>
  <c r="N201" i="2"/>
  <c r="L201" i="2"/>
  <c r="N200" i="2"/>
  <c r="L200" i="2"/>
  <c r="H154" i="2"/>
  <c r="O19" i="2"/>
  <c r="P19" i="2"/>
  <c r="O20" i="2"/>
  <c r="P20" i="2"/>
  <c r="N197" i="2" l="1"/>
  <c r="L197" i="2"/>
  <c r="N196" i="2"/>
  <c r="L196" i="2"/>
</calcChain>
</file>

<file path=xl/sharedStrings.xml><?xml version="1.0" encoding="utf-8"?>
<sst xmlns="http://schemas.openxmlformats.org/spreadsheetml/2006/main" count="862" uniqueCount="275">
  <si>
    <t>تاريخ الميلاد</t>
  </si>
  <si>
    <t>الجنس</t>
  </si>
  <si>
    <t>الإعادة</t>
  </si>
  <si>
    <t>اللغة العربية</t>
  </si>
  <si>
    <t>اللغة الفرنسية</t>
  </si>
  <si>
    <t>اللغة الإنجليزية</t>
  </si>
  <si>
    <t>التربية المدنية</t>
  </si>
  <si>
    <t>التاريخ والجغرافيا</t>
  </si>
  <si>
    <t>الرياضيات</t>
  </si>
  <si>
    <t>المعلوماتية</t>
  </si>
  <si>
    <t>احصائيات عامة</t>
  </si>
  <si>
    <t>ذكور</t>
  </si>
  <si>
    <t>المجموع</t>
  </si>
  <si>
    <t>عربية</t>
  </si>
  <si>
    <t>ت إسلامية</t>
  </si>
  <si>
    <t>ت مدنية</t>
  </si>
  <si>
    <t>رياضيات</t>
  </si>
  <si>
    <t>ع طبيعية</t>
  </si>
  <si>
    <t>فرنسية</t>
  </si>
  <si>
    <t>انجليزية</t>
  </si>
  <si>
    <t>ت اسلامية</t>
  </si>
  <si>
    <t>ت جغرافيا</t>
  </si>
  <si>
    <t>ع فيزيائية</t>
  </si>
  <si>
    <t>ت تشكيلية</t>
  </si>
  <si>
    <t>ت بدنية</t>
  </si>
  <si>
    <t>معدل القسم</t>
  </si>
  <si>
    <t>المسجلين</t>
  </si>
  <si>
    <t>المواد</t>
  </si>
  <si>
    <t>إنجليزية</t>
  </si>
  <si>
    <t xml:space="preserve">ع فيزيائية </t>
  </si>
  <si>
    <t>اناث</t>
  </si>
  <si>
    <t xml:space="preserve"> أكبر من 10</t>
  </si>
  <si>
    <t>عدد المسجلين</t>
  </si>
  <si>
    <t>8.99-00</t>
  </si>
  <si>
    <t>9.99-9.00</t>
  </si>
  <si>
    <t>11.99-10</t>
  </si>
  <si>
    <t>13.99-12</t>
  </si>
  <si>
    <t>15.99-14</t>
  </si>
  <si>
    <t>20-16</t>
  </si>
  <si>
    <t>%</t>
  </si>
  <si>
    <t>الناجحون</t>
  </si>
  <si>
    <t>الراسبون</t>
  </si>
  <si>
    <t>نتائج المعيدون</t>
  </si>
  <si>
    <t>المسجلون</t>
  </si>
  <si>
    <t>النسبة</t>
  </si>
  <si>
    <t>ج</t>
  </si>
  <si>
    <t>الناجحون العامة</t>
  </si>
  <si>
    <t xml:space="preserve"> المعيدين</t>
  </si>
  <si>
    <t>الراسبون العامة</t>
  </si>
  <si>
    <t>المتوسط الحسابي</t>
  </si>
  <si>
    <t>الإنحراف المعياري</t>
  </si>
  <si>
    <t>منهم إناث</t>
  </si>
  <si>
    <t>المستفدين من إعادة إدماج</t>
  </si>
  <si>
    <t xml:space="preserve">الناجحين </t>
  </si>
  <si>
    <t>الناجحين</t>
  </si>
  <si>
    <t>س</t>
  </si>
  <si>
    <t>نتائج المنتقلين بالإستدراك</t>
  </si>
  <si>
    <t>المنتقلين بالاستدراك</t>
  </si>
  <si>
    <t>إعادة الادماج</t>
  </si>
  <si>
    <t>المعدل السنوي</t>
  </si>
  <si>
    <t>أنثى</t>
  </si>
  <si>
    <t>ذكر</t>
  </si>
  <si>
    <t>منهم اناث</t>
  </si>
  <si>
    <t>تاريخ جغ</t>
  </si>
  <si>
    <t xml:space="preserve"> النتائج  السنوية</t>
  </si>
  <si>
    <t>برتوكول = ج</t>
  </si>
  <si>
    <t>الاستدراك = س</t>
  </si>
  <si>
    <t>الإعادة =  نعم</t>
  </si>
  <si>
    <t>نتائج شهادة التعليم المتوسط دورة جوان 2024  تحمل من الأرضية الرقميـة</t>
  </si>
  <si>
    <t>الرقم</t>
  </si>
  <si>
    <t>برتوكول الإعادة</t>
  </si>
  <si>
    <t>الامتحان الإستدراكي</t>
  </si>
  <si>
    <t>اللقب و الإسم</t>
  </si>
  <si>
    <t>معدل  الشهادة</t>
  </si>
  <si>
    <t>معدل الإنتقال</t>
  </si>
  <si>
    <t>اللغة الأمازيغية</t>
  </si>
  <si>
    <t>تربية الاسلامية</t>
  </si>
  <si>
    <t>العلوم الطبيعية</t>
  </si>
  <si>
    <t>العلوم الفيزيائية</t>
  </si>
  <si>
    <t>تربية تشكيلية</t>
  </si>
  <si>
    <t>تربية موسيقية</t>
  </si>
  <si>
    <t>تربية بدنية</t>
  </si>
  <si>
    <t>الشهادة</t>
  </si>
  <si>
    <t/>
  </si>
  <si>
    <t>الاسم واللقب</t>
  </si>
  <si>
    <t>ل عربية</t>
  </si>
  <si>
    <t>ل فرنسية</t>
  </si>
  <si>
    <t>ل إنجليزية</t>
  </si>
  <si>
    <t>ت  مدنية</t>
  </si>
  <si>
    <t>ع ف تك</t>
  </si>
  <si>
    <t>معدل الشهادة</t>
  </si>
  <si>
    <t>تا جغ</t>
  </si>
  <si>
    <t>م الشهادة</t>
  </si>
  <si>
    <t>الفارق</t>
  </si>
  <si>
    <t>ملاحظة</t>
  </si>
  <si>
    <t>المادة</t>
  </si>
  <si>
    <t>الانحراف المعياري</t>
  </si>
  <si>
    <t xml:space="preserve">نسبة الانسجام داخل القسم </t>
  </si>
  <si>
    <t>عدد التلاميذ</t>
  </si>
  <si>
    <t>10= أكبرأو</t>
  </si>
  <si>
    <t>أقل من 10</t>
  </si>
  <si>
    <t xml:space="preserve">الفئات الخمسة </t>
  </si>
  <si>
    <t>ع*2/3-م</t>
  </si>
  <si>
    <t>ع*2/1-م</t>
  </si>
  <si>
    <t>ع*2/1+م</t>
  </si>
  <si>
    <t>ع*2/3+م</t>
  </si>
  <si>
    <t>الفئة الضعيفة</t>
  </si>
  <si>
    <t xml:space="preserve"> القريبة من المتوسط </t>
  </si>
  <si>
    <t>الفئة المتوسطة</t>
  </si>
  <si>
    <t xml:space="preserve">الفئة الحسنة </t>
  </si>
  <si>
    <t>الفئة الجيدة</t>
  </si>
  <si>
    <t>نسبة الانسجام</t>
  </si>
  <si>
    <t>تحليل نتائج شهادة التعليم المتوسط بالمؤشـــــرات</t>
  </si>
  <si>
    <t>المقبولين</t>
  </si>
  <si>
    <t>الراسبين</t>
  </si>
  <si>
    <t>تحليل نتائج شهادة التعليم المتوسط  بالفئــات حســـب المواد</t>
  </si>
  <si>
    <t>مقارنة الشهادة + م س</t>
  </si>
  <si>
    <t>نتائج   شهادة   التعليم   المتوسط   */* دورة جــوان 2024 */*</t>
  </si>
  <si>
    <t>التربية الاسلامية</t>
  </si>
  <si>
    <t>تربية المدنية</t>
  </si>
  <si>
    <t>ت  تشكيلية</t>
  </si>
  <si>
    <t>ت  بدنية</t>
  </si>
  <si>
    <t>م السنوي</t>
  </si>
  <si>
    <t>معيد</t>
  </si>
  <si>
    <t xml:space="preserve">توزيع نتائج التلاميذ في الشهادة  حسب التقديرات
</t>
  </si>
  <si>
    <t xml:space="preserve">جيد جدا </t>
  </si>
  <si>
    <t xml:space="preserve">قريب من الجيد </t>
  </si>
  <si>
    <t xml:space="preserve">التقديرات </t>
  </si>
  <si>
    <t xml:space="preserve">ممتاز </t>
  </si>
  <si>
    <t xml:space="preserve">جيد </t>
  </si>
  <si>
    <t xml:space="preserve">مقبول </t>
  </si>
  <si>
    <t>الفئـــات</t>
  </si>
  <si>
    <t xml:space="preserve">عدد التلاميذ </t>
  </si>
  <si>
    <t xml:space="preserve">توزيـع النتائـج حسب معيار أداء التلاميذ في الشهادة دورة جوان 2024 بالمــــواد
</t>
  </si>
  <si>
    <t>اللغة العربيـــة</t>
  </si>
  <si>
    <t>اللغة الفرنسيـــة</t>
  </si>
  <si>
    <t>اللغة الإنجليزيــة</t>
  </si>
  <si>
    <t>التربية الإسلامية</t>
  </si>
  <si>
    <t>التربية  المدنية</t>
  </si>
  <si>
    <t>نسبة النجاح الوطنية %</t>
  </si>
  <si>
    <t>نسبة نجاح الولاية %</t>
  </si>
  <si>
    <t>نسبة نجاح المؤسسة  %</t>
  </si>
  <si>
    <t xml:space="preserve">التلاميذ المعيدين .
</t>
  </si>
  <si>
    <t xml:space="preserve">المنتقلون بالامتحان الاستدراكي  .
</t>
  </si>
  <si>
    <t xml:space="preserve">المدمجين ببرتوكول الإعادة  .  
</t>
  </si>
  <si>
    <t>العدد</t>
  </si>
  <si>
    <t xml:space="preserve">  %</t>
  </si>
  <si>
    <t xml:space="preserve"> %</t>
  </si>
  <si>
    <t xml:space="preserve"> الناجحين</t>
  </si>
  <si>
    <t xml:space="preserve">مقارنة نسب نجاح  شهادة  التعليم المتوسط  للمؤسسة مع النسبة الولائية و الوطنية 
</t>
  </si>
  <si>
    <t>اللغة الانجليزية</t>
  </si>
  <si>
    <t>المعدلات العامة</t>
  </si>
  <si>
    <t>ش ت م</t>
  </si>
  <si>
    <t>م س</t>
  </si>
  <si>
    <t xml:space="preserve">  ملخص سريع عن  مقارنة  نتائج  التلاميذ  في الشهادة  مع التقويم المستمر حسب المواد</t>
  </si>
  <si>
    <t>معدل القبول</t>
  </si>
  <si>
    <t>القرار</t>
  </si>
  <si>
    <t xml:space="preserve">نتائج الشهـادة للتلاميذ  بالمواد للمؤشرات التالية :
</t>
  </si>
  <si>
    <t>المجالات</t>
  </si>
  <si>
    <t>المعدلات</t>
  </si>
  <si>
    <t xml:space="preserve">توزيـع النتائـج حسب معيار أداء التلاميذ في الشهادة دورة جوان 2024 بالمعدلات المحصل عليها :
</t>
  </si>
  <si>
    <t>عدد التلاميذ المقبولين</t>
  </si>
  <si>
    <t xml:space="preserve">جذع مشترك علوم </t>
  </si>
  <si>
    <t>جذع مشترك أداب</t>
  </si>
  <si>
    <t>يعيد</t>
  </si>
  <si>
    <t>يوجه</t>
  </si>
  <si>
    <t xml:space="preserve"> الأوائـل % 10</t>
  </si>
  <si>
    <t xml:space="preserve">التحليل الإحصائي لنتائج الشهادة بالفئات الخمس   . </t>
  </si>
  <si>
    <t xml:space="preserve">  مقارنة  نتائج  المؤسسة  في الشهادة  خــلال الدورتين : دورة 2024 مع دورة 2023</t>
  </si>
  <si>
    <t>الملاحظة</t>
  </si>
  <si>
    <t>2008-09-23</t>
  </si>
  <si>
    <t>2008-04-20</t>
  </si>
  <si>
    <t>ش2-ش1</t>
  </si>
  <si>
    <t>النسبة %</t>
  </si>
  <si>
    <t>نسبة نجاح الولائية %</t>
  </si>
  <si>
    <t xml:space="preserve">نسبة % نجاح دورة 2023 </t>
  </si>
  <si>
    <r>
      <t xml:space="preserve">الفارق بين </t>
    </r>
    <r>
      <rPr>
        <sz val="11"/>
        <color rgb="FFFF0000"/>
        <rFont val="Calibri"/>
        <family val="2"/>
        <scheme val="minor"/>
      </rPr>
      <t>(3) و (2)</t>
    </r>
  </si>
  <si>
    <r>
      <t>العدد</t>
    </r>
    <r>
      <rPr>
        <b/>
        <i/>
        <sz val="12"/>
        <color rgb="FF0000FF"/>
        <rFont val="Calibri"/>
        <family val="2"/>
        <scheme val="minor"/>
      </rPr>
      <t xml:space="preserve"> </t>
    </r>
  </si>
  <si>
    <t>السايح منار</t>
  </si>
  <si>
    <t>2007-02-24</t>
  </si>
  <si>
    <t>بن شيتة هاجر</t>
  </si>
  <si>
    <t>2008-01-09</t>
  </si>
  <si>
    <t>قسوس فايزة</t>
  </si>
  <si>
    <t>2008-03-01</t>
  </si>
  <si>
    <t>رحماني بشرى كنزة</t>
  </si>
  <si>
    <t>2009-04-27</t>
  </si>
  <si>
    <t>رحماني خديجة ندى</t>
  </si>
  <si>
    <t>2009-05-18</t>
  </si>
  <si>
    <t>قينان هواري</t>
  </si>
  <si>
    <t>قسوس عزالدين</t>
  </si>
  <si>
    <t>2008-08-03</t>
  </si>
  <si>
    <t>بن عزوز محمد</t>
  </si>
  <si>
    <t>بن حاسين أكتم عبد النور</t>
  </si>
  <si>
    <t>2009-10-17</t>
  </si>
  <si>
    <t>شيخ علي</t>
  </si>
  <si>
    <t>2009-05-07</t>
  </si>
  <si>
    <t>السايح نادر عبد الكريم</t>
  </si>
  <si>
    <t>2009-12-01</t>
  </si>
  <si>
    <t xml:space="preserve"> نعم</t>
  </si>
  <si>
    <t>سيفي آدم</t>
  </si>
  <si>
    <t>بوشنتوف آلاء</t>
  </si>
  <si>
    <t>دحمون آلاء غدير</t>
  </si>
  <si>
    <t>مكراربش آية</t>
  </si>
  <si>
    <t>حمادي أبوبكر الصديق</t>
  </si>
  <si>
    <t>فلوح إيمان</t>
  </si>
  <si>
    <t>بوزيد إيمان</t>
  </si>
  <si>
    <t>ايزة خديجة سلسبيل</t>
  </si>
  <si>
    <t>مكراربش داني</t>
  </si>
  <si>
    <t>مناقر رؤية</t>
  </si>
  <si>
    <t>مولاي علي ريتاج</t>
  </si>
  <si>
    <t>بيدي سراج الدين</t>
  </si>
  <si>
    <t>بن كعبوش شهرزاد</t>
  </si>
  <si>
    <t>بن والي طاطة</t>
  </si>
  <si>
    <t>بوبكر عبد الرحمان</t>
  </si>
  <si>
    <t>بن دادو عبدية</t>
  </si>
  <si>
    <t>سراج عدة</t>
  </si>
  <si>
    <t>صابري علال</t>
  </si>
  <si>
    <t>باتن غزلان</t>
  </si>
  <si>
    <t>معوش فاروق عبد الاله</t>
  </si>
  <si>
    <t>بن معمر فاطيمة الزهراء</t>
  </si>
  <si>
    <t>أحسن فاطيمة الزهرة</t>
  </si>
  <si>
    <t>قبايلي كوثر</t>
  </si>
  <si>
    <t>بلعباس محمد إلياس</t>
  </si>
  <si>
    <t>مناد محمد بهاء الدين</t>
  </si>
  <si>
    <t>شنتوف مراد البشير</t>
  </si>
  <si>
    <t>بويدية مصطفى عبد الستار</t>
  </si>
  <si>
    <t>زروقي ملاك</t>
  </si>
  <si>
    <t>بن سعدون نور</t>
  </si>
  <si>
    <t>لكحل نور الهدى</t>
  </si>
  <si>
    <t>شريف هاجر</t>
  </si>
  <si>
    <t>البريشي هبة الله</t>
  </si>
  <si>
    <t>قادي ولاء</t>
  </si>
  <si>
    <t>بلخير ياسر</t>
  </si>
  <si>
    <t>بن عيسى يحي محمد الأمين</t>
  </si>
  <si>
    <t>بردي يعقوب</t>
  </si>
  <si>
    <t>2010-06-07</t>
  </si>
  <si>
    <t>2010-11-24</t>
  </si>
  <si>
    <t>2011-03-22</t>
  </si>
  <si>
    <t>2010-04-12</t>
  </si>
  <si>
    <t>2010-08-21</t>
  </si>
  <si>
    <t>2010-07-31</t>
  </si>
  <si>
    <t>2010-08-28</t>
  </si>
  <si>
    <t>2011-02-27</t>
  </si>
  <si>
    <t>2011-03-05</t>
  </si>
  <si>
    <t>2010-10-24</t>
  </si>
  <si>
    <t>2011-02-13</t>
  </si>
  <si>
    <t>2010-06-25</t>
  </si>
  <si>
    <t>2011-03-14</t>
  </si>
  <si>
    <t>2008-09-09</t>
  </si>
  <si>
    <t>2010-04-05</t>
  </si>
  <si>
    <t>2009-06-27</t>
  </si>
  <si>
    <t>2010-03-02</t>
  </si>
  <si>
    <t>2010-08-08</t>
  </si>
  <si>
    <t>2010-10-02</t>
  </si>
  <si>
    <t>2010-08-13</t>
  </si>
  <si>
    <t>2011-01-19</t>
  </si>
  <si>
    <t>2010-12-06</t>
  </si>
  <si>
    <t>2011-04-23</t>
  </si>
  <si>
    <t>2009-07-21</t>
  </si>
  <si>
    <t>2010-07-25</t>
  </si>
  <si>
    <t>2010-09-19</t>
  </si>
  <si>
    <t>2011-01-05</t>
  </si>
  <si>
    <t>2011-02-08</t>
  </si>
  <si>
    <t>2011-01-27</t>
  </si>
  <si>
    <t>2010-08-16</t>
  </si>
  <si>
    <t>2010-12-03</t>
  </si>
  <si>
    <t>2010-03-24</t>
  </si>
  <si>
    <t>2011-05-23</t>
  </si>
  <si>
    <t>2010-10-21</t>
  </si>
  <si>
    <t>2010-08-25</t>
  </si>
  <si>
    <t>2010-10-18</t>
  </si>
  <si>
    <t>تحليــل نتائج  شهادة التعليم المتوسط دورة جوان 2025</t>
  </si>
  <si>
    <t xml:space="preserve">حجز نتائج شهادة التعليم المتوسط دورة جوان 2024 السابقة هنا </t>
  </si>
  <si>
    <t>ينتقل</t>
  </si>
  <si>
    <t>نتائج المعدلات السنوية للسنة الدراسية : 2024 - 2025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</si>
</sst>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rgb="FF0033CC"/>
      <name val="Calibri"/>
      <family val="2"/>
    </font>
    <font>
      <sz val="11"/>
      <color theme="1"/>
      <name val="Century Gothic"/>
      <family val="2"/>
    </font>
    <font>
      <b/>
      <sz val="11"/>
      <color rgb="FFFF00FF"/>
      <name val="Century Gothic"/>
      <family val="2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0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FF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2"/>
      <color rgb="FF0033CC"/>
      <name val="Cambria"/>
      <family val="1"/>
      <scheme val="major"/>
    </font>
    <font>
      <b/>
      <sz val="1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008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0"/>
      <color rgb="FFFF00FF"/>
      <name val="Cambria"/>
      <family val="1"/>
      <scheme val="major"/>
    </font>
    <font>
      <b/>
      <sz val="11"/>
      <color rgb="FFFF00FF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rgb="FF0000FF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rgb="FFB9178F"/>
      <name val="Cambria"/>
      <family val="1"/>
      <scheme val="major"/>
    </font>
    <font>
      <b/>
      <sz val="11"/>
      <color rgb="FF0033CC"/>
      <name val="Cambria"/>
      <family val="1"/>
      <scheme val="major"/>
    </font>
    <font>
      <b/>
      <sz val="11"/>
      <color rgb="FF7030A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rgb="FF7030A0"/>
      <name val="Cambria"/>
      <family val="1"/>
      <scheme val="major"/>
    </font>
    <font>
      <b/>
      <sz val="12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sz val="11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sz val="9"/>
      <color rgb="FFFF0000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rgb="FF0033CC"/>
      <name val="Cambria"/>
      <family val="1"/>
      <scheme val="major"/>
    </font>
    <font>
      <b/>
      <sz val="10"/>
      <color rgb="FF0033CC"/>
      <name val="Cambria"/>
      <family val="1"/>
      <scheme val="major"/>
    </font>
    <font>
      <b/>
      <sz val="12"/>
      <name val="Arial"/>
      <family val="2"/>
    </font>
    <font>
      <b/>
      <sz val="12"/>
      <color rgb="FFFF0000"/>
      <name val="Cambria"/>
      <family val="1"/>
      <scheme val="major"/>
    </font>
    <font>
      <b/>
      <i/>
      <sz val="11"/>
      <color rgb="FF0066FF"/>
      <name val="Cambria"/>
      <family val="1"/>
      <scheme val="major"/>
    </font>
    <font>
      <b/>
      <i/>
      <sz val="11"/>
      <color rgb="FF7030A0"/>
      <name val="Cambria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rgb="FF0066FF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FF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800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medium">
        <color indexed="64"/>
      </right>
      <top style="thin">
        <color rgb="FF0000FF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/>
      <right/>
      <top style="medium">
        <color indexed="64"/>
      </top>
      <bottom style="thin">
        <color rgb="FF0000FF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theme="8" tint="-0.249977111117893"/>
      </left>
      <right style="medium">
        <color rgb="FF002060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2060"/>
      </left>
      <right style="medium">
        <color rgb="FF002060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2060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double">
        <color rgb="FFC00000"/>
      </right>
      <top style="medium">
        <color rgb="FFC00000"/>
      </top>
      <bottom style="double">
        <color rgb="FFC00000"/>
      </bottom>
      <diagonal/>
    </border>
    <border>
      <left style="double">
        <color rgb="FFC00000"/>
      </left>
      <right style="medium">
        <color rgb="FFC00000"/>
      </right>
      <top style="medium">
        <color rgb="FFC00000"/>
      </top>
      <bottom style="double">
        <color rgb="FFC00000"/>
      </bottom>
      <diagonal/>
    </border>
    <border>
      <left style="medium">
        <color rgb="FFC00000"/>
      </left>
      <right style="double">
        <color rgb="FFC00000"/>
      </right>
      <top style="double">
        <color rgb="FFC00000"/>
      </top>
      <bottom style="medium">
        <color rgb="FFC00000"/>
      </bottom>
      <diagonal/>
    </border>
    <border>
      <left style="double">
        <color rgb="FFC00000"/>
      </left>
      <right style="medium">
        <color rgb="FFC00000"/>
      </right>
      <top style="double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/>
      <top style="medium">
        <color rgb="FF008000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</cellStyleXfs>
  <cellXfs count="429"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34" borderId="0" xfId="0" applyFill="1"/>
    <xf numFmtId="0" fontId="16" fillId="34" borderId="0" xfId="0" applyFont="1" applyFill="1"/>
    <xf numFmtId="0" fontId="18" fillId="34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/>
    <xf numFmtId="0" fontId="14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34" borderId="0" xfId="0" applyFill="1" applyBorder="1"/>
    <xf numFmtId="0" fontId="0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4" fillId="34" borderId="0" xfId="0" applyFont="1" applyFill="1"/>
    <xf numFmtId="0" fontId="25" fillId="34" borderId="0" xfId="0" applyFont="1" applyFill="1"/>
    <xf numFmtId="0" fontId="26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0" applyFont="1"/>
    <xf numFmtId="0" fontId="28" fillId="0" borderId="0" xfId="0" applyFont="1"/>
    <xf numFmtId="0" fontId="27" fillId="0" borderId="0" xfId="0" applyFont="1"/>
    <xf numFmtId="0" fontId="31" fillId="0" borderId="0" xfId="0" applyFont="1"/>
    <xf numFmtId="0" fontId="14" fillId="0" borderId="0" xfId="0" applyFont="1"/>
    <xf numFmtId="0" fontId="28" fillId="34" borderId="0" xfId="0" applyFont="1" applyFill="1"/>
    <xf numFmtId="0" fontId="32" fillId="0" borderId="0" xfId="0" applyFont="1"/>
    <xf numFmtId="0" fontId="32" fillId="34" borderId="0" xfId="0" applyFont="1" applyFill="1"/>
    <xf numFmtId="0" fontId="32" fillId="0" borderId="0" xfId="0" applyFont="1" applyFill="1" applyBorder="1"/>
    <xf numFmtId="0" fontId="33" fillId="34" borderId="0" xfId="0" applyFont="1" applyFill="1"/>
    <xf numFmtId="0" fontId="32" fillId="0" borderId="0" xfId="0" applyFont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5" fillId="34" borderId="0" xfId="0" applyFont="1" applyFill="1"/>
    <xf numFmtId="0" fontId="36" fillId="0" borderId="0" xfId="0" applyFont="1"/>
    <xf numFmtId="0" fontId="35" fillId="0" borderId="0" xfId="0" applyFont="1" applyFill="1" applyBorder="1"/>
    <xf numFmtId="0" fontId="38" fillId="0" borderId="0" xfId="0" applyFont="1" applyFill="1" applyBorder="1"/>
    <xf numFmtId="0" fontId="37" fillId="0" borderId="0" xfId="0" applyFont="1" applyAlignment="1">
      <alignment horizontal="center" vertical="center"/>
    </xf>
    <xf numFmtId="164" fontId="35" fillId="0" borderId="0" xfId="0" applyNumberFormat="1" applyFont="1"/>
    <xf numFmtId="0" fontId="28" fillId="0" borderId="0" xfId="0" applyFont="1" applyFill="1" applyBorder="1"/>
    <xf numFmtId="0" fontId="26" fillId="0" borderId="0" xfId="0" applyFont="1" applyFill="1" applyBorder="1"/>
    <xf numFmtId="0" fontId="39" fillId="0" borderId="0" xfId="0" applyFont="1" applyFill="1" applyBorder="1"/>
    <xf numFmtId="0" fontId="26" fillId="34" borderId="0" xfId="0" applyFont="1" applyFill="1"/>
    <xf numFmtId="0" fontId="40" fillId="35" borderId="47" xfId="0" applyFont="1" applyFill="1" applyBorder="1" applyAlignment="1">
      <alignment horizontal="center" vertical="center"/>
    </xf>
    <xf numFmtId="0" fontId="41" fillId="35" borderId="4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3" fillId="33" borderId="39" xfId="0" applyFont="1" applyFill="1" applyBorder="1" applyAlignment="1">
      <alignment horizontal="center" vertical="center"/>
    </xf>
    <xf numFmtId="0" fontId="43" fillId="33" borderId="39" xfId="0" applyFont="1" applyFill="1" applyBorder="1" applyAlignment="1">
      <alignment horizontal="center" vertical="center" wrapText="1"/>
    </xf>
    <xf numFmtId="0" fontId="43" fillId="33" borderId="10" xfId="0" applyFont="1" applyFill="1" applyBorder="1" applyAlignment="1">
      <alignment horizontal="center" vertical="center" wrapText="1"/>
    </xf>
    <xf numFmtId="0" fontId="43" fillId="33" borderId="10" xfId="0" applyFont="1" applyFill="1" applyBorder="1"/>
    <xf numFmtId="0" fontId="44" fillId="34" borderId="0" xfId="0" applyFont="1" applyFill="1"/>
    <xf numFmtId="0" fontId="28" fillId="0" borderId="39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2" fontId="46" fillId="0" borderId="10" xfId="0" applyNumberFormat="1" applyFont="1" applyBorder="1" applyAlignment="1">
      <alignment horizontal="center" vertical="center"/>
    </xf>
    <xf numFmtId="0" fontId="47" fillId="33" borderId="10" xfId="0" applyFont="1" applyFill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9" fillId="34" borderId="0" xfId="0" applyFont="1" applyFill="1" applyBorder="1" applyAlignment="1">
      <alignment horizontal="center" wrapText="1"/>
    </xf>
    <xf numFmtId="0" fontId="26" fillId="34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0" fillId="34" borderId="0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34" borderId="0" xfId="0" applyFont="1" applyFill="1" applyBorder="1"/>
    <xf numFmtId="0" fontId="30" fillId="34" borderId="0" xfId="0" applyFont="1" applyFill="1"/>
    <xf numFmtId="0" fontId="40" fillId="39" borderId="24" xfId="0" applyFont="1" applyFill="1" applyBorder="1" applyAlignment="1">
      <alignment vertical="center"/>
    </xf>
    <xf numFmtId="2" fontId="58" fillId="34" borderId="10" xfId="0" applyNumberFormat="1" applyFont="1" applyFill="1" applyBorder="1" applyAlignment="1">
      <alignment horizontal="center" vertical="center" readingOrder="1"/>
    </xf>
    <xf numFmtId="0" fontId="26" fillId="0" borderId="0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NumberFormat="1" applyFont="1" applyBorder="1" applyAlignment="1">
      <alignment horizontal="center" vertical="center"/>
    </xf>
    <xf numFmtId="2" fontId="26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2" fontId="28" fillId="0" borderId="13" xfId="0" applyNumberFormat="1" applyFont="1" applyBorder="1" applyAlignment="1">
      <alignment horizontal="center" vertical="center"/>
    </xf>
    <xf numFmtId="0" fontId="35" fillId="34" borderId="0" xfId="0" applyFont="1" applyFill="1" applyBorder="1" applyAlignment="1">
      <alignment horizontal="center" vertical="center"/>
    </xf>
    <xf numFmtId="0" fontId="35" fillId="3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9" fillId="0" borderId="20" xfId="0" applyFont="1" applyFill="1" applyBorder="1" applyAlignment="1">
      <alignment horizontal="center" vertical="center"/>
    </xf>
    <xf numFmtId="2" fontId="60" fillId="0" borderId="20" xfId="0" applyNumberFormat="1" applyFont="1" applyFill="1" applyBorder="1" applyAlignment="1">
      <alignment horizontal="center" vertical="center"/>
    </xf>
    <xf numFmtId="2" fontId="61" fillId="0" borderId="20" xfId="0" applyNumberFormat="1" applyFont="1" applyFill="1" applyBorder="1" applyAlignment="1">
      <alignment horizontal="center" vertical="center"/>
    </xf>
    <xf numFmtId="0" fontId="62" fillId="34" borderId="0" xfId="0" applyFont="1" applyFill="1" applyBorder="1" applyAlignment="1">
      <alignment horizontal="center" vertical="center"/>
    </xf>
    <xf numFmtId="0" fontId="54" fillId="34" borderId="0" xfId="0" applyFont="1" applyFill="1" applyBorder="1" applyAlignment="1">
      <alignment horizontal="center" vertical="center"/>
    </xf>
    <xf numFmtId="0" fontId="54" fillId="34" borderId="21" xfId="0" applyFont="1" applyFill="1" applyBorder="1" applyAlignment="1">
      <alignment horizontal="center" vertical="center"/>
    </xf>
    <xf numFmtId="2" fontId="61" fillId="34" borderId="21" xfId="0" applyNumberFormat="1" applyFont="1" applyFill="1" applyBorder="1" applyAlignment="1">
      <alignment horizontal="center" vertical="center"/>
    </xf>
    <xf numFmtId="164" fontId="61" fillId="37" borderId="21" xfId="0" applyNumberFormat="1" applyFont="1" applyFill="1" applyBorder="1" applyAlignment="1">
      <alignment horizontal="center" vertical="center"/>
    </xf>
    <xf numFmtId="0" fontId="63" fillId="34" borderId="21" xfId="0" applyFont="1" applyFill="1" applyBorder="1" applyAlignment="1">
      <alignment horizontal="center" vertical="center"/>
    </xf>
    <xf numFmtId="0" fontId="55" fillId="34" borderId="21" xfId="0" applyFont="1" applyFill="1" applyBorder="1" applyAlignment="1">
      <alignment horizontal="center" vertical="center"/>
    </xf>
    <xf numFmtId="0" fontId="52" fillId="34" borderId="21" xfId="0" applyFont="1" applyFill="1" applyBorder="1" applyAlignment="1">
      <alignment horizontal="center" vertical="center"/>
    </xf>
    <xf numFmtId="0" fontId="63" fillId="34" borderId="0" xfId="0" applyFont="1" applyFill="1" applyBorder="1" applyAlignment="1">
      <alignment horizontal="center" vertical="center"/>
    </xf>
    <xf numFmtId="0" fontId="55" fillId="34" borderId="0" xfId="0" applyFont="1" applyFill="1" applyBorder="1" applyAlignment="1">
      <alignment horizontal="center" vertical="center"/>
    </xf>
    <xf numFmtId="0" fontId="52" fillId="34" borderId="0" xfId="0" applyFont="1" applyFill="1" applyBorder="1" applyAlignment="1">
      <alignment horizontal="center" vertical="center"/>
    </xf>
    <xf numFmtId="2" fontId="46" fillId="34" borderId="14" xfId="0" applyNumberFormat="1" applyFont="1" applyFill="1" applyBorder="1" applyAlignment="1">
      <alignment horizontal="center" vertical="center"/>
    </xf>
    <xf numFmtId="0" fontId="48" fillId="34" borderId="0" xfId="0" applyFont="1" applyFill="1" applyBorder="1" applyAlignment="1">
      <alignment horizontal="center" vertical="center" readingOrder="2"/>
    </xf>
    <xf numFmtId="2" fontId="58" fillId="34" borderId="0" xfId="0" applyNumberFormat="1" applyFont="1" applyFill="1" applyBorder="1" applyAlignment="1">
      <alignment horizontal="center" vertical="center" readingOrder="1"/>
    </xf>
    <xf numFmtId="0" fontId="58" fillId="34" borderId="0" xfId="0" applyFont="1" applyFill="1" applyBorder="1" applyAlignment="1">
      <alignment horizontal="center" vertical="center" readingOrder="2"/>
    </xf>
    <xf numFmtId="0" fontId="26" fillId="0" borderId="20" xfId="0" applyFont="1" applyBorder="1" applyAlignment="1">
      <alignment horizontal="center" vertical="center"/>
    </xf>
    <xf numFmtId="0" fontId="26" fillId="0" borderId="20" xfId="0" applyNumberFormat="1" applyFont="1" applyBorder="1" applyAlignment="1">
      <alignment horizontal="center" vertical="center"/>
    </xf>
    <xf numFmtId="2" fontId="26" fillId="0" borderId="20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2" fontId="28" fillId="0" borderId="20" xfId="0" applyNumberFormat="1" applyFont="1" applyBorder="1" applyAlignment="1">
      <alignment horizontal="center" vertical="center"/>
    </xf>
    <xf numFmtId="0" fontId="59" fillId="0" borderId="13" xfId="0" applyFont="1" applyFill="1" applyBorder="1" applyAlignment="1">
      <alignment horizontal="center" vertical="center"/>
    </xf>
    <xf numFmtId="2" fontId="60" fillId="0" borderId="13" xfId="0" applyNumberFormat="1" applyFont="1" applyFill="1" applyBorder="1" applyAlignment="1">
      <alignment horizontal="center" vertical="center"/>
    </xf>
    <xf numFmtId="2" fontId="61" fillId="0" borderId="13" xfId="0" applyNumberFormat="1" applyFont="1" applyFill="1" applyBorder="1" applyAlignment="1">
      <alignment horizontal="center" vertical="center"/>
    </xf>
    <xf numFmtId="0" fontId="48" fillId="34" borderId="0" xfId="0" applyFont="1" applyFill="1" applyAlignment="1">
      <alignment horizontal="center" vertical="center"/>
    </xf>
    <xf numFmtId="2" fontId="46" fillId="34" borderId="0" xfId="0" applyNumberFormat="1" applyFont="1" applyFill="1" applyBorder="1" applyAlignment="1">
      <alignment horizontal="center" vertical="center"/>
    </xf>
    <xf numFmtId="0" fontId="40" fillId="38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vertical="center"/>
    </xf>
    <xf numFmtId="0" fontId="64" fillId="34" borderId="2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center" vertical="center"/>
    </xf>
    <xf numFmtId="0" fontId="39" fillId="34" borderId="0" xfId="0" applyFont="1" applyFill="1" applyBorder="1"/>
    <xf numFmtId="0" fontId="52" fillId="36" borderId="39" xfId="0" applyFont="1" applyFill="1" applyBorder="1" applyAlignment="1">
      <alignment horizontal="center" vertical="center"/>
    </xf>
    <xf numFmtId="0" fontId="28" fillId="41" borderId="39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51" fillId="34" borderId="39" xfId="0" applyFont="1" applyFill="1" applyBorder="1" applyAlignment="1">
      <alignment horizontal="center" vertical="center"/>
    </xf>
    <xf numFmtId="0" fontId="39" fillId="0" borderId="39" xfId="0" applyFont="1" applyFill="1" applyBorder="1" applyAlignment="1">
      <alignment horizontal="center" vertical="center"/>
    </xf>
    <xf numFmtId="14" fontId="39" fillId="0" borderId="39" xfId="0" applyNumberFormat="1" applyFont="1" applyFill="1" applyBorder="1" applyAlignment="1">
      <alignment horizontal="center" vertical="center"/>
    </xf>
    <xf numFmtId="2" fontId="28" fillId="41" borderId="39" xfId="0" applyNumberFormat="1" applyFont="1" applyFill="1" applyBorder="1" applyAlignment="1">
      <alignment horizontal="center" vertical="center"/>
    </xf>
    <xf numFmtId="2" fontId="39" fillId="40" borderId="39" xfId="0" applyNumberFormat="1" applyFont="1" applyFill="1" applyBorder="1" applyAlignment="1">
      <alignment horizontal="center" vertical="center"/>
    </xf>
    <xf numFmtId="2" fontId="39" fillId="36" borderId="39" xfId="0" applyNumberFormat="1" applyFont="1" applyFill="1" applyBorder="1" applyAlignment="1">
      <alignment horizontal="center" vertical="center"/>
    </xf>
    <xf numFmtId="0" fontId="48" fillId="0" borderId="0" xfId="0" applyFont="1"/>
    <xf numFmtId="0" fontId="48" fillId="34" borderId="0" xfId="0" applyFont="1" applyFill="1"/>
    <xf numFmtId="0" fontId="48" fillId="0" borderId="0" xfId="0" applyFont="1" applyFill="1" applyBorder="1"/>
    <xf numFmtId="2" fontId="36" fillId="0" borderId="10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68" fillId="33" borderId="10" xfId="0" applyFont="1" applyFill="1" applyBorder="1" applyAlignment="1">
      <alignment horizontal="center" vertical="center" wrapText="1"/>
    </xf>
    <xf numFmtId="0" fontId="57" fillId="34" borderId="0" xfId="0" applyFont="1" applyFill="1" applyBorder="1" applyAlignment="1">
      <alignment horizontal="center" vertical="center"/>
    </xf>
    <xf numFmtId="0" fontId="39" fillId="34" borderId="13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center" vertical="center"/>
    </xf>
    <xf numFmtId="0" fontId="0" fillId="34" borderId="0" xfId="0" applyFont="1" applyFill="1" applyBorder="1"/>
    <xf numFmtId="0" fontId="67" fillId="34" borderId="0" xfId="0" applyFont="1" applyFill="1" applyBorder="1" applyAlignment="1">
      <alignment vertical="center"/>
    </xf>
    <xf numFmtId="0" fontId="53" fillId="37" borderId="13" xfId="0" applyFont="1" applyFill="1" applyBorder="1" applyAlignment="1">
      <alignment horizontal="center" vertical="center"/>
    </xf>
    <xf numFmtId="0" fontId="42" fillId="36" borderId="13" xfId="0" applyFont="1" applyFill="1" applyBorder="1" applyAlignment="1">
      <alignment horizontal="center" vertical="center"/>
    </xf>
    <xf numFmtId="0" fontId="50" fillId="35" borderId="13" xfId="0" applyFont="1" applyFill="1" applyBorder="1" applyAlignment="1">
      <alignment horizontal="center" vertical="center"/>
    </xf>
    <xf numFmtId="0" fontId="67" fillId="36" borderId="13" xfId="0" applyFont="1" applyFill="1" applyBorder="1" applyAlignment="1">
      <alignment horizontal="center" vertical="center"/>
    </xf>
    <xf numFmtId="0" fontId="26" fillId="33" borderId="77" xfId="0" applyFont="1" applyFill="1" applyBorder="1" applyAlignment="1">
      <alignment horizontal="center" vertical="center"/>
    </xf>
    <xf numFmtId="0" fontId="28" fillId="33" borderId="77" xfId="0" applyFont="1" applyFill="1" applyBorder="1" applyAlignment="1">
      <alignment horizontal="center" vertical="center"/>
    </xf>
    <xf numFmtId="0" fontId="40" fillId="34" borderId="77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Font="1"/>
    <xf numFmtId="0" fontId="71" fillId="34" borderId="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0" fillId="34" borderId="0" xfId="0" applyFont="1" applyFill="1"/>
    <xf numFmtId="0" fontId="16" fillId="0" borderId="34" xfId="0" applyFont="1" applyFill="1" applyBorder="1" applyAlignment="1">
      <alignment horizontal="center" vertical="center"/>
    </xf>
    <xf numFmtId="0" fontId="72" fillId="0" borderId="3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43" borderId="34" xfId="0" applyFont="1" applyFill="1" applyBorder="1" applyAlignment="1">
      <alignment horizontal="center" vertical="center"/>
    </xf>
    <xf numFmtId="2" fontId="16" fillId="43" borderId="34" xfId="0" applyNumberFormat="1" applyFont="1" applyFill="1" applyBorder="1" applyAlignment="1">
      <alignment horizontal="center" vertical="center"/>
    </xf>
    <xf numFmtId="0" fontId="16" fillId="34" borderId="34" xfId="0" applyFont="1" applyFill="1" applyBorder="1" applyAlignment="1">
      <alignment horizontal="center" vertical="center"/>
    </xf>
    <xf numFmtId="2" fontId="16" fillId="34" borderId="34" xfId="0" applyNumberFormat="1" applyFont="1" applyFill="1" applyBorder="1" applyAlignment="1">
      <alignment horizontal="center" vertical="center"/>
    </xf>
    <xf numFmtId="0" fontId="75" fillId="34" borderId="34" xfId="0" applyFont="1" applyFill="1" applyBorder="1" applyAlignment="1">
      <alignment horizontal="center" vertical="center"/>
    </xf>
    <xf numFmtId="2" fontId="75" fillId="34" borderId="34" xfId="0" applyNumberFormat="1" applyFont="1" applyFill="1" applyBorder="1" applyAlignment="1">
      <alignment horizontal="center" vertical="center"/>
    </xf>
    <xf numFmtId="0" fontId="75" fillId="43" borderId="34" xfId="0" applyFont="1" applyFill="1" applyBorder="1" applyAlignment="1">
      <alignment horizontal="center" vertical="center"/>
    </xf>
    <xf numFmtId="2" fontId="75" fillId="43" borderId="34" xfId="0" applyNumberFormat="1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2" fillId="43" borderId="34" xfId="0" applyFont="1" applyFill="1" applyBorder="1" applyAlignment="1">
      <alignment horizontal="center" vertical="center"/>
    </xf>
    <xf numFmtId="0" fontId="77" fillId="34" borderId="0" xfId="0" applyFont="1" applyFill="1"/>
    <xf numFmtId="0" fontId="78" fillId="0" borderId="34" xfId="0" applyFont="1" applyBorder="1" applyAlignment="1">
      <alignment horizontal="center" vertical="center"/>
    </xf>
    <xf numFmtId="0" fontId="79" fillId="36" borderId="34" xfId="0" applyFont="1" applyFill="1" applyBorder="1" applyAlignment="1">
      <alignment horizontal="center" vertical="center"/>
    </xf>
    <xf numFmtId="0" fontId="80" fillId="33" borderId="34" xfId="0" applyFont="1" applyFill="1" applyBorder="1" applyAlignment="1">
      <alignment horizontal="center" vertical="center"/>
    </xf>
    <xf numFmtId="0" fontId="72" fillId="34" borderId="34" xfId="0" applyFont="1" applyFill="1" applyBorder="1" applyAlignment="1">
      <alignment horizontal="center" vertical="center"/>
    </xf>
    <xf numFmtId="0" fontId="82" fillId="38" borderId="34" xfId="0" applyFont="1" applyFill="1" applyBorder="1" applyAlignment="1">
      <alignment horizontal="center" vertical="center"/>
    </xf>
    <xf numFmtId="0" fontId="72" fillId="35" borderId="34" xfId="0" applyFont="1" applyFill="1" applyBorder="1" applyAlignment="1">
      <alignment horizontal="center" vertical="center"/>
    </xf>
    <xf numFmtId="0" fontId="80" fillId="35" borderId="3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72" fillId="0" borderId="34" xfId="0" applyFont="1" applyBorder="1" applyAlignment="1">
      <alignment horizontal="center" vertical="center"/>
    </xf>
    <xf numFmtId="0" fontId="76" fillId="0" borderId="34" xfId="0" applyFont="1" applyBorder="1" applyAlignment="1">
      <alignment horizontal="center" vertical="center"/>
    </xf>
    <xf numFmtId="0" fontId="79" fillId="34" borderId="34" xfId="0" applyFont="1" applyFill="1" applyBorder="1" applyAlignment="1">
      <alignment horizontal="center" vertical="center"/>
    </xf>
    <xf numFmtId="0" fontId="80" fillId="34" borderId="34" xfId="0" applyFont="1" applyFill="1" applyBorder="1" applyAlignment="1">
      <alignment horizontal="center" vertical="center"/>
    </xf>
    <xf numFmtId="0" fontId="86" fillId="34" borderId="34" xfId="0" applyNumberFormat="1" applyFont="1" applyFill="1" applyBorder="1" applyAlignment="1">
      <alignment horizontal="center" vertical="center"/>
    </xf>
    <xf numFmtId="0" fontId="75" fillId="0" borderId="34" xfId="0" applyNumberFormat="1" applyFont="1" applyBorder="1" applyAlignment="1">
      <alignment horizontal="center" vertical="center"/>
    </xf>
    <xf numFmtId="0" fontId="16" fillId="0" borderId="34" xfId="0" applyNumberFormat="1" applyFont="1" applyBorder="1" applyAlignment="1">
      <alignment horizontal="center" vertical="center"/>
    </xf>
    <xf numFmtId="2" fontId="75" fillId="0" borderId="34" xfId="0" applyNumberFormat="1" applyFont="1" applyBorder="1" applyAlignment="1">
      <alignment horizontal="center" vertical="center"/>
    </xf>
    <xf numFmtId="2" fontId="72" fillId="0" borderId="34" xfId="0" applyNumberFormat="1" applyFont="1" applyBorder="1" applyAlignment="1">
      <alignment horizontal="center" vertical="center"/>
    </xf>
    <xf numFmtId="0" fontId="87" fillId="34" borderId="34" xfId="0" applyFont="1" applyFill="1" applyBorder="1" applyAlignment="1">
      <alignment horizontal="center" vertical="center" readingOrder="2"/>
    </xf>
    <xf numFmtId="2" fontId="72" fillId="34" borderId="34" xfId="0" applyNumberFormat="1" applyFont="1" applyFill="1" applyBorder="1" applyAlignment="1">
      <alignment horizontal="center" vertical="center" readingOrder="2"/>
    </xf>
    <xf numFmtId="0" fontId="88" fillId="34" borderId="34" xfId="0" applyFont="1" applyFill="1" applyBorder="1" applyAlignment="1">
      <alignment horizontal="center" vertical="center" readingOrder="2"/>
    </xf>
    <xf numFmtId="0" fontId="75" fillId="34" borderId="34" xfId="0" applyNumberFormat="1" applyFont="1" applyFill="1" applyBorder="1" applyAlignment="1">
      <alignment horizontal="center" vertical="center"/>
    </xf>
    <xf numFmtId="0" fontId="16" fillId="34" borderId="34" xfId="0" applyNumberFormat="1" applyFont="1" applyFill="1" applyBorder="1" applyAlignment="1">
      <alignment horizontal="center" vertical="center"/>
    </xf>
    <xf numFmtId="2" fontId="72" fillId="34" borderId="34" xfId="0" applyNumberFormat="1" applyFont="1" applyFill="1" applyBorder="1" applyAlignment="1">
      <alignment horizontal="center" vertical="center"/>
    </xf>
    <xf numFmtId="0" fontId="80" fillId="34" borderId="34" xfId="0" applyFont="1" applyFill="1" applyBorder="1" applyAlignment="1">
      <alignment horizontal="center" vertical="center" readingOrder="2"/>
    </xf>
    <xf numFmtId="2" fontId="79" fillId="34" borderId="34" xfId="0" applyNumberFormat="1" applyFont="1" applyFill="1" applyBorder="1" applyAlignment="1">
      <alignment horizontal="center" vertical="center" readingOrder="2"/>
    </xf>
    <xf numFmtId="2" fontId="80" fillId="34" borderId="34" xfId="0" applyNumberFormat="1" applyFont="1" applyFill="1" applyBorder="1" applyAlignment="1">
      <alignment horizontal="center" vertical="center"/>
    </xf>
    <xf numFmtId="0" fontId="89" fillId="42" borderId="34" xfId="0" applyFont="1" applyFill="1" applyBorder="1" applyAlignment="1">
      <alignment horizontal="center" vertical="center"/>
    </xf>
    <xf numFmtId="0" fontId="86" fillId="42" borderId="34" xfId="0" applyNumberFormat="1" applyFont="1" applyFill="1" applyBorder="1" applyAlignment="1">
      <alignment horizontal="center" vertical="center"/>
    </xf>
    <xf numFmtId="0" fontId="75" fillId="42" borderId="34" xfId="0" applyNumberFormat="1" applyFont="1" applyFill="1" applyBorder="1" applyAlignment="1">
      <alignment horizontal="center" vertical="center"/>
    </xf>
    <xf numFmtId="0" fontId="16" fillId="42" borderId="34" xfId="0" applyNumberFormat="1" applyFont="1" applyFill="1" applyBorder="1" applyAlignment="1">
      <alignment horizontal="center" vertical="center"/>
    </xf>
    <xf numFmtId="2" fontId="75" fillId="42" borderId="34" xfId="0" applyNumberFormat="1" applyFont="1" applyFill="1" applyBorder="1" applyAlignment="1">
      <alignment horizontal="center" vertical="center"/>
    </xf>
    <xf numFmtId="2" fontId="72" fillId="42" borderId="34" xfId="0" applyNumberFormat="1" applyFont="1" applyFill="1" applyBorder="1" applyAlignment="1">
      <alignment horizontal="center" vertical="center"/>
    </xf>
    <xf numFmtId="0" fontId="78" fillId="42" borderId="34" xfId="0" applyFont="1" applyFill="1" applyBorder="1" applyAlignment="1">
      <alignment horizontal="center" vertical="center"/>
    </xf>
    <xf numFmtId="0" fontId="87" fillId="42" borderId="34" xfId="0" applyFont="1" applyFill="1" applyBorder="1" applyAlignment="1">
      <alignment horizontal="center" vertical="center" readingOrder="2"/>
    </xf>
    <xf numFmtId="2" fontId="72" fillId="42" borderId="34" xfId="0" applyNumberFormat="1" applyFont="1" applyFill="1" applyBorder="1" applyAlignment="1">
      <alignment horizontal="center" vertical="center" readingOrder="2"/>
    </xf>
    <xf numFmtId="0" fontId="88" fillId="42" borderId="34" xfId="0" applyFont="1" applyFill="1" applyBorder="1" applyAlignment="1">
      <alignment horizontal="center" vertical="center" readingOrder="2"/>
    </xf>
    <xf numFmtId="0" fontId="88" fillId="34" borderId="0" xfId="0" applyFont="1" applyFill="1" applyBorder="1" applyAlignment="1">
      <alignment horizontal="center" vertical="center" readingOrder="2"/>
    </xf>
    <xf numFmtId="0" fontId="87" fillId="34" borderId="0" xfId="0" applyNumberFormat="1" applyFont="1" applyFill="1" applyBorder="1" applyAlignment="1">
      <alignment horizontal="center" vertical="center" readingOrder="2"/>
    </xf>
    <xf numFmtId="2" fontId="87" fillId="34" borderId="0" xfId="0" applyNumberFormat="1" applyFont="1" applyFill="1" applyBorder="1" applyAlignment="1">
      <alignment horizontal="center" vertical="center" readingOrder="2"/>
    </xf>
    <xf numFmtId="0" fontId="80" fillId="34" borderId="0" xfId="0" applyFont="1" applyFill="1" applyBorder="1" applyAlignment="1">
      <alignment horizontal="center" vertical="center" readingOrder="2"/>
    </xf>
    <xf numFmtId="0" fontId="75" fillId="34" borderId="0" xfId="0" applyFont="1" applyFill="1" applyBorder="1" applyAlignment="1">
      <alignment horizontal="center" vertical="center" readingOrder="2"/>
    </xf>
    <xf numFmtId="2" fontId="75" fillId="34" borderId="0" xfId="0" applyNumberFormat="1" applyFont="1" applyFill="1" applyBorder="1" applyAlignment="1">
      <alignment horizontal="center" vertical="center" readingOrder="2"/>
    </xf>
    <xf numFmtId="0" fontId="16" fillId="34" borderId="0" xfId="0" applyFont="1" applyFill="1" applyBorder="1"/>
    <xf numFmtId="0" fontId="75" fillId="34" borderId="0" xfId="0" applyFont="1" applyFill="1" applyBorder="1" applyAlignment="1">
      <alignment horizontal="center" vertical="center"/>
    </xf>
    <xf numFmtId="0" fontId="90" fillId="34" borderId="0" xfId="0" applyFont="1" applyFill="1" applyBorder="1" applyAlignment="1">
      <alignment horizontal="center" vertical="center"/>
    </xf>
    <xf numFmtId="0" fontId="16" fillId="0" borderId="0" xfId="0" applyFont="1" applyBorder="1"/>
    <xf numFmtId="0" fontId="87" fillId="34" borderId="34" xfId="0" applyNumberFormat="1" applyFont="1" applyFill="1" applyBorder="1" applyAlignment="1">
      <alignment horizontal="center" vertical="center" readingOrder="2"/>
    </xf>
    <xf numFmtId="2" fontId="87" fillId="34" borderId="34" xfId="0" applyNumberFormat="1" applyFont="1" applyFill="1" applyBorder="1" applyAlignment="1">
      <alignment horizontal="center" vertical="center" readingOrder="2"/>
    </xf>
    <xf numFmtId="0" fontId="75" fillId="34" borderId="34" xfId="0" applyFont="1" applyFill="1" applyBorder="1" applyAlignment="1">
      <alignment horizontal="center" vertical="center" readingOrder="2"/>
    </xf>
    <xf numFmtId="2" fontId="75" fillId="34" borderId="34" xfId="0" applyNumberFormat="1" applyFont="1" applyFill="1" applyBorder="1" applyAlignment="1">
      <alignment horizontal="center" vertical="center" readingOrder="2"/>
    </xf>
    <xf numFmtId="0" fontId="16" fillId="34" borderId="35" xfId="0" applyFont="1" applyFill="1" applyBorder="1"/>
    <xf numFmtId="0" fontId="16" fillId="34" borderId="35" xfId="0" applyFont="1" applyFill="1" applyBorder="1" applyAlignment="1">
      <alignment horizontal="center" vertical="center"/>
    </xf>
    <xf numFmtId="0" fontId="82" fillId="34" borderId="0" xfId="0" applyFont="1" applyFill="1" applyBorder="1" applyAlignment="1">
      <alignment horizontal="center" vertical="center"/>
    </xf>
    <xf numFmtId="2" fontId="88" fillId="34" borderId="0" xfId="0" applyNumberFormat="1" applyFont="1" applyFill="1" applyBorder="1" applyAlignment="1">
      <alignment horizontal="center" vertical="center" readingOrder="2"/>
    </xf>
    <xf numFmtId="2" fontId="80" fillId="34" borderId="0" xfId="0" applyNumberFormat="1" applyFont="1" applyFill="1" applyBorder="1" applyAlignment="1">
      <alignment horizontal="center" vertical="center" readingOrder="2"/>
    </xf>
    <xf numFmtId="0" fontId="90" fillId="34" borderId="0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/>
    </xf>
    <xf numFmtId="2" fontId="91" fillId="0" borderId="15" xfId="0" applyNumberFormat="1" applyFont="1" applyBorder="1" applyAlignment="1">
      <alignment horizontal="center" vertical="center" wrapText="1" readingOrder="2"/>
    </xf>
    <xf numFmtId="2" fontId="92" fillId="0" borderId="15" xfId="0" applyNumberFormat="1" applyFont="1" applyBorder="1" applyAlignment="1">
      <alignment horizontal="center" vertical="center"/>
    </xf>
    <xf numFmtId="2" fontId="81" fillId="0" borderId="15" xfId="0" applyNumberFormat="1" applyFont="1" applyBorder="1" applyAlignment="1">
      <alignment horizontal="center" vertical="center"/>
    </xf>
    <xf numFmtId="2" fontId="94" fillId="33" borderId="15" xfId="0" applyNumberFormat="1" applyFont="1" applyFill="1" applyBorder="1" applyAlignment="1">
      <alignment horizontal="center" vertical="center"/>
    </xf>
    <xf numFmtId="0" fontId="95" fillId="38" borderId="27" xfId="0" applyFont="1" applyFill="1" applyBorder="1" applyAlignment="1">
      <alignment horizontal="center" vertical="center" wrapText="1" readingOrder="2"/>
    </xf>
    <xf numFmtId="0" fontId="95" fillId="38" borderId="26" xfId="0" applyFont="1" applyFill="1" applyBorder="1" applyAlignment="1">
      <alignment horizontal="center" vertical="center" wrapText="1" readingOrder="1"/>
    </xf>
    <xf numFmtId="0" fontId="97" fillId="35" borderId="27" xfId="0" applyFont="1" applyFill="1" applyBorder="1" applyAlignment="1">
      <alignment horizontal="center" vertical="center" wrapText="1" readingOrder="2"/>
    </xf>
    <xf numFmtId="0" fontId="97" fillId="35" borderId="26" xfId="0" applyFont="1" applyFill="1" applyBorder="1" applyAlignment="1">
      <alignment horizontal="center" vertical="center" wrapText="1" readingOrder="1"/>
    </xf>
    <xf numFmtId="0" fontId="98" fillId="44" borderId="27" xfId="0" applyFont="1" applyFill="1" applyBorder="1" applyAlignment="1">
      <alignment horizontal="center" vertical="center" wrapText="1" readingOrder="2"/>
    </xf>
    <xf numFmtId="0" fontId="96" fillId="44" borderId="26" xfId="0" applyFont="1" applyFill="1" applyBorder="1" applyAlignment="1">
      <alignment horizontal="center" vertical="center" wrapText="1" readingOrder="1"/>
    </xf>
    <xf numFmtId="0" fontId="99" fillId="44" borderId="27" xfId="0" applyFont="1" applyFill="1" applyBorder="1" applyAlignment="1">
      <alignment horizontal="center" vertical="center" wrapText="1" readingOrder="2"/>
    </xf>
    <xf numFmtId="0" fontId="98" fillId="44" borderId="0" xfId="0" applyFont="1" applyFill="1" applyBorder="1" applyAlignment="1">
      <alignment horizontal="center" vertical="center" wrapText="1" readingOrder="2"/>
    </xf>
    <xf numFmtId="0" fontId="96" fillId="44" borderId="0" xfId="0" applyFont="1" applyFill="1" applyBorder="1" applyAlignment="1">
      <alignment horizontal="center" vertical="center" wrapText="1" readingOrder="1"/>
    </xf>
    <xf numFmtId="0" fontId="86" fillId="0" borderId="0" xfId="0" applyFont="1"/>
    <xf numFmtId="0" fontId="30" fillId="0" borderId="0" xfId="0" applyFont="1" applyAlignment="1">
      <alignment horizontal="center" vertical="center"/>
    </xf>
    <xf numFmtId="0" fontId="90" fillId="34" borderId="33" xfId="0" applyFont="1" applyFill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72" fillId="33" borderId="34" xfId="0" applyFont="1" applyFill="1" applyBorder="1" applyAlignment="1">
      <alignment horizontal="center" vertical="center"/>
    </xf>
    <xf numFmtId="0" fontId="75" fillId="33" borderId="34" xfId="0" applyFont="1" applyFill="1" applyBorder="1" applyAlignment="1">
      <alignment horizontal="center" vertical="center"/>
    </xf>
    <xf numFmtId="0" fontId="72" fillId="33" borderId="10" xfId="0" applyFont="1" applyFill="1" applyBorder="1" applyAlignment="1">
      <alignment horizontal="center" vertical="center"/>
    </xf>
    <xf numFmtId="0" fontId="75" fillId="33" borderId="10" xfId="0" applyFont="1" applyFill="1" applyBorder="1" applyAlignment="1">
      <alignment horizontal="center" vertical="center"/>
    </xf>
    <xf numFmtId="0" fontId="82" fillId="0" borderId="10" xfId="0" applyFont="1" applyBorder="1" applyAlignment="1">
      <alignment horizontal="center" vertical="center"/>
    </xf>
    <xf numFmtId="2" fontId="75" fillId="0" borderId="10" xfId="0" applyNumberFormat="1" applyFont="1" applyBorder="1" applyAlignment="1">
      <alignment horizontal="center" vertical="center"/>
    </xf>
    <xf numFmtId="0" fontId="16" fillId="33" borderId="34" xfId="0" applyFont="1" applyFill="1" applyBorder="1" applyAlignment="1">
      <alignment horizontal="center" vertical="center"/>
    </xf>
    <xf numFmtId="2" fontId="75" fillId="33" borderId="34" xfId="0" applyNumberFormat="1" applyFont="1" applyFill="1" applyBorder="1" applyAlignment="1">
      <alignment horizontal="center" vertical="center"/>
    </xf>
    <xf numFmtId="0" fontId="82" fillId="33" borderId="10" xfId="0" applyFont="1" applyFill="1" applyBorder="1" applyAlignment="1">
      <alignment horizontal="center" vertical="center"/>
    </xf>
    <xf numFmtId="2" fontId="75" fillId="33" borderId="10" xfId="0" applyNumberFormat="1" applyFont="1" applyFill="1" applyBorder="1" applyAlignment="1">
      <alignment horizontal="center" vertical="center"/>
    </xf>
    <xf numFmtId="0" fontId="81" fillId="34" borderId="34" xfId="0" applyFont="1" applyFill="1" applyBorder="1" applyAlignment="1">
      <alignment horizontal="center" vertical="center" wrapText="1" readingOrder="2"/>
    </xf>
    <xf numFmtId="0" fontId="81" fillId="34" borderId="34" xfId="0" applyFont="1" applyFill="1" applyBorder="1" applyAlignment="1">
      <alignment horizontal="center" vertical="center" wrapText="1" readingOrder="1"/>
    </xf>
    <xf numFmtId="0" fontId="100" fillId="34" borderId="34" xfId="0" applyFont="1" applyFill="1" applyBorder="1" applyAlignment="1">
      <alignment horizontal="center" vertical="center" wrapText="1" readingOrder="1"/>
    </xf>
    <xf numFmtId="0" fontId="101" fillId="34" borderId="34" xfId="0" applyFont="1" applyFill="1" applyBorder="1" applyAlignment="1">
      <alignment horizontal="center" vertical="center" wrapText="1" readingOrder="2"/>
    </xf>
    <xf numFmtId="0" fontId="101" fillId="34" borderId="34" xfId="0" applyFont="1" applyFill="1" applyBorder="1" applyAlignment="1">
      <alignment horizontal="center" vertical="center" wrapText="1" readingOrder="1"/>
    </xf>
    <xf numFmtId="0" fontId="72" fillId="34" borderId="0" xfId="0" applyFont="1" applyFill="1" applyBorder="1" applyAlignment="1">
      <alignment horizontal="center" vertical="center"/>
    </xf>
    <xf numFmtId="0" fontId="101" fillId="34" borderId="0" xfId="0" applyFont="1" applyFill="1" applyBorder="1" applyAlignment="1">
      <alignment horizontal="center" vertical="center" wrapText="1" readingOrder="2"/>
    </xf>
    <xf numFmtId="0" fontId="81" fillId="34" borderId="0" xfId="0" applyFont="1" applyFill="1" applyBorder="1" applyAlignment="1">
      <alignment horizontal="center" vertical="center" wrapText="1" readingOrder="2"/>
    </xf>
    <xf numFmtId="0" fontId="81" fillId="34" borderId="0" xfId="0" applyFont="1" applyFill="1" applyBorder="1" applyAlignment="1">
      <alignment horizontal="center" vertical="center" wrapText="1" readingOrder="1"/>
    </xf>
    <xf numFmtId="0" fontId="16" fillId="33" borderId="4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40" xfId="0" applyFont="1" applyFill="1" applyBorder="1" applyAlignment="1">
      <alignment horizontal="center" vertical="center"/>
    </xf>
    <xf numFmtId="0" fontId="86" fillId="43" borderId="40" xfId="0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horizontal="center" vertical="center"/>
    </xf>
    <xf numFmtId="0" fontId="90" fillId="34" borderId="0" xfId="0" applyFont="1" applyFill="1" applyBorder="1" applyAlignment="1">
      <alignment vertical="center" wrapText="1"/>
    </xf>
    <xf numFmtId="0" fontId="75" fillId="0" borderId="0" xfId="0" applyFont="1"/>
    <xf numFmtId="0" fontId="90" fillId="34" borderId="39" xfId="0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103" fillId="34" borderId="0" xfId="0" applyFont="1" applyFill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34" borderId="39" xfId="0" applyNumberFormat="1" applyFont="1" applyFill="1" applyBorder="1" applyAlignment="1">
      <alignment horizontal="center" vertical="center"/>
    </xf>
    <xf numFmtId="2" fontId="86" fillId="34" borderId="39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6" fillId="34" borderId="39" xfId="0" applyNumberFormat="1" applyFont="1" applyFill="1" applyBorder="1" applyAlignment="1">
      <alignment horizontal="center" vertical="center"/>
    </xf>
    <xf numFmtId="0" fontId="106" fillId="34" borderId="0" xfId="0" applyFont="1" applyFill="1" applyBorder="1" applyAlignment="1">
      <alignment horizontal="center" vertical="center"/>
    </xf>
    <xf numFmtId="0" fontId="72" fillId="0" borderId="0" xfId="0" applyFont="1"/>
    <xf numFmtId="0" fontId="72" fillId="0" borderId="39" xfId="0" applyFont="1" applyBorder="1" applyAlignment="1">
      <alignment horizontal="center" vertical="center"/>
    </xf>
    <xf numFmtId="2" fontId="72" fillId="0" borderId="39" xfId="0" applyNumberFormat="1" applyFont="1" applyBorder="1" applyAlignment="1">
      <alignment horizontal="center" vertical="center"/>
    </xf>
    <xf numFmtId="0" fontId="107" fillId="34" borderId="0" xfId="0" applyFont="1" applyFill="1" applyBorder="1" applyAlignment="1">
      <alignment horizontal="center" vertical="center"/>
    </xf>
    <xf numFmtId="0" fontId="75" fillId="34" borderId="0" xfId="0" applyFont="1" applyFill="1"/>
    <xf numFmtId="0" fontId="75" fillId="34" borderId="0" xfId="0" applyFont="1" applyFill="1" applyAlignment="1">
      <alignment horizontal="center" vertical="center"/>
    </xf>
    <xf numFmtId="0" fontId="104" fillId="34" borderId="0" xfId="0" applyFont="1" applyFill="1" applyAlignment="1">
      <alignment horizontal="center" vertical="center"/>
    </xf>
    <xf numFmtId="0" fontId="86" fillId="34" borderId="0" xfId="0" applyFont="1" applyFill="1"/>
    <xf numFmtId="0" fontId="71" fillId="34" borderId="0" xfId="0" applyFont="1" applyFill="1" applyBorder="1" applyAlignment="1">
      <alignment horizontal="center" vertical="center" wrapText="1"/>
    </xf>
    <xf numFmtId="0" fontId="30" fillId="34" borderId="0" xfId="0" applyFont="1" applyFill="1" applyAlignment="1">
      <alignment horizontal="center" vertical="center"/>
    </xf>
    <xf numFmtId="0" fontId="71" fillId="34" borderId="0" xfId="0" applyFont="1" applyFill="1" applyBorder="1" applyAlignment="1">
      <alignment horizontal="center" wrapText="1"/>
    </xf>
    <xf numFmtId="0" fontId="71" fillId="33" borderId="40" xfId="0" applyFont="1" applyFill="1" applyBorder="1" applyAlignment="1">
      <alignment horizontal="center" vertical="center" wrapText="1"/>
    </xf>
    <xf numFmtId="0" fontId="73" fillId="34" borderId="69" xfId="0" applyFont="1" applyFill="1" applyBorder="1" applyAlignment="1">
      <alignment horizontal="center" vertical="center" wrapText="1"/>
    </xf>
    <xf numFmtId="0" fontId="73" fillId="34" borderId="40" xfId="0" applyFont="1" applyFill="1" applyBorder="1" applyAlignment="1">
      <alignment horizontal="center" vertical="center" wrapText="1"/>
    </xf>
    <xf numFmtId="0" fontId="72" fillId="33" borderId="40" xfId="0" applyFont="1" applyFill="1" applyBorder="1" applyAlignment="1">
      <alignment horizontal="center" vertical="center"/>
    </xf>
    <xf numFmtId="0" fontId="75" fillId="33" borderId="40" xfId="0" applyFont="1" applyFill="1" applyBorder="1" applyAlignment="1">
      <alignment horizontal="center" vertical="center"/>
    </xf>
    <xf numFmtId="0" fontId="75" fillId="33" borderId="68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2" fontId="75" fillId="0" borderId="40" xfId="0" applyNumberFormat="1" applyFont="1" applyBorder="1" applyAlignment="1">
      <alignment horizontal="center" vertical="center"/>
    </xf>
    <xf numFmtId="0" fontId="82" fillId="0" borderId="40" xfId="0" applyFont="1" applyBorder="1" applyAlignment="1">
      <alignment horizontal="center" vertical="center"/>
    </xf>
    <xf numFmtId="2" fontId="75" fillId="33" borderId="40" xfId="0" applyNumberFormat="1" applyFont="1" applyFill="1" applyBorder="1" applyAlignment="1">
      <alignment horizontal="center" vertical="center"/>
    </xf>
    <xf numFmtId="0" fontId="80" fillId="33" borderId="40" xfId="0" applyFont="1" applyFill="1" applyBorder="1" applyAlignment="1">
      <alignment horizontal="center" vertical="center"/>
    </xf>
    <xf numFmtId="0" fontId="16" fillId="51" borderId="78" xfId="0" applyFont="1" applyFill="1" applyBorder="1" applyAlignment="1">
      <alignment horizontal="center" vertical="center"/>
    </xf>
    <xf numFmtId="0" fontId="16" fillId="52" borderId="78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9" fontId="75" fillId="0" borderId="0" xfId="0" applyNumberFormat="1" applyFont="1" applyAlignment="1">
      <alignment horizontal="center" vertical="center"/>
    </xf>
    <xf numFmtId="0" fontId="113" fillId="0" borderId="0" xfId="0" applyFont="1"/>
    <xf numFmtId="0" fontId="113" fillId="0" borderId="0" xfId="0" applyFont="1" applyAlignment="1">
      <alignment vertical="center"/>
    </xf>
    <xf numFmtId="0" fontId="16" fillId="0" borderId="59" xfId="0" applyFont="1" applyBorder="1" applyAlignment="1">
      <alignment vertical="center"/>
    </xf>
    <xf numFmtId="1" fontId="114" fillId="34" borderId="0" xfId="0" applyNumberFormat="1" applyFont="1" applyFill="1" applyBorder="1" applyAlignment="1">
      <alignment horizontal="center" vertical="center"/>
    </xf>
    <xf numFmtId="2" fontId="113" fillId="0" borderId="72" xfId="0" applyNumberFormat="1" applyFont="1" applyBorder="1" applyAlignment="1">
      <alignment horizontal="center" vertical="center"/>
    </xf>
    <xf numFmtId="2" fontId="113" fillId="0" borderId="21" xfId="0" applyNumberFormat="1" applyFont="1" applyBorder="1" applyAlignment="1">
      <alignment horizontal="center" vertical="center"/>
    </xf>
    <xf numFmtId="0" fontId="56" fillId="46" borderId="77" xfId="0" applyFont="1" applyFill="1" applyBorder="1" applyAlignment="1">
      <alignment horizontal="center" vertical="center"/>
    </xf>
    <xf numFmtId="0" fontId="57" fillId="39" borderId="76" xfId="0" applyFont="1" applyFill="1" applyBorder="1" applyAlignment="1">
      <alignment horizontal="center" vertical="center"/>
    </xf>
    <xf numFmtId="0" fontId="57" fillId="39" borderId="75" xfId="0" applyFont="1" applyFill="1" applyBorder="1" applyAlignment="1">
      <alignment horizontal="center" vertical="center"/>
    </xf>
    <xf numFmtId="0" fontId="70" fillId="0" borderId="74" xfId="0" applyFont="1" applyBorder="1" applyAlignment="1">
      <alignment horizontal="center" vertical="center" readingOrder="2"/>
    </xf>
    <xf numFmtId="0" fontId="70" fillId="0" borderId="73" xfId="0" applyFont="1" applyBorder="1" applyAlignment="1">
      <alignment horizontal="center" vertical="center" readingOrder="2"/>
    </xf>
    <xf numFmtId="0" fontId="27" fillId="36" borderId="77" xfId="0" applyFont="1" applyFill="1" applyBorder="1" applyAlignment="1">
      <alignment horizontal="center" vertical="center"/>
    </xf>
    <xf numFmtId="0" fontId="69" fillId="34" borderId="0" xfId="0" applyFont="1" applyFill="1" applyBorder="1" applyAlignment="1">
      <alignment horizontal="center" vertical="center" wrapText="1" readingOrder="2"/>
    </xf>
    <xf numFmtId="0" fontId="70" fillId="34" borderId="0" xfId="0" applyFont="1" applyFill="1" applyBorder="1" applyAlignment="1">
      <alignment horizontal="center" vertical="center" readingOrder="2"/>
    </xf>
    <xf numFmtId="0" fontId="69" fillId="0" borderId="13" xfId="0" applyFont="1" applyBorder="1" applyAlignment="1">
      <alignment horizontal="center" vertical="center" wrapText="1" readingOrder="2"/>
    </xf>
    <xf numFmtId="0" fontId="38" fillId="0" borderId="39" xfId="0" applyFont="1" applyFill="1" applyBorder="1" applyAlignment="1">
      <alignment horizontal="center" vertical="center"/>
    </xf>
    <xf numFmtId="0" fontId="65" fillId="34" borderId="39" xfId="0" applyFont="1" applyFill="1" applyBorder="1" applyAlignment="1">
      <alignment horizontal="center" vertical="center"/>
    </xf>
    <xf numFmtId="0" fontId="65" fillId="0" borderId="39" xfId="0" applyFont="1" applyFill="1" applyBorder="1" applyAlignment="1">
      <alignment horizontal="center" vertical="center"/>
    </xf>
    <xf numFmtId="0" fontId="50" fillId="0" borderId="39" xfId="0" applyFont="1" applyFill="1" applyBorder="1" applyAlignment="1">
      <alignment horizontal="center" vertical="center"/>
    </xf>
    <xf numFmtId="0" fontId="66" fillId="40" borderId="39" xfId="0" applyFont="1" applyFill="1" applyBorder="1" applyAlignment="1">
      <alignment horizontal="center" vertical="center"/>
    </xf>
    <xf numFmtId="0" fontId="28" fillId="41" borderId="39" xfId="0" applyFont="1" applyFill="1" applyBorder="1" applyAlignment="1">
      <alignment horizontal="center" vertical="center"/>
    </xf>
    <xf numFmtId="0" fontId="50" fillId="36" borderId="39" xfId="0" applyFont="1" applyFill="1" applyBorder="1" applyAlignment="1">
      <alignment horizontal="center" vertical="center"/>
    </xf>
    <xf numFmtId="0" fontId="38" fillId="33" borderId="39" xfId="0" applyFont="1" applyFill="1" applyBorder="1" applyAlignment="1">
      <alignment horizontal="center"/>
    </xf>
    <xf numFmtId="0" fontId="44" fillId="34" borderId="25" xfId="0" applyFont="1" applyFill="1" applyBorder="1" applyAlignment="1">
      <alignment horizontal="center"/>
    </xf>
    <xf numFmtId="0" fontId="44" fillId="34" borderId="0" xfId="0" applyFont="1" applyFill="1" applyBorder="1" applyAlignment="1">
      <alignment horizontal="center"/>
    </xf>
    <xf numFmtId="0" fontId="40" fillId="43" borderId="1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/>
    </xf>
    <xf numFmtId="0" fontId="90" fillId="33" borderId="70" xfId="0" applyFont="1" applyFill="1" applyBorder="1" applyAlignment="1">
      <alignment horizontal="center" vertical="center"/>
    </xf>
    <xf numFmtId="0" fontId="90" fillId="33" borderId="72" xfId="0" applyFont="1" applyFill="1" applyBorder="1" applyAlignment="1">
      <alignment horizontal="center" vertical="center"/>
    </xf>
    <xf numFmtId="0" fontId="75" fillId="33" borderId="70" xfId="0" applyFont="1" applyFill="1" applyBorder="1" applyAlignment="1">
      <alignment horizontal="center" vertical="center"/>
    </xf>
    <xf numFmtId="0" fontId="75" fillId="33" borderId="71" xfId="0" applyFont="1" applyFill="1" applyBorder="1" applyAlignment="1">
      <alignment horizontal="center" vertical="center"/>
    </xf>
    <xf numFmtId="2" fontId="75" fillId="0" borderId="40" xfId="0" applyNumberFormat="1" applyFont="1" applyBorder="1" applyAlignment="1">
      <alignment horizontal="center" vertical="center"/>
    </xf>
    <xf numFmtId="2" fontId="75" fillId="33" borderId="40" xfId="0" applyNumberFormat="1" applyFont="1" applyFill="1" applyBorder="1" applyAlignment="1">
      <alignment horizontal="center" vertical="center"/>
    </xf>
    <xf numFmtId="0" fontId="72" fillId="33" borderId="40" xfId="0" applyFont="1" applyFill="1" applyBorder="1" applyAlignment="1">
      <alignment horizontal="center" vertical="center"/>
    </xf>
    <xf numFmtId="2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75" fillId="33" borderId="40" xfId="0" applyFont="1" applyFill="1" applyBorder="1" applyAlignment="1">
      <alignment horizontal="center" vertical="center"/>
    </xf>
    <xf numFmtId="0" fontId="108" fillId="35" borderId="62" xfId="0" applyFont="1" applyFill="1" applyBorder="1" applyAlignment="1">
      <alignment horizontal="center" vertical="center" wrapText="1"/>
    </xf>
    <xf numFmtId="0" fontId="108" fillId="35" borderId="63" xfId="0" applyFont="1" applyFill="1" applyBorder="1" applyAlignment="1">
      <alignment horizontal="center" vertical="center" wrapText="1"/>
    </xf>
    <xf numFmtId="0" fontId="108" fillId="35" borderId="64" xfId="0" applyFont="1" applyFill="1" applyBorder="1" applyAlignment="1">
      <alignment horizontal="center" vertical="center" wrapText="1"/>
    </xf>
    <xf numFmtId="0" fontId="108" fillId="35" borderId="65" xfId="0" applyFont="1" applyFill="1" applyBorder="1" applyAlignment="1">
      <alignment horizontal="center" vertical="center" wrapText="1"/>
    </xf>
    <xf numFmtId="0" fontId="108" fillId="35" borderId="66" xfId="0" applyFont="1" applyFill="1" applyBorder="1" applyAlignment="1">
      <alignment horizontal="center" vertical="center" wrapText="1"/>
    </xf>
    <xf numFmtId="0" fontId="108" fillId="35" borderId="67" xfId="0" applyFont="1" applyFill="1" applyBorder="1" applyAlignment="1">
      <alignment horizontal="center" vertical="center" wrapText="1"/>
    </xf>
    <xf numFmtId="0" fontId="75" fillId="33" borderId="39" xfId="0" applyFont="1" applyFill="1" applyBorder="1" applyAlignment="1">
      <alignment horizontal="center" vertical="center"/>
    </xf>
    <xf numFmtId="1" fontId="102" fillId="33" borderId="39" xfId="0" applyNumberFormat="1" applyFont="1" applyFill="1" applyBorder="1" applyAlignment="1">
      <alignment horizontal="center" vertical="center"/>
    </xf>
    <xf numFmtId="1" fontId="102" fillId="43" borderId="39" xfId="0" applyNumberFormat="1" applyFont="1" applyFill="1" applyBorder="1" applyAlignment="1">
      <alignment horizontal="center" vertical="center"/>
    </xf>
    <xf numFmtId="0" fontId="74" fillId="34" borderId="34" xfId="0" applyFont="1" applyFill="1" applyBorder="1" applyAlignment="1">
      <alignment horizontal="center" vertical="center"/>
    </xf>
    <xf numFmtId="2" fontId="81" fillId="34" borderId="15" xfId="0" applyNumberFormat="1" applyFont="1" applyFill="1" applyBorder="1" applyAlignment="1">
      <alignment horizontal="center"/>
    </xf>
    <xf numFmtId="2" fontId="81" fillId="34" borderId="30" xfId="0" applyNumberFormat="1" applyFont="1" applyFill="1" applyBorder="1" applyAlignment="1">
      <alignment horizontal="center"/>
    </xf>
    <xf numFmtId="2" fontId="83" fillId="35" borderId="15" xfId="0" applyNumberFormat="1" applyFont="1" applyFill="1" applyBorder="1" applyAlignment="1">
      <alignment horizontal="center"/>
    </xf>
    <xf numFmtId="2" fontId="83" fillId="35" borderId="30" xfId="0" applyNumberFormat="1" applyFont="1" applyFill="1" applyBorder="1" applyAlignment="1">
      <alignment horizontal="center"/>
    </xf>
    <xf numFmtId="1" fontId="102" fillId="36" borderId="39" xfId="0" applyNumberFormat="1" applyFont="1" applyFill="1" applyBorder="1" applyAlignment="1">
      <alignment horizontal="center" vertical="center"/>
    </xf>
    <xf numFmtId="0" fontId="90" fillId="35" borderId="36" xfId="0" applyFont="1" applyFill="1" applyBorder="1" applyAlignment="1">
      <alignment horizontal="center" vertical="center" wrapText="1"/>
    </xf>
    <xf numFmtId="0" fontId="90" fillId="35" borderId="37" xfId="0" applyFont="1" applyFill="1" applyBorder="1" applyAlignment="1">
      <alignment horizontal="center" vertical="center" wrapText="1"/>
    </xf>
    <xf numFmtId="0" fontId="90" fillId="35" borderId="38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90" fillId="35" borderId="26" xfId="0" applyFont="1" applyFill="1" applyBorder="1" applyAlignment="1">
      <alignment horizontal="center" vertical="center" wrapText="1"/>
    </xf>
    <xf numFmtId="0" fontId="80" fillId="35" borderId="34" xfId="0" applyFont="1" applyFill="1" applyBorder="1" applyAlignment="1">
      <alignment horizontal="center" vertical="center"/>
    </xf>
    <xf numFmtId="0" fontId="90" fillId="43" borderId="30" xfId="0" applyFont="1" applyFill="1" applyBorder="1" applyAlignment="1">
      <alignment horizontal="center" vertical="center" wrapText="1"/>
    </xf>
    <xf numFmtId="0" fontId="90" fillId="43" borderId="32" xfId="0" applyFont="1" applyFill="1" applyBorder="1" applyAlignment="1">
      <alignment horizontal="center" vertical="center" wrapText="1"/>
    </xf>
    <xf numFmtId="0" fontId="90" fillId="43" borderId="31" xfId="0" applyFont="1" applyFill="1" applyBorder="1" applyAlignment="1">
      <alignment horizontal="center" vertical="center" wrapText="1"/>
    </xf>
    <xf numFmtId="0" fontId="76" fillId="35" borderId="30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0" fontId="76" fillId="35" borderId="31" xfId="0" applyFont="1" applyFill="1" applyBorder="1" applyAlignment="1">
      <alignment horizontal="center" vertical="center" wrapText="1"/>
    </xf>
    <xf numFmtId="0" fontId="90" fillId="35" borderId="27" xfId="0" applyFont="1" applyFill="1" applyBorder="1" applyAlignment="1">
      <alignment horizontal="center" vertical="center" wrapText="1"/>
    </xf>
    <xf numFmtId="0" fontId="90" fillId="35" borderId="29" xfId="0" applyFont="1" applyFill="1" applyBorder="1" applyAlignment="1">
      <alignment horizontal="center" vertical="center" wrapText="1"/>
    </xf>
    <xf numFmtId="0" fontId="90" fillId="35" borderId="28" xfId="0" applyFont="1" applyFill="1" applyBorder="1" applyAlignment="1">
      <alignment horizontal="center" vertical="center" wrapText="1"/>
    </xf>
    <xf numFmtId="0" fontId="85" fillId="33" borderId="34" xfId="0" applyFont="1" applyFill="1" applyBorder="1" applyAlignment="1">
      <alignment horizontal="center" vertical="center"/>
    </xf>
    <xf numFmtId="0" fontId="75" fillId="35" borderId="34" xfId="0" applyFont="1" applyFill="1" applyBorder="1" applyAlignment="1">
      <alignment horizontal="center" vertical="center"/>
    </xf>
    <xf numFmtId="0" fontId="90" fillId="35" borderId="15" xfId="0" applyFont="1" applyFill="1" applyBorder="1" applyAlignment="1">
      <alignment horizontal="center" vertical="center" wrapText="1"/>
    </xf>
    <xf numFmtId="0" fontId="91" fillId="0" borderId="30" xfId="0" applyFont="1" applyBorder="1" applyAlignment="1">
      <alignment horizontal="center" vertical="center" wrapText="1" readingOrder="2"/>
    </xf>
    <xf numFmtId="0" fontId="91" fillId="0" borderId="31" xfId="0" applyFont="1" applyBorder="1" applyAlignment="1">
      <alignment horizontal="center" vertical="center" wrapText="1" readingOrder="2"/>
    </xf>
    <xf numFmtId="0" fontId="92" fillId="0" borderId="30" xfId="0" applyFont="1" applyBorder="1" applyAlignment="1">
      <alignment horizontal="center" vertical="center" readingOrder="2"/>
    </xf>
    <xf numFmtId="0" fontId="92" fillId="0" borderId="31" xfId="0" applyFont="1" applyBorder="1" applyAlignment="1">
      <alignment horizontal="center" vertical="center" readingOrder="2"/>
    </xf>
    <xf numFmtId="0" fontId="93" fillId="0" borderId="30" xfId="0" applyFont="1" applyBorder="1" applyAlignment="1">
      <alignment horizontal="center" vertical="center" readingOrder="2"/>
    </xf>
    <xf numFmtId="0" fontId="93" fillId="0" borderId="31" xfId="0" applyFont="1" applyBorder="1" applyAlignment="1">
      <alignment horizontal="center" vertical="center" readingOrder="2"/>
    </xf>
    <xf numFmtId="0" fontId="71" fillId="35" borderId="15" xfId="0" applyFont="1" applyFill="1" applyBorder="1" applyAlignment="1">
      <alignment horizontal="center" vertical="center"/>
    </xf>
    <xf numFmtId="0" fontId="85" fillId="35" borderId="34" xfId="0" applyFont="1" applyFill="1" applyBorder="1" applyAlignment="1">
      <alignment horizontal="center" vertical="center"/>
    </xf>
    <xf numFmtId="0" fontId="72" fillId="43" borderId="34" xfId="0" applyFont="1" applyFill="1" applyBorder="1" applyAlignment="1">
      <alignment horizontal="center" vertical="center"/>
    </xf>
    <xf numFmtId="0" fontId="71" fillId="43" borderId="34" xfId="0" applyFont="1" applyFill="1" applyBorder="1" applyAlignment="1">
      <alignment horizontal="center" vertical="center"/>
    </xf>
    <xf numFmtId="0" fontId="84" fillId="35" borderId="34" xfId="0" applyFont="1" applyFill="1" applyBorder="1" applyAlignment="1">
      <alignment horizontal="center" vertical="center"/>
    </xf>
    <xf numFmtId="0" fontId="75" fillId="34" borderId="0" xfId="0" applyFont="1" applyFill="1" applyBorder="1" applyAlignment="1">
      <alignment horizontal="center" vertical="center"/>
    </xf>
    <xf numFmtId="0" fontId="73" fillId="34" borderId="34" xfId="0" applyFont="1" applyFill="1" applyBorder="1" applyAlignment="1">
      <alignment horizontal="center" vertical="center"/>
    </xf>
    <xf numFmtId="0" fontId="76" fillId="35" borderId="34" xfId="0" applyFont="1" applyFill="1" applyBorder="1" applyAlignment="1">
      <alignment horizontal="center" vertical="center"/>
    </xf>
    <xf numFmtId="0" fontId="16" fillId="34" borderId="35" xfId="0" applyFont="1" applyFill="1" applyBorder="1" applyAlignment="1">
      <alignment horizontal="center"/>
    </xf>
    <xf numFmtId="1" fontId="114" fillId="43" borderId="60" xfId="0" applyNumberFormat="1" applyFont="1" applyFill="1" applyBorder="1" applyAlignment="1">
      <alignment horizontal="center" vertical="center"/>
    </xf>
    <xf numFmtId="1" fontId="114" fillId="43" borderId="61" xfId="0" applyNumberFormat="1" applyFont="1" applyFill="1" applyBorder="1" applyAlignment="1">
      <alignment horizontal="center" vertical="center"/>
    </xf>
    <xf numFmtId="1" fontId="114" fillId="49" borderId="60" xfId="0" applyNumberFormat="1" applyFont="1" applyFill="1" applyBorder="1" applyAlignment="1">
      <alignment horizontal="center" vertical="center"/>
    </xf>
    <xf numFmtId="1" fontId="114" fillId="49" borderId="61" xfId="0" applyNumberFormat="1" applyFont="1" applyFill="1" applyBorder="1" applyAlignment="1">
      <alignment horizontal="center" vertical="center"/>
    </xf>
    <xf numFmtId="0" fontId="113" fillId="48" borderId="56" xfId="0" applyFont="1" applyFill="1" applyBorder="1" applyAlignment="1">
      <alignment horizontal="center" vertical="center"/>
    </xf>
    <xf numFmtId="0" fontId="113" fillId="48" borderId="57" xfId="0" applyFont="1" applyFill="1" applyBorder="1" applyAlignment="1">
      <alignment horizontal="center" vertical="center"/>
    </xf>
    <xf numFmtId="0" fontId="113" fillId="45" borderId="56" xfId="0" applyFont="1" applyFill="1" applyBorder="1" applyAlignment="1">
      <alignment horizontal="center" vertical="center"/>
    </xf>
    <xf numFmtId="0" fontId="113" fillId="45" borderId="57" xfId="0" applyFont="1" applyFill="1" applyBorder="1" applyAlignment="1">
      <alignment horizontal="center" vertical="center"/>
    </xf>
    <xf numFmtId="0" fontId="113" fillId="45" borderId="58" xfId="0" applyFont="1" applyFill="1" applyBorder="1" applyAlignment="1">
      <alignment horizontal="center" vertical="center"/>
    </xf>
    <xf numFmtId="0" fontId="93" fillId="33" borderId="30" xfId="0" applyFont="1" applyFill="1" applyBorder="1" applyAlignment="1">
      <alignment horizontal="center" vertical="center" readingOrder="2"/>
    </xf>
    <xf numFmtId="0" fontId="93" fillId="33" borderId="31" xfId="0" applyFont="1" applyFill="1" applyBorder="1" applyAlignment="1">
      <alignment horizontal="center" vertical="center" readingOrder="2"/>
    </xf>
    <xf numFmtId="0" fontId="109" fillId="33" borderId="41" xfId="0" applyFont="1" applyFill="1" applyBorder="1" applyAlignment="1">
      <alignment horizontal="center" vertical="center"/>
    </xf>
    <xf numFmtId="0" fontId="109" fillId="33" borderId="42" xfId="0" applyFont="1" applyFill="1" applyBorder="1" applyAlignment="1">
      <alignment horizontal="center" vertical="center"/>
    </xf>
    <xf numFmtId="0" fontId="109" fillId="33" borderId="43" xfId="0" applyFont="1" applyFill="1" applyBorder="1" applyAlignment="1">
      <alignment horizontal="center" vertical="center"/>
    </xf>
    <xf numFmtId="0" fontId="109" fillId="33" borderId="44" xfId="0" applyFont="1" applyFill="1" applyBorder="1" applyAlignment="1">
      <alignment horizontal="center" vertical="center"/>
    </xf>
    <xf numFmtId="0" fontId="109" fillId="33" borderId="45" xfId="0" applyFont="1" applyFill="1" applyBorder="1" applyAlignment="1">
      <alignment horizontal="center" vertical="center"/>
    </xf>
    <xf numFmtId="0" fontId="109" fillId="33" borderId="46" xfId="0" applyFont="1" applyFill="1" applyBorder="1" applyAlignment="1">
      <alignment horizontal="center" vertical="center"/>
    </xf>
    <xf numFmtId="0" fontId="111" fillId="46" borderId="52" xfId="0" applyFont="1" applyFill="1" applyBorder="1" applyAlignment="1">
      <alignment horizontal="center" vertical="center"/>
    </xf>
    <xf numFmtId="0" fontId="111" fillId="46" borderId="53" xfId="0" applyFont="1" applyFill="1" applyBorder="1" applyAlignment="1">
      <alignment horizontal="center" vertical="center"/>
    </xf>
    <xf numFmtId="0" fontId="111" fillId="46" borderId="54" xfId="0" applyFont="1" applyFill="1" applyBorder="1" applyAlignment="1">
      <alignment horizontal="center" vertical="center"/>
    </xf>
    <xf numFmtId="0" fontId="111" fillId="46" borderId="55" xfId="0" applyFont="1" applyFill="1" applyBorder="1" applyAlignment="1">
      <alignment horizontal="center" vertical="center"/>
    </xf>
    <xf numFmtId="0" fontId="110" fillId="47" borderId="47" xfId="0" applyFont="1" applyFill="1" applyBorder="1" applyAlignment="1">
      <alignment horizontal="center" vertical="center"/>
    </xf>
    <xf numFmtId="1" fontId="112" fillId="50" borderId="48" xfId="0" applyNumberFormat="1" applyFont="1" applyFill="1" applyBorder="1" applyAlignment="1">
      <alignment horizontal="center" vertical="center"/>
    </xf>
    <xf numFmtId="1" fontId="112" fillId="50" borderId="49" xfId="0" applyNumberFormat="1" applyFont="1" applyFill="1" applyBorder="1" applyAlignment="1">
      <alignment horizontal="center" vertical="center"/>
    </xf>
    <xf numFmtId="1" fontId="112" fillId="50" borderId="50" xfId="0" applyNumberFormat="1" applyFont="1" applyFill="1" applyBorder="1" applyAlignment="1">
      <alignment horizontal="center" vertical="center"/>
    </xf>
    <xf numFmtId="1" fontId="112" fillId="50" borderId="51" xfId="0" applyNumberFormat="1" applyFont="1" applyFill="1" applyBorder="1" applyAlignment="1">
      <alignment horizontal="center" vertical="center"/>
    </xf>
    <xf numFmtId="0" fontId="85" fillId="34" borderId="0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4" fillId="34" borderId="10" xfId="0" applyFont="1" applyFill="1" applyBorder="1" applyAlignment="1">
      <alignment horizontal="center" vertical="center" readingOrder="2"/>
    </xf>
    <xf numFmtId="0" fontId="58" fillId="33" borderId="10" xfId="0" applyFont="1" applyFill="1" applyBorder="1" applyAlignment="1">
      <alignment horizontal="center" vertical="center" readingOrder="2"/>
    </xf>
    <xf numFmtId="0" fontId="54" fillId="34" borderId="11" xfId="0" applyFont="1" applyFill="1" applyBorder="1" applyAlignment="1">
      <alignment horizontal="center" vertical="center" readingOrder="2"/>
    </xf>
    <xf numFmtId="0" fontId="54" fillId="34" borderId="12" xfId="0" applyFont="1" applyFill="1" applyBorder="1" applyAlignment="1">
      <alignment horizontal="center" vertical="center" readingOrder="2"/>
    </xf>
    <xf numFmtId="0" fontId="58" fillId="34" borderId="10" xfId="0" applyFont="1" applyFill="1" applyBorder="1" applyAlignment="1">
      <alignment horizontal="center" vertical="center" readingOrder="2"/>
    </xf>
    <xf numFmtId="0" fontId="28" fillId="0" borderId="14" xfId="0" applyFont="1" applyBorder="1" applyAlignment="1">
      <alignment horizontal="center" vertical="center"/>
    </xf>
    <xf numFmtId="0" fontId="48" fillId="34" borderId="10" xfId="0" applyFont="1" applyFill="1" applyBorder="1" applyAlignment="1">
      <alignment horizontal="center" vertical="center" readingOrder="2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0" fillId="38" borderId="16" xfId="0" applyFont="1" applyFill="1" applyBorder="1" applyAlignment="1">
      <alignment horizontal="center" vertical="center"/>
    </xf>
    <xf numFmtId="0" fontId="40" fillId="38" borderId="17" xfId="0" applyFont="1" applyFill="1" applyBorder="1" applyAlignment="1">
      <alignment horizontal="center" vertical="center"/>
    </xf>
    <xf numFmtId="0" fontId="40" fillId="38" borderId="18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 vertical="center"/>
    </xf>
    <xf numFmtId="0" fontId="40" fillId="43" borderId="15" xfId="0" applyFont="1" applyFill="1" applyBorder="1" applyAlignment="1">
      <alignment horizontal="center" vertical="center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2 2" xfId="44"/>
    <cellStyle name="Accent3" xfId="26" builtinId="37" customBuiltin="1"/>
    <cellStyle name="Accent4" xfId="30" builtinId="41" customBuiltin="1"/>
    <cellStyle name="Accent5" xfId="34" builtinId="45" customBuiltin="1"/>
    <cellStyle name="Accent5 2" xfId="43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</dxf>
  </dxfs>
  <tableStyles count="0" defaultTableStyle="TableStyleMedium9" defaultPivotStyle="PivotStyleLight16"/>
  <colors>
    <mruColors>
      <color rgb="FF0000FF"/>
      <color rgb="FFCCFFFF"/>
      <color rgb="FF008000"/>
      <color rgb="FFFF00FF"/>
      <color rgb="FFFFFFCC"/>
      <color rgb="FFBCF3F4"/>
      <color rgb="FF66FFCC"/>
      <color rgb="FFFF99FF"/>
      <color rgb="FFB9178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dPt>
          <c:cat>
            <c:strRef>
              <c:f>'تحليل الشهادة + التقويم المستمر'!$A$18:$A$29</c:f>
              <c:strCache>
                <c:ptCount val="12"/>
                <c:pt idx="0">
                  <c:v>عربية</c:v>
                </c:pt>
                <c:pt idx="1">
                  <c:v>فرنسية</c:v>
                </c:pt>
                <c:pt idx="2">
                  <c:v>إنجليزية</c:v>
                </c:pt>
                <c:pt idx="3">
                  <c:v>ت إسلامية</c:v>
                </c:pt>
                <c:pt idx="4">
                  <c:v>ت مدنية</c:v>
                </c:pt>
                <c:pt idx="5">
                  <c:v>تاريخ جغ</c:v>
                </c:pt>
                <c:pt idx="6">
                  <c:v>الرياضيات</c:v>
                </c:pt>
                <c:pt idx="7">
                  <c:v>ع طبيعية</c:v>
                </c:pt>
                <c:pt idx="8">
                  <c:v>ع فيزيائية </c:v>
                </c:pt>
                <c:pt idx="9">
                  <c:v>ت تشكيلية</c:v>
                </c:pt>
                <c:pt idx="10">
                  <c:v>ت بدنية</c:v>
                </c:pt>
                <c:pt idx="11">
                  <c:v>م الشهادة</c:v>
                </c:pt>
              </c:strCache>
            </c:strRef>
          </c:cat>
          <c:val>
            <c:numRef>
              <c:f>'تحليل الشهادة + التقويم المستمر'!$J$18:$J$29</c:f>
              <c:numCache>
                <c:formatCode>0.00</c:formatCode>
                <c:ptCount val="12"/>
                <c:pt idx="0">
                  <c:v>87.234042553191486</c:v>
                </c:pt>
                <c:pt idx="1">
                  <c:v>53.191489361702125</c:v>
                </c:pt>
                <c:pt idx="2">
                  <c:v>25.531914893617021</c:v>
                </c:pt>
                <c:pt idx="3">
                  <c:v>74.468085106382972</c:v>
                </c:pt>
                <c:pt idx="4">
                  <c:v>82.978723404255319</c:v>
                </c:pt>
                <c:pt idx="5">
                  <c:v>38.297872340425535</c:v>
                </c:pt>
                <c:pt idx="6">
                  <c:v>25.531914893617021</c:v>
                </c:pt>
                <c:pt idx="7">
                  <c:v>31.914893617021278</c:v>
                </c:pt>
                <c:pt idx="8">
                  <c:v>78.723404255319153</c:v>
                </c:pt>
                <c:pt idx="9">
                  <c:v>100</c:v>
                </c:pt>
                <c:pt idx="10">
                  <c:v>55.319148936170215</c:v>
                </c:pt>
                <c:pt idx="11">
                  <c:v>48.936170212765958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9442824"/>
        <c:axId val="169443208"/>
        <c:axId val="0"/>
      </c:bar3DChart>
      <c:catAx>
        <c:axId val="1694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fr-FR"/>
          </a:p>
        </c:txPr>
        <c:crossAx val="169443208"/>
        <c:crosses val="autoZero"/>
        <c:auto val="1"/>
        <c:lblAlgn val="ctr"/>
        <c:lblOffset val="100"/>
        <c:noMultiLvlLbl val="0"/>
      </c:catAx>
      <c:valAx>
        <c:axId val="169443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9442824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rgbClr val="00B050"/>
                </a:solidFill>
              </a:rPr>
              <a:t>الرياضيات</a:t>
            </a:r>
            <a:endParaRPr lang="fr-FR" b="1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rgbClr val="002060"/>
                </a:solidFill>
              </a:rPr>
              <a:t>علوم الطبيعة وح</a:t>
            </a:r>
            <a:endParaRPr lang="fr-FR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3017333940397116"/>
          <c:y val="6.551181102362222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rgbClr val="7030A0"/>
                </a:solidFill>
              </a:rPr>
              <a:t>العلوم الفيزيائية</a:t>
            </a:r>
            <a:endParaRPr lang="fr-FR" b="1"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 sz="1400">
                <a:solidFill>
                  <a:srgbClr val="008000"/>
                </a:solidFill>
              </a:defRPr>
            </a:pPr>
            <a:r>
              <a:rPr lang="ar-DZ" sz="1400">
                <a:solidFill>
                  <a:srgbClr val="008000"/>
                </a:solidFill>
              </a:rPr>
              <a:t>عدد المتحصلين على المعدل</a:t>
            </a:r>
            <a:endParaRPr lang="fr-FR" sz="1400">
              <a:solidFill>
                <a:srgbClr val="008000"/>
              </a:solidFill>
            </a:endParaRPr>
          </a:p>
        </c:rich>
      </c:tx>
      <c:layout>
        <c:manualLayout>
          <c:xMode val="edge"/>
          <c:yMode val="edge"/>
          <c:x val="0.17610711704515197"/>
          <c:y val="6.551696375376407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vert="horz"/>
          <a:lstStyle/>
          <a:p>
            <a:pPr>
              <a:defRPr sz="1400">
                <a:solidFill>
                  <a:srgbClr val="0000FF"/>
                </a:solidFill>
              </a:defRPr>
            </a:pPr>
            <a:r>
              <a:rPr lang="ar-DZ" sz="1400">
                <a:solidFill>
                  <a:schemeClr val="tx1"/>
                </a:solidFill>
              </a:rPr>
              <a:t>معدل المستــــوى</a:t>
            </a:r>
            <a:endParaRPr lang="fr-FR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707885704570332"/>
          <c:y val="5.55110939001479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950549659553487"/>
          <c:y val="0.15147528974071603"/>
          <c:w val="0.48288637833314529"/>
          <c:h val="0.84852471025928622"/>
        </c:manualLayout>
      </c:layout>
      <c:doughnutChart>
        <c:varyColors val="1"/>
        <c:ser>
          <c:idx val="0"/>
          <c:order val="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المستمر'!$C$84:$C$89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المستمر'!$D$84:$D$89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97720"/>
        <c:axId val="139900072"/>
      </c:barChart>
      <c:catAx>
        <c:axId val="1398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39900072"/>
        <c:crosses val="autoZero"/>
        <c:auto val="1"/>
        <c:lblAlgn val="ctr"/>
        <c:lblOffset val="100"/>
        <c:noMultiLvlLbl val="0"/>
      </c:catAx>
      <c:valAx>
        <c:axId val="13990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97720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المستمر'!$I$84:$I$89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المستمر'!$J$84:$J$89</c:f>
              <c:numCache>
                <c:formatCode>General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00856"/>
        <c:axId val="139901248"/>
      </c:barChart>
      <c:catAx>
        <c:axId val="13990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39901248"/>
        <c:crosses val="autoZero"/>
        <c:auto val="1"/>
        <c:lblAlgn val="ctr"/>
        <c:lblOffset val="100"/>
        <c:noMultiLvlLbl val="0"/>
      </c:catAx>
      <c:valAx>
        <c:axId val="139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00856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المستمر'!$C$94:$C$99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المستمر'!$D$94:$D$99</c:f>
              <c:numCache>
                <c:formatCode>General</c:formatCode>
                <c:ptCount val="6"/>
                <c:pt idx="0">
                  <c:v>29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02032"/>
        <c:axId val="139902424"/>
      </c:barChart>
      <c:catAx>
        <c:axId val="13990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39902424"/>
        <c:crosses val="autoZero"/>
        <c:auto val="1"/>
        <c:lblAlgn val="ctr"/>
        <c:lblOffset val="100"/>
        <c:noMultiLvlLbl val="0"/>
      </c:catAx>
      <c:valAx>
        <c:axId val="13990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02032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المستمر'!$I$94:$I$99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المستمر'!$J$94:$J$99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03208"/>
        <c:axId val="139903600"/>
      </c:barChart>
      <c:catAx>
        <c:axId val="13990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39903600"/>
        <c:crosses val="autoZero"/>
        <c:auto val="1"/>
        <c:lblAlgn val="ctr"/>
        <c:lblOffset val="100"/>
        <c:noMultiLvlLbl val="0"/>
      </c:catAx>
      <c:valAx>
        <c:axId val="13990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03208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المستمر'!$C$104:$C$109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المستمر'!$D$104:$D$109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04384"/>
        <c:axId val="170891384"/>
      </c:barChart>
      <c:catAx>
        <c:axId val="1399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70891384"/>
        <c:crosses val="autoZero"/>
        <c:auto val="1"/>
        <c:lblAlgn val="ctr"/>
        <c:lblOffset val="100"/>
        <c:noMultiLvlLbl val="0"/>
      </c:catAx>
      <c:valAx>
        <c:axId val="17089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04384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2646762904636956E-2"/>
                  <c:y val="6.785910283941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2607283464566918"/>
                  <c:y val="1.33560009544261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1433945756780401E-2"/>
                  <c:y val="-2.4501312335958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0859251968503946E-2"/>
                  <c:y val="-1.77403960868528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  <a:latin typeface="Century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'تحليل الشهادة + التقويم المستمر'!$C$57:$C$61</c:f>
              <c:strCache>
                <c:ptCount val="5"/>
                <c:pt idx="0">
                  <c:v>مقبول </c:v>
                </c:pt>
                <c:pt idx="1">
                  <c:v>قريب من الجيد </c:v>
                </c:pt>
                <c:pt idx="2">
                  <c:v>جيد </c:v>
                </c:pt>
                <c:pt idx="3">
                  <c:v>جيد جدا </c:v>
                </c:pt>
                <c:pt idx="4">
                  <c:v>ممتاز </c:v>
                </c:pt>
              </c:strCache>
            </c:strRef>
          </c:cat>
          <c:val>
            <c:numRef>
              <c:f>'تحليل الشهادة + التقويم المستمر'!$D$57:$D$61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100" b="1">
              <a:latin typeface="Century Gothic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</a:ln>
    <a:effectLst>
      <a:innerShdw blurRad="114300">
        <a:prstClr val="black"/>
      </a:inn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المستمر'!$I$104:$I$109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المستمر'!$J$104:$J$109</c:f>
              <c:numCache>
                <c:formatCode>General</c:formatCode>
                <c:ptCount val="6"/>
                <c:pt idx="0">
                  <c:v>26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92168"/>
        <c:axId val="170892560"/>
      </c:barChart>
      <c:catAx>
        <c:axId val="17089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70892560"/>
        <c:crosses val="autoZero"/>
        <c:auto val="1"/>
        <c:lblAlgn val="ctr"/>
        <c:lblOffset val="100"/>
        <c:noMultiLvlLbl val="0"/>
      </c:catAx>
      <c:valAx>
        <c:axId val="17089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2168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>
      <a:solidFill>
        <a:schemeClr val="accent1"/>
      </a:solidFill>
    </a:ln>
    <a:scene3d>
      <a:camera prst="orthographicFront"/>
      <a:lightRig rig="balanced" dir="t">
        <a:rot lat="0" lon="0" rev="8700000"/>
      </a:lightRig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المستمر'!$C$118:$C$123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المستمر'!$D$118:$D$123</c:f>
              <c:numCache>
                <c:formatCode>General</c:formatCode>
                <c:ptCount val="6"/>
                <c:pt idx="0">
                  <c:v>32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93344"/>
        <c:axId val="170893736"/>
      </c:barChart>
      <c:catAx>
        <c:axId val="1708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70893736"/>
        <c:crosses val="autoZero"/>
        <c:auto val="1"/>
        <c:lblAlgn val="ctr"/>
        <c:lblOffset val="100"/>
        <c:noMultiLvlLbl val="0"/>
      </c:catAx>
      <c:valAx>
        <c:axId val="17089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3344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solidFill>
        <a:schemeClr val="accent1"/>
      </a:solidFill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المستمر'!$I$118:$I$123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المستمر'!$J$118:$J$123</c:f>
              <c:numCache>
                <c:formatCode>General</c:formatCode>
                <c:ptCount val="6"/>
                <c:pt idx="0">
                  <c:v>24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94520"/>
        <c:axId val="170894912"/>
      </c:barChart>
      <c:catAx>
        <c:axId val="17089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70894912"/>
        <c:crosses val="autoZero"/>
        <c:auto val="1"/>
        <c:lblAlgn val="ctr"/>
        <c:lblOffset val="100"/>
        <c:noMultiLvlLbl val="0"/>
      </c:catAx>
      <c:valAx>
        <c:axId val="1708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4520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/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'تحليل الشهادة + التقويم المستمر'!$C$130:$C$135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المستمر'!$D$130:$D$135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17904"/>
        <c:axId val="171018296"/>
      </c:barChart>
      <c:catAx>
        <c:axId val="17101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fr-FR"/>
          </a:p>
        </c:txPr>
        <c:crossAx val="171018296"/>
        <c:crosses val="autoZero"/>
        <c:auto val="1"/>
        <c:lblAlgn val="ctr"/>
        <c:lblOffset val="100"/>
        <c:noMultiLvlLbl val="0"/>
      </c:catAx>
      <c:valAx>
        <c:axId val="17101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17904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FFFFCC"/>
    </a:solidFill>
    <a:ln w="12700">
      <a:noFill/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solidFill>
                <a:srgbClr val="0000FF"/>
              </a:solidFill>
            </a:ln>
          </c:spPr>
          <c:invertIfNegative val="0"/>
          <c:cat>
            <c:strRef>
              <c:f>'تحليل الشهادة + التقويم المستمر'!$C$141:$C$146</c:f>
              <c:strCache>
                <c:ptCount val="6"/>
                <c:pt idx="0">
                  <c:v>8.99-00</c:v>
                </c:pt>
                <c:pt idx="1">
                  <c:v>9.99-9.00</c:v>
                </c:pt>
                <c:pt idx="2">
                  <c:v>11.99-10</c:v>
                </c:pt>
                <c:pt idx="3">
                  <c:v>13.99-12</c:v>
                </c:pt>
                <c:pt idx="4">
                  <c:v>15.99-14</c:v>
                </c:pt>
                <c:pt idx="5">
                  <c:v>20-16</c:v>
                </c:pt>
              </c:strCache>
            </c:strRef>
          </c:cat>
          <c:val>
            <c:numRef>
              <c:f>'تحليل الشهادة + التقويم المستمر'!$D$141:$D$146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19080"/>
        <c:axId val="171019472"/>
      </c:barChart>
      <c:catAx>
        <c:axId val="17101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19472"/>
        <c:crosses val="autoZero"/>
        <c:auto val="1"/>
        <c:lblAlgn val="ctr"/>
        <c:lblOffset val="100"/>
        <c:noMultiLvlLbl val="0"/>
      </c:catAx>
      <c:valAx>
        <c:axId val="17101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1908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rgbClr val="0000FF"/>
      </a:solidFill>
      <a:prstDash val="solid"/>
    </a:ln>
    <a:effectLst>
      <a:innerShdw blurRad="114300">
        <a:prstClr val="black"/>
      </a:inn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0549659553493"/>
          <c:y val="0.15147528974071606"/>
          <c:w val="0.48288637833314546"/>
          <c:h val="0.84852471025928633"/>
        </c:manualLayout>
      </c:layout>
      <c:doughnutChart>
        <c:varyColors val="1"/>
        <c:ser>
          <c:idx val="0"/>
          <c:order val="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0549659553496"/>
          <c:y val="0.15147528974071608"/>
          <c:w val="0.48288637833314557"/>
          <c:h val="0.84852471025928644"/>
        </c:manualLayout>
      </c:layout>
      <c:doughnutChart>
        <c:varyColors val="1"/>
        <c:ser>
          <c:idx val="0"/>
          <c:order val="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vert="horz"/>
          <a:lstStyle/>
          <a:p>
            <a:pPr>
              <a:defRPr sz="1400">
                <a:solidFill>
                  <a:srgbClr val="0000FF"/>
                </a:solidFill>
              </a:defRPr>
            </a:pPr>
            <a:r>
              <a:rPr lang="ar-DZ" sz="1400">
                <a:solidFill>
                  <a:srgbClr val="0000FF"/>
                </a:solidFill>
              </a:rPr>
              <a:t>نسبة النجــــــاح    </a:t>
            </a:r>
            <a:endParaRPr lang="fr-FR" sz="1400">
              <a:solidFill>
                <a:srgbClr val="0000FF"/>
              </a:solidFill>
            </a:endParaRPr>
          </a:p>
        </c:rich>
      </c:tx>
      <c:layout>
        <c:manualLayout>
          <c:xMode val="edge"/>
          <c:yMode val="edge"/>
          <c:x val="0.32038586594586344"/>
          <c:y val="6.61244267543481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950549659553487"/>
          <c:y val="0.15147528974071603"/>
          <c:w val="0.48288637833314529"/>
          <c:h val="0.84852471025928622"/>
        </c:manualLayout>
      </c:layout>
      <c:doughnutChart>
        <c:varyColors val="1"/>
        <c:ser>
          <c:idx val="0"/>
          <c:order val="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8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'تحليل الشهادة + التقويم المستمر'!$C$195:$C$204</c:f>
              <c:strCache>
                <c:ptCount val="10"/>
                <c:pt idx="0">
                  <c:v>عربية</c:v>
                </c:pt>
                <c:pt idx="1">
                  <c:v>فرنسية</c:v>
                </c:pt>
                <c:pt idx="2">
                  <c:v>انجليزية</c:v>
                </c:pt>
                <c:pt idx="3">
                  <c:v>ت اسلامية</c:v>
                </c:pt>
                <c:pt idx="4">
                  <c:v>ت مدنية</c:v>
                </c:pt>
                <c:pt idx="5">
                  <c:v>ت جغرافيا</c:v>
                </c:pt>
                <c:pt idx="6">
                  <c:v>رياضيات</c:v>
                </c:pt>
                <c:pt idx="7">
                  <c:v>ع طبيعية</c:v>
                </c:pt>
                <c:pt idx="8">
                  <c:v>ع فيزيائية</c:v>
                </c:pt>
                <c:pt idx="9">
                  <c:v>م الشهادة</c:v>
                </c:pt>
              </c:strCache>
            </c:strRef>
          </c:cat>
          <c:val>
            <c:numRef>
              <c:f>'تحليل الشهادة + التقويم المستمر'!$D$195:$D$204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'تحليل الشهادة + التقويم المستمر'!$C$195:$C$204</c:f>
              <c:strCache>
                <c:ptCount val="10"/>
                <c:pt idx="0">
                  <c:v>عربية</c:v>
                </c:pt>
                <c:pt idx="1">
                  <c:v>فرنسية</c:v>
                </c:pt>
                <c:pt idx="2">
                  <c:v>انجليزية</c:v>
                </c:pt>
                <c:pt idx="3">
                  <c:v>ت اسلامية</c:v>
                </c:pt>
                <c:pt idx="4">
                  <c:v>ت مدنية</c:v>
                </c:pt>
                <c:pt idx="5">
                  <c:v>ت جغرافيا</c:v>
                </c:pt>
                <c:pt idx="6">
                  <c:v>رياضيات</c:v>
                </c:pt>
                <c:pt idx="7">
                  <c:v>ع طبيعية</c:v>
                </c:pt>
                <c:pt idx="8">
                  <c:v>ع فيزيائية</c:v>
                </c:pt>
                <c:pt idx="9">
                  <c:v>م الشهادة</c:v>
                </c:pt>
              </c:strCache>
            </c:strRef>
          </c:cat>
          <c:val>
            <c:numRef>
              <c:f>'تحليل الشهادة + التقويم المستمر'!$G$195:$G$204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'تحليل الشهادة + التقويم المستمر'!$C$195:$C$204</c:f>
              <c:strCache>
                <c:ptCount val="10"/>
                <c:pt idx="0">
                  <c:v>عربية</c:v>
                </c:pt>
                <c:pt idx="1">
                  <c:v>فرنسية</c:v>
                </c:pt>
                <c:pt idx="2">
                  <c:v>انجليزية</c:v>
                </c:pt>
                <c:pt idx="3">
                  <c:v>ت اسلامية</c:v>
                </c:pt>
                <c:pt idx="4">
                  <c:v>ت مدنية</c:v>
                </c:pt>
                <c:pt idx="5">
                  <c:v>ت جغرافيا</c:v>
                </c:pt>
                <c:pt idx="6">
                  <c:v>رياضيات</c:v>
                </c:pt>
                <c:pt idx="7">
                  <c:v>ع طبيعية</c:v>
                </c:pt>
                <c:pt idx="8">
                  <c:v>ع فيزيائية</c:v>
                </c:pt>
                <c:pt idx="9">
                  <c:v>م الشهادة</c:v>
                </c:pt>
              </c:strCache>
            </c:strRef>
          </c:cat>
          <c:val>
            <c:numRef>
              <c:f>'تحليل الشهادة + التقويم المستمر'!$H$195:$H$204</c:f>
              <c:numCache>
                <c:formatCode>0.00</c:formatCode>
                <c:ptCount val="10"/>
                <c:pt idx="0">
                  <c:v>87.234042553191486</c:v>
                </c:pt>
                <c:pt idx="1">
                  <c:v>53.191489361702125</c:v>
                </c:pt>
                <c:pt idx="2">
                  <c:v>25.531914893617021</c:v>
                </c:pt>
                <c:pt idx="3">
                  <c:v>74.468085106382972</c:v>
                </c:pt>
                <c:pt idx="4">
                  <c:v>82.978723404255319</c:v>
                </c:pt>
                <c:pt idx="5">
                  <c:v>38.297872340425535</c:v>
                </c:pt>
                <c:pt idx="6">
                  <c:v>25.531914893617021</c:v>
                </c:pt>
                <c:pt idx="7">
                  <c:v>31.914893617021278</c:v>
                </c:pt>
                <c:pt idx="8">
                  <c:v>78.723404255319153</c:v>
                </c:pt>
                <c:pt idx="9">
                  <c:v>48.936170212765958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1826680"/>
        <c:axId val="171827072"/>
        <c:axId val="0"/>
      </c:bar3DChart>
      <c:catAx>
        <c:axId val="1718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fr-FR"/>
          </a:p>
        </c:txPr>
        <c:crossAx val="171827072"/>
        <c:crosses val="autoZero"/>
        <c:auto val="1"/>
        <c:lblAlgn val="ctr"/>
        <c:lblOffset val="100"/>
        <c:noMultiLvlLbl val="0"/>
      </c:catAx>
      <c:valAx>
        <c:axId val="171827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82668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'تحليل الشهادة + التقويم المستمر'!$C$46:$C$48</c:f>
              <c:strCache>
                <c:ptCount val="3"/>
                <c:pt idx="0">
                  <c:v>نسبة النجاح الوطنية %</c:v>
                </c:pt>
                <c:pt idx="1">
                  <c:v>نسبة نجاح الولاية %</c:v>
                </c:pt>
                <c:pt idx="2">
                  <c:v>نسبة نجاح المؤسسة  %</c:v>
                </c:pt>
              </c:strCache>
            </c:strRef>
          </c:cat>
          <c:val>
            <c:numRef>
              <c:f>'تحليل الشهادة + التقويم المستمر'!$D$46:$D$48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gradFill flip="none" rotWithShape="1">
              <a:gsLst>
                <a:gs pos="0">
                  <a:srgbClr val="FF3399"/>
                </a:gs>
                <a:gs pos="25000">
                  <a:srgbClr val="FF6633"/>
                </a:gs>
                <a:gs pos="50000">
                  <a:srgbClr val="FFFF00"/>
                </a:gs>
                <a:gs pos="75000">
                  <a:srgbClr val="01A78F"/>
                </a:gs>
                <a:gs pos="100000">
                  <a:srgbClr val="3366FF"/>
                </a:gs>
              </a:gsLst>
              <a:lin ang="18900000" scaled="1"/>
              <a:tileRect/>
            </a:gradFill>
            <a:ln>
              <a:noFill/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3399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lin ang="18900000" scaled="1"/>
                <a:tileRect/>
              </a:gradFill>
              <a:ln w="28575"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</c:dPt>
          <c:dLbls>
            <c:dLbl>
              <c:idx val="0"/>
              <c:layout>
                <c:manualLayout>
                  <c:x val="0"/>
                  <c:y val="-0.280193236714975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31884134048461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7777777777776907E-3"/>
                  <c:y val="-0.31884057971014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cs typeface="AL-Fares" pitchFamily="2" charset="-78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'تحليل الشهادة + التقويم المستمر'!$C$46:$C$48</c:f>
              <c:strCache>
                <c:ptCount val="3"/>
                <c:pt idx="0">
                  <c:v>نسبة النجاح الوطنية %</c:v>
                </c:pt>
                <c:pt idx="1">
                  <c:v>نسبة نجاح الولاية %</c:v>
                </c:pt>
                <c:pt idx="2">
                  <c:v>نسبة نجاح المؤسسة  %</c:v>
                </c:pt>
              </c:strCache>
            </c:strRef>
          </c:cat>
          <c:val>
            <c:numRef>
              <c:f>'تحليل الشهادة + التقويم المستمر'!$E$46:$E$48</c:f>
              <c:numCache>
                <c:formatCode>0.00</c:formatCode>
                <c:ptCount val="3"/>
                <c:pt idx="0">
                  <c:v>67.56</c:v>
                </c:pt>
                <c:pt idx="1">
                  <c:v>69.5</c:v>
                </c:pt>
                <c:pt idx="2">
                  <c:v>70.212765957446805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07520"/>
        <c:axId val="169607904"/>
      </c:barChart>
      <c:catAx>
        <c:axId val="1696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38100" cap="flat" cmpd="sng" algn="ctr">
            <a:solidFill>
              <a:srgbClr val="FF00FF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 sz="105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7904"/>
        <c:crosses val="autoZero"/>
        <c:auto val="1"/>
        <c:lblAlgn val="ctr"/>
        <c:lblOffset val="100"/>
        <c:noMultiLvlLbl val="0"/>
      </c:catAx>
      <c:valAx>
        <c:axId val="1696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accent3"/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0752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rgbClr val="7030A0"/>
                </a:solidFill>
              </a:rPr>
              <a:t>اللغة</a:t>
            </a:r>
            <a:r>
              <a:rPr lang="ar-DZ" b="1">
                <a:solidFill>
                  <a:srgbClr val="00B050"/>
                </a:solidFill>
              </a:rPr>
              <a:t> </a:t>
            </a:r>
            <a:r>
              <a:rPr lang="ar-DZ" b="1">
                <a:solidFill>
                  <a:srgbClr val="7030A0"/>
                </a:solidFill>
              </a:rPr>
              <a:t>العربية</a:t>
            </a:r>
            <a:endParaRPr lang="fr-FR" b="1"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chemeClr val="accent6">
                    <a:lumMod val="75000"/>
                  </a:schemeClr>
                </a:solidFill>
              </a:rPr>
              <a:t>اللغة الفرنسية</a:t>
            </a:r>
            <a:endParaRPr lang="fr-FR" b="1">
              <a:solidFill>
                <a:schemeClr val="accent6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chemeClr val="accent1">
                    <a:lumMod val="60000"/>
                    <a:lumOff val="40000"/>
                  </a:schemeClr>
                </a:solidFill>
              </a:rPr>
              <a:t>اللغة الانجليزية</a:t>
            </a:r>
            <a:endParaRPr lang="fr-FR" b="1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rgbClr val="C00000"/>
                </a:solidFill>
              </a:rPr>
              <a:t>التربية الاسلامية</a:t>
            </a:r>
            <a:endParaRPr lang="fr-FR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13918001001371519"/>
          <c:y val="6.551701698444747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chemeClr val="bg2">
                    <a:lumMod val="10000"/>
                  </a:schemeClr>
                </a:solidFill>
              </a:rPr>
              <a:t>التربية المدنية</a:t>
            </a:r>
            <a:endParaRPr lang="fr-FR" b="1">
              <a:solidFill>
                <a:schemeClr val="bg2">
                  <a:lumMod val="10000"/>
                </a:schemeClr>
              </a:solidFill>
            </a:endParaRPr>
          </a:p>
        </c:rich>
      </c:tx>
      <c:layout>
        <c:manualLayout>
          <c:xMode val="edge"/>
          <c:yMode val="edge"/>
          <c:x val="0.22924704485087802"/>
          <c:y val="6.551461614407148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2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ar-DZ" b="1">
                <a:solidFill>
                  <a:schemeClr val="accent5">
                    <a:lumMod val="50000"/>
                  </a:schemeClr>
                </a:solidFill>
              </a:rPr>
              <a:t>التاريخ والجغرافيا</a:t>
            </a:r>
            <a:endParaRPr lang="fr-FR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1374361200114057"/>
          <c:y val="6.551701698444747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950549659553479"/>
          <c:y val="0.15147528974071597"/>
          <c:w val="0.48288637833314507"/>
          <c:h val="0.848524710259286"/>
        </c:manualLayout>
      </c:layout>
      <c:doughnut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image" Target="../media/image4.jpeg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3.jpe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114300</xdr:rowOff>
    </xdr:from>
    <xdr:to>
      <xdr:col>6</xdr:col>
      <xdr:colOff>828675</xdr:colOff>
      <xdr:row>2</xdr:row>
      <xdr:rowOff>76200</xdr:rowOff>
    </xdr:to>
    <xdr:sp macro="" textlink="">
      <xdr:nvSpPr>
        <xdr:cNvPr id="2" name="Rectangle à coins arrondis 1"/>
        <xdr:cNvSpPr/>
      </xdr:nvSpPr>
      <xdr:spPr>
        <a:xfrm>
          <a:off x="12483360225" y="114300"/>
          <a:ext cx="4762500" cy="466725"/>
        </a:xfrm>
        <a:prstGeom prst="roundRect">
          <a:avLst/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1"/>
          <a:r>
            <a:rPr lang="ar-DZ" sz="2800" b="1">
              <a:solidFill>
                <a:srgbClr val="FF0000"/>
              </a:solidFill>
            </a:rPr>
            <a:t>يجب كتابة المعلومات الأساسية هنا 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466725</xdr:colOff>
      <xdr:row>2</xdr:row>
      <xdr:rowOff>38100</xdr:rowOff>
    </xdr:from>
    <xdr:to>
      <xdr:col>12</xdr:col>
      <xdr:colOff>381000</xdr:colOff>
      <xdr:row>2</xdr:row>
      <xdr:rowOff>152400</xdr:rowOff>
    </xdr:to>
    <xdr:sp macro="" textlink="">
      <xdr:nvSpPr>
        <xdr:cNvPr id="3" name="Flèche vers le bas 2"/>
        <xdr:cNvSpPr/>
      </xdr:nvSpPr>
      <xdr:spPr>
        <a:xfrm>
          <a:off x="12479331150" y="542925"/>
          <a:ext cx="628650" cy="1143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2</xdr:col>
      <xdr:colOff>752474</xdr:colOff>
      <xdr:row>2</xdr:row>
      <xdr:rowOff>95249</xdr:rowOff>
    </xdr:from>
    <xdr:to>
      <xdr:col>3</xdr:col>
      <xdr:colOff>314325</xdr:colOff>
      <xdr:row>3</xdr:row>
      <xdr:rowOff>180974</xdr:rowOff>
    </xdr:to>
    <xdr:sp macro="" textlink="">
      <xdr:nvSpPr>
        <xdr:cNvPr id="4" name="Flèche vers le bas 3"/>
        <xdr:cNvSpPr/>
      </xdr:nvSpPr>
      <xdr:spPr>
        <a:xfrm>
          <a:off x="12486503475" y="600074"/>
          <a:ext cx="323851" cy="2952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6</xdr:col>
      <xdr:colOff>200025</xdr:colOff>
      <xdr:row>2</xdr:row>
      <xdr:rowOff>95250</xdr:rowOff>
    </xdr:from>
    <xdr:to>
      <xdr:col>6</xdr:col>
      <xdr:colOff>733423</xdr:colOff>
      <xdr:row>3</xdr:row>
      <xdr:rowOff>190500</xdr:rowOff>
    </xdr:to>
    <xdr:sp macro="" textlink="">
      <xdr:nvSpPr>
        <xdr:cNvPr id="5" name="Flèche vers le bas 4"/>
        <xdr:cNvSpPr/>
      </xdr:nvSpPr>
      <xdr:spPr>
        <a:xfrm>
          <a:off x="12483455477" y="600075"/>
          <a:ext cx="533398" cy="3048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1</xdr:col>
      <xdr:colOff>638172</xdr:colOff>
      <xdr:row>2</xdr:row>
      <xdr:rowOff>66675</xdr:rowOff>
    </xdr:from>
    <xdr:to>
      <xdr:col>2</xdr:col>
      <xdr:colOff>247650</xdr:colOff>
      <xdr:row>5</xdr:row>
      <xdr:rowOff>47627</xdr:rowOff>
    </xdr:to>
    <xdr:cxnSp macro="">
      <xdr:nvCxnSpPr>
        <xdr:cNvPr id="7" name="Connecteur droit avec flèche 6"/>
        <xdr:cNvCxnSpPr/>
      </xdr:nvCxnSpPr>
      <xdr:spPr>
        <a:xfrm rot="16200000" flipH="1">
          <a:off x="12487117838" y="785812"/>
          <a:ext cx="676277" cy="24765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2</xdr:row>
      <xdr:rowOff>114300</xdr:rowOff>
    </xdr:from>
    <xdr:to>
      <xdr:col>5</xdr:col>
      <xdr:colOff>1476375</xdr:colOff>
      <xdr:row>5</xdr:row>
      <xdr:rowOff>28575</xdr:rowOff>
    </xdr:to>
    <xdr:cxnSp macro="">
      <xdr:nvCxnSpPr>
        <xdr:cNvPr id="8" name="Connecteur droit avec flèche 7"/>
        <xdr:cNvCxnSpPr/>
      </xdr:nvCxnSpPr>
      <xdr:spPr>
        <a:xfrm rot="16200000" flipH="1">
          <a:off x="12484179375" y="771525"/>
          <a:ext cx="609600" cy="304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2</xdr:row>
      <xdr:rowOff>152403</xdr:rowOff>
    </xdr:from>
    <xdr:to>
      <xdr:col>4</xdr:col>
      <xdr:colOff>285750</xdr:colOff>
      <xdr:row>4</xdr:row>
      <xdr:rowOff>257175</xdr:rowOff>
    </xdr:to>
    <xdr:cxnSp macro="">
      <xdr:nvCxnSpPr>
        <xdr:cNvPr id="12" name="Connecteur droit avec flèche 11"/>
        <xdr:cNvCxnSpPr/>
      </xdr:nvCxnSpPr>
      <xdr:spPr>
        <a:xfrm rot="16200000" flipH="1">
          <a:off x="12485884352" y="790576"/>
          <a:ext cx="523872" cy="257176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</xdr:row>
      <xdr:rowOff>38100</xdr:rowOff>
    </xdr:from>
    <xdr:to>
      <xdr:col>15</xdr:col>
      <xdr:colOff>704850</xdr:colOff>
      <xdr:row>2</xdr:row>
      <xdr:rowOff>152400</xdr:rowOff>
    </xdr:to>
    <xdr:sp macro="" textlink="">
      <xdr:nvSpPr>
        <xdr:cNvPr id="16" name="Flèche vers le bas 15"/>
        <xdr:cNvSpPr/>
      </xdr:nvSpPr>
      <xdr:spPr>
        <a:xfrm>
          <a:off x="12476864175" y="542925"/>
          <a:ext cx="628650" cy="114300"/>
        </a:xfrm>
        <a:prstGeom prst="down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30</xdr:row>
      <xdr:rowOff>9525</xdr:rowOff>
    </xdr:from>
    <xdr:to>
      <xdr:col>15</xdr:col>
      <xdr:colOff>381000</xdr:colOff>
      <xdr:row>40</xdr:row>
      <xdr:rowOff>66675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200026</xdr:colOff>
      <xdr:row>52</xdr:row>
      <xdr:rowOff>142875</xdr:rowOff>
    </xdr:from>
    <xdr:to>
      <xdr:col>15</xdr:col>
      <xdr:colOff>266701</xdr:colOff>
      <xdr:row>61</xdr:row>
      <xdr:rowOff>123825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44</xdr:row>
      <xdr:rowOff>9525</xdr:rowOff>
    </xdr:from>
    <xdr:to>
      <xdr:col>15</xdr:col>
      <xdr:colOff>66675</xdr:colOff>
      <xdr:row>51</xdr:row>
      <xdr:rowOff>180975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154</xdr:row>
      <xdr:rowOff>57150</xdr:rowOff>
    </xdr:from>
    <xdr:to>
      <xdr:col>3</xdr:col>
      <xdr:colOff>267066</xdr:colOff>
      <xdr:row>161</xdr:row>
      <xdr:rowOff>47625</xdr:rowOff>
    </xdr:to>
    <xdr:grpSp>
      <xdr:nvGrpSpPr>
        <xdr:cNvPr id="41" name="Groupe 10"/>
        <xdr:cNvGrpSpPr/>
      </xdr:nvGrpSpPr>
      <xdr:grpSpPr>
        <a:xfrm>
          <a:off x="12479635584" y="29003625"/>
          <a:ext cx="1638666" cy="1333500"/>
          <a:chOff x="12485623621" y="1705349"/>
          <a:chExt cx="2333625" cy="2339025"/>
        </a:xfrm>
      </xdr:grpSpPr>
      <xdr:graphicFrame macro="">
        <xdr:nvGraphicFramePr>
          <xdr:cNvPr id="42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$I$18">
        <xdr:nvSpPr>
          <xdr:cNvPr id="43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4FF3CFE9-5A36-4B41-AA4D-541C648B6CB6}" type="TxLink">
              <a:rPr lang="en-US" sz="1000" b="1" i="0" u="none" strike="noStrike">
                <a:solidFill>
                  <a:srgbClr val="7030A0"/>
                </a:solidFill>
                <a:latin typeface="Calibri"/>
                <a:ea typeface="+mn-ea"/>
                <a:cs typeface="+mn-cs"/>
              </a:rPr>
              <a:pPr marL="0" indent="0" algn="ctr" rtl="1"/>
              <a:t>12,95</a:t>
            </a:fld>
            <a:endParaRPr lang="fr-FR" sz="1800" b="1" i="0" u="none" strike="noStrike">
              <a:solidFill>
                <a:srgbClr val="7030A0"/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485775</xdr:colOff>
      <xdr:row>154</xdr:row>
      <xdr:rowOff>104775</xdr:rowOff>
    </xdr:from>
    <xdr:to>
      <xdr:col>6</xdr:col>
      <xdr:colOff>142875</xdr:colOff>
      <xdr:row>161</xdr:row>
      <xdr:rowOff>0</xdr:rowOff>
    </xdr:to>
    <xdr:grpSp>
      <xdr:nvGrpSpPr>
        <xdr:cNvPr id="44" name="Groupe 10"/>
        <xdr:cNvGrpSpPr/>
      </xdr:nvGrpSpPr>
      <xdr:grpSpPr>
        <a:xfrm>
          <a:off x="12477816675" y="29051250"/>
          <a:ext cx="1600200" cy="1238250"/>
          <a:chOff x="12485623621" y="1705349"/>
          <a:chExt cx="2333625" cy="2339025"/>
        </a:xfrm>
      </xdr:grpSpPr>
      <xdr:graphicFrame macro="">
        <xdr:nvGraphicFramePr>
          <xdr:cNvPr id="45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$I$19">
        <xdr:nvSpPr>
          <xdr:cNvPr id="46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85F753AD-BC21-4524-8C6A-3ED615EFBD97}" type="TxLink">
              <a:rPr lang="en-US" sz="1000" b="1" i="0" u="none" strike="noStrike">
                <a:solidFill>
                  <a:schemeClr val="accent6">
                    <a:lumMod val="75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9,46</a:t>
            </a:fld>
            <a:endParaRPr lang="fr-FR" sz="18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495299</xdr:colOff>
      <xdr:row>154</xdr:row>
      <xdr:rowOff>133350</xdr:rowOff>
    </xdr:from>
    <xdr:to>
      <xdr:col>9</xdr:col>
      <xdr:colOff>247649</xdr:colOff>
      <xdr:row>161</xdr:row>
      <xdr:rowOff>0</xdr:rowOff>
    </xdr:to>
    <xdr:grpSp>
      <xdr:nvGrpSpPr>
        <xdr:cNvPr id="47" name="Groupe 10"/>
        <xdr:cNvGrpSpPr/>
      </xdr:nvGrpSpPr>
      <xdr:grpSpPr>
        <a:xfrm>
          <a:off x="12475768801" y="29079825"/>
          <a:ext cx="1695450" cy="1209675"/>
          <a:chOff x="12485623621" y="1705349"/>
          <a:chExt cx="2333625" cy="2339025"/>
        </a:xfrm>
      </xdr:grpSpPr>
      <xdr:graphicFrame macro="">
        <xdr:nvGraphicFramePr>
          <xdr:cNvPr id="48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$I$20">
        <xdr:nvSpPr>
          <xdr:cNvPr id="49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98AF7A34-F810-40AA-B1F5-2130971CEFF1}" type="TxLink">
              <a:rPr lang="en-US" sz="10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8,10</a:t>
            </a:fld>
            <a:endParaRPr lang="fr-FR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171450</xdr:colOff>
      <xdr:row>154</xdr:row>
      <xdr:rowOff>171450</xdr:rowOff>
    </xdr:from>
    <xdr:to>
      <xdr:col>12</xdr:col>
      <xdr:colOff>393273</xdr:colOff>
      <xdr:row>161</xdr:row>
      <xdr:rowOff>0</xdr:rowOff>
    </xdr:to>
    <xdr:grpSp>
      <xdr:nvGrpSpPr>
        <xdr:cNvPr id="50" name="Groupe 10"/>
        <xdr:cNvGrpSpPr/>
      </xdr:nvGrpSpPr>
      <xdr:grpSpPr>
        <a:xfrm>
          <a:off x="12474080127" y="29117925"/>
          <a:ext cx="1764873" cy="1171575"/>
          <a:chOff x="12485623621" y="1705349"/>
          <a:chExt cx="2333625" cy="2339025"/>
        </a:xfrm>
      </xdr:grpSpPr>
      <xdr:graphicFrame macro="">
        <xdr:nvGraphicFramePr>
          <xdr:cNvPr id="51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$I$21">
        <xdr:nvSpPr>
          <xdr:cNvPr id="52" name="ZoneTexte 12"/>
          <xdr:cNvSpPr txBox="1"/>
        </xdr:nvSpPr>
        <xdr:spPr>
          <a:xfrm>
            <a:off x="12486255447" y="2751636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307F5599-11CA-4D71-907B-47FE1D3BACB8}" type="TxLink">
              <a:rPr lang="en-US" sz="1000" b="1" i="0" u="none" strike="noStrike">
                <a:solidFill>
                  <a:schemeClr val="accent6">
                    <a:lumMod val="50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12,64</a:t>
            </a:fld>
            <a:endParaRPr lang="fr-FR" sz="18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304800</xdr:colOff>
      <xdr:row>154</xdr:row>
      <xdr:rowOff>171450</xdr:rowOff>
    </xdr:from>
    <xdr:to>
      <xdr:col>15</xdr:col>
      <xdr:colOff>400416</xdr:colOff>
      <xdr:row>161</xdr:row>
      <xdr:rowOff>0</xdr:rowOff>
    </xdr:to>
    <xdr:grpSp>
      <xdr:nvGrpSpPr>
        <xdr:cNvPr id="53" name="Groupe 10"/>
        <xdr:cNvGrpSpPr/>
      </xdr:nvGrpSpPr>
      <xdr:grpSpPr>
        <a:xfrm>
          <a:off x="12472529934" y="29117925"/>
          <a:ext cx="1638666" cy="1171575"/>
          <a:chOff x="12485623621" y="1705349"/>
          <a:chExt cx="2333625" cy="2339025"/>
        </a:xfrm>
      </xdr:grpSpPr>
      <xdr:graphicFrame macro="">
        <xdr:nvGraphicFramePr>
          <xdr:cNvPr id="54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$I$22">
        <xdr:nvSpPr>
          <xdr:cNvPr id="55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EAA152CE-C9D0-452D-BCD7-3BF91B1EFA90}" type="TxLink">
              <a:rPr lang="en-US" sz="1000" b="1" i="0" u="none" strike="noStrike">
                <a:solidFill>
                  <a:schemeClr val="bg2">
                    <a:lumMod val="10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11,61</a:t>
            </a:fld>
            <a:endParaRPr lang="fr-FR" sz="1800" b="1" i="0" u="none" strike="noStrike">
              <a:solidFill>
                <a:schemeClr val="bg2">
                  <a:lumMod val="10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333375</xdr:colOff>
      <xdr:row>167</xdr:row>
      <xdr:rowOff>0</xdr:rowOff>
    </xdr:from>
    <xdr:to>
      <xdr:col>3</xdr:col>
      <xdr:colOff>59897</xdr:colOff>
      <xdr:row>173</xdr:row>
      <xdr:rowOff>0</xdr:rowOff>
    </xdr:to>
    <xdr:grpSp>
      <xdr:nvGrpSpPr>
        <xdr:cNvPr id="56" name="Groupe 10"/>
        <xdr:cNvGrpSpPr/>
      </xdr:nvGrpSpPr>
      <xdr:grpSpPr>
        <a:xfrm>
          <a:off x="12479842753" y="31470600"/>
          <a:ext cx="1402922" cy="1143000"/>
          <a:chOff x="12485623621" y="1705349"/>
          <a:chExt cx="2333625" cy="2339025"/>
        </a:xfrm>
      </xdr:grpSpPr>
      <xdr:graphicFrame macro="">
        <xdr:nvGraphicFramePr>
          <xdr:cNvPr id="57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$I$23">
        <xdr:nvSpPr>
          <xdr:cNvPr id="58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AE090D93-6E8A-4B95-AC50-85A830D71F3E}" type="TxLink">
              <a:rPr lang="en-US" sz="1000" b="1" i="0" u="none" strike="noStrike">
                <a:solidFill>
                  <a:schemeClr val="accent5">
                    <a:lumMod val="50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9,07</a:t>
            </a:fld>
            <a:endParaRPr lang="fr-FR" sz="18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285750</xdr:colOff>
      <xdr:row>167</xdr:row>
      <xdr:rowOff>0</xdr:rowOff>
    </xdr:from>
    <xdr:to>
      <xdr:col>6</xdr:col>
      <xdr:colOff>66675</xdr:colOff>
      <xdr:row>173</xdr:row>
      <xdr:rowOff>0</xdr:rowOff>
    </xdr:to>
    <xdr:grpSp>
      <xdr:nvGrpSpPr>
        <xdr:cNvPr id="59" name="Groupe 10"/>
        <xdr:cNvGrpSpPr/>
      </xdr:nvGrpSpPr>
      <xdr:grpSpPr>
        <a:xfrm>
          <a:off x="12477892875" y="31470600"/>
          <a:ext cx="1724025" cy="1143000"/>
          <a:chOff x="12485623621" y="1705349"/>
          <a:chExt cx="2333625" cy="2339025"/>
        </a:xfrm>
      </xdr:grpSpPr>
      <xdr:graphicFrame macro="">
        <xdr:nvGraphicFramePr>
          <xdr:cNvPr id="60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$I$24">
        <xdr:nvSpPr>
          <xdr:cNvPr id="61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2591D617-D459-410E-B0CF-116622B8AAE6}" type="TxLink">
              <a:rPr lang="en-US" sz="1000" b="1" i="0" u="none" strike="noStrike">
                <a:solidFill>
                  <a:srgbClr val="008000"/>
                </a:solidFill>
                <a:latin typeface="Calibri"/>
                <a:ea typeface="+mn-ea"/>
                <a:cs typeface="+mn-cs"/>
              </a:rPr>
              <a:pPr marL="0" indent="0" algn="ctr" rtl="1"/>
              <a:t>6,36</a:t>
            </a:fld>
            <a:endParaRPr lang="fr-FR" sz="1800" b="1" i="0" u="none" strike="noStrike">
              <a:solidFill>
                <a:srgbClr val="008000"/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523875</xdr:colOff>
      <xdr:row>167</xdr:row>
      <xdr:rowOff>0</xdr:rowOff>
    </xdr:from>
    <xdr:to>
      <xdr:col>9</xdr:col>
      <xdr:colOff>57516</xdr:colOff>
      <xdr:row>173</xdr:row>
      <xdr:rowOff>66675</xdr:rowOff>
    </xdr:to>
    <xdr:grpSp>
      <xdr:nvGrpSpPr>
        <xdr:cNvPr id="62" name="Groupe 10"/>
        <xdr:cNvGrpSpPr/>
      </xdr:nvGrpSpPr>
      <xdr:grpSpPr>
        <a:xfrm>
          <a:off x="12475958934" y="31470600"/>
          <a:ext cx="1476741" cy="1209675"/>
          <a:chOff x="12485623621" y="1724680"/>
          <a:chExt cx="2333625" cy="2319694"/>
        </a:xfrm>
      </xdr:grpSpPr>
      <xdr:graphicFrame macro="">
        <xdr:nvGraphicFramePr>
          <xdr:cNvPr id="63" name="Graphique 11"/>
          <xdr:cNvGraphicFramePr>
            <a:graphicFrameLocks/>
          </xdr:cNvGraphicFramePr>
        </xdr:nvGraphicFramePr>
        <xdr:xfrm>
          <a:off x="12485623621" y="1724680"/>
          <a:ext cx="2333625" cy="2319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$I$25">
        <xdr:nvSpPr>
          <xdr:cNvPr id="64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7F08A013-BE84-4B23-8A59-74FB066312FB}" type="TxLink">
              <a:rPr lang="en-US" sz="10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ea typeface="+mn-ea"/>
                <a:cs typeface="+mn-cs"/>
              </a:rPr>
              <a:pPr marL="0" indent="0" algn="ctr" rtl="1"/>
              <a:t>8,96</a:t>
            </a:fld>
            <a:endParaRPr lang="fr-FR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381000</xdr:colOff>
      <xdr:row>167</xdr:row>
      <xdr:rowOff>19050</xdr:rowOff>
    </xdr:from>
    <xdr:to>
      <xdr:col>12</xdr:col>
      <xdr:colOff>476616</xdr:colOff>
      <xdr:row>173</xdr:row>
      <xdr:rowOff>26194</xdr:rowOff>
    </xdr:to>
    <xdr:grpSp>
      <xdr:nvGrpSpPr>
        <xdr:cNvPr id="65" name="Groupe 10"/>
        <xdr:cNvGrpSpPr/>
      </xdr:nvGrpSpPr>
      <xdr:grpSpPr>
        <a:xfrm>
          <a:off x="12473996784" y="31489650"/>
          <a:ext cx="1638666" cy="1150144"/>
          <a:chOff x="12485623621" y="1705349"/>
          <a:chExt cx="2333625" cy="2339025"/>
        </a:xfrm>
      </xdr:grpSpPr>
      <xdr:graphicFrame macro="">
        <xdr:nvGraphicFramePr>
          <xdr:cNvPr id="66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$I$26">
        <xdr:nvSpPr>
          <xdr:cNvPr id="67" name="ZoneTexte 12"/>
          <xdr:cNvSpPr txBox="1"/>
        </xdr:nvSpPr>
        <xdr:spPr>
          <a:xfrm>
            <a:off x="12486318420" y="2734929"/>
            <a:ext cx="803805" cy="516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51CF39CA-06DD-434C-AB11-7E55841AB090}" type="TxLink">
              <a:rPr lang="en-US" sz="1000" b="1" i="0" u="none" strike="noStrike">
                <a:solidFill>
                  <a:srgbClr val="7030A0"/>
                </a:solidFill>
                <a:latin typeface="Calibri"/>
                <a:ea typeface="+mn-ea"/>
                <a:cs typeface="+mn-cs"/>
              </a:rPr>
              <a:pPr marL="0" indent="0" algn="ctr" rtl="1"/>
              <a:t>12,45</a:t>
            </a:fld>
            <a:endParaRPr lang="fr-FR" sz="1800" b="1" i="0" u="none" strike="noStrike">
              <a:solidFill>
                <a:srgbClr val="7030A0"/>
              </a:solidFill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295275</xdr:colOff>
      <xdr:row>173</xdr:row>
      <xdr:rowOff>133350</xdr:rowOff>
    </xdr:from>
    <xdr:to>
      <xdr:col>6</xdr:col>
      <xdr:colOff>216693</xdr:colOff>
      <xdr:row>183</xdr:row>
      <xdr:rowOff>9526</xdr:rowOff>
    </xdr:to>
    <xdr:grpSp>
      <xdr:nvGrpSpPr>
        <xdr:cNvPr id="73" name="Groupe 10"/>
        <xdr:cNvGrpSpPr/>
      </xdr:nvGrpSpPr>
      <xdr:grpSpPr>
        <a:xfrm>
          <a:off x="12477742857" y="32746950"/>
          <a:ext cx="2616993" cy="1781176"/>
          <a:chOff x="12485623621" y="1705348"/>
          <a:chExt cx="2333625" cy="2490374"/>
        </a:xfrm>
      </xdr:grpSpPr>
      <xdr:graphicFrame macro="">
        <xdr:nvGraphicFramePr>
          <xdr:cNvPr id="74" name="Graphique 11"/>
          <xdr:cNvGraphicFramePr>
            <a:graphicFrameLocks/>
          </xdr:cNvGraphicFramePr>
        </xdr:nvGraphicFramePr>
        <xdr:xfrm>
          <a:off x="12485623621" y="1705348"/>
          <a:ext cx="2333625" cy="2490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$M$6">
        <xdr:nvSpPr>
          <xdr:cNvPr id="75" name="ZoneTexte 12"/>
          <xdr:cNvSpPr txBox="1"/>
        </xdr:nvSpPr>
        <xdr:spPr>
          <a:xfrm rot="20052764">
            <a:off x="12486331271" y="2729824"/>
            <a:ext cx="803805" cy="618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8EFF600B-616D-47B2-AEC7-A0846D729CF3}" type="TxLink">
              <a:rPr lang="en-US" sz="2400" b="1" i="0" u="none" strike="noStrike">
                <a:solidFill>
                  <a:srgbClr val="FF0000"/>
                </a:solidFill>
                <a:latin typeface="Century Gothic" pitchFamily="34" charset="0"/>
                <a:ea typeface="+mn-ea"/>
                <a:cs typeface="+mn-cs"/>
              </a:rPr>
              <a:pPr marL="0" indent="0" algn="ctr" rtl="1"/>
              <a:t>33</a:t>
            </a:fld>
            <a:endParaRPr lang="fr-FR" sz="4800" b="1" i="0" u="none" strike="noStrike">
              <a:solidFill>
                <a:srgbClr val="FF0000"/>
              </a:solidFill>
              <a:latin typeface="Century Gothic" pitchFamily="34" charset="0"/>
              <a:ea typeface="+mn-ea"/>
              <a:cs typeface="+mn-cs"/>
            </a:endParaRPr>
          </a:p>
        </xdr:txBody>
      </xdr:sp>
    </xdr:grpSp>
    <xdr:clientData/>
  </xdr:twoCellAnchor>
  <xdr:oneCellAnchor>
    <xdr:from>
      <xdr:col>0</xdr:col>
      <xdr:colOff>220549</xdr:colOff>
      <xdr:row>175</xdr:row>
      <xdr:rowOff>126970</xdr:rowOff>
    </xdr:from>
    <xdr:ext cx="1043671" cy="406843"/>
    <xdr:sp macro="" textlink="">
      <xdr:nvSpPr>
        <xdr:cNvPr id="81" name="Rectangle 80"/>
        <xdr:cNvSpPr/>
      </xdr:nvSpPr>
      <xdr:spPr>
        <a:xfrm rot="19829394">
          <a:off x="12480314830" y="33102520"/>
          <a:ext cx="1043671" cy="406843"/>
        </a:xfrm>
        <a:prstGeom prst="rect">
          <a:avLst/>
        </a:prstGeom>
        <a:noFill/>
      </xdr:spPr>
      <xdr:txBody>
        <a:bodyPr wrap="none" lIns="91440" tIns="45720" rIns="91440" bIns="45720">
          <a:prstTxWarp prst="textCanUp">
            <a:avLst/>
          </a:prstTxWarp>
          <a:spAutoFit/>
        </a:bodyPr>
        <a:lstStyle/>
        <a:p>
          <a:pPr algn="ctr"/>
          <a:r>
            <a:rPr lang="ar-DZ" sz="2000" b="0" cap="all" spc="0">
              <a:ln w="9000" cmpd="sng">
                <a:solidFill>
                  <a:srgbClr val="FF0000"/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  <a:latin typeface="Century Gothic" pitchFamily="34" charset="0"/>
            </a:rPr>
            <a:t>النتائج العامة</a:t>
          </a:r>
          <a:endParaRPr lang="fr-FR" sz="2000" b="0" cap="all" spc="0">
            <a:ln w="9000" cmpd="sng">
              <a:solidFill>
                <a:srgbClr val="FF0000"/>
              </a:solidFill>
              <a:prstDash val="solid"/>
            </a:ln>
            <a:solidFill>
              <a:srgbClr val="FF0000"/>
            </a:solidFill>
            <a:effectLst>
              <a:reflection blurRad="12700" stA="28000" endPos="45000" dist="1000" dir="5400000" sy="-100000" algn="bl" rotWithShape="0"/>
            </a:effectLst>
            <a:latin typeface="Century Gothic" pitchFamily="34" charset="0"/>
          </a:endParaRPr>
        </a:p>
      </xdr:txBody>
    </xdr:sp>
    <xdr:clientData/>
  </xdr:oneCellAnchor>
  <xdr:twoCellAnchor>
    <xdr:from>
      <xdr:col>11</xdr:col>
      <xdr:colOff>104776</xdr:colOff>
      <xdr:row>173</xdr:row>
      <xdr:rowOff>133349</xdr:rowOff>
    </xdr:from>
    <xdr:to>
      <xdr:col>15</xdr:col>
      <xdr:colOff>400051</xdr:colOff>
      <xdr:row>183</xdr:row>
      <xdr:rowOff>95250</xdr:rowOff>
    </xdr:to>
    <xdr:grpSp>
      <xdr:nvGrpSpPr>
        <xdr:cNvPr id="95" name="Groupe 10"/>
        <xdr:cNvGrpSpPr/>
      </xdr:nvGrpSpPr>
      <xdr:grpSpPr>
        <a:xfrm>
          <a:off x="12472530299" y="32746949"/>
          <a:ext cx="2352675" cy="1866901"/>
          <a:chOff x="12485651965" y="1692208"/>
          <a:chExt cx="2333625" cy="2339025"/>
        </a:xfrm>
      </xdr:grpSpPr>
      <xdr:graphicFrame macro="">
        <xdr:nvGraphicFramePr>
          <xdr:cNvPr id="96" name="Graphique 11"/>
          <xdr:cNvGraphicFramePr>
            <a:graphicFrameLocks/>
          </xdr:cNvGraphicFramePr>
        </xdr:nvGraphicFramePr>
        <xdr:xfrm>
          <a:off x="12485651965" y="1692208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$I$29">
        <xdr:nvSpPr>
          <xdr:cNvPr id="97" name="ZoneTexte 12"/>
          <xdr:cNvSpPr txBox="1"/>
        </xdr:nvSpPr>
        <xdr:spPr>
          <a:xfrm rot="20169177">
            <a:off x="12486336839" y="2707124"/>
            <a:ext cx="803805" cy="6084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A5812322-D384-4710-85D5-DF86E204A374}" type="TxLink">
              <a:rPr lang="en-US" sz="1600" b="1" i="0" u="none" strike="noStrike">
                <a:solidFill>
                  <a:schemeClr val="tx1"/>
                </a:solidFill>
                <a:latin typeface="Century Gothic" pitchFamily="34" charset="0"/>
                <a:ea typeface="+mn-ea"/>
                <a:cs typeface="Arial" pitchFamily="34" charset="0"/>
              </a:rPr>
              <a:pPr marL="0" indent="0" algn="ctr" rtl="1"/>
              <a:t>10,55</a:t>
            </a:fld>
            <a:endParaRPr lang="fr-FR" sz="3600" b="1" i="0" u="none" strike="noStrike">
              <a:solidFill>
                <a:schemeClr val="tx1"/>
              </a:solidFill>
              <a:latin typeface="Century Gothic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  <xdr:twoCellAnchor>
    <xdr:from>
      <xdr:col>4</xdr:col>
      <xdr:colOff>123825</xdr:colOff>
      <xdr:row>81</xdr:row>
      <xdr:rowOff>19050</xdr:rowOff>
    </xdr:from>
    <xdr:to>
      <xdr:col>7</xdr:col>
      <xdr:colOff>485775</xdr:colOff>
      <xdr:row>89</xdr:row>
      <xdr:rowOff>19050</xdr:rowOff>
    </xdr:to>
    <xdr:graphicFrame macro="">
      <xdr:nvGraphicFramePr>
        <xdr:cNvPr id="68" name="Graphique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266701</xdr:colOff>
      <xdr:row>80</xdr:row>
      <xdr:rowOff>180976</xdr:rowOff>
    </xdr:from>
    <xdr:to>
      <xdr:col>15</xdr:col>
      <xdr:colOff>352426</xdr:colOff>
      <xdr:row>89</xdr:row>
      <xdr:rowOff>1</xdr:rowOff>
    </xdr:to>
    <xdr:graphicFrame macro="">
      <xdr:nvGraphicFramePr>
        <xdr:cNvPr id="69" name="Graphique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123825</xdr:colOff>
      <xdr:row>90</xdr:row>
      <xdr:rowOff>161925</xdr:rowOff>
    </xdr:from>
    <xdr:to>
      <xdr:col>7</xdr:col>
      <xdr:colOff>523875</xdr:colOff>
      <xdr:row>99</xdr:row>
      <xdr:rowOff>0</xdr:rowOff>
    </xdr:to>
    <xdr:graphicFrame macro="">
      <xdr:nvGraphicFramePr>
        <xdr:cNvPr id="70" name="Graphique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142875</xdr:colOff>
      <xdr:row>90</xdr:row>
      <xdr:rowOff>152401</xdr:rowOff>
    </xdr:from>
    <xdr:to>
      <xdr:col>15</xdr:col>
      <xdr:colOff>371475</xdr:colOff>
      <xdr:row>99</xdr:row>
      <xdr:rowOff>19051</xdr:rowOff>
    </xdr:to>
    <xdr:graphicFrame macro="">
      <xdr:nvGraphicFramePr>
        <xdr:cNvPr id="71" name="Graphique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95251</xdr:colOff>
      <xdr:row>101</xdr:row>
      <xdr:rowOff>0</xdr:rowOff>
    </xdr:from>
    <xdr:to>
      <xdr:col>7</xdr:col>
      <xdr:colOff>542925</xdr:colOff>
      <xdr:row>110</xdr:row>
      <xdr:rowOff>57150</xdr:rowOff>
    </xdr:to>
    <xdr:graphicFrame macro="">
      <xdr:nvGraphicFramePr>
        <xdr:cNvPr id="72" name="Graphique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142875</xdr:colOff>
      <xdr:row>100</xdr:row>
      <xdr:rowOff>95250</xdr:rowOff>
    </xdr:from>
    <xdr:to>
      <xdr:col>15</xdr:col>
      <xdr:colOff>381000</xdr:colOff>
      <xdr:row>110</xdr:row>
      <xdr:rowOff>76200</xdr:rowOff>
    </xdr:to>
    <xdr:graphicFrame macro="">
      <xdr:nvGraphicFramePr>
        <xdr:cNvPr id="76" name="Graphique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123825</xdr:colOff>
      <xdr:row>114</xdr:row>
      <xdr:rowOff>142875</xdr:rowOff>
    </xdr:from>
    <xdr:to>
      <xdr:col>7</xdr:col>
      <xdr:colOff>495300</xdr:colOff>
      <xdr:row>123</xdr:row>
      <xdr:rowOff>95250</xdr:rowOff>
    </xdr:to>
    <xdr:graphicFrame macro="">
      <xdr:nvGraphicFramePr>
        <xdr:cNvPr id="77" name="Graphique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114300</xdr:colOff>
      <xdr:row>114</xdr:row>
      <xdr:rowOff>85725</xdr:rowOff>
    </xdr:from>
    <xdr:to>
      <xdr:col>15</xdr:col>
      <xdr:colOff>400050</xdr:colOff>
      <xdr:row>123</xdr:row>
      <xdr:rowOff>142875</xdr:rowOff>
    </xdr:to>
    <xdr:graphicFrame macro="">
      <xdr:nvGraphicFramePr>
        <xdr:cNvPr id="82" name="Graphique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133351</xdr:colOff>
      <xdr:row>126</xdr:row>
      <xdr:rowOff>142875</xdr:rowOff>
    </xdr:from>
    <xdr:to>
      <xdr:col>9</xdr:col>
      <xdr:colOff>352426</xdr:colOff>
      <xdr:row>135</xdr:row>
      <xdr:rowOff>114300</xdr:rowOff>
    </xdr:to>
    <xdr:graphicFrame macro="">
      <xdr:nvGraphicFramePr>
        <xdr:cNvPr id="83" name="Graphique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257176</xdr:colOff>
      <xdr:row>138</xdr:row>
      <xdr:rowOff>104775</xdr:rowOff>
    </xdr:from>
    <xdr:to>
      <xdr:col>15</xdr:col>
      <xdr:colOff>57151</xdr:colOff>
      <xdr:row>145</xdr:row>
      <xdr:rowOff>133350</xdr:rowOff>
    </xdr:to>
    <xdr:graphicFrame macro="">
      <xdr:nvGraphicFramePr>
        <xdr:cNvPr id="84" name="Graphique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410917</xdr:colOff>
      <xdr:row>220</xdr:row>
      <xdr:rowOff>67391</xdr:rowOff>
    </xdr:from>
    <xdr:to>
      <xdr:col>9</xdr:col>
      <xdr:colOff>390525</xdr:colOff>
      <xdr:row>223</xdr:row>
      <xdr:rowOff>172784</xdr:rowOff>
    </xdr:to>
    <xdr:sp macro="" textlink="">
      <xdr:nvSpPr>
        <xdr:cNvPr id="86" name="Arrondir un rectangle à un seul coin 85"/>
        <xdr:cNvSpPr/>
      </xdr:nvSpPr>
      <xdr:spPr>
        <a:xfrm>
          <a:off x="12475625925" y="41663066"/>
          <a:ext cx="3218108" cy="676893"/>
        </a:xfrm>
        <a:prstGeom prst="round1Rect">
          <a:avLst/>
        </a:prstGeom>
        <a:blipFill>
          <a:blip xmlns:r="http://schemas.openxmlformats.org/officeDocument/2006/relationships" r:embed="rId25"/>
          <a:tile tx="0" ty="0" sx="100000" sy="100000" flip="none" algn="tl"/>
        </a:blip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rtl="1"/>
          <a:r>
            <a:rPr lang="ar-DZ" sz="1800" b="1" cap="all" spc="0">
              <a:ln w="9000" cmpd="sng">
                <a:solidFill>
                  <a:srgbClr val="FF0000"/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</a:rPr>
            <a:t>حصيلـــ</a:t>
          </a:r>
          <a:r>
            <a:rPr lang="ar-DZ" sz="1800" b="1" cap="all" spc="0" baseline="0">
              <a:ln w="9000" cmpd="sng">
                <a:solidFill>
                  <a:srgbClr val="FF0000"/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</a:rPr>
            <a:t>ة التوجيـه النهائــــي </a:t>
          </a:r>
        </a:p>
        <a:p>
          <a:pPr algn="ctr" rtl="1"/>
          <a:r>
            <a:rPr lang="ar-DZ" sz="1800" b="1" cap="all" spc="0" baseline="0">
              <a:ln w="9000" cmpd="sng">
                <a:solidFill>
                  <a:srgbClr val="FF0000"/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</a:rPr>
            <a:t>إلى السنة الأولى ثانـــوي</a:t>
          </a:r>
          <a:endParaRPr lang="fr-FR" sz="1800" b="1" cap="all" spc="0">
            <a:ln w="9000" cmpd="sng">
              <a:solidFill>
                <a:srgbClr val="FF0000"/>
              </a:solidFill>
              <a:prstDash val="solid"/>
            </a:ln>
            <a:solidFill>
              <a:srgbClr val="FF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twoCellAnchor>
  <xdr:twoCellAnchor>
    <xdr:from>
      <xdr:col>5</xdr:col>
      <xdr:colOff>361951</xdr:colOff>
      <xdr:row>231</xdr:row>
      <xdr:rowOff>9525</xdr:rowOff>
    </xdr:from>
    <xdr:to>
      <xdr:col>9</xdr:col>
      <xdr:colOff>9526</xdr:colOff>
      <xdr:row>234</xdr:row>
      <xdr:rowOff>95250</xdr:rowOff>
    </xdr:to>
    <xdr:sp macro="" textlink="">
      <xdr:nvSpPr>
        <xdr:cNvPr id="89" name="Pensées 88"/>
        <xdr:cNvSpPr/>
      </xdr:nvSpPr>
      <xdr:spPr>
        <a:xfrm>
          <a:off x="12476006924" y="37090350"/>
          <a:ext cx="2238375" cy="657225"/>
        </a:xfrm>
        <a:prstGeom prst="cloudCallout">
          <a:avLst>
            <a:gd name="adj1" fmla="val -22535"/>
            <a:gd name="adj2" fmla="val 87028"/>
          </a:avLst>
        </a:prstGeom>
        <a:blipFill>
          <a:blip xmlns:r="http://schemas.openxmlformats.org/officeDocument/2006/relationships" r:embed="rId26"/>
          <a:tile tx="0" ty="0" sx="100000" sy="100000" flip="none" algn="tl"/>
        </a:blipFill>
        <a:ln w="127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rtl="1"/>
          <a:r>
            <a:rPr lang="ar-DZ" sz="2400" b="1" cap="all" spc="0">
              <a:ln w="9000" cmpd="sng">
                <a:solidFill>
                  <a:srgbClr val="0000FF"/>
                </a:solidFill>
                <a:prstDash val="solid"/>
              </a:ln>
              <a:solidFill>
                <a:srgbClr val="0000FF"/>
              </a:solidFill>
              <a:effectLst>
                <a:reflection blurRad="12700" stA="28000" endPos="45000" dist="1000" dir="5400000" sy="-100000" algn="bl" rotWithShape="0"/>
              </a:effectLst>
              <a:latin typeface="Amiri" pitchFamily="2" charset="-78"/>
              <a:cs typeface="Amiri" pitchFamily="2" charset="-78"/>
            </a:rPr>
            <a:t>التحجيـــــم</a:t>
          </a:r>
          <a:endParaRPr lang="fr-FR" sz="1800" b="1" cap="all" spc="0">
            <a:ln w="9000" cmpd="sng">
              <a:solidFill>
                <a:srgbClr val="0000FF"/>
              </a:solidFill>
              <a:prstDash val="solid"/>
            </a:ln>
            <a:solidFill>
              <a:srgbClr val="0000FF"/>
            </a:solidFill>
            <a:effectLst>
              <a:reflection blurRad="12700" stA="28000" endPos="45000" dist="1000" dir="5400000" sy="-100000" algn="bl" rotWithShape="0"/>
            </a:effectLst>
            <a:latin typeface="Amiri" pitchFamily="2" charset="-78"/>
            <a:cs typeface="Amiri" pitchFamily="2" charset="-78"/>
          </a:endParaRPr>
        </a:p>
      </xdr:txBody>
    </xdr:sp>
    <xdr:clientData/>
  </xdr:twoCellAnchor>
  <xdr:twoCellAnchor>
    <xdr:from>
      <xdr:col>2</xdr:col>
      <xdr:colOff>685800</xdr:colOff>
      <xdr:row>236</xdr:row>
      <xdr:rowOff>95250</xdr:rowOff>
    </xdr:from>
    <xdr:to>
      <xdr:col>5</xdr:col>
      <xdr:colOff>9525</xdr:colOff>
      <xdr:row>238</xdr:row>
      <xdr:rowOff>123825</xdr:rowOff>
    </xdr:to>
    <xdr:sp macro="" textlink="">
      <xdr:nvSpPr>
        <xdr:cNvPr id="90" name="Rectangle à coins arrondis 89"/>
        <xdr:cNvSpPr/>
      </xdr:nvSpPr>
      <xdr:spPr>
        <a:xfrm>
          <a:off x="12478597725" y="38128575"/>
          <a:ext cx="1371600" cy="409575"/>
        </a:xfrm>
        <a:prstGeom prst="wedgeRoundRectCallout">
          <a:avLst>
            <a:gd name="adj1" fmla="val -3819"/>
            <a:gd name="adj2" fmla="val 113663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1"/>
          <a:r>
            <a:rPr lang="ar-DZ" sz="2000" b="1">
              <a:ln>
                <a:solidFill>
                  <a:srgbClr val="0000FF"/>
                </a:solidFill>
              </a:ln>
              <a:solidFill>
                <a:srgbClr val="0000FF"/>
              </a:solidFill>
            </a:rPr>
            <a:t>الحالـة الأولى</a:t>
          </a:r>
          <a:endParaRPr lang="fr-FR" sz="2000" b="1">
            <a:ln>
              <a:solidFill>
                <a:srgbClr val="0000FF"/>
              </a:solidFill>
            </a:ln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295275</xdr:colOff>
      <xdr:row>236</xdr:row>
      <xdr:rowOff>66675</xdr:rowOff>
    </xdr:from>
    <xdr:to>
      <xdr:col>13</xdr:col>
      <xdr:colOff>123825</xdr:colOff>
      <xdr:row>238</xdr:row>
      <xdr:rowOff>95250</xdr:rowOff>
    </xdr:to>
    <xdr:sp macro="" textlink="">
      <xdr:nvSpPr>
        <xdr:cNvPr id="91" name="Rectangle à coins arrondis 90"/>
        <xdr:cNvSpPr/>
      </xdr:nvSpPr>
      <xdr:spPr>
        <a:xfrm>
          <a:off x="12473835225" y="38100000"/>
          <a:ext cx="1371600" cy="409575"/>
        </a:xfrm>
        <a:prstGeom prst="wedgeRoundRectCallout">
          <a:avLst>
            <a:gd name="adj1" fmla="val -3819"/>
            <a:gd name="adj2" fmla="val 113663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1"/>
          <a:r>
            <a:rPr lang="ar-DZ" sz="2000" b="1">
              <a:ln>
                <a:solidFill>
                  <a:srgbClr val="0000FF"/>
                </a:solidFill>
              </a:ln>
              <a:solidFill>
                <a:srgbClr val="0000FF"/>
              </a:solidFill>
            </a:rPr>
            <a:t>الحالـة الثانية</a:t>
          </a:r>
          <a:endParaRPr lang="fr-FR" sz="2000" b="1">
            <a:ln>
              <a:solidFill>
                <a:srgbClr val="0000FF"/>
              </a:solidFill>
            </a:ln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200025</xdr:colOff>
      <xdr:row>241</xdr:row>
      <xdr:rowOff>76200</xdr:rowOff>
    </xdr:from>
    <xdr:to>
      <xdr:col>2</xdr:col>
      <xdr:colOff>581025</xdr:colOff>
      <xdr:row>243</xdr:row>
      <xdr:rowOff>180975</xdr:rowOff>
    </xdr:to>
    <xdr:sp macro="" textlink="">
      <xdr:nvSpPr>
        <xdr:cNvPr id="92" name="Flèche vers le bas 91"/>
        <xdr:cNvSpPr/>
      </xdr:nvSpPr>
      <xdr:spPr>
        <a:xfrm>
          <a:off x="12480074100" y="39128700"/>
          <a:ext cx="381000" cy="485775"/>
        </a:xfrm>
        <a:prstGeom prst="downArrow">
          <a:avLst/>
        </a:prstGeom>
        <a:solidFill>
          <a:srgbClr val="66FFCC"/>
        </a:solidFill>
        <a:ln>
          <a:solidFill>
            <a:srgbClr val="66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5</xdr:col>
      <xdr:colOff>142875</xdr:colOff>
      <xdr:row>241</xdr:row>
      <xdr:rowOff>66675</xdr:rowOff>
    </xdr:from>
    <xdr:to>
      <xdr:col>5</xdr:col>
      <xdr:colOff>523875</xdr:colOff>
      <xdr:row>243</xdr:row>
      <xdr:rowOff>152400</xdr:rowOff>
    </xdr:to>
    <xdr:sp macro="" textlink="">
      <xdr:nvSpPr>
        <xdr:cNvPr id="93" name="Flèche vers le bas 92"/>
        <xdr:cNvSpPr/>
      </xdr:nvSpPr>
      <xdr:spPr>
        <a:xfrm>
          <a:off x="12478083375" y="39119175"/>
          <a:ext cx="381000" cy="466725"/>
        </a:xfrm>
        <a:prstGeom prst="downArrow">
          <a:avLst/>
        </a:prstGeom>
        <a:solidFill>
          <a:srgbClr val="FF00FF"/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10</xdr:col>
      <xdr:colOff>85725</xdr:colOff>
      <xdr:row>241</xdr:row>
      <xdr:rowOff>66675</xdr:rowOff>
    </xdr:from>
    <xdr:to>
      <xdr:col>10</xdr:col>
      <xdr:colOff>466725</xdr:colOff>
      <xdr:row>243</xdr:row>
      <xdr:rowOff>171450</xdr:rowOff>
    </xdr:to>
    <xdr:sp macro="" textlink="">
      <xdr:nvSpPr>
        <xdr:cNvPr id="94" name="Flèche vers le bas 93"/>
        <xdr:cNvSpPr/>
      </xdr:nvSpPr>
      <xdr:spPr>
        <a:xfrm>
          <a:off x="12475035375" y="39119175"/>
          <a:ext cx="381000" cy="485775"/>
        </a:xfrm>
        <a:prstGeom prst="downArrow">
          <a:avLst/>
        </a:prstGeom>
        <a:solidFill>
          <a:srgbClr val="66FFCC"/>
        </a:solidFill>
        <a:ln>
          <a:solidFill>
            <a:srgbClr val="66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>
            <a:ln>
              <a:solidFill>
                <a:srgbClr val="66FFCC"/>
              </a:solidFill>
            </a:ln>
            <a:solidFill>
              <a:srgbClr val="66FFCC"/>
            </a:solidFill>
          </a:endParaRPr>
        </a:p>
      </xdr:txBody>
    </xdr:sp>
    <xdr:clientData/>
  </xdr:twoCellAnchor>
  <xdr:twoCellAnchor>
    <xdr:from>
      <xdr:col>13</xdr:col>
      <xdr:colOff>47625</xdr:colOff>
      <xdr:row>241</xdr:row>
      <xdr:rowOff>28575</xdr:rowOff>
    </xdr:from>
    <xdr:to>
      <xdr:col>13</xdr:col>
      <xdr:colOff>428625</xdr:colOff>
      <xdr:row>243</xdr:row>
      <xdr:rowOff>152400</xdr:rowOff>
    </xdr:to>
    <xdr:sp macro="" textlink="">
      <xdr:nvSpPr>
        <xdr:cNvPr id="98" name="Flèche vers le bas 97"/>
        <xdr:cNvSpPr/>
      </xdr:nvSpPr>
      <xdr:spPr>
        <a:xfrm>
          <a:off x="12473530425" y="39081075"/>
          <a:ext cx="381000" cy="504825"/>
        </a:xfrm>
        <a:prstGeom prst="downArrow">
          <a:avLst/>
        </a:prstGeom>
        <a:solidFill>
          <a:srgbClr val="FF00FF"/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/>
        </a:p>
      </xdr:txBody>
    </xdr:sp>
    <xdr:clientData/>
  </xdr:twoCellAnchor>
  <xdr:twoCellAnchor>
    <xdr:from>
      <xdr:col>3</xdr:col>
      <xdr:colOff>171451</xdr:colOff>
      <xdr:row>247</xdr:row>
      <xdr:rowOff>0</xdr:rowOff>
    </xdr:from>
    <xdr:to>
      <xdr:col>6</xdr:col>
      <xdr:colOff>581026</xdr:colOff>
      <xdr:row>252</xdr:row>
      <xdr:rowOff>0</xdr:rowOff>
    </xdr:to>
    <xdr:grpSp>
      <xdr:nvGrpSpPr>
        <xdr:cNvPr id="99" name="Groupe 10"/>
        <xdr:cNvGrpSpPr/>
      </xdr:nvGrpSpPr>
      <xdr:grpSpPr>
        <a:xfrm>
          <a:off x="12477378524" y="47186850"/>
          <a:ext cx="2352675" cy="952500"/>
          <a:chOff x="12485614173" y="1500485"/>
          <a:chExt cx="2333625" cy="1559351"/>
        </a:xfrm>
      </xdr:grpSpPr>
      <xdr:graphicFrame macro="">
        <xdr:nvGraphicFramePr>
          <xdr:cNvPr id="100" name="Graphique 11"/>
          <xdr:cNvGraphicFramePr>
            <a:graphicFrameLocks/>
          </xdr:cNvGraphicFramePr>
        </xdr:nvGraphicFramePr>
        <xdr:xfrm>
          <a:off x="12485614173" y="1500485"/>
          <a:ext cx="2333625" cy="1559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sp macro="" textlink="'نتائج الشهادة. المعدلات السنوية'!AD2">
        <xdr:nvSpPr>
          <xdr:cNvPr id="101" name="ZoneTexte 12"/>
          <xdr:cNvSpPr txBox="1"/>
        </xdr:nvSpPr>
        <xdr:spPr>
          <a:xfrm rot="20169177">
            <a:off x="12486299046" y="2055265"/>
            <a:ext cx="803805" cy="6084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A3AE632B-C04E-446F-86C2-112AEC91F20B}" type="TxLink">
              <a:rPr lang="en-US" sz="1600" b="1" i="0" u="none" strike="noStrike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rPr>
              <a:pPr marL="0" indent="0" algn="ctr" rtl="1"/>
              <a:t>8</a:t>
            </a:fld>
            <a:endParaRPr lang="fr-FR" sz="3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  <xdr:twoCellAnchor>
    <xdr:from>
      <xdr:col>11</xdr:col>
      <xdr:colOff>104776</xdr:colOff>
      <xdr:row>247</xdr:row>
      <xdr:rowOff>0</xdr:rowOff>
    </xdr:from>
    <xdr:to>
      <xdr:col>15</xdr:col>
      <xdr:colOff>400051</xdr:colOff>
      <xdr:row>252</xdr:row>
      <xdr:rowOff>0</xdr:rowOff>
    </xdr:to>
    <xdr:grpSp>
      <xdr:nvGrpSpPr>
        <xdr:cNvPr id="102" name="Groupe 10"/>
        <xdr:cNvGrpSpPr/>
      </xdr:nvGrpSpPr>
      <xdr:grpSpPr>
        <a:xfrm>
          <a:off x="12472530299" y="47186850"/>
          <a:ext cx="2352675" cy="952500"/>
          <a:chOff x="12485614173" y="1500485"/>
          <a:chExt cx="2333625" cy="1559351"/>
        </a:xfrm>
      </xdr:grpSpPr>
      <xdr:graphicFrame macro="">
        <xdr:nvGraphicFramePr>
          <xdr:cNvPr id="103" name="Graphique 11"/>
          <xdr:cNvGraphicFramePr>
            <a:graphicFrameLocks/>
          </xdr:cNvGraphicFramePr>
        </xdr:nvGraphicFramePr>
        <xdr:xfrm>
          <a:off x="12485614173" y="1500485"/>
          <a:ext cx="2333625" cy="15593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sp macro="" textlink="'نتائج الشهادة. المعدلات السنوية'!AF2">
        <xdr:nvSpPr>
          <xdr:cNvPr id="104" name="ZoneTexte 12"/>
          <xdr:cNvSpPr txBox="1"/>
        </xdr:nvSpPr>
        <xdr:spPr>
          <a:xfrm rot="20169177">
            <a:off x="12486299046" y="2055265"/>
            <a:ext cx="803805" cy="6084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0FD5CD66-43D3-42E0-9490-262AC7B550A0}" type="TxLink">
              <a:rPr lang="en-US" sz="1600" b="1" i="0" u="none" strike="noStrike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rPr>
              <a:pPr marL="0" indent="0" algn="ctr" rtl="1"/>
              <a:t>6</a:t>
            </a:fld>
            <a:endParaRPr lang="fr-FR" sz="3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  <xdr:oneCellAnchor>
    <xdr:from>
      <xdr:col>9</xdr:col>
      <xdr:colOff>200891</xdr:colOff>
      <xdr:row>248</xdr:row>
      <xdr:rowOff>81503</xdr:rowOff>
    </xdr:from>
    <xdr:ext cx="1535292" cy="468013"/>
    <xdr:sp macro="" textlink="">
      <xdr:nvSpPr>
        <xdr:cNvPr id="105" name="Rectangle 104"/>
        <xdr:cNvSpPr/>
      </xdr:nvSpPr>
      <xdr:spPr>
        <a:xfrm rot="19562608">
          <a:off x="12474280267" y="47601728"/>
          <a:ext cx="153529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ar-DZ" sz="2400" b="1" cap="all" spc="0">
              <a:ln w="9000" cmpd="sng">
                <a:solidFill>
                  <a:srgbClr val="FF0000"/>
                </a:solidFill>
                <a:prstDash val="solid"/>
              </a:ln>
              <a:solidFill>
                <a:srgbClr val="FF0000"/>
              </a:solidFill>
              <a:effectLst>
                <a:reflection blurRad="12700" stA="28000" endPos="45000" dist="1000" dir="5400000" sy="-100000" algn="bl" rotWithShape="0"/>
              </a:effectLst>
            </a:rPr>
            <a:t>نهاية الدراسة</a:t>
          </a:r>
          <a:endParaRPr lang="fr-FR" sz="2400" b="1" cap="all" spc="0">
            <a:ln w="9000" cmpd="sng">
              <a:solidFill>
                <a:srgbClr val="FF0000"/>
              </a:solidFill>
              <a:prstDash val="solid"/>
            </a:ln>
            <a:solidFill>
              <a:srgbClr val="FF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2</xdr:col>
      <xdr:colOff>210714</xdr:colOff>
      <xdr:row>247</xdr:row>
      <xdr:rowOff>129127</xdr:rowOff>
    </xdr:from>
    <xdr:ext cx="1001300" cy="468013"/>
    <xdr:sp macro="" textlink="">
      <xdr:nvSpPr>
        <xdr:cNvPr id="106" name="Rectangle 105"/>
        <xdr:cNvSpPr/>
      </xdr:nvSpPr>
      <xdr:spPr>
        <a:xfrm rot="19562608">
          <a:off x="12479443111" y="40534177"/>
          <a:ext cx="100130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ar-DZ" sz="2400" b="1" cap="all" spc="0">
              <a:ln w="9000" cmpd="sng">
                <a:solidFill>
                  <a:srgbClr val="008000"/>
                </a:solidFill>
                <a:prstDash val="solid"/>
              </a:ln>
              <a:solidFill>
                <a:srgbClr val="008000"/>
              </a:solidFill>
              <a:effectLst>
                <a:reflection blurRad="12700" stA="28000" endPos="45000" dist="1000" dir="5400000" sy="-100000" algn="bl" rotWithShape="0"/>
              </a:effectLst>
            </a:rPr>
            <a:t>المعيدين</a:t>
          </a:r>
          <a:endParaRPr lang="fr-FR" sz="2400" b="1" cap="all" spc="0">
            <a:ln w="9000" cmpd="sng">
              <a:solidFill>
                <a:srgbClr val="008000"/>
              </a:solidFill>
              <a:prstDash val="solid"/>
            </a:ln>
            <a:solidFill>
              <a:srgbClr val="008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twoCellAnchor>
    <xdr:from>
      <xdr:col>10</xdr:col>
      <xdr:colOff>47625</xdr:colOff>
      <xdr:row>226</xdr:row>
      <xdr:rowOff>19050</xdr:rowOff>
    </xdr:from>
    <xdr:to>
      <xdr:col>11</xdr:col>
      <xdr:colOff>9525</xdr:colOff>
      <xdr:row>229</xdr:row>
      <xdr:rowOff>66675</xdr:rowOff>
    </xdr:to>
    <xdr:sp macro="" textlink="">
      <xdr:nvSpPr>
        <xdr:cNvPr id="107" name="Flèche courbée vers la droite 106"/>
        <xdr:cNvSpPr/>
      </xdr:nvSpPr>
      <xdr:spPr>
        <a:xfrm>
          <a:off x="12474978225" y="35709225"/>
          <a:ext cx="476250" cy="65722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257176</xdr:colOff>
      <xdr:row>227</xdr:row>
      <xdr:rowOff>57149</xdr:rowOff>
    </xdr:from>
    <xdr:to>
      <xdr:col>2</xdr:col>
      <xdr:colOff>714375</xdr:colOff>
      <xdr:row>229</xdr:row>
      <xdr:rowOff>133350</xdr:rowOff>
    </xdr:to>
    <xdr:sp macro="" textlink="">
      <xdr:nvSpPr>
        <xdr:cNvPr id="108" name="Flèche courbée vers la gauche 107"/>
        <xdr:cNvSpPr/>
      </xdr:nvSpPr>
      <xdr:spPr>
        <a:xfrm>
          <a:off x="12479940750" y="35956874"/>
          <a:ext cx="1381124" cy="476251"/>
        </a:xfrm>
        <a:prstGeom prst="curvedLeftArrow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 rtl="1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352425</xdr:colOff>
      <xdr:row>173</xdr:row>
      <xdr:rowOff>95250</xdr:rowOff>
    </xdr:from>
    <xdr:to>
      <xdr:col>10</xdr:col>
      <xdr:colOff>447675</xdr:colOff>
      <xdr:row>183</xdr:row>
      <xdr:rowOff>57150</xdr:rowOff>
    </xdr:to>
    <xdr:grpSp>
      <xdr:nvGrpSpPr>
        <xdr:cNvPr id="78" name="Groupe 10"/>
        <xdr:cNvGrpSpPr/>
      </xdr:nvGrpSpPr>
      <xdr:grpSpPr>
        <a:xfrm>
          <a:off x="12475054425" y="32708850"/>
          <a:ext cx="2552700" cy="1866900"/>
          <a:chOff x="12485623621" y="1705349"/>
          <a:chExt cx="2333625" cy="2339025"/>
        </a:xfrm>
      </xdr:grpSpPr>
      <xdr:graphicFrame macro="">
        <xdr:nvGraphicFramePr>
          <xdr:cNvPr id="79" name="Graphique 11"/>
          <xdr:cNvGraphicFramePr>
            <a:graphicFrameLocks/>
          </xdr:cNvGraphicFramePr>
        </xdr:nvGraphicFramePr>
        <xdr:xfrm>
          <a:off x="12485623621" y="1705349"/>
          <a:ext cx="2333625" cy="2339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sp macro="" textlink="$N$6">
        <xdr:nvSpPr>
          <xdr:cNvPr id="80" name="ZoneTexte 12"/>
          <xdr:cNvSpPr txBox="1"/>
        </xdr:nvSpPr>
        <xdr:spPr>
          <a:xfrm rot="20169177">
            <a:off x="12486270705" y="2759687"/>
            <a:ext cx="803805" cy="6084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 rtl="1"/>
            <a:fld id="{238209D5-A657-474C-8E16-9755B3CFB4B0}" type="TxLink">
              <a:rPr lang="en-US" sz="2000" b="1" i="0" u="none" strike="noStrike">
                <a:solidFill>
                  <a:srgbClr val="0000FF"/>
                </a:solidFill>
                <a:latin typeface="Century Gothic" pitchFamily="34" charset="0"/>
                <a:ea typeface="+mn-ea"/>
                <a:cs typeface="Arial" pitchFamily="34" charset="0"/>
              </a:rPr>
              <a:pPr marL="0" indent="0" algn="ctr" rtl="1"/>
              <a:t>70,21</a:t>
            </a:fld>
            <a:endParaRPr lang="fr-FR" sz="4400" b="1" i="0" u="none" strike="noStrike">
              <a:solidFill>
                <a:srgbClr val="0000FF"/>
              </a:solidFill>
              <a:latin typeface="Century Gothic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  <xdr:twoCellAnchor>
    <xdr:from>
      <xdr:col>2</xdr:col>
      <xdr:colOff>152400</xdr:colOff>
      <xdr:row>187</xdr:row>
      <xdr:rowOff>123826</xdr:rowOff>
    </xdr:from>
    <xdr:to>
      <xdr:col>4</xdr:col>
      <xdr:colOff>542925</xdr:colOff>
      <xdr:row>190</xdr:row>
      <xdr:rowOff>133350</xdr:rowOff>
    </xdr:to>
    <xdr:sp macro="" textlink="">
      <xdr:nvSpPr>
        <xdr:cNvPr id="85" name="Ellipse 84"/>
        <xdr:cNvSpPr/>
      </xdr:nvSpPr>
      <xdr:spPr>
        <a:xfrm>
          <a:off x="12478712025" y="35309176"/>
          <a:ext cx="1790700" cy="619124"/>
        </a:xfrm>
        <a:prstGeom prst="ellipse">
          <a:avLst/>
        </a:prstGeom>
        <a:solidFill>
          <a:srgbClr val="BCF3F4"/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CanUp">
            <a:avLst/>
          </a:prstTxWarp>
        </a:bodyPr>
        <a:lstStyle/>
        <a:p>
          <a:pPr algn="ctr" rtl="1"/>
          <a:r>
            <a:rPr lang="ar-DZ" sz="1600">
              <a:ln>
                <a:solidFill>
                  <a:srgbClr val="FF0000"/>
                </a:solidFill>
              </a:ln>
              <a:solidFill>
                <a:srgbClr val="FF0000"/>
              </a:solidFill>
            </a:rPr>
            <a:t>دورة جــــوان 2024</a:t>
          </a:r>
          <a:endParaRPr lang="fr-FR" sz="1600">
            <a:ln>
              <a:solidFill>
                <a:srgbClr val="FF0000"/>
              </a:solidFill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400050</xdr:colOff>
      <xdr:row>187</xdr:row>
      <xdr:rowOff>85726</xdr:rowOff>
    </xdr:from>
    <xdr:to>
      <xdr:col>8</xdr:col>
      <xdr:colOff>247650</xdr:colOff>
      <xdr:row>190</xdr:row>
      <xdr:rowOff>95250</xdr:rowOff>
    </xdr:to>
    <xdr:sp macro="" textlink="">
      <xdr:nvSpPr>
        <xdr:cNvPr id="88" name="Ellipse 87"/>
        <xdr:cNvSpPr/>
      </xdr:nvSpPr>
      <xdr:spPr>
        <a:xfrm>
          <a:off x="12476416500" y="35271076"/>
          <a:ext cx="1790700" cy="619124"/>
        </a:xfrm>
        <a:prstGeom prst="ellipse">
          <a:avLst/>
        </a:prstGeom>
        <a:solidFill>
          <a:srgbClr val="FFFFCC"/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Stop">
            <a:avLst/>
          </a:prstTxWarp>
        </a:bodyPr>
        <a:lstStyle/>
        <a:p>
          <a:pPr algn="ctr" rtl="1"/>
          <a:r>
            <a:rPr lang="ar-DZ" sz="1600">
              <a:ln>
                <a:solidFill>
                  <a:srgbClr val="008000"/>
                </a:solidFill>
              </a:ln>
              <a:solidFill>
                <a:srgbClr val="008000"/>
              </a:solidFill>
            </a:rPr>
            <a:t>دورة جــــوان 2025</a:t>
          </a:r>
          <a:endParaRPr lang="fr-FR" sz="1600">
            <a:ln>
              <a:solidFill>
                <a:srgbClr val="008000"/>
              </a:solidFill>
            </a:ln>
            <a:solidFill>
              <a:srgbClr val="008000"/>
            </a:solidFill>
          </a:endParaRPr>
        </a:p>
      </xdr:txBody>
    </xdr:sp>
    <xdr:clientData/>
  </xdr:twoCellAnchor>
  <xdr:twoCellAnchor>
    <xdr:from>
      <xdr:col>10</xdr:col>
      <xdr:colOff>400050</xdr:colOff>
      <xdr:row>188</xdr:row>
      <xdr:rowOff>190501</xdr:rowOff>
    </xdr:from>
    <xdr:to>
      <xdr:col>14</xdr:col>
      <xdr:colOff>133350</xdr:colOff>
      <xdr:row>191</xdr:row>
      <xdr:rowOff>180975</xdr:rowOff>
    </xdr:to>
    <xdr:sp macro="" textlink="">
      <xdr:nvSpPr>
        <xdr:cNvPr id="109" name="Ellipse 108"/>
        <xdr:cNvSpPr/>
      </xdr:nvSpPr>
      <xdr:spPr>
        <a:xfrm>
          <a:off x="12473311350" y="35566351"/>
          <a:ext cx="1790700" cy="619124"/>
        </a:xfrm>
        <a:prstGeom prst="ellipse">
          <a:avLst/>
        </a:prstGeom>
        <a:solidFill>
          <a:srgbClr val="FFFFCC"/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Stop">
            <a:avLst/>
          </a:prstTxWarp>
        </a:bodyPr>
        <a:lstStyle/>
        <a:p>
          <a:pPr algn="ctr" rtl="1"/>
          <a:r>
            <a:rPr lang="ar-DZ" sz="1600">
              <a:ln>
                <a:solidFill>
                  <a:srgbClr val="008000"/>
                </a:solidFill>
              </a:ln>
              <a:solidFill>
                <a:srgbClr val="008000"/>
              </a:solidFill>
            </a:rPr>
            <a:t>الفـــــــوارق 2025-2024</a:t>
          </a:r>
          <a:endParaRPr lang="fr-FR" sz="1600">
            <a:ln>
              <a:solidFill>
                <a:srgbClr val="008000"/>
              </a:solidFill>
            </a:ln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190501</xdr:colOff>
      <xdr:row>204</xdr:row>
      <xdr:rowOff>123825</xdr:rowOff>
    </xdr:from>
    <xdr:to>
      <xdr:col>15</xdr:col>
      <xdr:colOff>352426</xdr:colOff>
      <xdr:row>217</xdr:row>
      <xdr:rowOff>123825</xdr:rowOff>
    </xdr:to>
    <xdr:graphicFrame macro="">
      <xdr:nvGraphicFramePr>
        <xdr:cNvPr id="110" name="Graphique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Y56"/>
  <sheetViews>
    <sheetView rightToLeft="1" topLeftCell="S28" workbookViewId="0">
      <selection activeCell="AH56" sqref="AH56"/>
    </sheetView>
  </sheetViews>
  <sheetFormatPr baseColWidth="10" defaultColWidth="11.42578125" defaultRowHeight="15" customHeight="1"/>
  <cols>
    <col min="1" max="1" width="6.7109375" style="66" customWidth="1"/>
    <col min="2" max="2" width="9.5703125" style="63" customWidth="1"/>
    <col min="3" max="3" width="11.42578125" style="81" customWidth="1"/>
    <col min="4" max="4" width="7.7109375" style="81" customWidth="1"/>
    <col min="5" max="5" width="7.42578125" style="63" customWidth="1"/>
    <col min="6" max="6" width="24.28515625" style="36" customWidth="1"/>
    <col min="7" max="7" width="13.5703125" style="81" customWidth="1"/>
    <col min="8" max="19" width="10.7109375" style="81" customWidth="1"/>
    <col min="20" max="21" width="10.7109375" style="36" customWidth="1"/>
    <col min="22" max="22" width="10.7109375" style="81" customWidth="1"/>
    <col min="23" max="24" width="10.7109375" style="36" customWidth="1"/>
    <col min="25" max="25" width="10.7109375" style="81" customWidth="1"/>
    <col min="26" max="27" width="10.7109375" style="36" customWidth="1"/>
    <col min="28" max="28" width="10.7109375" style="81" customWidth="1"/>
    <col min="29" max="30" width="10.7109375" style="36" customWidth="1"/>
    <col min="31" max="31" width="10.7109375" style="81" customWidth="1"/>
    <col min="32" max="33" width="10.7109375" style="36" customWidth="1"/>
    <col min="34" max="34" width="10.7109375" style="81" customWidth="1"/>
    <col min="35" max="36" width="10.7109375" style="36" customWidth="1"/>
    <col min="37" max="37" width="10.7109375" style="81" customWidth="1"/>
    <col min="38" max="38" width="10.7109375" style="36" customWidth="1"/>
    <col min="39" max="39" width="13.7109375" style="36" customWidth="1"/>
    <col min="40" max="40" width="16.28515625" style="81" customWidth="1"/>
    <col min="41" max="42" width="16.42578125" style="36" customWidth="1"/>
    <col min="43" max="43" width="17.7109375" style="81" customWidth="1"/>
    <col min="44" max="45" width="16.7109375" style="36" customWidth="1"/>
    <col min="46" max="46" width="20.42578125" style="3" customWidth="1"/>
    <col min="47" max="48" width="20.140625" style="9" customWidth="1"/>
    <col min="49" max="50" width="18.7109375" style="3" customWidth="1"/>
    <col min="51" max="51" width="18.7109375" style="9" customWidth="1"/>
    <col min="52" max="16384" width="11.42578125" style="1"/>
  </cols>
  <sheetData>
    <row r="1" spans="1:45" ht="15" customHeight="1" thickBot="1"/>
    <row r="2" spans="1:45" ht="24.75" customHeight="1" thickTop="1" thickBot="1">
      <c r="J2" s="306" t="s">
        <v>272</v>
      </c>
      <c r="K2" s="306"/>
      <c r="L2" s="306"/>
      <c r="M2" s="306"/>
      <c r="N2" s="306"/>
      <c r="O2" s="306"/>
      <c r="P2" s="306"/>
      <c r="Q2" s="306"/>
      <c r="R2" s="306"/>
      <c r="S2" s="306"/>
    </row>
    <row r="3" spans="1:45" s="134" customFormat="1" ht="16.5" thickTop="1" thickBot="1">
      <c r="A3" s="114"/>
      <c r="B3" s="114"/>
      <c r="C3" s="114"/>
      <c r="D3" s="114"/>
      <c r="E3" s="114"/>
      <c r="F3" s="312"/>
      <c r="G3" s="312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69"/>
      <c r="AN3" s="69"/>
      <c r="AO3" s="69"/>
      <c r="AP3" s="69"/>
      <c r="AQ3" s="69"/>
      <c r="AR3" s="69"/>
      <c r="AS3" s="69"/>
    </row>
    <row r="4" spans="1:45" s="134" customFormat="1" ht="16.5" thickTop="1" thickBot="1">
      <c r="A4" s="114"/>
      <c r="F4" s="313"/>
      <c r="G4" s="313"/>
      <c r="I4" s="311" t="s">
        <v>27</v>
      </c>
      <c r="J4" s="311"/>
      <c r="K4" s="140" t="s">
        <v>13</v>
      </c>
      <c r="L4" s="140" t="s">
        <v>18</v>
      </c>
      <c r="M4" s="140" t="s">
        <v>19</v>
      </c>
      <c r="N4" s="140" t="s">
        <v>20</v>
      </c>
      <c r="O4" s="140" t="s">
        <v>15</v>
      </c>
      <c r="P4" s="140" t="s">
        <v>21</v>
      </c>
      <c r="Q4" s="140" t="s">
        <v>16</v>
      </c>
      <c r="R4" s="140" t="s">
        <v>17</v>
      </c>
      <c r="S4" s="140" t="s">
        <v>22</v>
      </c>
      <c r="T4" s="141" t="s">
        <v>92</v>
      </c>
      <c r="AM4" s="69"/>
      <c r="AN4" s="69"/>
      <c r="AO4" s="69"/>
      <c r="AP4" s="69"/>
      <c r="AQ4" s="69"/>
      <c r="AR4" s="69"/>
      <c r="AS4" s="69"/>
    </row>
    <row r="5" spans="1:45" s="12" customFormat="1" ht="21.75" thickTop="1" thickBot="1">
      <c r="A5" s="113"/>
      <c r="B5" s="314" t="s">
        <v>139</v>
      </c>
      <c r="C5" s="314"/>
      <c r="D5" s="139">
        <v>67.56</v>
      </c>
      <c r="E5" s="309" t="s">
        <v>174</v>
      </c>
      <c r="F5" s="310"/>
      <c r="G5" s="139">
        <v>69.5</v>
      </c>
      <c r="H5" s="135"/>
      <c r="I5" s="311" t="s">
        <v>175</v>
      </c>
      <c r="J5" s="311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34"/>
      <c r="AN5" s="34"/>
      <c r="AO5" s="34"/>
      <c r="AP5" s="34"/>
      <c r="AQ5" s="34"/>
      <c r="AR5" s="34"/>
      <c r="AS5" s="34"/>
    </row>
    <row r="6" spans="1:45" s="12" customFormat="1" ht="21.75" thickTop="1" thickBot="1">
      <c r="A6" s="113"/>
      <c r="B6" s="136" t="s">
        <v>65</v>
      </c>
      <c r="C6" s="137" t="s">
        <v>66</v>
      </c>
      <c r="D6" s="132" t="s">
        <v>61</v>
      </c>
      <c r="E6" s="133" t="s">
        <v>60</v>
      </c>
      <c r="F6" s="138" t="s">
        <v>67</v>
      </c>
      <c r="G6" s="131"/>
      <c r="J6" s="307" t="s">
        <v>68</v>
      </c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  <c r="AK6" s="308"/>
      <c r="AL6" s="308"/>
      <c r="AM6" s="34"/>
      <c r="AN6" s="34"/>
      <c r="AO6" s="34"/>
      <c r="AP6" s="34"/>
      <c r="AQ6" s="34"/>
      <c r="AR6" s="34"/>
      <c r="AS6" s="34"/>
    </row>
    <row r="7" spans="1:45" s="12" customFormat="1" ht="15.75" thickBot="1">
      <c r="A7" s="113"/>
      <c r="B7" s="114"/>
      <c r="C7" s="113"/>
      <c r="D7" s="113"/>
      <c r="E7" s="113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34"/>
      <c r="AN7" s="34"/>
      <c r="AO7" s="34"/>
      <c r="AP7" s="34"/>
      <c r="AQ7" s="34"/>
      <c r="AR7" s="34"/>
      <c r="AS7" s="34"/>
    </row>
    <row r="8" spans="1:45" s="13" customFormat="1" ht="16.5" thickBot="1">
      <c r="A8" s="315" t="s">
        <v>69</v>
      </c>
      <c r="B8" s="316" t="s">
        <v>70</v>
      </c>
      <c r="C8" s="317" t="s">
        <v>71</v>
      </c>
      <c r="D8" s="315" t="s">
        <v>2</v>
      </c>
      <c r="E8" s="315" t="s">
        <v>1</v>
      </c>
      <c r="F8" s="318" t="s">
        <v>72</v>
      </c>
      <c r="G8" s="318" t="s">
        <v>0</v>
      </c>
      <c r="H8" s="319" t="s">
        <v>59</v>
      </c>
      <c r="I8" s="320" t="s">
        <v>73</v>
      </c>
      <c r="J8" s="321" t="s">
        <v>74</v>
      </c>
      <c r="K8" s="322" t="s">
        <v>16</v>
      </c>
      <c r="L8" s="322"/>
      <c r="M8" s="322" t="s">
        <v>3</v>
      </c>
      <c r="N8" s="322"/>
      <c r="O8" s="322" t="s">
        <v>4</v>
      </c>
      <c r="P8" s="322"/>
      <c r="Q8" s="322" t="s">
        <v>5</v>
      </c>
      <c r="R8" s="322"/>
      <c r="S8" s="322" t="s">
        <v>75</v>
      </c>
      <c r="T8" s="322"/>
      <c r="U8" s="322" t="s">
        <v>76</v>
      </c>
      <c r="V8" s="322"/>
      <c r="W8" s="322" t="s">
        <v>6</v>
      </c>
      <c r="X8" s="322"/>
      <c r="Y8" s="322" t="s">
        <v>7</v>
      </c>
      <c r="Z8" s="322"/>
      <c r="AA8" s="322" t="s">
        <v>77</v>
      </c>
      <c r="AB8" s="322"/>
      <c r="AC8" s="322" t="s">
        <v>78</v>
      </c>
      <c r="AD8" s="322"/>
      <c r="AE8" s="322" t="s">
        <v>9</v>
      </c>
      <c r="AF8" s="322"/>
      <c r="AG8" s="322" t="s">
        <v>79</v>
      </c>
      <c r="AH8" s="322"/>
      <c r="AI8" s="322" t="s">
        <v>80</v>
      </c>
      <c r="AJ8" s="322"/>
      <c r="AK8" s="322" t="s">
        <v>81</v>
      </c>
      <c r="AL8" s="322"/>
      <c r="AM8" s="35"/>
      <c r="AN8" s="35"/>
      <c r="AO8" s="35"/>
      <c r="AP8" s="35"/>
      <c r="AQ8" s="35"/>
      <c r="AR8" s="35"/>
      <c r="AS8" s="35"/>
    </row>
    <row r="9" spans="1:45" s="12" customFormat="1" ht="15.75" customHeight="1" thickBot="1">
      <c r="A9" s="315"/>
      <c r="B9" s="316"/>
      <c r="C9" s="317"/>
      <c r="D9" s="315"/>
      <c r="E9" s="315"/>
      <c r="F9" s="318"/>
      <c r="G9" s="318"/>
      <c r="H9" s="319"/>
      <c r="I9" s="320"/>
      <c r="J9" s="321"/>
      <c r="K9" s="116" t="s">
        <v>59</v>
      </c>
      <c r="L9" s="117" t="s">
        <v>82</v>
      </c>
      <c r="M9" s="116" t="s">
        <v>59</v>
      </c>
      <c r="N9" s="117" t="s">
        <v>82</v>
      </c>
      <c r="O9" s="116" t="s">
        <v>59</v>
      </c>
      <c r="P9" s="117" t="s">
        <v>82</v>
      </c>
      <c r="Q9" s="116" t="s">
        <v>59</v>
      </c>
      <c r="R9" s="117" t="s">
        <v>82</v>
      </c>
      <c r="S9" s="116" t="s">
        <v>59</v>
      </c>
      <c r="T9" s="117" t="s">
        <v>82</v>
      </c>
      <c r="U9" s="116" t="s">
        <v>59</v>
      </c>
      <c r="V9" s="117" t="s">
        <v>82</v>
      </c>
      <c r="W9" s="116" t="s">
        <v>59</v>
      </c>
      <c r="X9" s="117" t="s">
        <v>82</v>
      </c>
      <c r="Y9" s="116" t="s">
        <v>59</v>
      </c>
      <c r="Z9" s="117" t="s">
        <v>82</v>
      </c>
      <c r="AA9" s="116" t="s">
        <v>59</v>
      </c>
      <c r="AB9" s="117" t="s">
        <v>82</v>
      </c>
      <c r="AC9" s="116" t="s">
        <v>59</v>
      </c>
      <c r="AD9" s="117" t="s">
        <v>82</v>
      </c>
      <c r="AE9" s="116" t="s">
        <v>59</v>
      </c>
      <c r="AF9" s="117" t="s">
        <v>82</v>
      </c>
      <c r="AG9" s="116" t="s">
        <v>59</v>
      </c>
      <c r="AH9" s="117" t="s">
        <v>82</v>
      </c>
      <c r="AI9" s="116" t="s">
        <v>59</v>
      </c>
      <c r="AJ9" s="117" t="s">
        <v>82</v>
      </c>
      <c r="AK9" s="116" t="s">
        <v>59</v>
      </c>
      <c r="AL9" s="117" t="s">
        <v>82</v>
      </c>
      <c r="AM9" s="34"/>
      <c r="AN9" s="34"/>
      <c r="AO9" s="34"/>
      <c r="AP9" s="34"/>
      <c r="AQ9" s="34"/>
      <c r="AR9" s="34"/>
      <c r="AS9" s="34"/>
    </row>
    <row r="10" spans="1:45" s="12" customFormat="1" ht="15.75" thickBot="1">
      <c r="A10" s="118">
        <v>1</v>
      </c>
      <c r="B10" s="119"/>
      <c r="C10" s="118"/>
      <c r="D10" s="118"/>
      <c r="E10" s="120" t="s">
        <v>61</v>
      </c>
      <c r="F10" s="120" t="s">
        <v>199</v>
      </c>
      <c r="G10" s="121" t="s">
        <v>235</v>
      </c>
      <c r="H10" s="123">
        <v>13.61</v>
      </c>
      <c r="I10" s="122">
        <v>11.76</v>
      </c>
      <c r="J10" s="124">
        <v>11.76</v>
      </c>
      <c r="K10" s="124">
        <v>6.5</v>
      </c>
      <c r="L10" s="122">
        <v>9</v>
      </c>
      <c r="M10" s="124">
        <v>10.36</v>
      </c>
      <c r="N10" s="122">
        <v>14</v>
      </c>
      <c r="O10" s="124">
        <v>9.7800000000000011</v>
      </c>
      <c r="P10" s="122">
        <v>10</v>
      </c>
      <c r="Q10" s="124">
        <v>9.11</v>
      </c>
      <c r="R10" s="122">
        <v>14</v>
      </c>
      <c r="S10" s="124"/>
      <c r="T10" s="122"/>
      <c r="U10" s="124">
        <v>9.14</v>
      </c>
      <c r="V10" s="122">
        <v>13</v>
      </c>
      <c r="W10" s="124">
        <v>13.14</v>
      </c>
      <c r="X10" s="122">
        <v>11</v>
      </c>
      <c r="Y10" s="124">
        <v>10.083333333333334</v>
      </c>
      <c r="Z10" s="122">
        <v>8</v>
      </c>
      <c r="AA10" s="124">
        <v>6.1400000000000006</v>
      </c>
      <c r="AB10" s="122">
        <v>8.5</v>
      </c>
      <c r="AC10" s="124">
        <v>9.36</v>
      </c>
      <c r="AD10" s="122">
        <v>15</v>
      </c>
      <c r="AE10" s="124"/>
      <c r="AF10" s="122"/>
      <c r="AG10" s="124">
        <v>15.446666666666667</v>
      </c>
      <c r="AH10" s="122">
        <v>14.67</v>
      </c>
      <c r="AI10" s="124"/>
      <c r="AJ10" s="122"/>
      <c r="AK10" s="124">
        <v>19</v>
      </c>
      <c r="AL10" s="122">
        <v>19</v>
      </c>
      <c r="AM10" s="34"/>
      <c r="AN10" s="34"/>
      <c r="AO10" s="34"/>
      <c r="AP10" s="34"/>
      <c r="AQ10" s="34"/>
      <c r="AR10" s="34"/>
      <c r="AS10" s="34"/>
    </row>
    <row r="11" spans="1:45" s="12" customFormat="1" ht="15.75" thickBot="1">
      <c r="A11" s="118">
        <v>2</v>
      </c>
      <c r="B11" s="119"/>
      <c r="C11" s="118"/>
      <c r="D11" s="118"/>
      <c r="E11" s="120"/>
      <c r="F11" s="120" t="s">
        <v>200</v>
      </c>
      <c r="G11" s="121" t="s">
        <v>236</v>
      </c>
      <c r="H11" s="123">
        <v>13.59</v>
      </c>
      <c r="I11" s="122">
        <v>11.39</v>
      </c>
      <c r="J11" s="124">
        <v>11.39</v>
      </c>
      <c r="K11" s="124">
        <v>15.850000000000001</v>
      </c>
      <c r="L11" s="122">
        <v>5</v>
      </c>
      <c r="M11" s="124">
        <v>10.5</v>
      </c>
      <c r="N11" s="122">
        <v>15</v>
      </c>
      <c r="O11" s="124">
        <v>6.3900000000000006</v>
      </c>
      <c r="P11" s="122">
        <v>8.5</v>
      </c>
      <c r="Q11" s="124">
        <v>7.583333333333333</v>
      </c>
      <c r="R11" s="122">
        <v>11</v>
      </c>
      <c r="S11" s="124"/>
      <c r="T11" s="122"/>
      <c r="U11" s="124">
        <v>14.306666666666667</v>
      </c>
      <c r="V11" s="122">
        <v>19</v>
      </c>
      <c r="W11" s="124">
        <v>14.416666666666666</v>
      </c>
      <c r="X11" s="122">
        <v>11.5</v>
      </c>
      <c r="Y11" s="124">
        <v>11.58</v>
      </c>
      <c r="Z11" s="122">
        <v>10</v>
      </c>
      <c r="AA11" s="124">
        <v>10.666666666666666</v>
      </c>
      <c r="AB11" s="122">
        <v>9</v>
      </c>
      <c r="AC11" s="124">
        <v>14.346666666666666</v>
      </c>
      <c r="AD11" s="122">
        <v>11</v>
      </c>
      <c r="AE11" s="124"/>
      <c r="AF11" s="122"/>
      <c r="AG11" s="124">
        <v>16.886666666666667</v>
      </c>
      <c r="AH11" s="122">
        <v>15.83</v>
      </c>
      <c r="AI11" s="124"/>
      <c r="AJ11" s="122"/>
      <c r="AK11" s="124">
        <v>18.333333333333332</v>
      </c>
      <c r="AL11" s="122">
        <v>18.329999999999998</v>
      </c>
      <c r="AM11" s="34"/>
      <c r="AN11" s="34"/>
      <c r="AO11" s="34"/>
      <c r="AP11" s="34"/>
      <c r="AQ11" s="34"/>
      <c r="AR11" s="34"/>
      <c r="AS11" s="34"/>
    </row>
    <row r="12" spans="1:45" s="12" customFormat="1" ht="15.75" thickBot="1">
      <c r="A12" s="118">
        <v>3</v>
      </c>
      <c r="B12" s="119"/>
      <c r="C12" s="118"/>
      <c r="D12" s="118"/>
      <c r="E12" s="120"/>
      <c r="F12" s="120" t="s">
        <v>201</v>
      </c>
      <c r="G12" s="121" t="s">
        <v>237</v>
      </c>
      <c r="H12" s="123">
        <v>17.96</v>
      </c>
      <c r="I12" s="122">
        <v>14.96</v>
      </c>
      <c r="J12" s="124">
        <v>14.96</v>
      </c>
      <c r="K12" s="124">
        <v>8.6133333333333351</v>
      </c>
      <c r="L12" s="122">
        <v>12</v>
      </c>
      <c r="M12" s="124">
        <v>9.9699999999999989</v>
      </c>
      <c r="N12" s="122">
        <v>15</v>
      </c>
      <c r="O12" s="124">
        <v>9.11</v>
      </c>
      <c r="P12" s="122">
        <v>16.5</v>
      </c>
      <c r="Q12" s="124">
        <v>8.1666666666666661</v>
      </c>
      <c r="R12" s="122">
        <v>11</v>
      </c>
      <c r="S12" s="124"/>
      <c r="T12" s="122"/>
      <c r="U12" s="124">
        <v>14.25</v>
      </c>
      <c r="V12" s="122">
        <v>17</v>
      </c>
      <c r="W12" s="124">
        <v>13.863333333333335</v>
      </c>
      <c r="X12" s="122">
        <v>14</v>
      </c>
      <c r="Y12" s="124">
        <v>13.053333333333333</v>
      </c>
      <c r="Z12" s="122">
        <v>13.5</v>
      </c>
      <c r="AA12" s="124">
        <v>9.5266666666666655</v>
      </c>
      <c r="AB12" s="122">
        <v>18</v>
      </c>
      <c r="AC12" s="124">
        <v>9.0566666666666666</v>
      </c>
      <c r="AD12" s="122">
        <v>16</v>
      </c>
      <c r="AE12" s="124"/>
      <c r="AF12" s="122"/>
      <c r="AG12" s="124">
        <v>14.666666666666666</v>
      </c>
      <c r="AH12" s="122">
        <v>18.940000000000001</v>
      </c>
      <c r="AI12" s="124"/>
      <c r="AJ12" s="122"/>
      <c r="AK12" s="124">
        <v>0</v>
      </c>
      <c r="AL12" s="122">
        <v>19</v>
      </c>
      <c r="AM12" s="34"/>
      <c r="AN12" s="34"/>
      <c r="AO12" s="34"/>
      <c r="AP12" s="34"/>
      <c r="AQ12" s="34"/>
      <c r="AR12" s="34"/>
      <c r="AS12" s="34"/>
    </row>
    <row r="13" spans="1:45" s="12" customFormat="1" ht="15.75" thickBot="1">
      <c r="A13" s="118">
        <v>4</v>
      </c>
      <c r="B13" s="119"/>
      <c r="C13" s="118"/>
      <c r="D13" s="118"/>
      <c r="E13" s="120"/>
      <c r="F13" s="120" t="s">
        <v>202</v>
      </c>
      <c r="G13" s="121" t="s">
        <v>238</v>
      </c>
      <c r="H13" s="123">
        <v>10.77</v>
      </c>
      <c r="I13" s="122">
        <v>9.39</v>
      </c>
      <c r="J13" s="124">
        <v>10.08</v>
      </c>
      <c r="K13" s="124">
        <v>7.82</v>
      </c>
      <c r="L13" s="122">
        <v>3.5</v>
      </c>
      <c r="M13" s="124">
        <v>9.9433333333333334</v>
      </c>
      <c r="N13" s="122">
        <v>10</v>
      </c>
      <c r="O13" s="124">
        <v>4.6399999999999997</v>
      </c>
      <c r="P13" s="122">
        <v>7.5</v>
      </c>
      <c r="Q13" s="124">
        <v>3.75</v>
      </c>
      <c r="R13" s="122">
        <v>9</v>
      </c>
      <c r="S13" s="124"/>
      <c r="T13" s="122"/>
      <c r="U13" s="124">
        <v>13.026666666666666</v>
      </c>
      <c r="V13" s="122">
        <v>14.5</v>
      </c>
      <c r="W13" s="124">
        <v>11.526666666666666</v>
      </c>
      <c r="X13" s="122">
        <v>12.5</v>
      </c>
      <c r="Y13" s="124">
        <v>11.030000000000001</v>
      </c>
      <c r="Z13" s="122">
        <v>8</v>
      </c>
      <c r="AA13" s="124">
        <v>10.86</v>
      </c>
      <c r="AB13" s="122">
        <v>9.5</v>
      </c>
      <c r="AC13" s="124">
        <v>10.556666666666667</v>
      </c>
      <c r="AD13" s="122">
        <v>11</v>
      </c>
      <c r="AE13" s="124"/>
      <c r="AF13" s="122"/>
      <c r="AG13" s="124">
        <v>13.386666666666665</v>
      </c>
      <c r="AH13" s="122">
        <v>15.56</v>
      </c>
      <c r="AI13" s="124"/>
      <c r="AJ13" s="122"/>
      <c r="AK13" s="124">
        <v>17.333333333333332</v>
      </c>
      <c r="AL13" s="122">
        <v>17.670000000000002</v>
      </c>
      <c r="AM13" s="34"/>
      <c r="AN13" s="34"/>
      <c r="AO13" s="34"/>
      <c r="AP13" s="34"/>
      <c r="AQ13" s="34"/>
      <c r="AR13" s="34"/>
      <c r="AS13" s="34"/>
    </row>
    <row r="14" spans="1:45" s="12" customFormat="1" ht="15.75" thickBot="1">
      <c r="A14" s="118">
        <v>5</v>
      </c>
      <c r="B14" s="119"/>
      <c r="C14" s="118"/>
      <c r="D14" s="118"/>
      <c r="E14" s="120" t="s">
        <v>61</v>
      </c>
      <c r="F14" s="120" t="s">
        <v>203</v>
      </c>
      <c r="G14" s="121" t="s">
        <v>239</v>
      </c>
      <c r="H14" s="123">
        <v>14.38</v>
      </c>
      <c r="I14" s="122">
        <v>13.44</v>
      </c>
      <c r="J14" s="124">
        <v>13.44</v>
      </c>
      <c r="K14" s="124">
        <v>5.5966666666666667</v>
      </c>
      <c r="L14" s="122">
        <v>9.5</v>
      </c>
      <c r="M14" s="124">
        <v>13.083333333333334</v>
      </c>
      <c r="N14" s="122">
        <v>17.5</v>
      </c>
      <c r="O14" s="124">
        <v>10.89</v>
      </c>
      <c r="P14" s="122">
        <v>12</v>
      </c>
      <c r="Q14" s="124">
        <v>7.916666666666667</v>
      </c>
      <c r="R14" s="122">
        <v>11.5</v>
      </c>
      <c r="S14" s="124"/>
      <c r="T14" s="122"/>
      <c r="U14" s="124">
        <v>17.363333333333333</v>
      </c>
      <c r="V14" s="122">
        <v>16</v>
      </c>
      <c r="W14" s="124">
        <v>13.863333333333335</v>
      </c>
      <c r="X14" s="122">
        <v>13</v>
      </c>
      <c r="Y14" s="124">
        <v>9.9733333333333345</v>
      </c>
      <c r="Z14" s="122">
        <v>12</v>
      </c>
      <c r="AA14" s="124">
        <v>7.583333333333333</v>
      </c>
      <c r="AB14" s="122">
        <v>8</v>
      </c>
      <c r="AC14" s="124">
        <v>11.350000000000001</v>
      </c>
      <c r="AD14" s="122">
        <v>16.5</v>
      </c>
      <c r="AE14" s="124"/>
      <c r="AF14" s="122"/>
      <c r="AG14" s="124">
        <v>15.056666666666667</v>
      </c>
      <c r="AH14" s="122">
        <v>17.329999999999998</v>
      </c>
      <c r="AI14" s="124"/>
      <c r="AJ14" s="122"/>
      <c r="AK14" s="124">
        <v>18</v>
      </c>
      <c r="AL14" s="122">
        <v>17.670000000000002</v>
      </c>
      <c r="AM14" s="34"/>
      <c r="AN14" s="34"/>
      <c r="AO14" s="34"/>
      <c r="AP14" s="34"/>
      <c r="AQ14" s="34"/>
      <c r="AR14" s="34"/>
      <c r="AS14" s="34"/>
    </row>
    <row r="15" spans="1:45" s="12" customFormat="1" ht="15.75" thickBot="1">
      <c r="A15" s="118">
        <v>6</v>
      </c>
      <c r="B15" s="119"/>
      <c r="C15" s="118"/>
      <c r="D15" s="118" t="s">
        <v>198</v>
      </c>
      <c r="E15" s="120" t="s">
        <v>61</v>
      </c>
      <c r="F15" s="120" t="s">
        <v>192</v>
      </c>
      <c r="G15" s="121" t="s">
        <v>193</v>
      </c>
      <c r="H15" s="123">
        <v>10.84</v>
      </c>
      <c r="I15" s="122">
        <v>9.76</v>
      </c>
      <c r="J15" s="124">
        <v>10.3</v>
      </c>
      <c r="K15" s="124">
        <v>17.543333333333333</v>
      </c>
      <c r="L15" s="122">
        <v>3.5</v>
      </c>
      <c r="M15" s="124">
        <v>15.776666666666666</v>
      </c>
      <c r="N15" s="122">
        <v>10.5</v>
      </c>
      <c r="O15" s="124">
        <v>13.386666666666665</v>
      </c>
      <c r="P15" s="122">
        <v>10</v>
      </c>
      <c r="Q15" s="124">
        <v>10.86</v>
      </c>
      <c r="R15" s="122">
        <v>8.5</v>
      </c>
      <c r="S15" s="124"/>
      <c r="T15" s="122"/>
      <c r="U15" s="124">
        <v>15.36</v>
      </c>
      <c r="V15" s="122">
        <v>12</v>
      </c>
      <c r="W15" s="124">
        <v>13.833333333333334</v>
      </c>
      <c r="X15" s="122">
        <v>13</v>
      </c>
      <c r="Y15" s="124">
        <v>11.276666666666666</v>
      </c>
      <c r="Z15" s="122">
        <v>9</v>
      </c>
      <c r="AA15" s="124">
        <v>11.5</v>
      </c>
      <c r="AB15" s="122">
        <v>9</v>
      </c>
      <c r="AC15" s="124">
        <v>16.736666666666668</v>
      </c>
      <c r="AD15" s="122">
        <v>13</v>
      </c>
      <c r="AE15" s="124"/>
      <c r="AF15" s="122"/>
      <c r="AG15" s="124">
        <v>17</v>
      </c>
      <c r="AH15" s="122">
        <v>14.61</v>
      </c>
      <c r="AI15" s="124"/>
      <c r="AJ15" s="122"/>
      <c r="AK15" s="124">
        <v>18</v>
      </c>
      <c r="AL15" s="122">
        <v>17.670000000000002</v>
      </c>
      <c r="AM15" s="34"/>
      <c r="AN15" s="34"/>
      <c r="AO15" s="34"/>
      <c r="AP15" s="34"/>
      <c r="AQ15" s="34"/>
      <c r="AR15" s="34"/>
      <c r="AS15" s="34"/>
    </row>
    <row r="16" spans="1:45" s="12" customFormat="1" ht="15.75" thickBot="1">
      <c r="A16" s="118">
        <v>7</v>
      </c>
      <c r="B16" s="119"/>
      <c r="C16" s="118"/>
      <c r="D16" s="118"/>
      <c r="E16" s="120"/>
      <c r="F16" s="120" t="s">
        <v>204</v>
      </c>
      <c r="G16" s="121" t="s">
        <v>240</v>
      </c>
      <c r="H16" s="123">
        <v>15.36</v>
      </c>
      <c r="I16" s="122">
        <v>12.26</v>
      </c>
      <c r="J16" s="124">
        <v>12.26</v>
      </c>
      <c r="K16" s="124">
        <v>6.57</v>
      </c>
      <c r="L16" s="122">
        <v>6</v>
      </c>
      <c r="M16" s="124">
        <v>10.14</v>
      </c>
      <c r="N16" s="122">
        <v>15</v>
      </c>
      <c r="O16" s="124">
        <v>9.8033333333333328</v>
      </c>
      <c r="P16" s="122">
        <v>14.5</v>
      </c>
      <c r="Q16" s="124">
        <v>7.3866666666666667</v>
      </c>
      <c r="R16" s="122">
        <v>8.5</v>
      </c>
      <c r="S16" s="124"/>
      <c r="T16" s="122"/>
      <c r="U16" s="124">
        <v>11.723333333333334</v>
      </c>
      <c r="V16" s="122">
        <v>17</v>
      </c>
      <c r="W16" s="124">
        <v>10.86</v>
      </c>
      <c r="X16" s="122">
        <v>13.5</v>
      </c>
      <c r="Y16" s="124">
        <v>10.193333333333333</v>
      </c>
      <c r="Z16" s="122">
        <v>11</v>
      </c>
      <c r="AA16" s="124">
        <v>9.913333333333334</v>
      </c>
      <c r="AB16" s="122">
        <v>9</v>
      </c>
      <c r="AC16" s="124">
        <v>11.82</v>
      </c>
      <c r="AD16" s="122">
        <v>13.5</v>
      </c>
      <c r="AE16" s="124"/>
      <c r="AF16" s="122"/>
      <c r="AG16" s="124">
        <v>11.89</v>
      </c>
      <c r="AH16" s="122">
        <v>16.059999999999999</v>
      </c>
      <c r="AI16" s="124"/>
      <c r="AJ16" s="122"/>
      <c r="AK16" s="124">
        <v>18.333333333333332</v>
      </c>
      <c r="AL16" s="122">
        <v>17.670000000000002</v>
      </c>
      <c r="AM16" s="34"/>
      <c r="AN16" s="34"/>
      <c r="AO16" s="34"/>
      <c r="AP16" s="34"/>
      <c r="AQ16" s="34"/>
      <c r="AR16" s="34"/>
      <c r="AS16" s="34"/>
    </row>
    <row r="17" spans="1:45" s="12" customFormat="1" ht="15.75" thickBot="1">
      <c r="A17" s="118">
        <v>8</v>
      </c>
      <c r="B17" s="119"/>
      <c r="C17" s="118"/>
      <c r="D17" s="118"/>
      <c r="E17" s="120"/>
      <c r="F17" s="120" t="s">
        <v>205</v>
      </c>
      <c r="G17" s="121" t="s">
        <v>241</v>
      </c>
      <c r="H17" s="123">
        <v>8.2200000000000006</v>
      </c>
      <c r="I17" s="122">
        <v>7.14</v>
      </c>
      <c r="J17" s="124">
        <v>7.68</v>
      </c>
      <c r="K17" s="124">
        <v>5.5133333333333328</v>
      </c>
      <c r="L17" s="122">
        <v>5</v>
      </c>
      <c r="M17" s="124">
        <v>12.333333333333334</v>
      </c>
      <c r="N17" s="122">
        <v>8</v>
      </c>
      <c r="O17" s="124">
        <v>11.526666666666666</v>
      </c>
      <c r="P17" s="122">
        <v>12.5</v>
      </c>
      <c r="Q17" s="124">
        <v>10.333333333333334</v>
      </c>
      <c r="R17" s="122">
        <v>5.5</v>
      </c>
      <c r="S17" s="124"/>
      <c r="T17" s="122"/>
      <c r="U17" s="124">
        <v>11.723333333333334</v>
      </c>
      <c r="V17" s="122">
        <v>7</v>
      </c>
      <c r="W17" s="124">
        <v>9.6133333333333351</v>
      </c>
      <c r="X17" s="122">
        <v>5.5</v>
      </c>
      <c r="Y17" s="124">
        <v>5.5266666666666664</v>
      </c>
      <c r="Z17" s="122">
        <v>4</v>
      </c>
      <c r="AA17" s="124">
        <v>10.083333333333334</v>
      </c>
      <c r="AB17" s="122">
        <v>5.5</v>
      </c>
      <c r="AC17" s="124">
        <v>10.25</v>
      </c>
      <c r="AD17" s="122">
        <v>7</v>
      </c>
      <c r="AE17" s="124"/>
      <c r="AF17" s="122"/>
      <c r="AG17" s="124">
        <v>14.276666666666666</v>
      </c>
      <c r="AH17" s="122">
        <v>13.44</v>
      </c>
      <c r="AI17" s="124"/>
      <c r="AJ17" s="122"/>
      <c r="AK17" s="124">
        <v>16.333333333333332</v>
      </c>
      <c r="AL17" s="122" t="s">
        <v>83</v>
      </c>
      <c r="AM17" s="34"/>
      <c r="AN17" s="34"/>
      <c r="AO17" s="34"/>
      <c r="AP17" s="34"/>
      <c r="AQ17" s="34"/>
      <c r="AR17" s="34"/>
      <c r="AS17" s="34"/>
    </row>
    <row r="18" spans="1:45" s="12" customFormat="1" ht="15.75" thickBot="1">
      <c r="A18" s="118">
        <v>9</v>
      </c>
      <c r="B18" s="119"/>
      <c r="C18" s="118"/>
      <c r="D18" s="118" t="s">
        <v>198</v>
      </c>
      <c r="E18" s="120"/>
      <c r="F18" s="120" t="s">
        <v>184</v>
      </c>
      <c r="G18" s="121" t="s">
        <v>185</v>
      </c>
      <c r="H18" s="123">
        <v>10.029999999999999</v>
      </c>
      <c r="I18" s="122">
        <v>7.03</v>
      </c>
      <c r="J18" s="124">
        <v>8.5299999999999994</v>
      </c>
      <c r="K18" s="124">
        <v>6.1400000000000006</v>
      </c>
      <c r="L18" s="122">
        <v>2.5</v>
      </c>
      <c r="M18" s="124">
        <v>7.083333333333333</v>
      </c>
      <c r="N18" s="122">
        <v>9.5</v>
      </c>
      <c r="O18" s="124">
        <v>5.083333333333333</v>
      </c>
      <c r="P18" s="122">
        <v>8.5</v>
      </c>
      <c r="Q18" s="124">
        <v>7.6933333333333325</v>
      </c>
      <c r="R18" s="122">
        <v>4</v>
      </c>
      <c r="S18" s="124"/>
      <c r="T18" s="122"/>
      <c r="U18" s="124">
        <v>9.7800000000000011</v>
      </c>
      <c r="V18" s="122">
        <v>7.5</v>
      </c>
      <c r="W18" s="124">
        <v>9.8066666666666666</v>
      </c>
      <c r="X18" s="122">
        <v>7.5</v>
      </c>
      <c r="Y18" s="124">
        <v>7.1366666666666667</v>
      </c>
      <c r="Z18" s="122">
        <v>3.5</v>
      </c>
      <c r="AA18" s="124">
        <v>4.75</v>
      </c>
      <c r="AB18" s="122">
        <v>4.5</v>
      </c>
      <c r="AC18" s="124">
        <v>8.25</v>
      </c>
      <c r="AD18" s="122">
        <v>9</v>
      </c>
      <c r="AE18" s="124"/>
      <c r="AF18" s="122"/>
      <c r="AG18" s="124">
        <v>15.61</v>
      </c>
      <c r="AH18" s="122">
        <v>13.89</v>
      </c>
      <c r="AI18" s="124"/>
      <c r="AJ18" s="122"/>
      <c r="AK18" s="124">
        <v>17.333333333333332</v>
      </c>
      <c r="AL18" s="122">
        <v>18</v>
      </c>
      <c r="AM18" s="34"/>
      <c r="AN18" s="34"/>
      <c r="AO18" s="34"/>
      <c r="AP18" s="34"/>
      <c r="AQ18" s="34"/>
      <c r="AR18" s="34"/>
      <c r="AS18" s="34"/>
    </row>
    <row r="19" spans="1:45" s="12" customFormat="1" ht="15.75" thickBot="1">
      <c r="A19" s="118">
        <v>10</v>
      </c>
      <c r="B19" s="119"/>
      <c r="C19" s="118"/>
      <c r="D19" s="118"/>
      <c r="E19" s="120"/>
      <c r="F19" s="120" t="s">
        <v>206</v>
      </c>
      <c r="G19" s="121" t="s">
        <v>242</v>
      </c>
      <c r="H19" s="123">
        <v>11.03</v>
      </c>
      <c r="I19" s="122">
        <v>9.25</v>
      </c>
      <c r="J19" s="124">
        <v>10.14</v>
      </c>
      <c r="K19" s="124">
        <v>4.4733333333333336</v>
      </c>
      <c r="L19" s="122">
        <v>2</v>
      </c>
      <c r="M19" s="124">
        <v>10.693333333333333</v>
      </c>
      <c r="N19" s="122">
        <v>12</v>
      </c>
      <c r="O19" s="124">
        <v>11.723333333333334</v>
      </c>
      <c r="P19" s="122">
        <v>10.5</v>
      </c>
      <c r="Q19" s="124">
        <v>9.7766666666666655</v>
      </c>
      <c r="R19" s="122">
        <v>9.5</v>
      </c>
      <c r="S19" s="124"/>
      <c r="T19" s="122"/>
      <c r="U19" s="124">
        <v>14.333333333333334</v>
      </c>
      <c r="V19" s="122">
        <v>11.5</v>
      </c>
      <c r="W19" s="124">
        <v>13.166666666666666</v>
      </c>
      <c r="X19" s="122">
        <v>10</v>
      </c>
      <c r="Y19" s="124">
        <v>12.026666666666666</v>
      </c>
      <c r="Z19" s="122">
        <v>6</v>
      </c>
      <c r="AA19" s="124">
        <v>11.333333333333334</v>
      </c>
      <c r="AB19" s="122">
        <v>8</v>
      </c>
      <c r="AC19" s="124">
        <v>12.443333333333333</v>
      </c>
      <c r="AD19" s="122">
        <v>11</v>
      </c>
      <c r="AE19" s="124"/>
      <c r="AF19" s="122"/>
      <c r="AG19" s="124">
        <v>14.61</v>
      </c>
      <c r="AH19" s="122">
        <v>15.06</v>
      </c>
      <c r="AI19" s="124"/>
      <c r="AJ19" s="122"/>
      <c r="AK19" s="124">
        <v>17.666666666666668</v>
      </c>
      <c r="AL19" s="122">
        <v>18</v>
      </c>
      <c r="AM19" s="34"/>
      <c r="AN19" s="34"/>
      <c r="AO19" s="34"/>
      <c r="AP19" s="34"/>
      <c r="AQ19" s="34"/>
      <c r="AR19" s="34"/>
      <c r="AS19" s="34"/>
    </row>
    <row r="20" spans="1:45" s="12" customFormat="1" ht="15.75" thickBot="1">
      <c r="A20" s="118">
        <v>11</v>
      </c>
      <c r="B20" s="119"/>
      <c r="C20" s="118"/>
      <c r="D20" s="118" t="s">
        <v>198</v>
      </c>
      <c r="E20" s="120"/>
      <c r="F20" s="120" t="s">
        <v>186</v>
      </c>
      <c r="G20" s="121" t="s">
        <v>187</v>
      </c>
      <c r="H20" s="123">
        <v>12.7</v>
      </c>
      <c r="I20" s="122">
        <v>9.56</v>
      </c>
      <c r="J20" s="124">
        <v>11.13</v>
      </c>
      <c r="K20" s="124">
        <v>10.6</v>
      </c>
      <c r="L20" s="122">
        <v>4</v>
      </c>
      <c r="M20" s="124">
        <v>12.5</v>
      </c>
      <c r="N20" s="122">
        <v>10</v>
      </c>
      <c r="O20" s="124">
        <v>11.306666666666667</v>
      </c>
      <c r="P20" s="122">
        <v>13.5</v>
      </c>
      <c r="Q20" s="124">
        <v>9.5</v>
      </c>
      <c r="R20" s="122">
        <v>6</v>
      </c>
      <c r="S20" s="124"/>
      <c r="T20" s="122"/>
      <c r="U20" s="124">
        <v>13.223333333333334</v>
      </c>
      <c r="V20" s="122">
        <v>9</v>
      </c>
      <c r="W20" s="124">
        <v>11.780000000000001</v>
      </c>
      <c r="X20" s="122">
        <v>10</v>
      </c>
      <c r="Y20" s="124">
        <v>9.2766666666666655</v>
      </c>
      <c r="Z20" s="122">
        <v>8</v>
      </c>
      <c r="AA20" s="124">
        <v>7.75</v>
      </c>
      <c r="AB20" s="122">
        <v>9</v>
      </c>
      <c r="AC20" s="124">
        <v>13.166666666666666</v>
      </c>
      <c r="AD20" s="122">
        <v>14.5</v>
      </c>
      <c r="AE20" s="124"/>
      <c r="AF20" s="122"/>
      <c r="AG20" s="124">
        <v>15.333333333333334</v>
      </c>
      <c r="AH20" s="122">
        <v>13.61</v>
      </c>
      <c r="AI20" s="124"/>
      <c r="AJ20" s="122"/>
      <c r="AK20" s="124">
        <v>19</v>
      </c>
      <c r="AL20" s="122">
        <v>17.329999999999998</v>
      </c>
      <c r="AM20" s="34"/>
      <c r="AN20" s="34"/>
      <c r="AO20" s="34"/>
      <c r="AP20" s="34"/>
      <c r="AQ20" s="34"/>
      <c r="AR20" s="34"/>
      <c r="AS20" s="34"/>
    </row>
    <row r="21" spans="1:45" s="12" customFormat="1" ht="15.75" thickBot="1">
      <c r="A21" s="118">
        <v>12</v>
      </c>
      <c r="B21" s="119"/>
      <c r="C21" s="118"/>
      <c r="D21" s="118"/>
      <c r="E21" s="120" t="s">
        <v>61</v>
      </c>
      <c r="F21" s="120" t="s">
        <v>207</v>
      </c>
      <c r="G21" s="121" t="s">
        <v>243</v>
      </c>
      <c r="H21" s="123">
        <v>10.3</v>
      </c>
      <c r="I21" s="122">
        <v>9.7200000000000006</v>
      </c>
      <c r="J21" s="124">
        <v>10.01</v>
      </c>
      <c r="K21" s="124">
        <v>17.5</v>
      </c>
      <c r="L21" s="122">
        <v>4</v>
      </c>
      <c r="M21" s="124">
        <v>16.39</v>
      </c>
      <c r="N21" s="122">
        <v>12.5</v>
      </c>
      <c r="O21" s="124">
        <v>18.803333333333331</v>
      </c>
      <c r="P21" s="122">
        <v>8.5</v>
      </c>
      <c r="Q21" s="124">
        <v>18.28</v>
      </c>
      <c r="R21" s="122">
        <v>10</v>
      </c>
      <c r="S21" s="124"/>
      <c r="T21" s="122"/>
      <c r="U21" s="124">
        <v>18.026666666666667</v>
      </c>
      <c r="V21" s="122">
        <v>12</v>
      </c>
      <c r="W21" s="124">
        <v>16.5</v>
      </c>
      <c r="X21" s="122">
        <v>10</v>
      </c>
      <c r="Y21" s="124">
        <v>16.64</v>
      </c>
      <c r="Z21" s="122">
        <v>11.5</v>
      </c>
      <c r="AA21" s="124">
        <v>17.113333333333333</v>
      </c>
      <c r="AB21" s="122">
        <v>6</v>
      </c>
      <c r="AC21" s="124">
        <v>17.706666666666667</v>
      </c>
      <c r="AD21" s="122">
        <v>7.5</v>
      </c>
      <c r="AE21" s="124"/>
      <c r="AF21" s="122"/>
      <c r="AG21" s="124">
        <v>18.223333333333333</v>
      </c>
      <c r="AH21" s="122">
        <v>14.56</v>
      </c>
      <c r="AI21" s="124"/>
      <c r="AJ21" s="122"/>
      <c r="AK21" s="124">
        <v>18.666666666666668</v>
      </c>
      <c r="AL21" s="122">
        <v>18.670000000000002</v>
      </c>
      <c r="AM21" s="34"/>
      <c r="AN21" s="34"/>
      <c r="AO21" s="34"/>
      <c r="AP21" s="34"/>
      <c r="AQ21" s="34"/>
      <c r="AR21" s="34"/>
      <c r="AS21" s="34"/>
    </row>
    <row r="22" spans="1:45" s="12" customFormat="1" ht="15.75" thickBot="1">
      <c r="A22" s="118">
        <v>13</v>
      </c>
      <c r="B22" s="119"/>
      <c r="C22" s="118"/>
      <c r="D22" s="118"/>
      <c r="E22" s="120"/>
      <c r="F22" s="120" t="s">
        <v>208</v>
      </c>
      <c r="G22" s="121" t="s">
        <v>244</v>
      </c>
      <c r="H22" s="123">
        <v>12.05</v>
      </c>
      <c r="I22" s="122">
        <v>9.84</v>
      </c>
      <c r="J22" s="124">
        <v>10.95</v>
      </c>
      <c r="K22" s="124">
        <v>7.4033333333333333</v>
      </c>
      <c r="L22" s="122">
        <v>6</v>
      </c>
      <c r="M22" s="124">
        <v>13.443333333333333</v>
      </c>
      <c r="N22" s="122">
        <v>11.5</v>
      </c>
      <c r="O22" s="124">
        <v>6.9466666666666663</v>
      </c>
      <c r="P22" s="122">
        <v>10</v>
      </c>
      <c r="Q22" s="124">
        <v>5.1133333333333333</v>
      </c>
      <c r="R22" s="122">
        <v>9</v>
      </c>
      <c r="S22" s="124"/>
      <c r="T22" s="122"/>
      <c r="U22" s="124">
        <v>15.086666666666666</v>
      </c>
      <c r="V22" s="122">
        <v>9</v>
      </c>
      <c r="W22" s="124">
        <v>11.363333333333335</v>
      </c>
      <c r="X22" s="122">
        <v>10.5</v>
      </c>
      <c r="Y22" s="124">
        <v>8.6666666666666661</v>
      </c>
      <c r="Z22" s="122">
        <v>8</v>
      </c>
      <c r="AA22" s="124">
        <v>8.4699999999999989</v>
      </c>
      <c r="AB22" s="122">
        <v>7.5</v>
      </c>
      <c r="AC22" s="124">
        <v>11.469999999999999</v>
      </c>
      <c r="AD22" s="122">
        <v>12</v>
      </c>
      <c r="AE22" s="124"/>
      <c r="AF22" s="122"/>
      <c r="AG22" s="124">
        <v>13.61</v>
      </c>
      <c r="AH22" s="122">
        <v>16.559999999999999</v>
      </c>
      <c r="AI22" s="124"/>
      <c r="AJ22" s="122"/>
      <c r="AK22" s="124">
        <v>18</v>
      </c>
      <c r="AL22" s="122">
        <v>18.329999999999998</v>
      </c>
      <c r="AM22" s="34"/>
      <c r="AN22" s="34"/>
      <c r="AO22" s="34"/>
      <c r="AP22" s="34"/>
      <c r="AQ22" s="34"/>
      <c r="AR22" s="34"/>
      <c r="AS22" s="34"/>
    </row>
    <row r="23" spans="1:45" s="12" customFormat="1" ht="15.75" thickBot="1">
      <c r="A23" s="118">
        <v>14</v>
      </c>
      <c r="B23" s="119"/>
      <c r="C23" s="118"/>
      <c r="D23" s="118"/>
      <c r="E23" s="120"/>
      <c r="F23" s="120" t="s">
        <v>209</v>
      </c>
      <c r="G23" s="121" t="s">
        <v>245</v>
      </c>
      <c r="H23" s="123">
        <v>13.91</v>
      </c>
      <c r="I23" s="122">
        <v>12.25</v>
      </c>
      <c r="J23" s="124">
        <v>12.25</v>
      </c>
      <c r="K23" s="124">
        <v>6.3033333333333337</v>
      </c>
      <c r="L23" s="122">
        <v>11</v>
      </c>
      <c r="M23" s="124">
        <v>11.39</v>
      </c>
      <c r="N23" s="122">
        <v>15</v>
      </c>
      <c r="O23" s="124">
        <v>8.83</v>
      </c>
      <c r="P23" s="122">
        <v>10</v>
      </c>
      <c r="Q23" s="124">
        <v>9.6933333333333334</v>
      </c>
      <c r="R23" s="122">
        <v>7.5</v>
      </c>
      <c r="S23" s="124"/>
      <c r="T23" s="122"/>
      <c r="U23" s="124">
        <v>11.056666666666667</v>
      </c>
      <c r="V23" s="122">
        <v>11.5</v>
      </c>
      <c r="W23" s="124">
        <v>13.526666666666666</v>
      </c>
      <c r="X23" s="122">
        <v>14.5</v>
      </c>
      <c r="Y23" s="124">
        <v>9.5</v>
      </c>
      <c r="Z23" s="122">
        <v>10.5</v>
      </c>
      <c r="AA23" s="124">
        <v>10.166666666666666</v>
      </c>
      <c r="AB23" s="122">
        <v>13</v>
      </c>
      <c r="AC23" s="124">
        <v>12.443333333333333</v>
      </c>
      <c r="AD23" s="122">
        <v>13</v>
      </c>
      <c r="AE23" s="124"/>
      <c r="AF23" s="122"/>
      <c r="AG23" s="124">
        <v>13.333333333333334</v>
      </c>
      <c r="AH23" s="122">
        <v>15.83</v>
      </c>
      <c r="AI23" s="124"/>
      <c r="AJ23" s="122"/>
      <c r="AK23" s="124">
        <v>16.666666666666668</v>
      </c>
      <c r="AL23" s="122">
        <v>17.670000000000002</v>
      </c>
      <c r="AM23" s="34"/>
      <c r="AN23" s="34"/>
      <c r="AO23" s="34"/>
      <c r="AP23" s="34"/>
      <c r="AQ23" s="34"/>
      <c r="AR23" s="34"/>
      <c r="AS23" s="34"/>
    </row>
    <row r="24" spans="1:45" s="12" customFormat="1" ht="15.75" thickBot="1">
      <c r="A24" s="118">
        <v>15</v>
      </c>
      <c r="B24" s="119"/>
      <c r="C24" s="118"/>
      <c r="D24" s="118"/>
      <c r="E24" s="120" t="s">
        <v>61</v>
      </c>
      <c r="F24" s="120" t="s">
        <v>210</v>
      </c>
      <c r="G24" s="121" t="s">
        <v>246</v>
      </c>
      <c r="H24" s="123">
        <v>16.27</v>
      </c>
      <c r="I24" s="122">
        <v>13.92</v>
      </c>
      <c r="J24" s="124">
        <v>13.92</v>
      </c>
      <c r="K24" s="124">
        <v>16.193333333333332</v>
      </c>
      <c r="L24" s="122">
        <v>9</v>
      </c>
      <c r="M24" s="124">
        <v>14.806666666666667</v>
      </c>
      <c r="N24" s="122">
        <v>16</v>
      </c>
      <c r="O24" s="124">
        <v>13.193333333333333</v>
      </c>
      <c r="P24" s="122">
        <v>17</v>
      </c>
      <c r="Q24" s="124">
        <v>14.833333333333334</v>
      </c>
      <c r="R24" s="122">
        <v>15</v>
      </c>
      <c r="S24" s="124"/>
      <c r="T24" s="122"/>
      <c r="U24" s="124">
        <v>18.306666666666668</v>
      </c>
      <c r="V24" s="122">
        <v>15.5</v>
      </c>
      <c r="W24" s="124">
        <v>16.170000000000002</v>
      </c>
      <c r="X24" s="122">
        <v>11</v>
      </c>
      <c r="Y24" s="124">
        <v>14.25</v>
      </c>
      <c r="Z24" s="122">
        <v>12.5</v>
      </c>
      <c r="AA24" s="124">
        <v>15.473333333333334</v>
      </c>
      <c r="AB24" s="122">
        <v>9</v>
      </c>
      <c r="AC24" s="124">
        <v>17.206666666666667</v>
      </c>
      <c r="AD24" s="122">
        <v>16</v>
      </c>
      <c r="AE24" s="124"/>
      <c r="AF24" s="122"/>
      <c r="AG24" s="124">
        <v>16.61</v>
      </c>
      <c r="AH24" s="122">
        <v>17</v>
      </c>
      <c r="AI24" s="124"/>
      <c r="AJ24" s="122"/>
      <c r="AK24" s="124">
        <v>18.333333333333332</v>
      </c>
      <c r="AL24" s="122">
        <v>18.329999999999998</v>
      </c>
      <c r="AM24" s="34"/>
      <c r="AN24" s="34"/>
      <c r="AO24" s="34"/>
      <c r="AP24" s="34"/>
      <c r="AQ24" s="34"/>
      <c r="AR24" s="34"/>
      <c r="AS24" s="34"/>
    </row>
    <row r="25" spans="1:45" s="12" customFormat="1" ht="15.75" thickBot="1">
      <c r="A25" s="118">
        <v>16</v>
      </c>
      <c r="B25" s="119"/>
      <c r="C25" s="118"/>
      <c r="D25" s="118"/>
      <c r="E25" s="120"/>
      <c r="F25" s="120" t="s">
        <v>211</v>
      </c>
      <c r="G25" s="121" t="s">
        <v>247</v>
      </c>
      <c r="H25" s="123">
        <v>16.920000000000002</v>
      </c>
      <c r="I25" s="122">
        <v>13.69</v>
      </c>
      <c r="J25" s="124">
        <v>13.69</v>
      </c>
      <c r="K25" s="124">
        <v>17.39</v>
      </c>
      <c r="L25" s="122">
        <v>11</v>
      </c>
      <c r="M25" s="124">
        <v>15.973333333333334</v>
      </c>
      <c r="N25" s="122">
        <v>12</v>
      </c>
      <c r="O25" s="124">
        <v>17.693333333333332</v>
      </c>
      <c r="P25" s="122">
        <v>16</v>
      </c>
      <c r="Q25" s="124">
        <v>17.329999999999998</v>
      </c>
      <c r="R25" s="122">
        <v>15</v>
      </c>
      <c r="S25" s="124"/>
      <c r="T25" s="122"/>
      <c r="U25" s="124">
        <v>18.696666666666669</v>
      </c>
      <c r="V25" s="122">
        <v>15.5</v>
      </c>
      <c r="W25" s="124">
        <v>16.36</v>
      </c>
      <c r="X25" s="122">
        <v>12</v>
      </c>
      <c r="Y25" s="124">
        <v>16.193333333333332</v>
      </c>
      <c r="Z25" s="122">
        <v>11</v>
      </c>
      <c r="AA25" s="124">
        <v>14.223333333333334</v>
      </c>
      <c r="AB25" s="122">
        <v>15.5</v>
      </c>
      <c r="AC25" s="124">
        <v>17.946666666666669</v>
      </c>
      <c r="AD25" s="122">
        <v>15</v>
      </c>
      <c r="AE25" s="124"/>
      <c r="AF25" s="122"/>
      <c r="AG25" s="124">
        <v>18.723333333333333</v>
      </c>
      <c r="AH25" s="122">
        <v>18.72</v>
      </c>
      <c r="AI25" s="124"/>
      <c r="AJ25" s="122"/>
      <c r="AK25" s="124">
        <v>18.333333333333332</v>
      </c>
      <c r="AL25" s="122">
        <v>18.329999999999998</v>
      </c>
      <c r="AM25" s="34"/>
      <c r="AN25" s="34"/>
      <c r="AO25" s="34"/>
      <c r="AP25" s="34"/>
      <c r="AQ25" s="34"/>
      <c r="AR25" s="34"/>
      <c r="AS25" s="34"/>
    </row>
    <row r="26" spans="1:45" s="12" customFormat="1" ht="15.75" thickBot="1">
      <c r="A26" s="118">
        <v>17</v>
      </c>
      <c r="B26" s="119"/>
      <c r="C26" s="118"/>
      <c r="D26" s="118" t="s">
        <v>198</v>
      </c>
      <c r="E26" s="120"/>
      <c r="F26" s="120" t="s">
        <v>212</v>
      </c>
      <c r="G26" s="121" t="s">
        <v>248</v>
      </c>
      <c r="H26" s="123">
        <v>10.91</v>
      </c>
      <c r="I26" s="122">
        <v>10.130000000000001</v>
      </c>
      <c r="J26" s="124">
        <v>10.130000000000001</v>
      </c>
      <c r="K26" s="124">
        <v>13.57</v>
      </c>
      <c r="L26" s="122">
        <v>5.5</v>
      </c>
      <c r="M26" s="124">
        <v>15.056666666666667</v>
      </c>
      <c r="N26" s="122">
        <v>14</v>
      </c>
      <c r="O26" s="124">
        <v>7.9733333333333336</v>
      </c>
      <c r="P26" s="122">
        <v>6.5</v>
      </c>
      <c r="Q26" s="124">
        <v>7.7233333333333336</v>
      </c>
      <c r="R26" s="122">
        <v>6</v>
      </c>
      <c r="S26" s="124"/>
      <c r="T26" s="122"/>
      <c r="U26" s="124">
        <v>17.026666666666667</v>
      </c>
      <c r="V26" s="122">
        <v>15.5</v>
      </c>
      <c r="W26" s="124">
        <v>13.303333333333333</v>
      </c>
      <c r="X26" s="122">
        <v>9</v>
      </c>
      <c r="Y26" s="124">
        <v>11.723333333333334</v>
      </c>
      <c r="Z26" s="122">
        <v>9.5</v>
      </c>
      <c r="AA26" s="124">
        <v>14.276666666666666</v>
      </c>
      <c r="AB26" s="122">
        <v>6</v>
      </c>
      <c r="AC26" s="124">
        <v>11.36</v>
      </c>
      <c r="AD26" s="122">
        <v>13</v>
      </c>
      <c r="AE26" s="124"/>
      <c r="AF26" s="122"/>
      <c r="AG26" s="124">
        <v>15.723333333333334</v>
      </c>
      <c r="AH26" s="122">
        <v>14.72</v>
      </c>
      <c r="AI26" s="124"/>
      <c r="AJ26" s="122"/>
      <c r="AK26" s="124">
        <v>18</v>
      </c>
      <c r="AL26" s="122">
        <v>18.670000000000002</v>
      </c>
      <c r="AM26" s="34"/>
      <c r="AN26" s="34"/>
      <c r="AO26" s="34"/>
      <c r="AP26" s="34"/>
      <c r="AQ26" s="34"/>
      <c r="AR26" s="34"/>
      <c r="AS26" s="34"/>
    </row>
    <row r="27" spans="1:45" s="12" customFormat="1" ht="15.75" thickBot="1">
      <c r="A27" s="118">
        <v>18</v>
      </c>
      <c r="B27" s="119"/>
      <c r="C27" s="118"/>
      <c r="D27" s="118"/>
      <c r="E27" s="120" t="s">
        <v>61</v>
      </c>
      <c r="F27" s="120" t="s">
        <v>213</v>
      </c>
      <c r="G27" s="121" t="s">
        <v>249</v>
      </c>
      <c r="H27" s="123">
        <v>11.14</v>
      </c>
      <c r="I27" s="122">
        <v>9.73</v>
      </c>
      <c r="J27" s="124">
        <v>10.44</v>
      </c>
      <c r="K27" s="124">
        <v>6.9433333333333325</v>
      </c>
      <c r="L27" s="122">
        <v>4.5</v>
      </c>
      <c r="M27" s="124">
        <v>9.9166666666666661</v>
      </c>
      <c r="N27" s="122">
        <v>12</v>
      </c>
      <c r="O27" s="124">
        <v>11</v>
      </c>
      <c r="P27" s="122">
        <v>10.5</v>
      </c>
      <c r="Q27" s="124">
        <v>9.4700000000000006</v>
      </c>
      <c r="R27" s="122">
        <v>4</v>
      </c>
      <c r="S27" s="124"/>
      <c r="T27" s="122"/>
      <c r="U27" s="124">
        <v>14.863333333333335</v>
      </c>
      <c r="V27" s="122">
        <v>10.5</v>
      </c>
      <c r="W27" s="124">
        <v>11.61</v>
      </c>
      <c r="X27" s="122">
        <v>13.5</v>
      </c>
      <c r="Y27" s="124">
        <v>12.003333333333332</v>
      </c>
      <c r="Z27" s="122">
        <v>8.5</v>
      </c>
      <c r="AA27" s="124">
        <v>10.08</v>
      </c>
      <c r="AB27" s="122">
        <v>10</v>
      </c>
      <c r="AC27" s="124">
        <v>11.336666666666666</v>
      </c>
      <c r="AD27" s="122">
        <v>12.5</v>
      </c>
      <c r="AE27" s="124"/>
      <c r="AF27" s="122"/>
      <c r="AG27" s="124">
        <v>14.719999999999999</v>
      </c>
      <c r="AH27" s="122">
        <v>12.78</v>
      </c>
      <c r="AI27" s="124"/>
      <c r="AJ27" s="122"/>
      <c r="AK27" s="124">
        <v>18.666666666666668</v>
      </c>
      <c r="AL27" s="122">
        <v>17.670000000000002</v>
      </c>
      <c r="AM27" s="34"/>
      <c r="AN27" s="34"/>
      <c r="AO27" s="34"/>
      <c r="AP27" s="34"/>
      <c r="AQ27" s="34"/>
      <c r="AR27" s="34"/>
      <c r="AS27" s="34"/>
    </row>
    <row r="28" spans="1:45" s="12" customFormat="1" ht="15.75" thickBot="1">
      <c r="A28" s="118">
        <v>19</v>
      </c>
      <c r="B28" s="119"/>
      <c r="C28" s="118"/>
      <c r="D28" s="118"/>
      <c r="E28" s="120"/>
      <c r="F28" s="120" t="s">
        <v>214</v>
      </c>
      <c r="G28" s="121" t="s">
        <v>250</v>
      </c>
      <c r="H28" s="123">
        <v>11.57</v>
      </c>
      <c r="I28" s="122">
        <v>9.15</v>
      </c>
      <c r="J28" s="124">
        <v>10.36</v>
      </c>
      <c r="K28" s="124">
        <v>8.6533333333333342</v>
      </c>
      <c r="L28" s="122">
        <v>5.5</v>
      </c>
      <c r="M28" s="124">
        <v>13.61</v>
      </c>
      <c r="N28" s="122">
        <v>9.5</v>
      </c>
      <c r="O28" s="124">
        <v>11.806666666666667</v>
      </c>
      <c r="P28" s="122">
        <v>6</v>
      </c>
      <c r="Q28" s="124">
        <v>9.0833333333333339</v>
      </c>
      <c r="R28" s="122">
        <v>9.5</v>
      </c>
      <c r="S28" s="124"/>
      <c r="T28" s="122"/>
      <c r="U28" s="124">
        <v>14.693333333333333</v>
      </c>
      <c r="V28" s="122">
        <v>16.5</v>
      </c>
      <c r="W28" s="124">
        <v>12.473333333333334</v>
      </c>
      <c r="X28" s="122">
        <v>3.5</v>
      </c>
      <c r="Y28" s="124">
        <v>8.3866666666666667</v>
      </c>
      <c r="Z28" s="122">
        <v>8.5</v>
      </c>
      <c r="AA28" s="124">
        <v>6.6099999999999994</v>
      </c>
      <c r="AB28" s="122">
        <v>5.5</v>
      </c>
      <c r="AC28" s="124">
        <v>11.29</v>
      </c>
      <c r="AD28" s="122">
        <v>12</v>
      </c>
      <c r="AE28" s="124"/>
      <c r="AF28" s="122"/>
      <c r="AG28" s="124">
        <v>12.780000000000001</v>
      </c>
      <c r="AH28" s="122">
        <v>15.33</v>
      </c>
      <c r="AI28" s="124"/>
      <c r="AJ28" s="122"/>
      <c r="AK28" s="124">
        <v>17.666666666666668</v>
      </c>
      <c r="AL28" s="122">
        <v>19</v>
      </c>
      <c r="AM28" s="34"/>
      <c r="AN28" s="34"/>
      <c r="AO28" s="34"/>
      <c r="AP28" s="34"/>
      <c r="AQ28" s="34"/>
      <c r="AR28" s="34"/>
      <c r="AS28" s="34"/>
    </row>
    <row r="29" spans="1:45" s="12" customFormat="1" ht="15.75" thickBot="1">
      <c r="A29" s="118">
        <v>20</v>
      </c>
      <c r="B29" s="119"/>
      <c r="C29" s="118"/>
      <c r="D29" s="118"/>
      <c r="E29" s="120" t="s">
        <v>61</v>
      </c>
      <c r="F29" s="120" t="s">
        <v>215</v>
      </c>
      <c r="G29" s="121" t="s">
        <v>251</v>
      </c>
      <c r="H29" s="123">
        <v>8.69</v>
      </c>
      <c r="I29" s="122">
        <v>7.92</v>
      </c>
      <c r="J29" s="124">
        <v>8.31</v>
      </c>
      <c r="K29" s="124">
        <v>5.916666666666667</v>
      </c>
      <c r="L29" s="122">
        <v>4</v>
      </c>
      <c r="M29" s="124">
        <v>11.5</v>
      </c>
      <c r="N29" s="122">
        <v>11.5</v>
      </c>
      <c r="O29" s="124">
        <v>8.25</v>
      </c>
      <c r="P29" s="122">
        <v>5</v>
      </c>
      <c r="Q29" s="124">
        <v>8.0833333333333339</v>
      </c>
      <c r="R29" s="122">
        <v>5.5</v>
      </c>
      <c r="S29" s="124"/>
      <c r="T29" s="122"/>
      <c r="U29" s="124">
        <v>7.6133333333333333</v>
      </c>
      <c r="V29" s="122">
        <v>8</v>
      </c>
      <c r="W29" s="124">
        <v>5.6099999999999994</v>
      </c>
      <c r="X29" s="122">
        <v>11</v>
      </c>
      <c r="Y29" s="124">
        <v>5.3900000000000006</v>
      </c>
      <c r="Z29" s="122">
        <v>8.5</v>
      </c>
      <c r="AA29" s="124">
        <v>7.5266666666666664</v>
      </c>
      <c r="AB29" s="122">
        <v>3.5</v>
      </c>
      <c r="AC29" s="124">
        <v>8.7199999999999989</v>
      </c>
      <c r="AD29" s="122">
        <v>6</v>
      </c>
      <c r="AE29" s="124"/>
      <c r="AF29" s="122"/>
      <c r="AG29" s="124">
        <v>13.443333333333333</v>
      </c>
      <c r="AH29" s="122">
        <v>15.94</v>
      </c>
      <c r="AI29" s="124"/>
      <c r="AJ29" s="122"/>
      <c r="AK29" s="124">
        <v>0</v>
      </c>
      <c r="AL29" s="122">
        <v>19</v>
      </c>
      <c r="AM29" s="34"/>
      <c r="AN29" s="34"/>
      <c r="AO29" s="34"/>
      <c r="AP29" s="34"/>
      <c r="AQ29" s="34"/>
      <c r="AR29" s="34"/>
      <c r="AS29" s="34"/>
    </row>
    <row r="30" spans="1:45" s="12" customFormat="1" ht="15.75" thickBot="1">
      <c r="A30" s="118">
        <v>21</v>
      </c>
      <c r="B30" s="119"/>
      <c r="C30" s="118"/>
      <c r="D30" s="118" t="s">
        <v>198</v>
      </c>
      <c r="E30" s="120" t="s">
        <v>61</v>
      </c>
      <c r="F30" s="120" t="s">
        <v>189</v>
      </c>
      <c r="G30" s="121" t="s">
        <v>190</v>
      </c>
      <c r="H30" s="123">
        <v>11.02</v>
      </c>
      <c r="I30" s="122">
        <v>11.2</v>
      </c>
      <c r="J30" s="124">
        <v>11.2</v>
      </c>
      <c r="K30" s="124">
        <v>9.9699999999999989</v>
      </c>
      <c r="L30" s="122">
        <v>5.5</v>
      </c>
      <c r="M30" s="124">
        <v>15.276666666666666</v>
      </c>
      <c r="N30" s="122">
        <v>15</v>
      </c>
      <c r="O30" s="124">
        <v>12.636666666666665</v>
      </c>
      <c r="P30" s="122">
        <v>11.5</v>
      </c>
      <c r="Q30" s="124">
        <v>10.969999999999999</v>
      </c>
      <c r="R30" s="122">
        <v>6.5</v>
      </c>
      <c r="S30" s="124"/>
      <c r="T30" s="122"/>
      <c r="U30" s="124">
        <v>17.36</v>
      </c>
      <c r="V30" s="122">
        <v>12</v>
      </c>
      <c r="W30" s="124">
        <v>15.11</v>
      </c>
      <c r="X30" s="122">
        <v>14</v>
      </c>
      <c r="Y30" s="124">
        <v>12.973333333333334</v>
      </c>
      <c r="Z30" s="122">
        <v>11</v>
      </c>
      <c r="AA30" s="124">
        <v>11.446666666666667</v>
      </c>
      <c r="AB30" s="122">
        <v>9.5</v>
      </c>
      <c r="AC30" s="124">
        <v>16.753333333333334</v>
      </c>
      <c r="AD30" s="122">
        <v>13</v>
      </c>
      <c r="AE30" s="124"/>
      <c r="AF30" s="122"/>
      <c r="AG30" s="124">
        <v>15.833333333333334</v>
      </c>
      <c r="AH30" s="122">
        <v>13.44</v>
      </c>
      <c r="AI30" s="124"/>
      <c r="AJ30" s="122"/>
      <c r="AK30" s="124">
        <v>18.333333333333332</v>
      </c>
      <c r="AL30" s="122">
        <v>17.329999999999998</v>
      </c>
      <c r="AM30" s="34"/>
      <c r="AN30" s="34"/>
      <c r="AO30" s="34"/>
      <c r="AP30" s="34"/>
      <c r="AQ30" s="34"/>
      <c r="AR30" s="34"/>
      <c r="AS30" s="34"/>
    </row>
    <row r="31" spans="1:45" s="12" customFormat="1" ht="15.75" thickBot="1">
      <c r="A31" s="118">
        <v>22</v>
      </c>
      <c r="B31" s="119"/>
      <c r="C31" s="118"/>
      <c r="D31" s="118"/>
      <c r="E31" s="120" t="s">
        <v>61</v>
      </c>
      <c r="F31" s="120" t="s">
        <v>216</v>
      </c>
      <c r="G31" s="121" t="s">
        <v>252</v>
      </c>
      <c r="H31" s="123">
        <v>17.25</v>
      </c>
      <c r="I31" s="122">
        <v>14.61</v>
      </c>
      <c r="J31" s="124">
        <v>14.61</v>
      </c>
      <c r="K31" s="124">
        <v>16.626666666666665</v>
      </c>
      <c r="L31" s="122">
        <v>16</v>
      </c>
      <c r="M31" s="124">
        <v>14.723333333333334</v>
      </c>
      <c r="N31" s="122">
        <v>16.5</v>
      </c>
      <c r="O31" s="124">
        <v>13.36</v>
      </c>
      <c r="P31" s="122">
        <v>15</v>
      </c>
      <c r="Q31" s="124">
        <v>17.166666666666668</v>
      </c>
      <c r="R31" s="122">
        <v>9</v>
      </c>
      <c r="S31" s="124"/>
      <c r="T31" s="122"/>
      <c r="U31" s="124">
        <v>16.806666666666668</v>
      </c>
      <c r="V31" s="122">
        <v>15</v>
      </c>
      <c r="W31" s="124">
        <v>17.72</v>
      </c>
      <c r="X31" s="122">
        <v>13</v>
      </c>
      <c r="Y31" s="124">
        <v>13.693333333333333</v>
      </c>
      <c r="Z31" s="122">
        <v>10.5</v>
      </c>
      <c r="AA31" s="124">
        <v>13.333333333333334</v>
      </c>
      <c r="AB31" s="122">
        <v>13.5</v>
      </c>
      <c r="AC31" s="124">
        <v>17.246666666666666</v>
      </c>
      <c r="AD31" s="122">
        <v>17.5</v>
      </c>
      <c r="AE31" s="124"/>
      <c r="AF31" s="122"/>
      <c r="AG31" s="124">
        <v>17.333333333333332</v>
      </c>
      <c r="AH31" s="122">
        <v>15.89</v>
      </c>
      <c r="AI31" s="124"/>
      <c r="AJ31" s="122"/>
      <c r="AK31" s="124">
        <v>17.333333333333332</v>
      </c>
      <c r="AL31" s="122">
        <v>18</v>
      </c>
      <c r="AM31" s="34"/>
      <c r="AN31" s="34"/>
      <c r="AO31" s="34"/>
      <c r="AP31" s="34"/>
      <c r="AQ31" s="34"/>
      <c r="AR31" s="34"/>
      <c r="AS31" s="34"/>
    </row>
    <row r="32" spans="1:45" s="12" customFormat="1" ht="15.75" thickBot="1">
      <c r="A32" s="118">
        <v>23</v>
      </c>
      <c r="B32" s="119"/>
      <c r="C32" s="118"/>
      <c r="D32" s="118" t="s">
        <v>198</v>
      </c>
      <c r="E32" s="120" t="s">
        <v>61</v>
      </c>
      <c r="F32" s="120" t="s">
        <v>194</v>
      </c>
      <c r="G32" s="121" t="s">
        <v>195</v>
      </c>
      <c r="H32" s="123">
        <v>9.32</v>
      </c>
      <c r="I32" s="122">
        <v>9.8800000000000008</v>
      </c>
      <c r="J32" s="124">
        <v>9.6</v>
      </c>
      <c r="K32" s="124">
        <v>15.86</v>
      </c>
      <c r="L32" s="122">
        <v>3.5</v>
      </c>
      <c r="M32" s="124">
        <v>16.776666666666667</v>
      </c>
      <c r="N32" s="122">
        <v>12.5</v>
      </c>
      <c r="O32" s="124">
        <v>15</v>
      </c>
      <c r="P32" s="122">
        <v>7.5</v>
      </c>
      <c r="Q32" s="124">
        <v>17.446666666666669</v>
      </c>
      <c r="R32" s="122">
        <v>7</v>
      </c>
      <c r="S32" s="124"/>
      <c r="T32" s="122"/>
      <c r="U32" s="124">
        <v>18.973333333333333</v>
      </c>
      <c r="V32" s="122">
        <v>14.5</v>
      </c>
      <c r="W32" s="124">
        <v>17.306666666666668</v>
      </c>
      <c r="X32" s="122">
        <v>11.5</v>
      </c>
      <c r="Y32" s="124">
        <v>15.829999999999998</v>
      </c>
      <c r="Z32" s="122">
        <v>9.5</v>
      </c>
      <c r="AA32" s="124">
        <v>11.86</v>
      </c>
      <c r="AB32" s="122">
        <v>10</v>
      </c>
      <c r="AC32" s="124">
        <v>16.516666666666669</v>
      </c>
      <c r="AD32" s="122">
        <v>10.5</v>
      </c>
      <c r="AE32" s="124"/>
      <c r="AF32" s="122"/>
      <c r="AG32" s="124">
        <v>17</v>
      </c>
      <c r="AH32" s="122">
        <v>15.94</v>
      </c>
      <c r="AI32" s="124"/>
      <c r="AJ32" s="122"/>
      <c r="AK32" s="124">
        <v>18.333333333333332</v>
      </c>
      <c r="AL32" s="122">
        <v>18</v>
      </c>
      <c r="AM32" s="34"/>
      <c r="AN32" s="34"/>
      <c r="AO32" s="34"/>
      <c r="AP32" s="34"/>
      <c r="AQ32" s="34"/>
      <c r="AR32" s="34"/>
      <c r="AS32" s="34"/>
    </row>
    <row r="33" spans="1:45" s="12" customFormat="1" ht="15.75" thickBot="1">
      <c r="A33" s="118">
        <v>24</v>
      </c>
      <c r="B33" s="119"/>
      <c r="C33" s="118"/>
      <c r="D33" s="118"/>
      <c r="E33" s="120"/>
      <c r="F33" s="120" t="s">
        <v>217</v>
      </c>
      <c r="G33" s="121" t="s">
        <v>253</v>
      </c>
      <c r="H33" s="123">
        <v>14.63</v>
      </c>
      <c r="I33" s="122">
        <v>11.37</v>
      </c>
      <c r="J33" s="124">
        <v>11.37</v>
      </c>
      <c r="K33" s="124">
        <v>15.850000000000001</v>
      </c>
      <c r="L33" s="122">
        <v>11.5</v>
      </c>
      <c r="M33" s="124">
        <v>13.973333333333334</v>
      </c>
      <c r="N33" s="122">
        <v>14.5</v>
      </c>
      <c r="O33" s="124">
        <v>13.526666666666666</v>
      </c>
      <c r="P33" s="122">
        <v>13</v>
      </c>
      <c r="Q33" s="124">
        <v>15.75</v>
      </c>
      <c r="R33" s="122">
        <v>5.5</v>
      </c>
      <c r="S33" s="124"/>
      <c r="T33" s="122"/>
      <c r="U33" s="124">
        <v>16.276666666666667</v>
      </c>
      <c r="V33" s="122">
        <v>8.5</v>
      </c>
      <c r="W33" s="124">
        <v>16.39</v>
      </c>
      <c r="X33" s="122">
        <v>10.5</v>
      </c>
      <c r="Y33" s="124">
        <v>14.083333333333334</v>
      </c>
      <c r="Z33" s="122">
        <v>8.5</v>
      </c>
      <c r="AA33" s="124">
        <v>8.9433333333333334</v>
      </c>
      <c r="AB33" s="122">
        <v>9</v>
      </c>
      <c r="AC33" s="124">
        <v>13.416666666666666</v>
      </c>
      <c r="AD33" s="122">
        <v>10.5</v>
      </c>
      <c r="AE33" s="124"/>
      <c r="AF33" s="122"/>
      <c r="AG33" s="124">
        <v>17.333333333333332</v>
      </c>
      <c r="AH33" s="122">
        <v>17</v>
      </c>
      <c r="AI33" s="124"/>
      <c r="AJ33" s="122"/>
      <c r="AK33" s="124">
        <v>17.666666666666668</v>
      </c>
      <c r="AL33" s="122">
        <v>18</v>
      </c>
      <c r="AM33" s="34"/>
      <c r="AN33" s="34"/>
      <c r="AO33" s="34"/>
      <c r="AP33" s="34"/>
      <c r="AQ33" s="34"/>
      <c r="AR33" s="34"/>
      <c r="AS33" s="34"/>
    </row>
    <row r="34" spans="1:45" s="12" customFormat="1" ht="15.75" thickBot="1">
      <c r="A34" s="118">
        <v>25</v>
      </c>
      <c r="B34" s="119"/>
      <c r="C34" s="118"/>
      <c r="D34" s="118"/>
      <c r="E34" s="120" t="s">
        <v>61</v>
      </c>
      <c r="F34" s="120" t="s">
        <v>218</v>
      </c>
      <c r="G34" s="121" t="s">
        <v>254</v>
      </c>
      <c r="H34" s="123">
        <v>12.34</v>
      </c>
      <c r="I34" s="122">
        <v>10.15</v>
      </c>
      <c r="J34" s="124">
        <v>10.15</v>
      </c>
      <c r="K34" s="124">
        <v>19.386666666666667</v>
      </c>
      <c r="L34" s="122">
        <v>11.5</v>
      </c>
      <c r="M34" s="124">
        <v>17.193333333333332</v>
      </c>
      <c r="N34" s="122">
        <v>12</v>
      </c>
      <c r="O34" s="124">
        <v>16.526666666666667</v>
      </c>
      <c r="P34" s="122">
        <v>5</v>
      </c>
      <c r="Q34" s="124">
        <v>17.25</v>
      </c>
      <c r="R34" s="122">
        <v>7.5</v>
      </c>
      <c r="S34" s="124"/>
      <c r="T34" s="122"/>
      <c r="U34" s="124">
        <v>19.14</v>
      </c>
      <c r="V34" s="122">
        <v>14</v>
      </c>
      <c r="W34" s="124">
        <v>17.973333333333333</v>
      </c>
      <c r="X34" s="122">
        <v>6</v>
      </c>
      <c r="Y34" s="124">
        <v>18.25</v>
      </c>
      <c r="Z34" s="122">
        <v>7</v>
      </c>
      <c r="AA34" s="124">
        <v>17.573333333333334</v>
      </c>
      <c r="AB34" s="122">
        <v>5.5</v>
      </c>
      <c r="AC34" s="124">
        <v>17.833333333333332</v>
      </c>
      <c r="AD34" s="122">
        <v>14</v>
      </c>
      <c r="AE34" s="124"/>
      <c r="AF34" s="122"/>
      <c r="AG34" s="124">
        <v>18.946666666666669</v>
      </c>
      <c r="AH34" s="122">
        <v>15.83</v>
      </c>
      <c r="AI34" s="124"/>
      <c r="AJ34" s="122"/>
      <c r="AK34" s="124">
        <v>19</v>
      </c>
      <c r="AL34" s="122">
        <v>18</v>
      </c>
      <c r="AM34" s="34"/>
      <c r="AN34" s="34"/>
      <c r="AO34" s="34"/>
      <c r="AP34" s="34"/>
      <c r="AQ34" s="34"/>
      <c r="AR34" s="34"/>
      <c r="AS34" s="34"/>
    </row>
    <row r="35" spans="1:45" s="12" customFormat="1" ht="15.75" thickBot="1">
      <c r="A35" s="118">
        <v>26</v>
      </c>
      <c r="B35" s="119"/>
      <c r="C35" s="118"/>
      <c r="D35" s="118"/>
      <c r="E35" s="120"/>
      <c r="F35" s="120" t="s">
        <v>219</v>
      </c>
      <c r="G35" s="121" t="s">
        <v>255</v>
      </c>
      <c r="H35" s="123">
        <v>12.9</v>
      </c>
      <c r="I35" s="122">
        <v>10.029999999999999</v>
      </c>
      <c r="J35" s="124">
        <v>10.029999999999999</v>
      </c>
      <c r="K35" s="124">
        <v>5.6833333333333327</v>
      </c>
      <c r="L35" s="122">
        <v>6</v>
      </c>
      <c r="M35" s="124">
        <v>11.806666666666667</v>
      </c>
      <c r="N35" s="122">
        <v>13.5</v>
      </c>
      <c r="O35" s="124">
        <v>11.75</v>
      </c>
      <c r="P35" s="122">
        <v>6.5</v>
      </c>
      <c r="Q35" s="124">
        <v>7.1099999999999994</v>
      </c>
      <c r="R35" s="122">
        <v>2</v>
      </c>
      <c r="S35" s="124"/>
      <c r="T35" s="122"/>
      <c r="U35" s="124">
        <v>11.193333333333333</v>
      </c>
      <c r="V35" s="122">
        <v>17.5</v>
      </c>
      <c r="W35" s="124">
        <v>10.636666666666665</v>
      </c>
      <c r="X35" s="122">
        <v>16</v>
      </c>
      <c r="Y35" s="124">
        <v>9.5299999999999994</v>
      </c>
      <c r="Z35" s="122">
        <v>8</v>
      </c>
      <c r="AA35" s="124">
        <v>8.8333333333333339</v>
      </c>
      <c r="AB35" s="122">
        <v>7</v>
      </c>
      <c r="AC35" s="124">
        <v>9.3066666666666666</v>
      </c>
      <c r="AD35" s="122">
        <v>11.5</v>
      </c>
      <c r="AE35" s="124"/>
      <c r="AF35" s="122"/>
      <c r="AG35" s="124">
        <v>13.89</v>
      </c>
      <c r="AH35" s="122">
        <v>15.72</v>
      </c>
      <c r="AI35" s="124"/>
      <c r="AJ35" s="122"/>
      <c r="AK35" s="124">
        <v>18</v>
      </c>
      <c r="AL35" s="122">
        <v>18</v>
      </c>
      <c r="AM35" s="34"/>
      <c r="AN35" s="34"/>
      <c r="AO35" s="34"/>
      <c r="AP35" s="34"/>
      <c r="AQ35" s="34"/>
      <c r="AR35" s="34"/>
      <c r="AS35" s="34"/>
    </row>
    <row r="36" spans="1:45" s="12" customFormat="1" ht="15.75" thickBot="1">
      <c r="A36" s="118">
        <v>27</v>
      </c>
      <c r="B36" s="119"/>
      <c r="C36" s="118"/>
      <c r="D36" s="118"/>
      <c r="E36" s="120"/>
      <c r="F36" s="120" t="s">
        <v>220</v>
      </c>
      <c r="G36" s="121" t="s">
        <v>256</v>
      </c>
      <c r="H36" s="123">
        <v>9.74</v>
      </c>
      <c r="I36" s="122">
        <v>8.59</v>
      </c>
      <c r="J36" s="124">
        <v>9.17</v>
      </c>
      <c r="K36" s="124">
        <v>9.9033333333333342</v>
      </c>
      <c r="L36" s="122">
        <v>3.5</v>
      </c>
      <c r="M36" s="124">
        <v>14</v>
      </c>
      <c r="N36" s="122">
        <v>13.5</v>
      </c>
      <c r="O36" s="124">
        <v>13.113333333333335</v>
      </c>
      <c r="P36" s="122">
        <v>7.5</v>
      </c>
      <c r="Q36" s="124">
        <v>8.7199999999999989</v>
      </c>
      <c r="R36" s="122">
        <v>6</v>
      </c>
      <c r="S36" s="124"/>
      <c r="T36" s="122"/>
      <c r="U36" s="124">
        <v>14.943333333333333</v>
      </c>
      <c r="V36" s="122">
        <v>5.5</v>
      </c>
      <c r="W36" s="124">
        <v>15.5</v>
      </c>
      <c r="X36" s="122">
        <v>10.5</v>
      </c>
      <c r="Y36" s="124">
        <v>12.306666666666667</v>
      </c>
      <c r="Z36" s="122">
        <v>8.5</v>
      </c>
      <c r="AA36" s="124">
        <v>11.246666666666668</v>
      </c>
      <c r="AB36" s="122">
        <v>6</v>
      </c>
      <c r="AC36" s="124">
        <v>14.833333333333334</v>
      </c>
      <c r="AD36" s="122">
        <v>7</v>
      </c>
      <c r="AE36" s="124"/>
      <c r="AF36" s="122"/>
      <c r="AG36" s="124">
        <v>13.61</v>
      </c>
      <c r="AH36" s="122">
        <v>15.44</v>
      </c>
      <c r="AI36" s="124"/>
      <c r="AJ36" s="122"/>
      <c r="AK36" s="124">
        <v>17.333333333333332</v>
      </c>
      <c r="AL36" s="122">
        <v>19</v>
      </c>
      <c r="AM36" s="34"/>
      <c r="AN36" s="34"/>
      <c r="AO36" s="34"/>
      <c r="AP36" s="34"/>
      <c r="AQ36" s="34"/>
      <c r="AR36" s="34"/>
      <c r="AS36" s="34"/>
    </row>
    <row r="37" spans="1:45" s="12" customFormat="1" ht="15.75" thickBot="1">
      <c r="A37" s="118">
        <v>28</v>
      </c>
      <c r="B37" s="119"/>
      <c r="C37" s="118"/>
      <c r="D37" s="118" t="s">
        <v>198</v>
      </c>
      <c r="E37" s="120"/>
      <c r="F37" s="120" t="s">
        <v>182</v>
      </c>
      <c r="G37" s="121" t="s">
        <v>183</v>
      </c>
      <c r="H37" s="123">
        <v>12.89</v>
      </c>
      <c r="I37" s="122">
        <v>10.84</v>
      </c>
      <c r="J37" s="124">
        <v>10.84</v>
      </c>
      <c r="K37" s="124">
        <v>5</v>
      </c>
      <c r="L37" s="122">
        <v>2</v>
      </c>
      <c r="M37" s="124">
        <v>12.916666666666666</v>
      </c>
      <c r="N37" s="122">
        <v>16</v>
      </c>
      <c r="O37" s="124">
        <v>8.75</v>
      </c>
      <c r="P37" s="122">
        <v>5.5</v>
      </c>
      <c r="Q37" s="124">
        <v>10.026666666666666</v>
      </c>
      <c r="R37" s="122">
        <v>6</v>
      </c>
      <c r="S37" s="124"/>
      <c r="T37" s="122"/>
      <c r="U37" s="124">
        <v>14.833333333333334</v>
      </c>
      <c r="V37" s="122">
        <v>17</v>
      </c>
      <c r="W37" s="124">
        <v>14.306666666666667</v>
      </c>
      <c r="X37" s="122">
        <v>14.5</v>
      </c>
      <c r="Y37" s="124">
        <v>12.336666666666666</v>
      </c>
      <c r="Z37" s="122">
        <v>12</v>
      </c>
      <c r="AA37" s="124">
        <v>12.83</v>
      </c>
      <c r="AB37" s="122">
        <v>8</v>
      </c>
      <c r="AC37" s="124">
        <v>13.61</v>
      </c>
      <c r="AD37" s="122">
        <v>14.5</v>
      </c>
      <c r="AE37" s="124"/>
      <c r="AF37" s="122"/>
      <c r="AG37" s="124">
        <v>14</v>
      </c>
      <c r="AH37" s="122">
        <v>17.11</v>
      </c>
      <c r="AI37" s="124"/>
      <c r="AJ37" s="122"/>
      <c r="AK37" s="124">
        <v>17.666666666666668</v>
      </c>
      <c r="AL37" s="122">
        <v>18.670000000000002</v>
      </c>
      <c r="AM37" s="34"/>
      <c r="AN37" s="34"/>
      <c r="AO37" s="34"/>
      <c r="AP37" s="34"/>
      <c r="AQ37" s="34"/>
      <c r="AR37" s="34"/>
      <c r="AS37" s="34"/>
    </row>
    <row r="38" spans="1:45" s="12" customFormat="1" ht="15.75" thickBot="1">
      <c r="A38" s="118">
        <v>29</v>
      </c>
      <c r="B38" s="119"/>
      <c r="C38" s="118"/>
      <c r="D38" s="118"/>
      <c r="E38" s="120"/>
      <c r="F38" s="120" t="s">
        <v>221</v>
      </c>
      <c r="G38" s="121" t="s">
        <v>257</v>
      </c>
      <c r="H38" s="123">
        <v>15.33</v>
      </c>
      <c r="I38" s="122">
        <v>12.77</v>
      </c>
      <c r="J38" s="124">
        <v>12.77</v>
      </c>
      <c r="K38" s="124">
        <v>3.9866666666666668</v>
      </c>
      <c r="L38" s="122">
        <v>11</v>
      </c>
      <c r="M38" s="124">
        <v>9.5833333333333339</v>
      </c>
      <c r="N38" s="122">
        <v>13</v>
      </c>
      <c r="O38" s="124">
        <v>6.4466666666666663</v>
      </c>
      <c r="P38" s="122">
        <v>12.5</v>
      </c>
      <c r="Q38" s="124">
        <v>7.916666666666667</v>
      </c>
      <c r="R38" s="122">
        <v>8</v>
      </c>
      <c r="S38" s="124"/>
      <c r="T38" s="122"/>
      <c r="U38" s="124">
        <v>13.806666666666667</v>
      </c>
      <c r="V38" s="122">
        <v>13.5</v>
      </c>
      <c r="W38" s="124">
        <v>9.89</v>
      </c>
      <c r="X38" s="122">
        <v>13</v>
      </c>
      <c r="Y38" s="124">
        <v>8.9433333333333334</v>
      </c>
      <c r="Z38" s="122">
        <v>11</v>
      </c>
      <c r="AA38" s="124">
        <v>8.1933333333333334</v>
      </c>
      <c r="AB38" s="122">
        <v>14.5</v>
      </c>
      <c r="AC38" s="124">
        <v>5.8599999999999994</v>
      </c>
      <c r="AD38" s="122">
        <v>17.5</v>
      </c>
      <c r="AE38" s="124"/>
      <c r="AF38" s="122"/>
      <c r="AG38" s="124">
        <v>15.943333333333333</v>
      </c>
      <c r="AH38" s="122">
        <v>14.5</v>
      </c>
      <c r="AI38" s="124"/>
      <c r="AJ38" s="122"/>
      <c r="AK38" s="124">
        <v>19</v>
      </c>
      <c r="AL38" s="122">
        <v>18</v>
      </c>
      <c r="AM38" s="34"/>
      <c r="AN38" s="34"/>
      <c r="AO38" s="34"/>
      <c r="AP38" s="34"/>
      <c r="AQ38" s="34"/>
      <c r="AR38" s="34"/>
      <c r="AS38" s="34"/>
    </row>
    <row r="39" spans="1:45" s="12" customFormat="1" ht="15.75" thickBot="1">
      <c r="A39" s="118">
        <v>30</v>
      </c>
      <c r="B39" s="119"/>
      <c r="C39" s="118"/>
      <c r="D39" s="118" t="s">
        <v>198</v>
      </c>
      <c r="E39" s="120" t="s">
        <v>61</v>
      </c>
      <c r="F39" s="120" t="s">
        <v>191</v>
      </c>
      <c r="G39" s="121" t="s">
        <v>170</v>
      </c>
      <c r="H39" s="123">
        <v>10.34</v>
      </c>
      <c r="I39" s="122">
        <v>7.94</v>
      </c>
      <c r="J39" s="124">
        <v>9.14</v>
      </c>
      <c r="K39" s="124">
        <v>18.100000000000001</v>
      </c>
      <c r="L39" s="122">
        <v>2.5</v>
      </c>
      <c r="M39" s="124">
        <v>12.67</v>
      </c>
      <c r="N39" s="122">
        <v>11</v>
      </c>
      <c r="O39" s="124">
        <v>11.026666666666666</v>
      </c>
      <c r="P39" s="122">
        <v>5</v>
      </c>
      <c r="Q39" s="124">
        <v>13.443333333333333</v>
      </c>
      <c r="R39" s="122">
        <v>8.5</v>
      </c>
      <c r="S39" s="124"/>
      <c r="T39" s="122"/>
      <c r="U39" s="124">
        <v>13.776666666666666</v>
      </c>
      <c r="V39" s="122">
        <v>10</v>
      </c>
      <c r="W39" s="124">
        <v>13.636666666666665</v>
      </c>
      <c r="X39" s="122">
        <v>10</v>
      </c>
      <c r="Y39" s="124">
        <v>11.053333333333333</v>
      </c>
      <c r="Z39" s="122">
        <v>6.5</v>
      </c>
      <c r="AA39" s="124">
        <v>11.333333333333334</v>
      </c>
      <c r="AB39" s="122">
        <v>5.5</v>
      </c>
      <c r="AC39" s="124">
        <v>14.736666666666666</v>
      </c>
      <c r="AD39" s="122">
        <v>9.5</v>
      </c>
      <c r="AE39" s="124"/>
      <c r="AF39" s="122"/>
      <c r="AG39" s="124">
        <v>14.666666666666666</v>
      </c>
      <c r="AH39" s="122">
        <v>13.33</v>
      </c>
      <c r="AI39" s="124"/>
      <c r="AJ39" s="122"/>
      <c r="AK39" s="124">
        <v>19</v>
      </c>
      <c r="AL39" s="122">
        <v>16.670000000000002</v>
      </c>
      <c r="AM39" s="34"/>
      <c r="AN39" s="34"/>
      <c r="AO39" s="34"/>
      <c r="AP39" s="34"/>
      <c r="AQ39" s="34"/>
      <c r="AR39" s="34"/>
      <c r="AS39" s="34"/>
    </row>
    <row r="40" spans="1:45" s="12" customFormat="1" ht="15.75" thickBot="1">
      <c r="A40" s="118">
        <v>31</v>
      </c>
      <c r="B40" s="119"/>
      <c r="C40" s="118"/>
      <c r="D40" s="118"/>
      <c r="E40" s="120" t="s">
        <v>61</v>
      </c>
      <c r="F40" s="120" t="s">
        <v>222</v>
      </c>
      <c r="G40" s="121" t="s">
        <v>258</v>
      </c>
      <c r="H40" s="123">
        <v>7.81</v>
      </c>
      <c r="I40" s="122">
        <v>6.38</v>
      </c>
      <c r="J40" s="124">
        <v>7.1</v>
      </c>
      <c r="K40" s="124">
        <v>12.39</v>
      </c>
      <c r="L40" s="122">
        <v>1.5</v>
      </c>
      <c r="M40" s="124">
        <v>14.280000000000001</v>
      </c>
      <c r="N40" s="122">
        <v>8</v>
      </c>
      <c r="O40" s="124">
        <v>12.443333333333333</v>
      </c>
      <c r="P40" s="122">
        <v>5</v>
      </c>
      <c r="Q40" s="124">
        <v>12.303333333333333</v>
      </c>
      <c r="R40" s="122">
        <v>2.5</v>
      </c>
      <c r="S40" s="124"/>
      <c r="T40" s="122"/>
      <c r="U40" s="124">
        <v>18.526666666666667</v>
      </c>
      <c r="V40" s="122">
        <v>8</v>
      </c>
      <c r="W40" s="124">
        <v>17.443333333333332</v>
      </c>
      <c r="X40" s="122">
        <v>11.5</v>
      </c>
      <c r="Y40" s="124">
        <v>15.166666666666666</v>
      </c>
      <c r="Z40" s="122">
        <v>6.5</v>
      </c>
      <c r="AA40" s="124">
        <v>12.806666666666667</v>
      </c>
      <c r="AB40" s="122">
        <v>4.5</v>
      </c>
      <c r="AC40" s="124">
        <v>15.68</v>
      </c>
      <c r="AD40" s="122">
        <v>5.5</v>
      </c>
      <c r="AE40" s="124"/>
      <c r="AF40" s="122"/>
      <c r="AG40" s="124">
        <v>14.89</v>
      </c>
      <c r="AH40" s="122">
        <v>15.61</v>
      </c>
      <c r="AI40" s="124"/>
      <c r="AJ40" s="122"/>
      <c r="AK40" s="124">
        <v>0</v>
      </c>
      <c r="AL40" s="122">
        <v>17.329999999999998</v>
      </c>
      <c r="AM40" s="34"/>
      <c r="AN40" s="34"/>
      <c r="AO40" s="34"/>
      <c r="AP40" s="34"/>
      <c r="AQ40" s="34"/>
      <c r="AR40" s="34"/>
      <c r="AS40" s="34"/>
    </row>
    <row r="41" spans="1:45" s="12" customFormat="1" ht="15.75" thickBot="1">
      <c r="A41" s="118">
        <v>32</v>
      </c>
      <c r="B41" s="119"/>
      <c r="C41" s="118"/>
      <c r="D41" s="118"/>
      <c r="E41" s="120" t="s">
        <v>61</v>
      </c>
      <c r="F41" s="120" t="s">
        <v>223</v>
      </c>
      <c r="G41" s="121" t="s">
        <v>259</v>
      </c>
      <c r="H41" s="123">
        <v>14.67</v>
      </c>
      <c r="I41" s="122">
        <v>11.87</v>
      </c>
      <c r="J41" s="124">
        <v>11.87</v>
      </c>
      <c r="K41" s="124">
        <v>7.8466666666666667</v>
      </c>
      <c r="L41" s="122">
        <v>7</v>
      </c>
      <c r="M41" s="124">
        <v>11.443333333333333</v>
      </c>
      <c r="N41" s="122">
        <v>14</v>
      </c>
      <c r="O41" s="124">
        <v>10.28</v>
      </c>
      <c r="P41" s="122">
        <v>10</v>
      </c>
      <c r="Q41" s="124">
        <v>10.943333333333333</v>
      </c>
      <c r="R41" s="122">
        <v>7</v>
      </c>
      <c r="S41" s="124"/>
      <c r="T41" s="122"/>
      <c r="U41" s="124">
        <v>13.163333333333332</v>
      </c>
      <c r="V41" s="122">
        <v>17</v>
      </c>
      <c r="W41" s="124">
        <v>13.11</v>
      </c>
      <c r="X41" s="122">
        <v>14.5</v>
      </c>
      <c r="Y41" s="124">
        <v>8.8333333333333339</v>
      </c>
      <c r="Z41" s="122">
        <v>13</v>
      </c>
      <c r="AA41" s="124">
        <v>8.3633333333333333</v>
      </c>
      <c r="AB41" s="122">
        <v>8</v>
      </c>
      <c r="AC41" s="124">
        <v>8.61</v>
      </c>
      <c r="AD41" s="122">
        <v>13.5</v>
      </c>
      <c r="AE41" s="124"/>
      <c r="AF41" s="122"/>
      <c r="AG41" s="124">
        <v>11.719999999999999</v>
      </c>
      <c r="AH41" s="122">
        <v>17.22</v>
      </c>
      <c r="AI41" s="124"/>
      <c r="AJ41" s="122"/>
      <c r="AK41" s="124">
        <v>17</v>
      </c>
      <c r="AL41" s="122">
        <v>19</v>
      </c>
      <c r="AM41" s="34"/>
      <c r="AN41" s="34"/>
      <c r="AO41" s="34"/>
      <c r="AP41" s="34"/>
      <c r="AQ41" s="34"/>
      <c r="AR41" s="34"/>
      <c r="AS41" s="34"/>
    </row>
    <row r="42" spans="1:45" s="12" customFormat="1" ht="15.75" thickBot="1">
      <c r="A42" s="118">
        <v>33</v>
      </c>
      <c r="B42" s="119"/>
      <c r="C42" s="118"/>
      <c r="D42" s="118"/>
      <c r="E42" s="120" t="s">
        <v>61</v>
      </c>
      <c r="F42" s="120" t="s">
        <v>224</v>
      </c>
      <c r="G42" s="121" t="s">
        <v>260</v>
      </c>
      <c r="H42" s="123">
        <v>10.4</v>
      </c>
      <c r="I42" s="122">
        <v>9.76</v>
      </c>
      <c r="J42" s="124">
        <v>10.08</v>
      </c>
      <c r="K42" s="124">
        <v>7.54</v>
      </c>
      <c r="L42" s="122">
        <v>5.5</v>
      </c>
      <c r="M42" s="124">
        <v>9.7766666666666655</v>
      </c>
      <c r="N42" s="122">
        <v>14.5</v>
      </c>
      <c r="O42" s="124">
        <v>5.8033333333333337</v>
      </c>
      <c r="P42" s="122">
        <v>10</v>
      </c>
      <c r="Q42" s="124">
        <v>6.5</v>
      </c>
      <c r="R42" s="122">
        <v>6.5</v>
      </c>
      <c r="S42" s="124"/>
      <c r="T42" s="122"/>
      <c r="U42" s="124">
        <v>10.36</v>
      </c>
      <c r="V42" s="122">
        <v>10.5</v>
      </c>
      <c r="W42" s="124">
        <v>13.083333333333334</v>
      </c>
      <c r="X42" s="122">
        <v>9</v>
      </c>
      <c r="Y42" s="124">
        <v>10.693333333333333</v>
      </c>
      <c r="Z42" s="122">
        <v>8.5</v>
      </c>
      <c r="AA42" s="124">
        <v>8.163333333333334</v>
      </c>
      <c r="AB42" s="122">
        <v>5.5</v>
      </c>
      <c r="AC42" s="124">
        <v>8.75</v>
      </c>
      <c r="AD42" s="122">
        <v>10.5</v>
      </c>
      <c r="AE42" s="124"/>
      <c r="AF42" s="122"/>
      <c r="AG42" s="124">
        <v>15.943333333333333</v>
      </c>
      <c r="AH42" s="122">
        <v>11.72</v>
      </c>
      <c r="AI42" s="124"/>
      <c r="AJ42" s="122"/>
      <c r="AK42" s="124">
        <v>18</v>
      </c>
      <c r="AL42" s="122">
        <v>17</v>
      </c>
      <c r="AM42" s="34"/>
      <c r="AN42" s="34"/>
      <c r="AO42" s="34"/>
      <c r="AP42" s="34"/>
      <c r="AQ42" s="34"/>
      <c r="AR42" s="34"/>
      <c r="AS42" s="34"/>
    </row>
    <row r="43" spans="1:45" s="12" customFormat="1" ht="15.75" thickBot="1">
      <c r="A43" s="118">
        <v>34</v>
      </c>
      <c r="B43" s="119"/>
      <c r="C43" s="118"/>
      <c r="D43" s="118"/>
      <c r="E43" s="120" t="s">
        <v>61</v>
      </c>
      <c r="F43" s="120" t="s">
        <v>225</v>
      </c>
      <c r="G43" s="121" t="s">
        <v>261</v>
      </c>
      <c r="H43" s="123">
        <v>15.47</v>
      </c>
      <c r="I43" s="122">
        <v>14.06</v>
      </c>
      <c r="J43" s="124">
        <v>14.06</v>
      </c>
      <c r="K43" s="124">
        <v>18.193333333333332</v>
      </c>
      <c r="L43" s="122">
        <v>14.5</v>
      </c>
      <c r="M43" s="124">
        <v>17.196666666666669</v>
      </c>
      <c r="N43" s="122">
        <v>16</v>
      </c>
      <c r="O43" s="124">
        <v>16.53</v>
      </c>
      <c r="P43" s="122">
        <v>11</v>
      </c>
      <c r="Q43" s="124">
        <v>17.276666666666667</v>
      </c>
      <c r="R43" s="122">
        <v>11.5</v>
      </c>
      <c r="S43" s="124"/>
      <c r="T43" s="122"/>
      <c r="U43" s="124">
        <v>19.053333333333331</v>
      </c>
      <c r="V43" s="122">
        <v>18</v>
      </c>
      <c r="W43" s="124">
        <v>17.693333333333332</v>
      </c>
      <c r="X43" s="122">
        <v>14.5</v>
      </c>
      <c r="Y43" s="124">
        <v>17.47</v>
      </c>
      <c r="Z43" s="122">
        <v>7.5</v>
      </c>
      <c r="AA43" s="124">
        <v>14.693333333333333</v>
      </c>
      <c r="AB43" s="122">
        <v>15</v>
      </c>
      <c r="AC43" s="124">
        <v>17.25</v>
      </c>
      <c r="AD43" s="122">
        <v>17</v>
      </c>
      <c r="AE43" s="124"/>
      <c r="AF43" s="122"/>
      <c r="AG43" s="124">
        <v>15.89</v>
      </c>
      <c r="AH43" s="122">
        <v>17.329999999999998</v>
      </c>
      <c r="AI43" s="124"/>
      <c r="AJ43" s="122"/>
      <c r="AK43" s="124">
        <v>18</v>
      </c>
      <c r="AL43" s="122">
        <v>17.329999999999998</v>
      </c>
      <c r="AM43" s="34"/>
      <c r="AN43" s="34"/>
      <c r="AO43" s="34"/>
      <c r="AP43" s="34"/>
      <c r="AQ43" s="34"/>
      <c r="AR43" s="34"/>
      <c r="AS43" s="34"/>
    </row>
    <row r="44" spans="1:45" s="12" customFormat="1" ht="15.75" thickBot="1">
      <c r="A44" s="118">
        <v>35</v>
      </c>
      <c r="B44" s="119"/>
      <c r="C44" s="118"/>
      <c r="D44" s="118"/>
      <c r="E44" s="120"/>
      <c r="F44" s="120" t="s">
        <v>226</v>
      </c>
      <c r="G44" s="121" t="s">
        <v>262</v>
      </c>
      <c r="H44" s="123">
        <v>11.35</v>
      </c>
      <c r="I44" s="122">
        <v>12.01</v>
      </c>
      <c r="J44" s="124">
        <v>12.01</v>
      </c>
      <c r="K44" s="124">
        <v>17.056666666666668</v>
      </c>
      <c r="L44" s="122">
        <v>3.5</v>
      </c>
      <c r="M44" s="124">
        <v>15.420000000000002</v>
      </c>
      <c r="N44" s="122">
        <v>15</v>
      </c>
      <c r="O44" s="124">
        <v>16.306666666666668</v>
      </c>
      <c r="P44" s="122">
        <v>10.5</v>
      </c>
      <c r="Q44" s="124">
        <v>15.193333333333333</v>
      </c>
      <c r="R44" s="122">
        <v>14</v>
      </c>
      <c r="S44" s="124"/>
      <c r="T44" s="122"/>
      <c r="U44" s="124">
        <v>18.026666666666667</v>
      </c>
      <c r="V44" s="122">
        <v>16</v>
      </c>
      <c r="W44" s="124">
        <v>16.306666666666668</v>
      </c>
      <c r="X44" s="122">
        <v>16.5</v>
      </c>
      <c r="Y44" s="124">
        <v>13.61</v>
      </c>
      <c r="Z44" s="122">
        <v>10.5</v>
      </c>
      <c r="AA44" s="124">
        <v>10.5</v>
      </c>
      <c r="AB44" s="122">
        <v>13</v>
      </c>
      <c r="AC44" s="124">
        <v>15.276666666666666</v>
      </c>
      <c r="AD44" s="122">
        <v>13</v>
      </c>
      <c r="AE44" s="124"/>
      <c r="AF44" s="122"/>
      <c r="AG44" s="124">
        <v>16.056666666666668</v>
      </c>
      <c r="AH44" s="122">
        <v>14</v>
      </c>
      <c r="AI44" s="124"/>
      <c r="AJ44" s="122"/>
      <c r="AK44" s="124">
        <v>17.666666666666668</v>
      </c>
      <c r="AL44" s="122">
        <v>17.670000000000002</v>
      </c>
      <c r="AM44" s="34"/>
      <c r="AN44" s="34"/>
      <c r="AO44" s="34"/>
      <c r="AP44" s="34"/>
      <c r="AQ44" s="34"/>
      <c r="AR44" s="34"/>
      <c r="AS44" s="34"/>
    </row>
    <row r="45" spans="1:45" s="12" customFormat="1" ht="15.75" thickBot="1">
      <c r="A45" s="118">
        <v>36</v>
      </c>
      <c r="B45" s="119" t="s">
        <v>45</v>
      </c>
      <c r="C45" s="118"/>
      <c r="D45" s="118" t="s">
        <v>198</v>
      </c>
      <c r="E45" s="120"/>
      <c r="F45" s="120" t="s">
        <v>178</v>
      </c>
      <c r="G45" s="121" t="s">
        <v>179</v>
      </c>
      <c r="H45" s="123">
        <v>10.45</v>
      </c>
      <c r="I45" s="122">
        <v>7.89</v>
      </c>
      <c r="J45" s="124">
        <v>9.17</v>
      </c>
      <c r="K45" s="124">
        <v>16.276666666666667</v>
      </c>
      <c r="L45" s="122">
        <v>4</v>
      </c>
      <c r="M45" s="124">
        <v>13.86</v>
      </c>
      <c r="N45" s="122">
        <v>9</v>
      </c>
      <c r="O45" s="124">
        <v>14.443333333333333</v>
      </c>
      <c r="P45" s="122">
        <v>6</v>
      </c>
      <c r="Q45" s="124">
        <v>13.64</v>
      </c>
      <c r="R45" s="122">
        <v>7</v>
      </c>
      <c r="S45" s="124"/>
      <c r="T45" s="122"/>
      <c r="U45" s="124">
        <v>15.556666666666667</v>
      </c>
      <c r="V45" s="122">
        <v>8</v>
      </c>
      <c r="W45" s="124">
        <v>16.89</v>
      </c>
      <c r="X45" s="122">
        <v>11.5</v>
      </c>
      <c r="Y45" s="124">
        <v>14.583333333333334</v>
      </c>
      <c r="Z45" s="122">
        <v>8</v>
      </c>
      <c r="AA45" s="124">
        <v>14.973333333333334</v>
      </c>
      <c r="AB45" s="122">
        <v>6.5</v>
      </c>
      <c r="AC45" s="124">
        <v>14.32</v>
      </c>
      <c r="AD45" s="122">
        <v>12.5</v>
      </c>
      <c r="AE45" s="124"/>
      <c r="AF45" s="122"/>
      <c r="AG45" s="124">
        <v>16.829999999999998</v>
      </c>
      <c r="AH45" s="122">
        <v>14.67</v>
      </c>
      <c r="AI45" s="124"/>
      <c r="AJ45" s="122"/>
      <c r="AK45" s="124">
        <v>17.666666666666668</v>
      </c>
      <c r="AL45" s="122" t="s">
        <v>83</v>
      </c>
      <c r="AM45" s="34"/>
      <c r="AN45" s="34"/>
      <c r="AO45" s="34"/>
      <c r="AP45" s="34"/>
      <c r="AQ45" s="34"/>
      <c r="AR45" s="34"/>
      <c r="AS45" s="34"/>
    </row>
    <row r="46" spans="1:45" s="12" customFormat="1" ht="15.75" thickBot="1">
      <c r="A46" s="118">
        <v>37</v>
      </c>
      <c r="B46" s="119"/>
      <c r="C46" s="118"/>
      <c r="D46" s="118" t="s">
        <v>198</v>
      </c>
      <c r="E46" s="120" t="s">
        <v>61</v>
      </c>
      <c r="F46" s="120" t="s">
        <v>196</v>
      </c>
      <c r="G46" s="121" t="s">
        <v>197</v>
      </c>
      <c r="H46" s="123">
        <v>9.4499999999999993</v>
      </c>
      <c r="I46" s="122">
        <v>8.89</v>
      </c>
      <c r="J46" s="124">
        <v>9.17</v>
      </c>
      <c r="K46" s="124">
        <v>16.569999999999997</v>
      </c>
      <c r="L46" s="122">
        <v>5</v>
      </c>
      <c r="M46" s="124">
        <v>13.696666666666667</v>
      </c>
      <c r="N46" s="122">
        <v>14</v>
      </c>
      <c r="O46" s="124">
        <v>13.636666666666665</v>
      </c>
      <c r="P46" s="122">
        <v>3</v>
      </c>
      <c r="Q46" s="124">
        <v>13</v>
      </c>
      <c r="R46" s="122">
        <v>2.5</v>
      </c>
      <c r="S46" s="124"/>
      <c r="T46" s="122"/>
      <c r="U46" s="124">
        <v>17.556666666666668</v>
      </c>
      <c r="V46" s="122">
        <v>12</v>
      </c>
      <c r="W46" s="124">
        <v>16.333333333333332</v>
      </c>
      <c r="X46" s="122">
        <v>11.5</v>
      </c>
      <c r="Y46" s="124">
        <v>15.553333333333333</v>
      </c>
      <c r="Z46" s="122">
        <v>5</v>
      </c>
      <c r="AA46" s="124">
        <v>15.969999999999999</v>
      </c>
      <c r="AB46" s="122">
        <v>11.5</v>
      </c>
      <c r="AC46" s="124">
        <v>16.666666666666668</v>
      </c>
      <c r="AD46" s="122">
        <v>11.5</v>
      </c>
      <c r="AE46" s="124"/>
      <c r="AF46" s="122"/>
      <c r="AG46" s="124">
        <v>14.5</v>
      </c>
      <c r="AH46" s="122">
        <v>13.39</v>
      </c>
      <c r="AI46" s="124"/>
      <c r="AJ46" s="122"/>
      <c r="AK46" s="124">
        <v>18</v>
      </c>
      <c r="AL46" s="122">
        <v>17.329999999999998</v>
      </c>
      <c r="AM46" s="34"/>
      <c r="AN46" s="34"/>
      <c r="AO46" s="34"/>
      <c r="AP46" s="34"/>
      <c r="AQ46" s="34"/>
      <c r="AR46" s="34"/>
      <c r="AS46" s="34"/>
    </row>
    <row r="47" spans="1:45" s="12" customFormat="1" ht="15.75" thickBot="1">
      <c r="A47" s="118">
        <v>38</v>
      </c>
      <c r="B47" s="119"/>
      <c r="C47" s="118"/>
      <c r="D47" s="118"/>
      <c r="E47" s="120"/>
      <c r="F47" s="120" t="s">
        <v>227</v>
      </c>
      <c r="G47" s="121" t="s">
        <v>263</v>
      </c>
      <c r="H47" s="123">
        <v>17.36</v>
      </c>
      <c r="I47" s="122">
        <v>14.46</v>
      </c>
      <c r="J47" s="124">
        <v>14.46</v>
      </c>
      <c r="K47" s="124">
        <v>9.6666666666666661</v>
      </c>
      <c r="L47" s="122">
        <v>11</v>
      </c>
      <c r="M47" s="124">
        <v>10.166666666666666</v>
      </c>
      <c r="N47" s="122">
        <v>13.5</v>
      </c>
      <c r="O47" s="124">
        <v>11.413333333333334</v>
      </c>
      <c r="P47" s="122">
        <v>18</v>
      </c>
      <c r="Q47" s="124">
        <v>8.8866666666666667</v>
      </c>
      <c r="R47" s="122">
        <v>16</v>
      </c>
      <c r="S47" s="124"/>
      <c r="T47" s="122"/>
      <c r="U47" s="124">
        <v>12.64</v>
      </c>
      <c r="V47" s="122">
        <v>16.5</v>
      </c>
      <c r="W47" s="124">
        <v>13.64</v>
      </c>
      <c r="X47" s="122">
        <v>11.5</v>
      </c>
      <c r="Y47" s="124">
        <v>10.89</v>
      </c>
      <c r="Z47" s="122">
        <v>11</v>
      </c>
      <c r="AA47" s="124">
        <v>9.6933333333333334</v>
      </c>
      <c r="AB47" s="122">
        <v>13.5</v>
      </c>
      <c r="AC47" s="124">
        <v>11.443333333333333</v>
      </c>
      <c r="AD47" s="122">
        <v>18.5</v>
      </c>
      <c r="AE47" s="124"/>
      <c r="AF47" s="122"/>
      <c r="AG47" s="124">
        <v>13.446666666666667</v>
      </c>
      <c r="AH47" s="122">
        <v>18.22</v>
      </c>
      <c r="AI47" s="124"/>
      <c r="AJ47" s="122"/>
      <c r="AK47" s="124">
        <v>17.333333333333332</v>
      </c>
      <c r="AL47" s="122">
        <v>18.670000000000002</v>
      </c>
      <c r="AM47" s="34"/>
      <c r="AN47" s="34"/>
      <c r="AO47" s="34"/>
      <c r="AP47" s="34"/>
      <c r="AQ47" s="34"/>
      <c r="AR47" s="34"/>
      <c r="AS47" s="34"/>
    </row>
    <row r="48" spans="1:45" s="12" customFormat="1" ht="15.75" thickBot="1">
      <c r="A48" s="118">
        <v>39</v>
      </c>
      <c r="B48" s="119"/>
      <c r="C48" s="118"/>
      <c r="D48" s="118"/>
      <c r="E48" s="120"/>
      <c r="F48" s="120" t="s">
        <v>228</v>
      </c>
      <c r="G48" s="121" t="s">
        <v>264</v>
      </c>
      <c r="H48" s="123">
        <v>9.6300000000000008</v>
      </c>
      <c r="I48" s="122">
        <v>7.25</v>
      </c>
      <c r="J48" s="124">
        <v>8.44</v>
      </c>
      <c r="K48" s="124">
        <v>7.6933333333333325</v>
      </c>
      <c r="L48" s="122">
        <v>1.5</v>
      </c>
      <c r="M48" s="124">
        <v>13.886666666666665</v>
      </c>
      <c r="N48" s="122">
        <v>13</v>
      </c>
      <c r="O48" s="124">
        <v>9.4433333333333334</v>
      </c>
      <c r="P48" s="122">
        <v>3</v>
      </c>
      <c r="Q48" s="124">
        <v>6.5566666666666675</v>
      </c>
      <c r="R48" s="122">
        <v>4.5</v>
      </c>
      <c r="S48" s="124"/>
      <c r="T48" s="122"/>
      <c r="U48" s="124">
        <v>18.86</v>
      </c>
      <c r="V48" s="122">
        <v>9.5</v>
      </c>
      <c r="W48" s="124">
        <v>15.916666666666666</v>
      </c>
      <c r="X48" s="122">
        <v>10</v>
      </c>
      <c r="Y48" s="124">
        <v>15.86</v>
      </c>
      <c r="Z48" s="122">
        <v>7</v>
      </c>
      <c r="AA48" s="124">
        <v>13.136666666666665</v>
      </c>
      <c r="AB48" s="122">
        <v>6</v>
      </c>
      <c r="AC48" s="124">
        <v>15.166666666666666</v>
      </c>
      <c r="AD48" s="122">
        <v>8</v>
      </c>
      <c r="AE48" s="124"/>
      <c r="AF48" s="122"/>
      <c r="AG48" s="124">
        <v>17.11</v>
      </c>
      <c r="AH48" s="122">
        <v>14.28</v>
      </c>
      <c r="AI48" s="124"/>
      <c r="AJ48" s="122"/>
      <c r="AK48" s="124">
        <v>18.666666666666668</v>
      </c>
      <c r="AL48" s="122" t="s">
        <v>83</v>
      </c>
      <c r="AM48" s="34"/>
      <c r="AN48" s="34"/>
      <c r="AO48" s="34"/>
      <c r="AP48" s="34"/>
      <c r="AQ48" s="34"/>
      <c r="AR48" s="34"/>
      <c r="AS48" s="34"/>
    </row>
    <row r="49" spans="1:45" s="12" customFormat="1" ht="15.75" thickBot="1">
      <c r="A49" s="118">
        <v>40</v>
      </c>
      <c r="B49" s="119"/>
      <c r="C49" s="118"/>
      <c r="D49" s="118" t="s">
        <v>198</v>
      </c>
      <c r="E49" s="120"/>
      <c r="F49" s="120" t="s">
        <v>180</v>
      </c>
      <c r="G49" s="121" t="s">
        <v>181</v>
      </c>
      <c r="H49" s="123">
        <v>10.210000000000001</v>
      </c>
      <c r="I49" s="122">
        <v>7.14</v>
      </c>
      <c r="J49" s="124">
        <v>8.68</v>
      </c>
      <c r="K49" s="124">
        <v>7.3900000000000006</v>
      </c>
      <c r="L49" s="122">
        <v>2</v>
      </c>
      <c r="M49" s="124">
        <v>9.2233333333333345</v>
      </c>
      <c r="N49" s="122">
        <v>12.5</v>
      </c>
      <c r="O49" s="124">
        <v>11.333333333333334</v>
      </c>
      <c r="P49" s="122">
        <v>3</v>
      </c>
      <c r="Q49" s="124">
        <v>9.89</v>
      </c>
      <c r="R49" s="122">
        <v>2.5</v>
      </c>
      <c r="S49" s="124"/>
      <c r="T49" s="122"/>
      <c r="U49" s="124">
        <v>13.780000000000001</v>
      </c>
      <c r="V49" s="122">
        <v>9.5</v>
      </c>
      <c r="W49" s="124">
        <v>12.86</v>
      </c>
      <c r="X49" s="122">
        <v>8.5</v>
      </c>
      <c r="Y49" s="124">
        <v>11.473333333333334</v>
      </c>
      <c r="Z49" s="122">
        <v>6</v>
      </c>
      <c r="AA49" s="124">
        <v>8.8633333333333351</v>
      </c>
      <c r="AB49" s="122">
        <v>2</v>
      </c>
      <c r="AC49" s="124">
        <v>10.416666666666666</v>
      </c>
      <c r="AD49" s="122">
        <v>10</v>
      </c>
      <c r="AE49" s="124"/>
      <c r="AF49" s="122"/>
      <c r="AG49" s="124">
        <v>12.719999999999999</v>
      </c>
      <c r="AH49" s="122">
        <v>13.61</v>
      </c>
      <c r="AI49" s="124"/>
      <c r="AJ49" s="122"/>
      <c r="AK49" s="124">
        <v>17.333333333333332</v>
      </c>
      <c r="AL49" s="122">
        <v>18</v>
      </c>
      <c r="AM49" s="34"/>
      <c r="AN49" s="34"/>
      <c r="AO49" s="34"/>
      <c r="AP49" s="34"/>
      <c r="AQ49" s="34"/>
      <c r="AR49" s="34"/>
      <c r="AS49" s="34"/>
    </row>
    <row r="50" spans="1:45" s="12" customFormat="1" ht="15.75" thickBot="1">
      <c r="A50" s="118">
        <v>41</v>
      </c>
      <c r="B50" s="119"/>
      <c r="C50" s="118"/>
      <c r="D50" s="118"/>
      <c r="E50" s="120"/>
      <c r="F50" s="120" t="s">
        <v>229</v>
      </c>
      <c r="G50" s="121" t="s">
        <v>265</v>
      </c>
      <c r="H50" s="123">
        <v>14.18</v>
      </c>
      <c r="I50" s="122">
        <v>13.36</v>
      </c>
      <c r="J50" s="124">
        <v>13.36</v>
      </c>
      <c r="K50" s="124">
        <v>5.5166666666666666</v>
      </c>
      <c r="L50" s="122">
        <v>10</v>
      </c>
      <c r="M50" s="124">
        <v>12.863333333333335</v>
      </c>
      <c r="N50" s="122">
        <v>16.5</v>
      </c>
      <c r="O50" s="124">
        <v>6.8033333333333337</v>
      </c>
      <c r="P50" s="122">
        <v>13.5</v>
      </c>
      <c r="Q50" s="124">
        <v>8.4433333333333334</v>
      </c>
      <c r="R50" s="122">
        <v>9</v>
      </c>
      <c r="S50" s="124"/>
      <c r="T50" s="122"/>
      <c r="U50" s="124">
        <v>13.196666666666667</v>
      </c>
      <c r="V50" s="122">
        <v>14.5</v>
      </c>
      <c r="W50" s="124">
        <v>9.9700000000000006</v>
      </c>
      <c r="X50" s="122">
        <v>14</v>
      </c>
      <c r="Y50" s="124">
        <v>8.5</v>
      </c>
      <c r="Z50" s="122">
        <v>11</v>
      </c>
      <c r="AA50" s="124">
        <v>8.7799999999999994</v>
      </c>
      <c r="AB50" s="122">
        <v>14.5</v>
      </c>
      <c r="AC50" s="124">
        <v>10.916666666666666</v>
      </c>
      <c r="AD50" s="122">
        <v>16.5</v>
      </c>
      <c r="AE50" s="124"/>
      <c r="AF50" s="122"/>
      <c r="AG50" s="124">
        <v>14.280000000000001</v>
      </c>
      <c r="AH50" s="122">
        <v>14.89</v>
      </c>
      <c r="AI50" s="124"/>
      <c r="AJ50" s="122"/>
      <c r="AK50" s="124">
        <v>0</v>
      </c>
      <c r="AL50" s="122" t="s">
        <v>83</v>
      </c>
      <c r="AM50" s="34"/>
      <c r="AN50" s="34"/>
      <c r="AO50" s="34"/>
      <c r="AP50" s="34"/>
      <c r="AQ50" s="34"/>
      <c r="AR50" s="34"/>
      <c r="AS50" s="34"/>
    </row>
    <row r="51" spans="1:45" s="12" customFormat="1" ht="15.75" thickBot="1">
      <c r="A51" s="118">
        <v>42</v>
      </c>
      <c r="B51" s="119"/>
      <c r="C51" s="118"/>
      <c r="D51" s="118"/>
      <c r="E51" s="120"/>
      <c r="F51" s="120" t="s">
        <v>230</v>
      </c>
      <c r="G51" s="121" t="s">
        <v>266</v>
      </c>
      <c r="H51" s="123">
        <v>12.05</v>
      </c>
      <c r="I51" s="122">
        <v>9.8000000000000007</v>
      </c>
      <c r="J51" s="124">
        <v>10.93</v>
      </c>
      <c r="K51" s="124">
        <v>16.583333333333332</v>
      </c>
      <c r="L51" s="122">
        <v>7</v>
      </c>
      <c r="M51" s="124">
        <v>12.193333333333333</v>
      </c>
      <c r="N51" s="122">
        <v>14</v>
      </c>
      <c r="O51" s="124">
        <v>4.8600000000000003</v>
      </c>
      <c r="P51" s="122">
        <v>4</v>
      </c>
      <c r="Q51" s="124">
        <v>14.079999999999998</v>
      </c>
      <c r="R51" s="122">
        <v>4</v>
      </c>
      <c r="S51" s="124"/>
      <c r="T51" s="122"/>
      <c r="U51" s="124">
        <v>14.196666666666667</v>
      </c>
      <c r="V51" s="122">
        <v>10.5</v>
      </c>
      <c r="W51" s="124">
        <v>13.829999999999998</v>
      </c>
      <c r="X51" s="122">
        <v>11.5</v>
      </c>
      <c r="Y51" s="124">
        <v>9.9433333333333334</v>
      </c>
      <c r="Z51" s="122">
        <v>7</v>
      </c>
      <c r="AA51" s="124">
        <v>9.3033333333333328</v>
      </c>
      <c r="AB51" s="122">
        <v>8</v>
      </c>
      <c r="AC51" s="124">
        <v>14.056666666666667</v>
      </c>
      <c r="AD51" s="122">
        <v>16</v>
      </c>
      <c r="AE51" s="124"/>
      <c r="AF51" s="122"/>
      <c r="AG51" s="124">
        <v>15.833333333333334</v>
      </c>
      <c r="AH51" s="122">
        <v>16.89</v>
      </c>
      <c r="AI51" s="124"/>
      <c r="AJ51" s="122"/>
      <c r="AK51" s="124">
        <v>18</v>
      </c>
      <c r="AL51" s="122">
        <v>18.329999999999998</v>
      </c>
      <c r="AM51" s="34"/>
      <c r="AN51" s="34"/>
      <c r="AO51" s="34"/>
      <c r="AP51" s="34"/>
      <c r="AQ51" s="34"/>
      <c r="AR51" s="34"/>
      <c r="AS51" s="34"/>
    </row>
    <row r="52" spans="1:45" s="12" customFormat="1" ht="15.75" thickBot="1">
      <c r="A52" s="118">
        <v>43</v>
      </c>
      <c r="B52" s="119"/>
      <c r="C52" s="118"/>
      <c r="D52" s="118" t="s">
        <v>198</v>
      </c>
      <c r="E52" s="120" t="s">
        <v>61</v>
      </c>
      <c r="F52" s="120" t="s">
        <v>188</v>
      </c>
      <c r="G52" s="121" t="s">
        <v>171</v>
      </c>
      <c r="H52" s="123">
        <v>10.53</v>
      </c>
      <c r="I52" s="122">
        <v>8.93</v>
      </c>
      <c r="J52" s="124">
        <v>9.73</v>
      </c>
      <c r="K52" s="124">
        <v>8.6533333333333342</v>
      </c>
      <c r="L52" s="122">
        <v>4</v>
      </c>
      <c r="M52" s="124">
        <v>12.14</v>
      </c>
      <c r="N52" s="122">
        <v>11.5</v>
      </c>
      <c r="O52" s="124">
        <v>6.72</v>
      </c>
      <c r="P52" s="122">
        <v>6</v>
      </c>
      <c r="Q52" s="124">
        <v>8.7766666666666655</v>
      </c>
      <c r="R52" s="122">
        <v>8.5</v>
      </c>
      <c r="S52" s="124"/>
      <c r="T52" s="122"/>
      <c r="U52" s="124">
        <v>14.556666666666667</v>
      </c>
      <c r="V52" s="122">
        <v>12</v>
      </c>
      <c r="W52" s="124">
        <v>12.806666666666667</v>
      </c>
      <c r="X52" s="122">
        <v>11</v>
      </c>
      <c r="Y52" s="124">
        <v>11.276666666666666</v>
      </c>
      <c r="Z52" s="122">
        <v>7.5</v>
      </c>
      <c r="AA52" s="124">
        <v>9.6666666666666661</v>
      </c>
      <c r="AB52" s="122">
        <v>8.5</v>
      </c>
      <c r="AC52" s="124">
        <v>9.8333333333333339</v>
      </c>
      <c r="AD52" s="122">
        <v>9.5</v>
      </c>
      <c r="AE52" s="124"/>
      <c r="AF52" s="122"/>
      <c r="AG52" s="124">
        <v>15.556666666666667</v>
      </c>
      <c r="AH52" s="122">
        <v>12.72</v>
      </c>
      <c r="AI52" s="124"/>
      <c r="AJ52" s="122"/>
      <c r="AK52" s="124">
        <v>17.666666666666668</v>
      </c>
      <c r="AL52" s="122">
        <v>17.329999999999998</v>
      </c>
      <c r="AM52" s="34"/>
      <c r="AN52" s="34"/>
      <c r="AO52" s="34"/>
      <c r="AP52" s="34"/>
      <c r="AQ52" s="34"/>
      <c r="AR52" s="34"/>
      <c r="AS52" s="34"/>
    </row>
    <row r="53" spans="1:45" s="12" customFormat="1" ht="15.75" thickBot="1">
      <c r="A53" s="118">
        <v>44</v>
      </c>
      <c r="B53" s="119"/>
      <c r="C53" s="118"/>
      <c r="D53" s="118"/>
      <c r="E53" s="120"/>
      <c r="F53" s="120" t="s">
        <v>231</v>
      </c>
      <c r="G53" s="121" t="s">
        <v>267</v>
      </c>
      <c r="H53" s="123">
        <v>14.89</v>
      </c>
      <c r="I53" s="122">
        <v>13.08</v>
      </c>
      <c r="J53" s="124">
        <v>13.08</v>
      </c>
      <c r="K53" s="124">
        <v>4.6800000000000006</v>
      </c>
      <c r="L53" s="122">
        <v>10</v>
      </c>
      <c r="M53" s="124">
        <v>12.943333333333333</v>
      </c>
      <c r="N53" s="122">
        <v>12</v>
      </c>
      <c r="O53" s="124">
        <v>8.9466666666666672</v>
      </c>
      <c r="P53" s="122">
        <v>11.5</v>
      </c>
      <c r="Q53" s="124">
        <v>10.36</v>
      </c>
      <c r="R53" s="122">
        <v>16</v>
      </c>
      <c r="S53" s="124"/>
      <c r="T53" s="122"/>
      <c r="U53" s="124">
        <v>14.39</v>
      </c>
      <c r="V53" s="122">
        <v>15.5</v>
      </c>
      <c r="W53" s="124">
        <v>11.723333333333334</v>
      </c>
      <c r="X53" s="122">
        <v>16</v>
      </c>
      <c r="Y53" s="124">
        <v>9</v>
      </c>
      <c r="Z53" s="122">
        <v>13</v>
      </c>
      <c r="AA53" s="124">
        <v>8.75</v>
      </c>
      <c r="AB53" s="122">
        <v>10.5</v>
      </c>
      <c r="AC53" s="124">
        <v>9.4433333333333334</v>
      </c>
      <c r="AD53" s="122">
        <v>16</v>
      </c>
      <c r="AE53" s="124"/>
      <c r="AF53" s="122"/>
      <c r="AG53" s="124">
        <v>14.553333333333333</v>
      </c>
      <c r="AH53" s="122">
        <v>16.829999999999998</v>
      </c>
      <c r="AI53" s="124"/>
      <c r="AJ53" s="122"/>
      <c r="AK53" s="124">
        <v>18.666666666666668</v>
      </c>
      <c r="AL53" s="122">
        <v>17.670000000000002</v>
      </c>
      <c r="AM53" s="34"/>
      <c r="AN53" s="34"/>
      <c r="AO53" s="34"/>
      <c r="AP53" s="34"/>
      <c r="AQ53" s="34"/>
      <c r="AR53" s="34"/>
      <c r="AS53" s="34"/>
    </row>
    <row r="54" spans="1:45" s="12" customFormat="1" ht="15.75" thickBot="1">
      <c r="A54" s="118">
        <v>45</v>
      </c>
      <c r="B54" s="119"/>
      <c r="C54" s="118"/>
      <c r="D54" s="118"/>
      <c r="E54" s="120" t="s">
        <v>61</v>
      </c>
      <c r="F54" s="120" t="s">
        <v>232</v>
      </c>
      <c r="G54" s="121" t="s">
        <v>268</v>
      </c>
      <c r="H54" s="123">
        <v>9.94</v>
      </c>
      <c r="I54" s="122">
        <v>7.43</v>
      </c>
      <c r="J54" s="124">
        <v>8.69</v>
      </c>
      <c r="K54" s="124">
        <v>14.043333333333335</v>
      </c>
      <c r="L54" s="122">
        <v>3</v>
      </c>
      <c r="M54" s="124">
        <v>15.723333333333334</v>
      </c>
      <c r="N54" s="122">
        <v>9.5</v>
      </c>
      <c r="O54" s="124">
        <v>12.11</v>
      </c>
      <c r="P54" s="122">
        <v>7</v>
      </c>
      <c r="Q54" s="124">
        <v>12.25</v>
      </c>
      <c r="R54" s="122">
        <v>5.5</v>
      </c>
      <c r="S54" s="124"/>
      <c r="T54" s="122"/>
      <c r="U54" s="124">
        <v>17.08666666666667</v>
      </c>
      <c r="V54" s="122">
        <v>4</v>
      </c>
      <c r="W54" s="124">
        <v>16.443333333333332</v>
      </c>
      <c r="X54" s="122">
        <v>9.5</v>
      </c>
      <c r="Y54" s="124">
        <v>14.39</v>
      </c>
      <c r="Z54" s="122">
        <v>8.5</v>
      </c>
      <c r="AA54" s="124">
        <v>11.473333333333334</v>
      </c>
      <c r="AB54" s="122">
        <v>5</v>
      </c>
      <c r="AC54" s="124">
        <v>16</v>
      </c>
      <c r="AD54" s="122">
        <v>9</v>
      </c>
      <c r="AE54" s="124"/>
      <c r="AF54" s="122"/>
      <c r="AG54" s="124">
        <v>17.223333333333333</v>
      </c>
      <c r="AH54" s="122">
        <v>14.28</v>
      </c>
      <c r="AI54" s="124"/>
      <c r="AJ54" s="122"/>
      <c r="AK54" s="124">
        <v>19</v>
      </c>
      <c r="AL54" s="122">
        <v>16.329999999999998</v>
      </c>
      <c r="AM54" s="34"/>
      <c r="AN54" s="34"/>
      <c r="AO54" s="34"/>
      <c r="AP54" s="34"/>
      <c r="AQ54" s="34"/>
      <c r="AR54" s="34"/>
      <c r="AS54" s="34"/>
    </row>
    <row r="55" spans="1:45" s="12" customFormat="1" ht="15.75" thickBot="1">
      <c r="A55" s="118">
        <v>46</v>
      </c>
      <c r="B55" s="119"/>
      <c r="C55" s="118"/>
      <c r="D55" s="118"/>
      <c r="E55" s="120" t="s">
        <v>61</v>
      </c>
      <c r="F55" s="120" t="s">
        <v>233</v>
      </c>
      <c r="G55" s="121" t="s">
        <v>269</v>
      </c>
      <c r="H55" s="123">
        <v>15.53</v>
      </c>
      <c r="I55" s="122">
        <v>14.82</v>
      </c>
      <c r="J55" s="124">
        <v>14.82</v>
      </c>
      <c r="K55" s="124">
        <v>10.166666666666666</v>
      </c>
      <c r="L55" s="122">
        <v>12</v>
      </c>
      <c r="M55" s="124">
        <v>15.333333333333334</v>
      </c>
      <c r="N55" s="122">
        <v>17.5</v>
      </c>
      <c r="O55" s="124">
        <v>9.4433333333333334</v>
      </c>
      <c r="P55" s="122">
        <v>12.5</v>
      </c>
      <c r="Q55" s="124">
        <v>7.47</v>
      </c>
      <c r="R55" s="122">
        <v>11.5</v>
      </c>
      <c r="S55" s="124"/>
      <c r="T55" s="122"/>
      <c r="U55" s="124">
        <v>13.833333333333334</v>
      </c>
      <c r="V55" s="122">
        <v>13</v>
      </c>
      <c r="W55" s="124">
        <v>15.193333333333333</v>
      </c>
      <c r="X55" s="122">
        <v>18</v>
      </c>
      <c r="Y55" s="124">
        <v>11</v>
      </c>
      <c r="Z55" s="122">
        <v>14.5</v>
      </c>
      <c r="AA55" s="124">
        <v>7.8866666666666658</v>
      </c>
      <c r="AB55" s="122">
        <v>16.5</v>
      </c>
      <c r="AC55" s="124">
        <v>13.030000000000001</v>
      </c>
      <c r="AD55" s="122">
        <v>17</v>
      </c>
      <c r="AE55" s="124"/>
      <c r="AF55" s="122"/>
      <c r="AG55" s="124">
        <v>16.556666666666668</v>
      </c>
      <c r="AH55" s="122">
        <v>16.61</v>
      </c>
      <c r="AI55" s="124"/>
      <c r="AJ55" s="122"/>
      <c r="AK55" s="124">
        <v>18.333333333333332</v>
      </c>
      <c r="AL55" s="122">
        <v>18.329999999999998</v>
      </c>
      <c r="AM55" s="34"/>
      <c r="AN55" s="34"/>
      <c r="AO55" s="34"/>
      <c r="AP55" s="34"/>
      <c r="AQ55" s="34"/>
      <c r="AR55" s="34"/>
      <c r="AS55" s="34"/>
    </row>
    <row r="56" spans="1:45" s="12" customFormat="1" ht="15.75" thickBot="1">
      <c r="A56" s="118">
        <v>47</v>
      </c>
      <c r="B56" s="119"/>
      <c r="C56" s="118"/>
      <c r="D56" s="118"/>
      <c r="E56" s="120"/>
      <c r="F56" s="120" t="s">
        <v>234</v>
      </c>
      <c r="G56" s="121" t="s">
        <v>270</v>
      </c>
      <c r="H56" s="123">
        <v>9.9</v>
      </c>
      <c r="I56" s="122">
        <v>8.85</v>
      </c>
      <c r="J56" s="124">
        <v>9.3800000000000008</v>
      </c>
      <c r="K56" s="124">
        <v>15.623333333333333</v>
      </c>
      <c r="L56" s="122">
        <v>2</v>
      </c>
      <c r="M56" s="124">
        <v>12.886666666666665</v>
      </c>
      <c r="N56" s="122">
        <v>10</v>
      </c>
      <c r="O56" s="124">
        <v>12.636666666666665</v>
      </c>
      <c r="P56" s="122">
        <v>8</v>
      </c>
      <c r="Q56" s="124">
        <v>12.969999999999999</v>
      </c>
      <c r="R56" s="122">
        <v>6</v>
      </c>
      <c r="S56" s="124"/>
      <c r="T56" s="122"/>
      <c r="U56" s="124">
        <v>16.5</v>
      </c>
      <c r="V56" s="122">
        <v>14.5</v>
      </c>
      <c r="W56" s="124">
        <v>16.97</v>
      </c>
      <c r="X56" s="122">
        <v>11</v>
      </c>
      <c r="Y56" s="124">
        <v>13.083333333333334</v>
      </c>
      <c r="Z56" s="122">
        <v>8</v>
      </c>
      <c r="AA56" s="124">
        <v>10.36</v>
      </c>
      <c r="AB56" s="122">
        <v>10</v>
      </c>
      <c r="AC56" s="124">
        <v>13.706666666666665</v>
      </c>
      <c r="AD56" s="122">
        <v>11</v>
      </c>
      <c r="AE56" s="124"/>
      <c r="AF56" s="122"/>
      <c r="AG56" s="124">
        <v>15.833333333333334</v>
      </c>
      <c r="AH56" s="122">
        <v>11.89</v>
      </c>
      <c r="AI56" s="124"/>
      <c r="AJ56" s="122"/>
      <c r="AK56" s="124">
        <v>17.666666666666668</v>
      </c>
      <c r="AL56" s="122">
        <v>18.329999999999998</v>
      </c>
      <c r="AM56" s="34"/>
      <c r="AN56" s="34"/>
      <c r="AO56" s="34"/>
      <c r="AP56" s="34"/>
      <c r="AQ56" s="34"/>
      <c r="AR56" s="34"/>
      <c r="AS56" s="34"/>
    </row>
  </sheetData>
  <sortState ref="A8:AL56">
    <sortCondition ref="F10"/>
  </sortState>
  <mergeCells count="32">
    <mergeCell ref="S8:T8"/>
    <mergeCell ref="AE8:AF8"/>
    <mergeCell ref="AG8:AH8"/>
    <mergeCell ref="AI8:AJ8"/>
    <mergeCell ref="AK8:AL8"/>
    <mergeCell ref="U8:V8"/>
    <mergeCell ref="W8:X8"/>
    <mergeCell ref="Y8:Z8"/>
    <mergeCell ref="AA8:AB8"/>
    <mergeCell ref="AC8:AD8"/>
    <mergeCell ref="J8:J9"/>
    <mergeCell ref="K8:L8"/>
    <mergeCell ref="M8:N8"/>
    <mergeCell ref="O8:P8"/>
    <mergeCell ref="Q8:R8"/>
    <mergeCell ref="E8:E9"/>
    <mergeCell ref="F8:F9"/>
    <mergeCell ref="G8:G9"/>
    <mergeCell ref="H8:H9"/>
    <mergeCell ref="I8:I9"/>
    <mergeCell ref="B5:C5"/>
    <mergeCell ref="A8:A9"/>
    <mergeCell ref="B8:B9"/>
    <mergeCell ref="C8:C9"/>
    <mergeCell ref="D8:D9"/>
    <mergeCell ref="J2:S2"/>
    <mergeCell ref="J6:AL6"/>
    <mergeCell ref="E5:F5"/>
    <mergeCell ref="I4:J4"/>
    <mergeCell ref="I5:J5"/>
    <mergeCell ref="F3:G3"/>
    <mergeCell ref="F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63"/>
  <sheetViews>
    <sheetView rightToLeft="1" topLeftCell="R1" workbookViewId="0">
      <selection activeCell="AC2" sqref="AC2"/>
    </sheetView>
  </sheetViews>
  <sheetFormatPr baseColWidth="10" defaultColWidth="11.42578125" defaultRowHeight="15" customHeight="1"/>
  <cols>
    <col min="1" max="1" width="5.5703125" style="24" customWidth="1"/>
    <col min="2" max="4" width="4.28515625" style="41" customWidth="1"/>
    <col min="5" max="5" width="27.28515625" style="17" customWidth="1"/>
    <col min="6" max="6" width="5.85546875" style="63" customWidth="1"/>
    <col min="7" max="7" width="9.28515625" style="63" customWidth="1"/>
    <col min="8" max="8" width="9.28515625" style="68" customWidth="1"/>
    <col min="9" max="16" width="9.28515625" style="63" customWidth="1"/>
    <col min="17" max="17" width="1.28515625" style="63" customWidth="1"/>
    <col min="18" max="18" width="22.7109375" style="63" customWidth="1"/>
    <col min="19" max="19" width="6.140625" style="63" customWidth="1"/>
    <col min="20" max="20" width="7.140625" style="63" customWidth="1"/>
    <col min="21" max="21" width="7.85546875" style="63" customWidth="1"/>
    <col min="22" max="22" width="7.42578125" style="68" customWidth="1"/>
    <col min="23" max="23" width="7.85546875" style="17" customWidth="1"/>
    <col min="24" max="24" width="7.85546875" style="41" customWidth="1"/>
    <col min="25" max="25" width="7.85546875" style="17" customWidth="1"/>
    <col min="26" max="26" width="7.5703125" style="17" customWidth="1"/>
    <col min="27" max="27" width="6.85546875" style="17" customWidth="1"/>
    <col min="28" max="28" width="7.7109375" style="17" customWidth="1"/>
    <col min="29" max="29" width="7.85546875" style="17" customWidth="1"/>
    <col min="30" max="30" width="6.140625" style="17" customWidth="1"/>
    <col min="31" max="31" width="8.7109375" style="17" customWidth="1"/>
    <col min="32" max="32" width="8.28515625" style="17" customWidth="1"/>
    <col min="33" max="34" width="11.42578125" style="125"/>
    <col min="35" max="35" width="16" style="17" customWidth="1"/>
    <col min="36" max="36" width="16.7109375" style="25" customWidth="1"/>
    <col min="37" max="37" width="11.42578125" style="25"/>
    <col min="38" max="38" width="15.85546875" style="25" customWidth="1"/>
    <col min="39" max="39" width="15.5703125" style="25" customWidth="1"/>
    <col min="41" max="41" width="15.140625" customWidth="1"/>
    <col min="42" max="42" width="15.5703125" customWidth="1"/>
    <col min="44" max="44" width="13" bestFit="1" customWidth="1"/>
    <col min="45" max="45" width="11.42578125" style="1"/>
  </cols>
  <sheetData>
    <row r="1" spans="1:39" s="14" customFormat="1" ht="17.25" thickBot="1">
      <c r="A1" s="38"/>
      <c r="B1" s="39"/>
      <c r="C1" s="39"/>
      <c r="D1" s="39"/>
      <c r="E1" s="40"/>
      <c r="F1" s="40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127"/>
      <c r="AH1" s="127"/>
      <c r="AI1" s="39"/>
      <c r="AJ1" s="27"/>
      <c r="AK1" s="27"/>
      <c r="AL1" s="27"/>
      <c r="AM1" s="27"/>
    </row>
    <row r="2" spans="1:39" s="15" customFormat="1" ht="19.5" thickTop="1" thickBot="1">
      <c r="A2" s="24"/>
      <c r="B2" s="41"/>
      <c r="C2" s="41"/>
      <c r="D2" s="41"/>
      <c r="E2" s="325" t="s">
        <v>117</v>
      </c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41"/>
      <c r="Q2" s="39"/>
      <c r="R2" s="326" t="s">
        <v>274</v>
      </c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42" t="s">
        <v>164</v>
      </c>
      <c r="AD2" s="43">
        <f>COUNTIF(AH5:AH51,"يعيد")</f>
        <v>8</v>
      </c>
      <c r="AE2" s="42" t="s">
        <v>165</v>
      </c>
      <c r="AF2" s="43">
        <f>COUNTIF(AH5:AH51,"يوجه")</f>
        <v>6</v>
      </c>
      <c r="AG2" s="126"/>
      <c r="AH2" s="126"/>
      <c r="AI2" s="41"/>
      <c r="AJ2" s="26"/>
      <c r="AK2" s="26"/>
      <c r="AL2" s="26"/>
      <c r="AM2" s="26"/>
    </row>
    <row r="3" spans="1:39" s="15" customFormat="1" ht="17.25" thickBot="1">
      <c r="A3" s="24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39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126"/>
      <c r="AH3" s="126"/>
      <c r="AI3" s="41"/>
      <c r="AJ3" s="26"/>
      <c r="AK3" s="26"/>
      <c r="AL3" s="26"/>
      <c r="AM3" s="26"/>
    </row>
    <row r="4" spans="1:39" s="16" customFormat="1" ht="15" customHeight="1" thickBot="1">
      <c r="A4" s="44" t="s">
        <v>69</v>
      </c>
      <c r="B4" s="45" t="s">
        <v>45</v>
      </c>
      <c r="C4" s="45" t="s">
        <v>55</v>
      </c>
      <c r="D4" s="45" t="s">
        <v>123</v>
      </c>
      <c r="E4" s="46" t="s">
        <v>84</v>
      </c>
      <c r="F4" s="45" t="s">
        <v>1</v>
      </c>
      <c r="G4" s="46" t="s">
        <v>85</v>
      </c>
      <c r="H4" s="46" t="s">
        <v>86</v>
      </c>
      <c r="I4" s="46" t="s">
        <v>87</v>
      </c>
      <c r="J4" s="46" t="s">
        <v>14</v>
      </c>
      <c r="K4" s="46" t="s">
        <v>88</v>
      </c>
      <c r="L4" s="46" t="s">
        <v>63</v>
      </c>
      <c r="M4" s="46" t="s">
        <v>16</v>
      </c>
      <c r="N4" s="46" t="s">
        <v>17</v>
      </c>
      <c r="O4" s="46" t="s">
        <v>89</v>
      </c>
      <c r="P4" s="46" t="s">
        <v>92</v>
      </c>
      <c r="Q4" s="323"/>
      <c r="R4" s="47" t="s">
        <v>84</v>
      </c>
      <c r="S4" s="47" t="s">
        <v>1</v>
      </c>
      <c r="T4" s="47" t="s">
        <v>13</v>
      </c>
      <c r="U4" s="47" t="s">
        <v>18</v>
      </c>
      <c r="V4" s="47" t="s">
        <v>28</v>
      </c>
      <c r="W4" s="47" t="s">
        <v>14</v>
      </c>
      <c r="X4" s="47" t="s">
        <v>88</v>
      </c>
      <c r="Y4" s="47" t="s">
        <v>91</v>
      </c>
      <c r="Z4" s="47" t="s">
        <v>16</v>
      </c>
      <c r="AA4" s="47" t="s">
        <v>17</v>
      </c>
      <c r="AB4" s="47" t="s">
        <v>89</v>
      </c>
      <c r="AC4" s="48" t="s">
        <v>120</v>
      </c>
      <c r="AD4" s="48" t="s">
        <v>121</v>
      </c>
      <c r="AE4" s="47" t="s">
        <v>59</v>
      </c>
      <c r="AF4" s="49"/>
      <c r="AG4" s="130" t="s">
        <v>155</v>
      </c>
      <c r="AH4" s="130" t="s">
        <v>156</v>
      </c>
      <c r="AI4" s="49"/>
      <c r="AJ4" s="28"/>
      <c r="AK4" s="28"/>
      <c r="AL4" s="28"/>
      <c r="AM4" s="28"/>
    </row>
    <row r="5" spans="1:39" s="1" customFormat="1" ht="12.95" customHeight="1" thickBot="1">
      <c r="A5" s="50">
        <f>'نتائج الشهادة من الرقمنة'!A36</f>
        <v>27</v>
      </c>
      <c r="B5" s="51">
        <f>'نتائج الشهادة من الرقمنة'!B36</f>
        <v>0</v>
      </c>
      <c r="C5" s="51">
        <f>'نتائج الشهادة من الرقمنة'!C36</f>
        <v>0</v>
      </c>
      <c r="D5" s="51">
        <f>'نتائج الشهادة من الرقمنة'!D36</f>
        <v>0</v>
      </c>
      <c r="E5" s="52" t="str">
        <f>'نتائج الشهادة من الرقمنة'!F36</f>
        <v>أحسن فاطيمة الزهرة</v>
      </c>
      <c r="F5" s="52">
        <f>'نتائج الشهادة من الرقمنة'!E36</f>
        <v>0</v>
      </c>
      <c r="G5" s="53">
        <f>'نتائج الشهادة من الرقمنة'!N36</f>
        <v>13.5</v>
      </c>
      <c r="H5" s="53">
        <f>'نتائج الشهادة من الرقمنة'!P36</f>
        <v>7.5</v>
      </c>
      <c r="I5" s="53">
        <f>'نتائج الشهادة من الرقمنة'!R36</f>
        <v>6</v>
      </c>
      <c r="J5" s="53">
        <f>'نتائج الشهادة من الرقمنة'!V36</f>
        <v>5.5</v>
      </c>
      <c r="K5" s="53">
        <f>'نتائج الشهادة من الرقمنة'!X36</f>
        <v>10.5</v>
      </c>
      <c r="L5" s="53">
        <f>'نتائج الشهادة من الرقمنة'!Z36</f>
        <v>8.5</v>
      </c>
      <c r="M5" s="53">
        <f>'نتائج الشهادة من الرقمنة'!L36</f>
        <v>3.5</v>
      </c>
      <c r="N5" s="53">
        <f>'نتائج الشهادة من الرقمنة'!AB36</f>
        <v>6</v>
      </c>
      <c r="O5" s="53">
        <f>'نتائج الشهادة من الرقمنة'!AD36</f>
        <v>7</v>
      </c>
      <c r="P5" s="44">
        <f>'نتائج الشهادة من الرقمنة'!I36</f>
        <v>8.59</v>
      </c>
      <c r="Q5" s="324"/>
      <c r="R5" s="54" t="str">
        <f>E5</f>
        <v>أحسن فاطيمة الزهرة</v>
      </c>
      <c r="S5" s="54">
        <f>F5</f>
        <v>0</v>
      </c>
      <c r="T5" s="55">
        <v>10.67</v>
      </c>
      <c r="U5" s="55">
        <v>8.17</v>
      </c>
      <c r="V5" s="55">
        <v>8.67</v>
      </c>
      <c r="W5" s="55">
        <v>8</v>
      </c>
      <c r="X5" s="55">
        <v>12.75</v>
      </c>
      <c r="Y5" s="55">
        <v>9.83</v>
      </c>
      <c r="Z5" s="55">
        <v>7</v>
      </c>
      <c r="AA5" s="55">
        <v>0</v>
      </c>
      <c r="AB5" s="55">
        <v>8.33</v>
      </c>
      <c r="AC5" s="56">
        <v>15.67</v>
      </c>
      <c r="AD5" s="55">
        <v>19</v>
      </c>
      <c r="AE5" s="57">
        <v>9.08</v>
      </c>
      <c r="AF5" s="17"/>
      <c r="AG5" s="128">
        <f>'نتائج الشهادة من الرقمنة'!J10</f>
        <v>11.76</v>
      </c>
      <c r="AH5" s="58" t="s">
        <v>164</v>
      </c>
      <c r="AI5" s="17"/>
      <c r="AJ5" s="25"/>
      <c r="AK5" s="25"/>
      <c r="AL5" s="25"/>
      <c r="AM5" s="25"/>
    </row>
    <row r="6" spans="1:39" s="4" customFormat="1" ht="12.95" customHeight="1" thickBot="1">
      <c r="A6" s="50">
        <f>'نتائج الشهادة من الرقمنة'!A51</f>
        <v>42</v>
      </c>
      <c r="B6" s="51">
        <f>'نتائج الشهادة من الرقمنة'!B51</f>
        <v>0</v>
      </c>
      <c r="C6" s="51">
        <f>'نتائج الشهادة من الرقمنة'!C51</f>
        <v>0</v>
      </c>
      <c r="D6" s="51">
        <f>'نتائج الشهادة من الرقمنة'!D51</f>
        <v>0</v>
      </c>
      <c r="E6" s="52" t="str">
        <f>'نتائج الشهادة من الرقمنة'!F51</f>
        <v>البريشي هبة الله</v>
      </c>
      <c r="F6" s="52">
        <f>'نتائج الشهادة من الرقمنة'!E51</f>
        <v>0</v>
      </c>
      <c r="G6" s="53">
        <f>'نتائج الشهادة من الرقمنة'!N51</f>
        <v>14</v>
      </c>
      <c r="H6" s="53">
        <f>'نتائج الشهادة من الرقمنة'!P51</f>
        <v>4</v>
      </c>
      <c r="I6" s="53">
        <f>'نتائج الشهادة من الرقمنة'!R51</f>
        <v>4</v>
      </c>
      <c r="J6" s="53">
        <f>'نتائج الشهادة من الرقمنة'!V51</f>
        <v>10.5</v>
      </c>
      <c r="K6" s="53">
        <f>'نتائج الشهادة من الرقمنة'!X51</f>
        <v>11.5</v>
      </c>
      <c r="L6" s="53">
        <f>'نتائج الشهادة من الرقمنة'!Z51</f>
        <v>7</v>
      </c>
      <c r="M6" s="53">
        <f>'نتائج الشهادة من الرقمنة'!L51</f>
        <v>7</v>
      </c>
      <c r="N6" s="53">
        <f>'نتائج الشهادة من الرقمنة'!AB51</f>
        <v>8</v>
      </c>
      <c r="O6" s="53">
        <f>'نتائج الشهادة من الرقمنة'!AD51</f>
        <v>16</v>
      </c>
      <c r="P6" s="44">
        <f>'نتائج الشهادة من الرقمنة'!I51</f>
        <v>9.8000000000000007</v>
      </c>
      <c r="Q6" s="324"/>
      <c r="R6" s="54" t="str">
        <f t="shared" ref="R6:R51" si="0">E6</f>
        <v>البريشي هبة الله</v>
      </c>
      <c r="S6" s="54">
        <f t="shared" ref="S6:S51" si="1">F6</f>
        <v>0</v>
      </c>
      <c r="T6" s="55">
        <v>9.42</v>
      </c>
      <c r="U6" s="55">
        <v>5.92</v>
      </c>
      <c r="V6" s="55">
        <v>7.75</v>
      </c>
      <c r="W6" s="55">
        <v>13.42</v>
      </c>
      <c r="X6" s="55">
        <v>12.5</v>
      </c>
      <c r="Y6" s="55">
        <v>13.33</v>
      </c>
      <c r="Z6" s="55">
        <v>15.42</v>
      </c>
      <c r="AA6" s="55">
        <v>7.5</v>
      </c>
      <c r="AB6" s="55">
        <v>12.5</v>
      </c>
      <c r="AC6" s="56">
        <v>19</v>
      </c>
      <c r="AD6" s="55">
        <v>19</v>
      </c>
      <c r="AE6" s="57">
        <v>11.46</v>
      </c>
      <c r="AF6" s="41"/>
      <c r="AG6" s="128">
        <f>'نتائج الشهادة من الرقمنة'!J11</f>
        <v>11.39</v>
      </c>
      <c r="AH6" s="58" t="str">
        <f>IF(AG6&lt;10,IF('نتائج الشهادة من الرقمنة'!G11&lt;39448,"يوجه","يعيد"),"ينتقل")</f>
        <v>ينتقل</v>
      </c>
      <c r="AI6" s="41"/>
      <c r="AJ6" s="26"/>
      <c r="AK6" s="26"/>
      <c r="AL6" s="26"/>
      <c r="AM6" s="26"/>
    </row>
    <row r="7" spans="1:39" s="1" customFormat="1" ht="12.95" customHeight="1" thickBot="1">
      <c r="A7" s="50">
        <f>'نتائج الشهادة من الرقمنة'!A45</f>
        <v>36</v>
      </c>
      <c r="B7" s="51" t="str">
        <f>'نتائج الشهادة من الرقمنة'!B45</f>
        <v>ج</v>
      </c>
      <c r="C7" s="51">
        <f>'نتائج الشهادة من الرقمنة'!C45</f>
        <v>0</v>
      </c>
      <c r="D7" s="51" t="str">
        <f>'نتائج الشهادة من الرقمنة'!D45</f>
        <v xml:space="preserve"> نعم</v>
      </c>
      <c r="E7" s="52" t="str">
        <f>'نتائج الشهادة من الرقمنة'!F45</f>
        <v>السايح منار</v>
      </c>
      <c r="F7" s="52">
        <f>'نتائج الشهادة من الرقمنة'!E45</f>
        <v>0</v>
      </c>
      <c r="G7" s="53">
        <f>'نتائج الشهادة من الرقمنة'!N45</f>
        <v>9</v>
      </c>
      <c r="H7" s="53">
        <f>'نتائج الشهادة من الرقمنة'!P45</f>
        <v>6</v>
      </c>
      <c r="I7" s="53">
        <f>'نتائج الشهادة من الرقمنة'!R45</f>
        <v>7</v>
      </c>
      <c r="J7" s="53">
        <f>'نتائج الشهادة من الرقمنة'!V45</f>
        <v>8</v>
      </c>
      <c r="K7" s="53">
        <f>'نتائج الشهادة من الرقمنة'!X45</f>
        <v>11.5</v>
      </c>
      <c r="L7" s="53">
        <f>'نتائج الشهادة من الرقمنة'!Z45</f>
        <v>8</v>
      </c>
      <c r="M7" s="53">
        <f>'نتائج الشهادة من الرقمنة'!L45</f>
        <v>4</v>
      </c>
      <c r="N7" s="53">
        <f>'نتائج الشهادة من الرقمنة'!AB45</f>
        <v>6.5</v>
      </c>
      <c r="O7" s="53">
        <f>'نتائج الشهادة من الرقمنة'!AD45</f>
        <v>12.5</v>
      </c>
      <c r="P7" s="44">
        <f>'نتائج الشهادة من الرقمنة'!I45</f>
        <v>7.89</v>
      </c>
      <c r="Q7" s="324"/>
      <c r="R7" s="54" t="str">
        <f t="shared" si="0"/>
        <v>السايح منار</v>
      </c>
      <c r="S7" s="54">
        <f t="shared" si="1"/>
        <v>0</v>
      </c>
      <c r="T7" s="55">
        <v>9.83</v>
      </c>
      <c r="U7" s="55">
        <v>8.08</v>
      </c>
      <c r="V7" s="55">
        <v>7.5</v>
      </c>
      <c r="W7" s="55">
        <v>10.75</v>
      </c>
      <c r="X7" s="55">
        <v>11</v>
      </c>
      <c r="Y7" s="55">
        <v>11.58</v>
      </c>
      <c r="Z7" s="55">
        <v>7.67</v>
      </c>
      <c r="AA7" s="55">
        <v>5.17</v>
      </c>
      <c r="AB7" s="55">
        <v>7.67</v>
      </c>
      <c r="AC7" s="56">
        <v>14</v>
      </c>
      <c r="AD7" s="55">
        <v>0</v>
      </c>
      <c r="AE7" s="57">
        <v>9.06</v>
      </c>
      <c r="AF7" s="17"/>
      <c r="AG7" s="128">
        <f>'نتائج الشهادة من الرقمنة'!J12</f>
        <v>14.96</v>
      </c>
      <c r="AH7" s="58" t="s">
        <v>165</v>
      </c>
      <c r="AI7" s="17"/>
      <c r="AJ7" s="25"/>
      <c r="AK7" s="25"/>
      <c r="AL7" s="25"/>
      <c r="AM7" s="25"/>
    </row>
    <row r="8" spans="1:39" s="1" customFormat="1" ht="12.95" customHeight="1" thickBot="1">
      <c r="A8" s="50">
        <f>'نتائج الشهادة من الرقمنة'!A46</f>
        <v>37</v>
      </c>
      <c r="B8" s="51">
        <f>'نتائج الشهادة من الرقمنة'!B46</f>
        <v>0</v>
      </c>
      <c r="C8" s="51">
        <f>'نتائج الشهادة من الرقمنة'!C46</f>
        <v>0</v>
      </c>
      <c r="D8" s="51" t="str">
        <f>'نتائج الشهادة من الرقمنة'!D46</f>
        <v xml:space="preserve"> نعم</v>
      </c>
      <c r="E8" s="52" t="str">
        <f>'نتائج الشهادة من الرقمنة'!F46</f>
        <v>السايح نادر عبد الكريم</v>
      </c>
      <c r="F8" s="52" t="str">
        <f>'نتائج الشهادة من الرقمنة'!E46</f>
        <v>ذكر</v>
      </c>
      <c r="G8" s="53">
        <f>'نتائج الشهادة من الرقمنة'!N46</f>
        <v>14</v>
      </c>
      <c r="H8" s="53">
        <f>'نتائج الشهادة من الرقمنة'!P46</f>
        <v>3</v>
      </c>
      <c r="I8" s="53">
        <f>'نتائج الشهادة من الرقمنة'!R46</f>
        <v>2.5</v>
      </c>
      <c r="J8" s="53">
        <f>'نتائج الشهادة من الرقمنة'!V46</f>
        <v>12</v>
      </c>
      <c r="K8" s="53">
        <f>'نتائج الشهادة من الرقمنة'!X46</f>
        <v>11.5</v>
      </c>
      <c r="L8" s="53">
        <f>'نتائج الشهادة من الرقمنة'!Z46</f>
        <v>5</v>
      </c>
      <c r="M8" s="53">
        <f>'نتائج الشهادة من الرقمنة'!L46</f>
        <v>5</v>
      </c>
      <c r="N8" s="53">
        <f>'نتائج الشهادة من الرقمنة'!AB46</f>
        <v>11.5</v>
      </c>
      <c r="O8" s="53">
        <f>'نتائج الشهادة من الرقمنة'!AD46</f>
        <v>11.5</v>
      </c>
      <c r="P8" s="44">
        <f>'نتائج الشهادة من الرقمنة'!I46</f>
        <v>8.89</v>
      </c>
      <c r="Q8" s="324"/>
      <c r="R8" s="54" t="str">
        <f t="shared" si="0"/>
        <v>السايح نادر عبد الكريم</v>
      </c>
      <c r="S8" s="54" t="str">
        <f t="shared" si="1"/>
        <v>ذكر</v>
      </c>
      <c r="T8" s="55">
        <v>7.83</v>
      </c>
      <c r="U8" s="55">
        <v>4.92</v>
      </c>
      <c r="V8" s="55">
        <v>3.17</v>
      </c>
      <c r="W8" s="55">
        <v>8.83</v>
      </c>
      <c r="X8" s="55">
        <v>7.5</v>
      </c>
      <c r="Y8" s="55">
        <v>6.92</v>
      </c>
      <c r="Z8" s="55">
        <v>6.67</v>
      </c>
      <c r="AA8" s="55">
        <v>6.33</v>
      </c>
      <c r="AB8" s="55">
        <v>10.5</v>
      </c>
      <c r="AC8" s="56">
        <v>16.329999999999998</v>
      </c>
      <c r="AD8" s="55">
        <v>18</v>
      </c>
      <c r="AE8" s="57">
        <v>7.67</v>
      </c>
      <c r="AF8" s="17"/>
      <c r="AG8" s="128">
        <f>'نتائج الشهادة من الرقمنة'!J13</f>
        <v>10.08</v>
      </c>
      <c r="AH8" s="58" t="s">
        <v>164</v>
      </c>
      <c r="AI8" s="17"/>
      <c r="AJ8" s="25"/>
      <c r="AK8" s="25"/>
      <c r="AL8" s="25"/>
      <c r="AM8" s="25"/>
    </row>
    <row r="9" spans="1:39" s="1" customFormat="1" ht="12.95" customHeight="1" thickBot="1">
      <c r="A9" s="50">
        <f>'نتائج الشهادة من الرقمنة'!A19</f>
        <v>10</v>
      </c>
      <c r="B9" s="51">
        <f>'نتائج الشهادة من الرقمنة'!B19</f>
        <v>0</v>
      </c>
      <c r="C9" s="51">
        <f>'نتائج الشهادة من الرقمنة'!C19</f>
        <v>0</v>
      </c>
      <c r="D9" s="51">
        <f>'نتائج الشهادة من الرقمنة'!D19</f>
        <v>0</v>
      </c>
      <c r="E9" s="52" t="str">
        <f>'نتائج الشهادة من الرقمنة'!F19</f>
        <v>ايزة خديجة سلسبيل</v>
      </c>
      <c r="F9" s="52">
        <f>'نتائج الشهادة من الرقمنة'!E19</f>
        <v>0</v>
      </c>
      <c r="G9" s="53">
        <f>'نتائج الشهادة من الرقمنة'!N19</f>
        <v>12</v>
      </c>
      <c r="H9" s="53">
        <f>'نتائج الشهادة من الرقمنة'!P19</f>
        <v>10.5</v>
      </c>
      <c r="I9" s="53">
        <f>'نتائج الشهادة من الرقمنة'!R19</f>
        <v>9.5</v>
      </c>
      <c r="J9" s="53">
        <f>'نتائج الشهادة من الرقمنة'!V19</f>
        <v>11.5</v>
      </c>
      <c r="K9" s="53">
        <f>'نتائج الشهادة من الرقمنة'!X19</f>
        <v>10</v>
      </c>
      <c r="L9" s="53">
        <f>'نتائج الشهادة من الرقمنة'!Z19</f>
        <v>6</v>
      </c>
      <c r="M9" s="53">
        <f>'نتائج الشهادة من الرقمنة'!L19</f>
        <v>2</v>
      </c>
      <c r="N9" s="53">
        <f>'نتائج الشهادة من الرقمنة'!AB19</f>
        <v>8</v>
      </c>
      <c r="O9" s="53">
        <f>'نتائج الشهادة من الرقمنة'!AD19</f>
        <v>11</v>
      </c>
      <c r="P9" s="44">
        <f>'نتائج الشهادة من الرقمنة'!I19</f>
        <v>9.25</v>
      </c>
      <c r="Q9" s="324"/>
      <c r="R9" s="54" t="str">
        <f t="shared" si="0"/>
        <v>ايزة خديجة سلسبيل</v>
      </c>
      <c r="S9" s="54">
        <f t="shared" si="1"/>
        <v>0</v>
      </c>
      <c r="T9" s="55">
        <v>13.67</v>
      </c>
      <c r="U9" s="55">
        <v>9.83</v>
      </c>
      <c r="V9" s="55">
        <v>7.5</v>
      </c>
      <c r="W9" s="55">
        <v>15.25</v>
      </c>
      <c r="X9" s="55">
        <v>10.17</v>
      </c>
      <c r="Y9" s="55">
        <v>11</v>
      </c>
      <c r="Z9" s="55">
        <v>4.33</v>
      </c>
      <c r="AA9" s="55">
        <v>5.92</v>
      </c>
      <c r="AB9" s="55">
        <v>7.67</v>
      </c>
      <c r="AC9" s="56">
        <v>14.17</v>
      </c>
      <c r="AD9" s="55">
        <v>18</v>
      </c>
      <c r="AE9" s="57">
        <v>10.16</v>
      </c>
      <c r="AF9" s="17"/>
      <c r="AG9" s="128">
        <f>'نتائج الشهادة من الرقمنة'!J14</f>
        <v>13.44</v>
      </c>
      <c r="AH9" s="58" t="str">
        <f>IF(AG9&lt;10,IF('نتائج الشهادة من الرقمنة'!G14&lt;39448,"يوجه","يعيد"),"ينتقل")</f>
        <v>ينتقل</v>
      </c>
      <c r="AI9" s="17"/>
      <c r="AJ9" s="25"/>
      <c r="AK9" s="25"/>
      <c r="AL9" s="25"/>
      <c r="AM9" s="25"/>
    </row>
    <row r="10" spans="1:39" s="1" customFormat="1" ht="12.95" customHeight="1" thickBot="1">
      <c r="A10" s="50">
        <f>'نتائج الشهادة من الرقمنة'!A33</f>
        <v>24</v>
      </c>
      <c r="B10" s="51">
        <f>'نتائج الشهادة من الرقمنة'!B33</f>
        <v>0</v>
      </c>
      <c r="C10" s="51">
        <f>'نتائج الشهادة من الرقمنة'!C33</f>
        <v>0</v>
      </c>
      <c r="D10" s="51">
        <f>'نتائج الشهادة من الرقمنة'!D33</f>
        <v>0</v>
      </c>
      <c r="E10" s="52" t="str">
        <f>'نتائج الشهادة من الرقمنة'!F33</f>
        <v>باتن غزلان</v>
      </c>
      <c r="F10" s="52">
        <f>'نتائج الشهادة من الرقمنة'!E33</f>
        <v>0</v>
      </c>
      <c r="G10" s="53">
        <f>'نتائج الشهادة من الرقمنة'!N33</f>
        <v>14.5</v>
      </c>
      <c r="H10" s="53">
        <f>'نتائج الشهادة من الرقمنة'!P33</f>
        <v>13</v>
      </c>
      <c r="I10" s="53">
        <f>'نتائج الشهادة من الرقمنة'!R33</f>
        <v>5.5</v>
      </c>
      <c r="J10" s="53">
        <f>'نتائج الشهادة من الرقمنة'!V33</f>
        <v>8.5</v>
      </c>
      <c r="K10" s="53">
        <f>'نتائج الشهادة من الرقمنة'!X33</f>
        <v>10.5</v>
      </c>
      <c r="L10" s="53">
        <f>'نتائج الشهادة من الرقمنة'!Z33</f>
        <v>8.5</v>
      </c>
      <c r="M10" s="53">
        <f>'نتائج الشهادة من الرقمنة'!L33</f>
        <v>11.5</v>
      </c>
      <c r="N10" s="53">
        <f>'نتائج الشهادة من الرقمنة'!AB33</f>
        <v>9</v>
      </c>
      <c r="O10" s="53">
        <f>'نتائج الشهادة من الرقمنة'!AD33</f>
        <v>10.5</v>
      </c>
      <c r="P10" s="44">
        <f>'نتائج الشهادة من الرقمنة'!I33</f>
        <v>11.37</v>
      </c>
      <c r="Q10" s="324"/>
      <c r="R10" s="54" t="str">
        <f t="shared" si="0"/>
        <v>باتن غزلان</v>
      </c>
      <c r="S10" s="54">
        <f t="shared" si="1"/>
        <v>0</v>
      </c>
      <c r="T10" s="55">
        <v>14.33</v>
      </c>
      <c r="U10" s="55">
        <v>10.83</v>
      </c>
      <c r="V10" s="55">
        <v>9.17</v>
      </c>
      <c r="W10" s="55">
        <v>13.58</v>
      </c>
      <c r="X10" s="55">
        <v>11.42</v>
      </c>
      <c r="Y10" s="55">
        <v>10.33</v>
      </c>
      <c r="Z10" s="55">
        <v>18.920000000000002</v>
      </c>
      <c r="AA10" s="55">
        <v>11.92</v>
      </c>
      <c r="AB10" s="55">
        <v>16.829999999999998</v>
      </c>
      <c r="AC10" s="56">
        <v>19</v>
      </c>
      <c r="AD10" s="55">
        <v>18</v>
      </c>
      <c r="AE10" s="57">
        <v>13.95</v>
      </c>
      <c r="AF10" s="17"/>
      <c r="AG10" s="128">
        <f>'نتائج الشهادة من الرقمنة'!J15</f>
        <v>10.3</v>
      </c>
      <c r="AH10" s="58" t="str">
        <f>IF(AG10&lt;10,IF('نتائج الشهادة من الرقمنة'!G15&lt;39448,"يوجه","يعيد"),"ينتقل")</f>
        <v>ينتقل</v>
      </c>
      <c r="AI10" s="17"/>
      <c r="AJ10" s="25"/>
      <c r="AK10" s="25"/>
      <c r="AL10" s="25"/>
      <c r="AM10" s="25"/>
    </row>
    <row r="11" spans="1:39" s="1" customFormat="1" ht="12.95" customHeight="1" thickBot="1">
      <c r="A11" s="50">
        <f>'نتائج الشهادة من الرقمنة'!A56</f>
        <v>47</v>
      </c>
      <c r="B11" s="51">
        <f>'نتائج الشهادة من الرقمنة'!B56</f>
        <v>0</v>
      </c>
      <c r="C11" s="51">
        <f>'نتائج الشهادة من الرقمنة'!C56</f>
        <v>0</v>
      </c>
      <c r="D11" s="51">
        <f>'نتائج الشهادة من الرقمنة'!D56</f>
        <v>0</v>
      </c>
      <c r="E11" s="52" t="str">
        <f>'نتائج الشهادة من الرقمنة'!F56</f>
        <v>بردي يعقوب</v>
      </c>
      <c r="F11" s="52">
        <f>'نتائج الشهادة من الرقمنة'!E56</f>
        <v>0</v>
      </c>
      <c r="G11" s="53">
        <f>'نتائج الشهادة من الرقمنة'!N56</f>
        <v>10</v>
      </c>
      <c r="H11" s="53">
        <f>'نتائج الشهادة من الرقمنة'!P56</f>
        <v>8</v>
      </c>
      <c r="I11" s="53">
        <f>'نتائج الشهادة من الرقمنة'!R56</f>
        <v>6</v>
      </c>
      <c r="J11" s="53">
        <f>'نتائج الشهادة من الرقمنة'!V56</f>
        <v>14.5</v>
      </c>
      <c r="K11" s="53">
        <f>'نتائج الشهادة من الرقمنة'!X56</f>
        <v>11</v>
      </c>
      <c r="L11" s="53">
        <f>'نتائج الشهادة من الرقمنة'!Z56</f>
        <v>8</v>
      </c>
      <c r="M11" s="53">
        <f>'نتائج الشهادة من الرقمنة'!L56</f>
        <v>2</v>
      </c>
      <c r="N11" s="53">
        <f>'نتائج الشهادة من الرقمنة'!AB56</f>
        <v>10</v>
      </c>
      <c r="O11" s="53">
        <f>'نتائج الشهادة من الرقمنة'!AD56</f>
        <v>11</v>
      </c>
      <c r="P11" s="44">
        <f>'نتائج الشهادة من الرقمنة'!I56</f>
        <v>8.85</v>
      </c>
      <c r="Q11" s="324"/>
      <c r="R11" s="54" t="str">
        <f t="shared" si="0"/>
        <v>بردي يعقوب</v>
      </c>
      <c r="S11" s="54">
        <f t="shared" si="1"/>
        <v>0</v>
      </c>
      <c r="T11" s="55">
        <v>9.17</v>
      </c>
      <c r="U11" s="55">
        <v>10</v>
      </c>
      <c r="V11" s="55">
        <v>6.58</v>
      </c>
      <c r="W11" s="55">
        <v>9.17</v>
      </c>
      <c r="X11" s="55">
        <v>9.33</v>
      </c>
      <c r="Y11" s="55">
        <v>9.08</v>
      </c>
      <c r="Z11" s="55">
        <v>8.08</v>
      </c>
      <c r="AA11" s="55">
        <v>6.58</v>
      </c>
      <c r="AB11" s="55">
        <v>12.46</v>
      </c>
      <c r="AC11" s="56">
        <v>12.67</v>
      </c>
      <c r="AD11" s="55">
        <v>19</v>
      </c>
      <c r="AE11" s="57">
        <v>9.3699999999999992</v>
      </c>
      <c r="AF11" s="17"/>
      <c r="AG11" s="128">
        <f>'نتائج الشهادة من الرقمنة'!J16</f>
        <v>12.26</v>
      </c>
      <c r="AH11" s="58" t="s">
        <v>164</v>
      </c>
      <c r="AI11" s="17"/>
      <c r="AJ11" s="25"/>
      <c r="AK11" s="25"/>
      <c r="AL11" s="25"/>
      <c r="AM11" s="25"/>
    </row>
    <row r="12" spans="1:39" s="1" customFormat="1" ht="12.95" customHeight="1" thickBot="1">
      <c r="A12" s="50">
        <f>'نتائج الشهادة من الرقمنة'!A54</f>
        <v>45</v>
      </c>
      <c r="B12" s="51">
        <f>'نتائج الشهادة من الرقمنة'!B54</f>
        <v>0</v>
      </c>
      <c r="C12" s="51">
        <f>'نتائج الشهادة من الرقمنة'!C54</f>
        <v>0</v>
      </c>
      <c r="D12" s="51">
        <f>'نتائج الشهادة من الرقمنة'!D54</f>
        <v>0</v>
      </c>
      <c r="E12" s="52" t="str">
        <f>'نتائج الشهادة من الرقمنة'!F54</f>
        <v>بلخير ياسر</v>
      </c>
      <c r="F12" s="52" t="str">
        <f>'نتائج الشهادة من الرقمنة'!E54</f>
        <v>ذكر</v>
      </c>
      <c r="G12" s="53">
        <f>'نتائج الشهادة من الرقمنة'!N54</f>
        <v>9.5</v>
      </c>
      <c r="H12" s="53">
        <f>'نتائج الشهادة من الرقمنة'!P54</f>
        <v>7</v>
      </c>
      <c r="I12" s="53">
        <f>'نتائج الشهادة من الرقمنة'!R54</f>
        <v>5.5</v>
      </c>
      <c r="J12" s="53">
        <f>'نتائج الشهادة من الرقمنة'!V54</f>
        <v>4</v>
      </c>
      <c r="K12" s="53">
        <f>'نتائج الشهادة من الرقمنة'!X54</f>
        <v>9.5</v>
      </c>
      <c r="L12" s="53">
        <f>'نتائج الشهادة من الرقمنة'!Z54</f>
        <v>8.5</v>
      </c>
      <c r="M12" s="53">
        <f>'نتائج الشهادة من الرقمنة'!L54</f>
        <v>3</v>
      </c>
      <c r="N12" s="53">
        <f>'نتائج الشهادة من الرقمنة'!AB54</f>
        <v>5</v>
      </c>
      <c r="O12" s="53">
        <f>'نتائج الشهادة من الرقمنة'!AD54</f>
        <v>9</v>
      </c>
      <c r="P12" s="44">
        <f>'نتائج الشهادة من الرقمنة'!I54</f>
        <v>7.43</v>
      </c>
      <c r="Q12" s="324"/>
      <c r="R12" s="54" t="str">
        <f t="shared" si="0"/>
        <v>بلخير ياسر</v>
      </c>
      <c r="S12" s="54" t="str">
        <f t="shared" si="1"/>
        <v>ذكر</v>
      </c>
      <c r="T12" s="55">
        <v>11.67</v>
      </c>
      <c r="U12" s="55">
        <v>8.08</v>
      </c>
      <c r="V12" s="55">
        <v>10.33</v>
      </c>
      <c r="W12" s="55">
        <v>11.67</v>
      </c>
      <c r="X12" s="55">
        <v>7.17</v>
      </c>
      <c r="Y12" s="55">
        <v>4.58</v>
      </c>
      <c r="Z12" s="55">
        <v>5.5</v>
      </c>
      <c r="AA12" s="55">
        <v>6</v>
      </c>
      <c r="AB12" s="55">
        <v>9.75</v>
      </c>
      <c r="AC12" s="56">
        <v>14</v>
      </c>
      <c r="AD12" s="55">
        <v>17</v>
      </c>
      <c r="AE12" s="57">
        <v>8.83</v>
      </c>
      <c r="AF12" s="17"/>
      <c r="AG12" s="128">
        <f>'نتائج الشهادة من الرقمنة'!J17</f>
        <v>7.68</v>
      </c>
      <c r="AH12" s="58" t="str">
        <f>IF(AG12&lt;10,IF('نتائج الشهادة من الرقمنة'!G17&lt;39448,"يوجه","يعيد"),"ينتقل")</f>
        <v>يعيد</v>
      </c>
      <c r="AI12" s="17"/>
      <c r="AJ12" s="25"/>
      <c r="AK12" s="25"/>
      <c r="AL12" s="25"/>
      <c r="AM12" s="25"/>
    </row>
    <row r="13" spans="1:39" s="1" customFormat="1" ht="12.95" customHeight="1" thickBot="1">
      <c r="A13" s="50">
        <f>'نتائج الشهادة من الرقمنة'!A40</f>
        <v>31</v>
      </c>
      <c r="B13" s="51">
        <f>'نتائج الشهادة من الرقمنة'!B40</f>
        <v>0</v>
      </c>
      <c r="C13" s="51">
        <f>'نتائج الشهادة من الرقمنة'!C40</f>
        <v>0</v>
      </c>
      <c r="D13" s="51">
        <f>'نتائج الشهادة من الرقمنة'!D40</f>
        <v>0</v>
      </c>
      <c r="E13" s="52" t="str">
        <f>'نتائج الشهادة من الرقمنة'!F40</f>
        <v>بلعباس محمد إلياس</v>
      </c>
      <c r="F13" s="52" t="str">
        <f>'نتائج الشهادة من الرقمنة'!E40</f>
        <v>ذكر</v>
      </c>
      <c r="G13" s="53">
        <f>'نتائج الشهادة من الرقمنة'!N40</f>
        <v>8</v>
      </c>
      <c r="H13" s="53">
        <f>'نتائج الشهادة من الرقمنة'!P40</f>
        <v>5</v>
      </c>
      <c r="I13" s="53">
        <f>'نتائج الشهادة من الرقمنة'!R40</f>
        <v>2.5</v>
      </c>
      <c r="J13" s="53">
        <f>'نتائج الشهادة من الرقمنة'!V40</f>
        <v>8</v>
      </c>
      <c r="K13" s="53">
        <f>'نتائج الشهادة من الرقمنة'!X40</f>
        <v>11.5</v>
      </c>
      <c r="L13" s="53">
        <f>'نتائج الشهادة من الرقمنة'!Z40</f>
        <v>6.5</v>
      </c>
      <c r="M13" s="53">
        <f>'نتائج الشهادة من الرقمنة'!L40</f>
        <v>1.5</v>
      </c>
      <c r="N13" s="53">
        <f>'نتائج الشهادة من الرقمنة'!AB40</f>
        <v>4.5</v>
      </c>
      <c r="O13" s="53">
        <f>'نتائج الشهادة من الرقمنة'!AD40</f>
        <v>5.5</v>
      </c>
      <c r="P13" s="44">
        <f>'نتائج الشهادة من الرقمنة'!I40</f>
        <v>6.38</v>
      </c>
      <c r="Q13" s="324"/>
      <c r="R13" s="54" t="str">
        <f t="shared" si="0"/>
        <v>بلعباس محمد إلياس</v>
      </c>
      <c r="S13" s="54" t="str">
        <f t="shared" si="1"/>
        <v>ذكر</v>
      </c>
      <c r="T13" s="55">
        <v>4.33</v>
      </c>
      <c r="U13" s="55">
        <v>7.17</v>
      </c>
      <c r="V13" s="55">
        <v>9.17</v>
      </c>
      <c r="W13" s="55">
        <v>8.17</v>
      </c>
      <c r="X13" s="55">
        <v>6.92</v>
      </c>
      <c r="Y13" s="55">
        <v>7.5</v>
      </c>
      <c r="Z13" s="55">
        <v>8.5</v>
      </c>
      <c r="AA13" s="55">
        <v>3</v>
      </c>
      <c r="AB13" s="55">
        <v>7.5</v>
      </c>
      <c r="AC13" s="56">
        <v>15.83</v>
      </c>
      <c r="AD13" s="55">
        <v>17</v>
      </c>
      <c r="AE13" s="57">
        <v>7.64</v>
      </c>
      <c r="AF13" s="17"/>
      <c r="AG13" s="128">
        <f>'نتائج الشهادة من الرقمنة'!J18</f>
        <v>8.5299999999999994</v>
      </c>
      <c r="AH13" s="58" t="str">
        <f>IF(AG13&lt;10,IF('نتائج الشهادة من الرقمنة'!G18&lt;39448,"يوجه","يعيد"),"ينتقل")</f>
        <v>يعيد</v>
      </c>
      <c r="AI13" s="17"/>
      <c r="AJ13" s="25"/>
      <c r="AK13" s="25"/>
      <c r="AL13" s="25"/>
      <c r="AM13" s="25"/>
    </row>
    <row r="14" spans="1:39" s="1" customFormat="1" ht="12.95" customHeight="1" thickBot="1">
      <c r="A14" s="50">
        <f>'نتائج الشهادة من الرقمنة'!A15</f>
        <v>6</v>
      </c>
      <c r="B14" s="51">
        <f>'نتائج الشهادة من الرقمنة'!B15</f>
        <v>0</v>
      </c>
      <c r="C14" s="51">
        <f>'نتائج الشهادة من الرقمنة'!C15</f>
        <v>0</v>
      </c>
      <c r="D14" s="51" t="str">
        <f>'نتائج الشهادة من الرقمنة'!D15</f>
        <v xml:space="preserve"> نعم</v>
      </c>
      <c r="E14" s="52" t="str">
        <f>'نتائج الشهادة من الرقمنة'!F15</f>
        <v>بن حاسين أكتم عبد النور</v>
      </c>
      <c r="F14" s="52" t="str">
        <f>'نتائج الشهادة من الرقمنة'!E15</f>
        <v>ذكر</v>
      </c>
      <c r="G14" s="53">
        <f>'نتائج الشهادة من الرقمنة'!N15</f>
        <v>10.5</v>
      </c>
      <c r="H14" s="53">
        <f>'نتائج الشهادة من الرقمنة'!P15</f>
        <v>10</v>
      </c>
      <c r="I14" s="53">
        <f>'نتائج الشهادة من الرقمنة'!R15</f>
        <v>8.5</v>
      </c>
      <c r="J14" s="53">
        <f>'نتائج الشهادة من الرقمنة'!V15</f>
        <v>12</v>
      </c>
      <c r="K14" s="53">
        <f>'نتائج الشهادة من الرقمنة'!X15</f>
        <v>13</v>
      </c>
      <c r="L14" s="53">
        <f>'نتائج الشهادة من الرقمنة'!Z15</f>
        <v>9</v>
      </c>
      <c r="M14" s="53">
        <f>'نتائج الشهادة من الرقمنة'!L15</f>
        <v>3.5</v>
      </c>
      <c r="N14" s="53">
        <f>'نتائج الشهادة من الرقمنة'!AB15</f>
        <v>9</v>
      </c>
      <c r="O14" s="53">
        <f>'نتائج الشهادة من الرقمنة'!AD15</f>
        <v>13</v>
      </c>
      <c r="P14" s="44">
        <f>'نتائج الشهادة من الرقمنة'!I15</f>
        <v>9.76</v>
      </c>
      <c r="Q14" s="324"/>
      <c r="R14" s="54" t="str">
        <f t="shared" si="0"/>
        <v>بن حاسين أكتم عبد النور</v>
      </c>
      <c r="S14" s="54" t="str">
        <f t="shared" si="1"/>
        <v>ذكر</v>
      </c>
      <c r="T14" s="55">
        <v>10.08</v>
      </c>
      <c r="U14" s="55">
        <v>8.83</v>
      </c>
      <c r="V14" s="55">
        <v>7.42</v>
      </c>
      <c r="W14" s="55">
        <v>14.92</v>
      </c>
      <c r="X14" s="55">
        <v>10.83</v>
      </c>
      <c r="Y14" s="55">
        <v>12.42</v>
      </c>
      <c r="Z14" s="55">
        <v>5.08</v>
      </c>
      <c r="AA14" s="55">
        <v>9.08</v>
      </c>
      <c r="AB14" s="55">
        <v>12.33</v>
      </c>
      <c r="AC14" s="56">
        <v>16.5</v>
      </c>
      <c r="AD14" s="55">
        <v>17</v>
      </c>
      <c r="AE14" s="57">
        <v>10.029999999999999</v>
      </c>
      <c r="AF14" s="17"/>
      <c r="AG14" s="128">
        <f>'نتائج الشهادة من الرقمنة'!J19</f>
        <v>10.14</v>
      </c>
      <c r="AH14" s="58" t="str">
        <f>IF(AG14&lt;10,IF('نتائج الشهادة من الرقمنة'!G19&lt;39448,"يوجه","يعيد"),"ينتقل")</f>
        <v>ينتقل</v>
      </c>
      <c r="AI14" s="17"/>
      <c r="AJ14" s="25"/>
      <c r="AK14" s="25"/>
      <c r="AL14" s="25"/>
      <c r="AM14" s="25"/>
    </row>
    <row r="15" spans="1:39" s="1" customFormat="1" ht="12.95" customHeight="1" thickBot="1">
      <c r="A15" s="50">
        <f>'نتائج الشهادة من الرقمنة'!A28</f>
        <v>19</v>
      </c>
      <c r="B15" s="51">
        <f>'نتائج الشهادة من الرقمنة'!B28</f>
        <v>0</v>
      </c>
      <c r="C15" s="51">
        <f>'نتائج الشهادة من الرقمنة'!C28</f>
        <v>0</v>
      </c>
      <c r="D15" s="51">
        <f>'نتائج الشهادة من الرقمنة'!D28</f>
        <v>0</v>
      </c>
      <c r="E15" s="52" t="str">
        <f>'نتائج الشهادة من الرقمنة'!F28</f>
        <v>بن دادو عبدية</v>
      </c>
      <c r="F15" s="52">
        <f>'نتائج الشهادة من الرقمنة'!E28</f>
        <v>0</v>
      </c>
      <c r="G15" s="53">
        <f>'نتائج الشهادة من الرقمنة'!N28</f>
        <v>9.5</v>
      </c>
      <c r="H15" s="53">
        <f>'نتائج الشهادة من الرقمنة'!P28</f>
        <v>6</v>
      </c>
      <c r="I15" s="53">
        <f>'نتائج الشهادة من الرقمنة'!R28</f>
        <v>9.5</v>
      </c>
      <c r="J15" s="53">
        <f>'نتائج الشهادة من الرقمنة'!V28</f>
        <v>16.5</v>
      </c>
      <c r="K15" s="53">
        <f>'نتائج الشهادة من الرقمنة'!X28</f>
        <v>3.5</v>
      </c>
      <c r="L15" s="53">
        <f>'نتائج الشهادة من الرقمنة'!Z28</f>
        <v>8.5</v>
      </c>
      <c r="M15" s="53">
        <f>'نتائج الشهادة من الرقمنة'!L28</f>
        <v>5.5</v>
      </c>
      <c r="N15" s="53">
        <f>'نتائج الشهادة من الرقمنة'!AB28</f>
        <v>5.5</v>
      </c>
      <c r="O15" s="53">
        <f>'نتائج الشهادة من الرقمنة'!AD28</f>
        <v>12</v>
      </c>
      <c r="P15" s="44">
        <f>'نتائج الشهادة من الرقمنة'!I28</f>
        <v>9.15</v>
      </c>
      <c r="Q15" s="324"/>
      <c r="R15" s="54" t="str">
        <f t="shared" si="0"/>
        <v>بن دادو عبدية</v>
      </c>
      <c r="S15" s="54">
        <f t="shared" si="1"/>
        <v>0</v>
      </c>
      <c r="T15" s="55">
        <v>12.83</v>
      </c>
      <c r="U15" s="55">
        <v>10</v>
      </c>
      <c r="V15" s="55">
        <v>10.25</v>
      </c>
      <c r="W15" s="55">
        <v>8.92</v>
      </c>
      <c r="X15" s="55">
        <v>10.17</v>
      </c>
      <c r="Y15" s="55">
        <v>8.5</v>
      </c>
      <c r="Z15" s="55">
        <v>12.17</v>
      </c>
      <c r="AA15" s="55">
        <v>6.58</v>
      </c>
      <c r="AB15" s="55">
        <v>14.83</v>
      </c>
      <c r="AC15" s="56">
        <v>13.67</v>
      </c>
      <c r="AD15" s="55">
        <v>19</v>
      </c>
      <c r="AE15" s="57">
        <v>11.35</v>
      </c>
      <c r="AF15" s="17"/>
      <c r="AG15" s="128">
        <f>'نتائج الشهادة من الرقمنة'!J20</f>
        <v>11.13</v>
      </c>
      <c r="AH15" s="58" t="str">
        <f>IF(AG15&lt;10,IF('نتائج الشهادة من الرقمنة'!G20&lt;39448,"يوجه","يعيد"),"ينتقل")</f>
        <v>ينتقل</v>
      </c>
      <c r="AI15" s="17"/>
      <c r="AJ15" s="25"/>
      <c r="AK15" s="25"/>
      <c r="AL15" s="25"/>
      <c r="AM15" s="25"/>
    </row>
    <row r="16" spans="1:39" s="1" customFormat="1" ht="12.95" customHeight="1" thickBot="1">
      <c r="A16" s="50">
        <f>'نتائج الشهادة من الرقمنة'!A47</f>
        <v>38</v>
      </c>
      <c r="B16" s="51">
        <f>'نتائج الشهادة من الرقمنة'!B47</f>
        <v>0</v>
      </c>
      <c r="C16" s="51">
        <f>'نتائج الشهادة من الرقمنة'!C47</f>
        <v>0</v>
      </c>
      <c r="D16" s="51">
        <f>'نتائج الشهادة من الرقمنة'!D47</f>
        <v>0</v>
      </c>
      <c r="E16" s="52" t="str">
        <f>'نتائج الشهادة من الرقمنة'!F47</f>
        <v>بن سعدون نور</v>
      </c>
      <c r="F16" s="52">
        <f>'نتائج الشهادة من الرقمنة'!E47</f>
        <v>0</v>
      </c>
      <c r="G16" s="53">
        <f>'نتائج الشهادة من الرقمنة'!N47</f>
        <v>13.5</v>
      </c>
      <c r="H16" s="53">
        <f>'نتائج الشهادة من الرقمنة'!P47</f>
        <v>18</v>
      </c>
      <c r="I16" s="53">
        <f>'نتائج الشهادة من الرقمنة'!R47</f>
        <v>16</v>
      </c>
      <c r="J16" s="53">
        <f>'نتائج الشهادة من الرقمنة'!V47</f>
        <v>16.5</v>
      </c>
      <c r="K16" s="53">
        <f>'نتائج الشهادة من الرقمنة'!X47</f>
        <v>11.5</v>
      </c>
      <c r="L16" s="53">
        <f>'نتائج الشهادة من الرقمنة'!Z47</f>
        <v>11</v>
      </c>
      <c r="M16" s="53">
        <f>'نتائج الشهادة من الرقمنة'!L47</f>
        <v>11</v>
      </c>
      <c r="N16" s="53">
        <f>'نتائج الشهادة من الرقمنة'!AB47</f>
        <v>13.5</v>
      </c>
      <c r="O16" s="53">
        <f>'نتائج الشهادة من الرقمنة'!AD47</f>
        <v>18.5</v>
      </c>
      <c r="P16" s="44">
        <f>'نتائج الشهادة من الرقمنة'!I47</f>
        <v>14.46</v>
      </c>
      <c r="Q16" s="324"/>
      <c r="R16" s="54" t="str">
        <f t="shared" si="0"/>
        <v>بن سعدون نور</v>
      </c>
      <c r="S16" s="54">
        <f t="shared" si="1"/>
        <v>0</v>
      </c>
      <c r="T16" s="55">
        <v>16.75</v>
      </c>
      <c r="U16" s="55">
        <v>18.579999999999998</v>
      </c>
      <c r="V16" s="55">
        <v>17.920000000000002</v>
      </c>
      <c r="W16" s="55">
        <v>16.079999999999998</v>
      </c>
      <c r="X16" s="55">
        <v>15.33</v>
      </c>
      <c r="Y16" s="55">
        <v>16.75</v>
      </c>
      <c r="Z16" s="55">
        <v>18.75</v>
      </c>
      <c r="AA16" s="55">
        <v>17.920000000000002</v>
      </c>
      <c r="AB16" s="55">
        <v>17.75</v>
      </c>
      <c r="AC16" s="56">
        <v>18.670000000000002</v>
      </c>
      <c r="AD16" s="55">
        <v>19</v>
      </c>
      <c r="AE16" s="57">
        <v>17.37</v>
      </c>
      <c r="AF16" s="17"/>
      <c r="AG16" s="128">
        <f>'نتائج الشهادة من الرقمنة'!J21</f>
        <v>10.01</v>
      </c>
      <c r="AH16" s="58" t="str">
        <f>IF(AG16&lt;10,IF('نتائج الشهادة من الرقمنة'!G21&lt;39448,"يوجه","يعيد"),"ينتقل")</f>
        <v>ينتقل</v>
      </c>
      <c r="AI16" s="17"/>
      <c r="AJ16" s="25"/>
      <c r="AK16" s="25"/>
      <c r="AL16" s="25"/>
      <c r="AM16" s="25"/>
    </row>
    <row r="17" spans="1:39" s="1" customFormat="1" ht="12.95" customHeight="1" thickBot="1">
      <c r="A17" s="50">
        <f>'نتائج الشهادة من الرقمنة'!A49</f>
        <v>40</v>
      </c>
      <c r="B17" s="51">
        <f>'نتائج الشهادة من الرقمنة'!B49</f>
        <v>0</v>
      </c>
      <c r="C17" s="51">
        <f>'نتائج الشهادة من الرقمنة'!C49</f>
        <v>0</v>
      </c>
      <c r="D17" s="51" t="str">
        <f>'نتائج الشهادة من الرقمنة'!D49</f>
        <v xml:space="preserve"> نعم</v>
      </c>
      <c r="E17" s="52" t="str">
        <f>'نتائج الشهادة من الرقمنة'!F49</f>
        <v>بن شيتة هاجر</v>
      </c>
      <c r="F17" s="52">
        <f>'نتائج الشهادة من الرقمنة'!E49</f>
        <v>0</v>
      </c>
      <c r="G17" s="53">
        <f>'نتائج الشهادة من الرقمنة'!N49</f>
        <v>12.5</v>
      </c>
      <c r="H17" s="53">
        <f>'نتائج الشهادة من الرقمنة'!P49</f>
        <v>3</v>
      </c>
      <c r="I17" s="53">
        <f>'نتائج الشهادة من الرقمنة'!R49</f>
        <v>2.5</v>
      </c>
      <c r="J17" s="53">
        <f>'نتائج الشهادة من الرقمنة'!V49</f>
        <v>9.5</v>
      </c>
      <c r="K17" s="53">
        <f>'نتائج الشهادة من الرقمنة'!X49</f>
        <v>8.5</v>
      </c>
      <c r="L17" s="53">
        <f>'نتائج الشهادة من الرقمنة'!Z49</f>
        <v>6</v>
      </c>
      <c r="M17" s="53">
        <f>'نتائج الشهادة من الرقمنة'!L49</f>
        <v>2</v>
      </c>
      <c r="N17" s="53">
        <f>'نتائج الشهادة من الرقمنة'!AB49</f>
        <v>2</v>
      </c>
      <c r="O17" s="53">
        <f>'نتائج الشهادة من الرقمنة'!AD49</f>
        <v>10</v>
      </c>
      <c r="P17" s="44">
        <f>'نتائج الشهادة من الرقمنة'!I49</f>
        <v>7.14</v>
      </c>
      <c r="Q17" s="324"/>
      <c r="R17" s="54" t="str">
        <f t="shared" si="0"/>
        <v>بن شيتة هاجر</v>
      </c>
      <c r="S17" s="54">
        <f t="shared" si="1"/>
        <v>0</v>
      </c>
      <c r="T17" s="55">
        <v>12.83</v>
      </c>
      <c r="U17" s="55">
        <v>6.67</v>
      </c>
      <c r="V17" s="55">
        <v>3.5</v>
      </c>
      <c r="W17" s="55">
        <v>14.17</v>
      </c>
      <c r="X17" s="55">
        <v>9.92</v>
      </c>
      <c r="Y17" s="55">
        <v>9.5</v>
      </c>
      <c r="Z17" s="55">
        <v>7.83</v>
      </c>
      <c r="AA17" s="55">
        <v>9.08</v>
      </c>
      <c r="AB17" s="55">
        <v>12</v>
      </c>
      <c r="AC17" s="56">
        <v>14.83</v>
      </c>
      <c r="AD17" s="55">
        <v>18</v>
      </c>
      <c r="AE17" s="57">
        <v>9.99</v>
      </c>
      <c r="AF17" s="17"/>
      <c r="AG17" s="128">
        <f>'نتائج الشهادة من الرقمنة'!J22</f>
        <v>10.95</v>
      </c>
      <c r="AH17" s="58" t="s">
        <v>165</v>
      </c>
      <c r="AI17" s="17"/>
      <c r="AJ17" s="25"/>
      <c r="AK17" s="25"/>
      <c r="AL17" s="25"/>
      <c r="AM17" s="25"/>
    </row>
    <row r="18" spans="1:39" s="1" customFormat="1" ht="12.95" customHeight="1" thickBot="1">
      <c r="A18" s="50">
        <f>'نتائج الشهادة من الرقمنة'!A39</f>
        <v>30</v>
      </c>
      <c r="B18" s="51">
        <f>'نتائج الشهادة من الرقمنة'!B39</f>
        <v>0</v>
      </c>
      <c r="C18" s="51">
        <f>'نتائج الشهادة من الرقمنة'!C39</f>
        <v>0</v>
      </c>
      <c r="D18" s="51" t="str">
        <f>'نتائج الشهادة من الرقمنة'!D39</f>
        <v xml:space="preserve"> نعم</v>
      </c>
      <c r="E18" s="52" t="str">
        <f>'نتائج الشهادة من الرقمنة'!F39</f>
        <v>بن عزوز محمد</v>
      </c>
      <c r="F18" s="52" t="str">
        <f>'نتائج الشهادة من الرقمنة'!E39</f>
        <v>ذكر</v>
      </c>
      <c r="G18" s="53">
        <f>'نتائج الشهادة من الرقمنة'!N39</f>
        <v>11</v>
      </c>
      <c r="H18" s="53">
        <f>'نتائج الشهادة من الرقمنة'!P39</f>
        <v>5</v>
      </c>
      <c r="I18" s="53">
        <f>'نتائج الشهادة من الرقمنة'!R39</f>
        <v>8.5</v>
      </c>
      <c r="J18" s="53">
        <f>'نتائج الشهادة من الرقمنة'!V39</f>
        <v>10</v>
      </c>
      <c r="K18" s="53">
        <f>'نتائج الشهادة من الرقمنة'!X39</f>
        <v>10</v>
      </c>
      <c r="L18" s="53">
        <f>'نتائج الشهادة من الرقمنة'!Z39</f>
        <v>6.5</v>
      </c>
      <c r="M18" s="53">
        <f>'نتائج الشهادة من الرقمنة'!L39</f>
        <v>2.5</v>
      </c>
      <c r="N18" s="53">
        <f>'نتائج الشهادة من الرقمنة'!AB39</f>
        <v>5.5</v>
      </c>
      <c r="O18" s="53">
        <f>'نتائج الشهادة من الرقمنة'!AD39</f>
        <v>9.5</v>
      </c>
      <c r="P18" s="44">
        <f>'نتائج الشهادة من الرقمنة'!I39</f>
        <v>7.94</v>
      </c>
      <c r="Q18" s="324"/>
      <c r="R18" s="54" t="str">
        <f t="shared" si="0"/>
        <v>بن عزوز محمد</v>
      </c>
      <c r="S18" s="54" t="str">
        <f t="shared" si="1"/>
        <v>ذكر</v>
      </c>
      <c r="T18" s="55">
        <v>11.5</v>
      </c>
      <c r="U18" s="55">
        <v>9.58</v>
      </c>
      <c r="V18" s="55">
        <v>9.08</v>
      </c>
      <c r="W18" s="55">
        <v>10.25</v>
      </c>
      <c r="X18" s="55">
        <v>11.17</v>
      </c>
      <c r="Y18" s="55">
        <v>10.5</v>
      </c>
      <c r="Z18" s="55">
        <v>4</v>
      </c>
      <c r="AA18" s="55">
        <v>8.42</v>
      </c>
      <c r="AB18" s="55">
        <v>13.5</v>
      </c>
      <c r="AC18" s="56">
        <v>13.33</v>
      </c>
      <c r="AD18" s="55">
        <v>18</v>
      </c>
      <c r="AE18" s="57">
        <v>9.9499999999999993</v>
      </c>
      <c r="AF18" s="17"/>
      <c r="AG18" s="128">
        <f>'نتائج الشهادة من الرقمنة'!J23</f>
        <v>12.25</v>
      </c>
      <c r="AH18" s="58" t="s">
        <v>165</v>
      </c>
      <c r="AI18" s="17"/>
      <c r="AJ18" s="25"/>
      <c r="AK18" s="25"/>
      <c r="AL18" s="25"/>
      <c r="AM18" s="25"/>
    </row>
    <row r="19" spans="1:39" s="1" customFormat="1" ht="12.95" customHeight="1" thickBot="1">
      <c r="A19" s="50">
        <f>'نتائج الشهادة من الرقمنة'!A55</f>
        <v>46</v>
      </c>
      <c r="B19" s="51">
        <f>'نتائج الشهادة من الرقمنة'!B55</f>
        <v>0</v>
      </c>
      <c r="C19" s="51">
        <f>'نتائج الشهادة من الرقمنة'!C55</f>
        <v>0</v>
      </c>
      <c r="D19" s="51">
        <f>'نتائج الشهادة من الرقمنة'!D55</f>
        <v>0</v>
      </c>
      <c r="E19" s="52" t="str">
        <f>'نتائج الشهادة من الرقمنة'!F55</f>
        <v>بن عيسى يحي محمد الأمين</v>
      </c>
      <c r="F19" s="52" t="str">
        <f>'نتائج الشهادة من الرقمنة'!E55</f>
        <v>ذكر</v>
      </c>
      <c r="G19" s="53">
        <f>'نتائج الشهادة من الرقمنة'!N55</f>
        <v>17.5</v>
      </c>
      <c r="H19" s="53">
        <f>'نتائج الشهادة من الرقمنة'!P55</f>
        <v>12.5</v>
      </c>
      <c r="I19" s="53">
        <f>'نتائج الشهادة من الرقمنة'!R55</f>
        <v>11.5</v>
      </c>
      <c r="J19" s="53">
        <f>'نتائج الشهادة من الرقمنة'!V55</f>
        <v>13</v>
      </c>
      <c r="K19" s="53">
        <f>'نتائج الشهادة من الرقمنة'!X55</f>
        <v>18</v>
      </c>
      <c r="L19" s="53">
        <f>'نتائج الشهادة من الرقمنة'!Z55</f>
        <v>14.5</v>
      </c>
      <c r="M19" s="53">
        <f>'نتائج الشهادة من الرقمنة'!L55</f>
        <v>12</v>
      </c>
      <c r="N19" s="53">
        <f>'نتائج الشهادة من الرقمنة'!AB55</f>
        <v>16.5</v>
      </c>
      <c r="O19" s="53">
        <f>'نتائج الشهادة من الرقمنة'!AD55</f>
        <v>17</v>
      </c>
      <c r="P19" s="44">
        <f>'نتائج الشهادة من الرقمنة'!I55</f>
        <v>14.82</v>
      </c>
      <c r="Q19" s="324"/>
      <c r="R19" s="54" t="str">
        <f t="shared" si="0"/>
        <v>بن عيسى يحي محمد الأمين</v>
      </c>
      <c r="S19" s="54" t="str">
        <f t="shared" si="1"/>
        <v>ذكر</v>
      </c>
      <c r="T19" s="55">
        <v>13.67</v>
      </c>
      <c r="U19" s="55">
        <v>13.33</v>
      </c>
      <c r="V19" s="55">
        <v>13.33</v>
      </c>
      <c r="W19" s="55">
        <v>18.5</v>
      </c>
      <c r="X19" s="55">
        <v>14.67</v>
      </c>
      <c r="Y19" s="55">
        <v>14.25</v>
      </c>
      <c r="Z19" s="55">
        <v>18.5</v>
      </c>
      <c r="AA19" s="55">
        <v>15.83</v>
      </c>
      <c r="AB19" s="55">
        <v>18.21</v>
      </c>
      <c r="AC19" s="56">
        <v>15.67</v>
      </c>
      <c r="AD19" s="55">
        <v>19</v>
      </c>
      <c r="AE19" s="57">
        <v>15.7</v>
      </c>
      <c r="AF19" s="17"/>
      <c r="AG19" s="128">
        <f>'نتائج الشهادة من الرقمنة'!J24</f>
        <v>13.92</v>
      </c>
      <c r="AH19" s="58" t="s">
        <v>273</v>
      </c>
      <c r="AI19" s="17"/>
      <c r="AJ19" s="25"/>
      <c r="AK19" s="25"/>
      <c r="AL19" s="25"/>
      <c r="AM19" s="25"/>
    </row>
    <row r="20" spans="1:39" s="1" customFormat="1" ht="12.95" customHeight="1" thickBot="1">
      <c r="A20" s="50">
        <f>'نتائج الشهادة من الرقمنة'!A25</f>
        <v>16</v>
      </c>
      <c r="B20" s="51">
        <f>'نتائج الشهادة من الرقمنة'!B25</f>
        <v>0</v>
      </c>
      <c r="C20" s="51">
        <f>'نتائج الشهادة من الرقمنة'!C25</f>
        <v>0</v>
      </c>
      <c r="D20" s="51">
        <f>'نتائج الشهادة من الرقمنة'!D25</f>
        <v>0</v>
      </c>
      <c r="E20" s="52" t="str">
        <f>'نتائج الشهادة من الرقمنة'!F25</f>
        <v>بن كعبوش شهرزاد</v>
      </c>
      <c r="F20" s="52">
        <f>'نتائج الشهادة من الرقمنة'!E25</f>
        <v>0</v>
      </c>
      <c r="G20" s="53">
        <f>'نتائج الشهادة من الرقمنة'!N25</f>
        <v>12</v>
      </c>
      <c r="H20" s="53">
        <f>'نتائج الشهادة من الرقمنة'!P25</f>
        <v>16</v>
      </c>
      <c r="I20" s="53">
        <f>'نتائج الشهادة من الرقمنة'!R25</f>
        <v>15</v>
      </c>
      <c r="J20" s="53">
        <f>'نتائج الشهادة من الرقمنة'!V25</f>
        <v>15.5</v>
      </c>
      <c r="K20" s="53">
        <f>'نتائج الشهادة من الرقمنة'!X25</f>
        <v>12</v>
      </c>
      <c r="L20" s="53">
        <f>'نتائج الشهادة من الرقمنة'!Z25</f>
        <v>11</v>
      </c>
      <c r="M20" s="53">
        <f>'نتائج الشهادة من الرقمنة'!L25</f>
        <v>11</v>
      </c>
      <c r="N20" s="53">
        <f>'نتائج الشهادة من الرقمنة'!AB25</f>
        <v>15.5</v>
      </c>
      <c r="O20" s="53">
        <f>'نتائج الشهادة من الرقمنة'!AD25</f>
        <v>15</v>
      </c>
      <c r="P20" s="44">
        <f>'نتائج الشهادة من الرقمنة'!I25</f>
        <v>13.69</v>
      </c>
      <c r="Q20" s="324"/>
      <c r="R20" s="54" t="str">
        <f t="shared" si="0"/>
        <v>بن كعبوش شهرزاد</v>
      </c>
      <c r="S20" s="54">
        <f t="shared" si="1"/>
        <v>0</v>
      </c>
      <c r="T20" s="55">
        <v>14.33</v>
      </c>
      <c r="U20" s="55">
        <v>16.829999999999998</v>
      </c>
      <c r="V20" s="55">
        <v>16.329999999999998</v>
      </c>
      <c r="W20" s="55">
        <v>16.920000000000002</v>
      </c>
      <c r="X20" s="55">
        <v>13.08</v>
      </c>
      <c r="Y20" s="55">
        <v>15.5</v>
      </c>
      <c r="Z20" s="55">
        <v>15.92</v>
      </c>
      <c r="AA20" s="55">
        <v>13.42</v>
      </c>
      <c r="AB20" s="55">
        <v>18.25</v>
      </c>
      <c r="AC20" s="56">
        <v>19.329999999999998</v>
      </c>
      <c r="AD20" s="55">
        <v>19</v>
      </c>
      <c r="AE20" s="57">
        <v>15.8</v>
      </c>
      <c r="AF20" s="17"/>
      <c r="AG20" s="128">
        <f>'نتائج الشهادة من الرقمنة'!J25</f>
        <v>13.69</v>
      </c>
      <c r="AH20" s="58" t="str">
        <f>IF(AG20&lt;10,IF('نتائج الشهادة من الرقمنة'!G25&lt;39448,"يوجه","يعيد"),"ينتقل")</f>
        <v>ينتقل</v>
      </c>
      <c r="AI20" s="17"/>
      <c r="AJ20" s="25"/>
      <c r="AK20" s="25"/>
      <c r="AL20" s="25"/>
      <c r="AM20" s="25"/>
    </row>
    <row r="21" spans="1:39" s="1" customFormat="1" ht="12.95" customHeight="1" thickBot="1">
      <c r="A21" s="50">
        <f>'نتائج الشهادة من الرقمنة'!A35</f>
        <v>26</v>
      </c>
      <c r="B21" s="51">
        <f>'نتائج الشهادة من الرقمنة'!B35</f>
        <v>0</v>
      </c>
      <c r="C21" s="51">
        <f>'نتائج الشهادة من الرقمنة'!C35</f>
        <v>0</v>
      </c>
      <c r="D21" s="51">
        <f>'نتائج الشهادة من الرقمنة'!D35</f>
        <v>0</v>
      </c>
      <c r="E21" s="52" t="str">
        <f>'نتائج الشهادة من الرقمنة'!F35</f>
        <v>بن معمر فاطيمة الزهراء</v>
      </c>
      <c r="F21" s="52">
        <f>'نتائج الشهادة من الرقمنة'!E35</f>
        <v>0</v>
      </c>
      <c r="G21" s="53">
        <f>'نتائج الشهادة من الرقمنة'!N35</f>
        <v>13.5</v>
      </c>
      <c r="H21" s="53">
        <f>'نتائج الشهادة من الرقمنة'!P35</f>
        <v>6.5</v>
      </c>
      <c r="I21" s="53">
        <f>'نتائج الشهادة من الرقمنة'!R35</f>
        <v>2</v>
      </c>
      <c r="J21" s="53">
        <f>'نتائج الشهادة من الرقمنة'!V35</f>
        <v>17.5</v>
      </c>
      <c r="K21" s="53">
        <f>'نتائج الشهادة من الرقمنة'!X35</f>
        <v>16</v>
      </c>
      <c r="L21" s="53">
        <f>'نتائج الشهادة من الرقمنة'!Z35</f>
        <v>8</v>
      </c>
      <c r="M21" s="53">
        <f>'نتائج الشهادة من الرقمنة'!L35</f>
        <v>6</v>
      </c>
      <c r="N21" s="53">
        <f>'نتائج الشهادة من الرقمنة'!AB35</f>
        <v>7</v>
      </c>
      <c r="O21" s="53">
        <f>'نتائج الشهادة من الرقمنة'!AD35</f>
        <v>11.5</v>
      </c>
      <c r="P21" s="44">
        <f>'نتائج الشهادة من الرقمنة'!I35</f>
        <v>10.029999999999999</v>
      </c>
      <c r="Q21" s="324"/>
      <c r="R21" s="54" t="str">
        <f t="shared" si="0"/>
        <v>بن معمر فاطيمة الزهراء</v>
      </c>
      <c r="S21" s="54">
        <f t="shared" si="1"/>
        <v>0</v>
      </c>
      <c r="T21" s="55">
        <v>14</v>
      </c>
      <c r="U21" s="55">
        <v>8.5</v>
      </c>
      <c r="V21" s="55">
        <v>7.33</v>
      </c>
      <c r="W21" s="55">
        <v>16.329999999999998</v>
      </c>
      <c r="X21" s="55">
        <v>14.08</v>
      </c>
      <c r="Y21" s="55">
        <v>11.75</v>
      </c>
      <c r="Z21" s="55">
        <v>14.75</v>
      </c>
      <c r="AA21" s="55">
        <v>14.83</v>
      </c>
      <c r="AB21" s="55">
        <v>12.08</v>
      </c>
      <c r="AC21" s="56">
        <v>17</v>
      </c>
      <c r="AD21" s="55">
        <v>18</v>
      </c>
      <c r="AE21" s="57">
        <v>13.15</v>
      </c>
      <c r="AF21" s="17"/>
      <c r="AG21" s="128">
        <f>'نتائج الشهادة من الرقمنة'!J26</f>
        <v>10.130000000000001</v>
      </c>
      <c r="AH21" s="58" t="str">
        <f>IF(AG21&lt;10,IF('نتائج الشهادة من الرقمنة'!G26&lt;39448,"يوجه","يعيد"),"ينتقل")</f>
        <v>ينتقل</v>
      </c>
      <c r="AI21" s="17"/>
      <c r="AJ21" s="25"/>
      <c r="AK21" s="25"/>
      <c r="AL21" s="25"/>
      <c r="AM21" s="25"/>
    </row>
    <row r="22" spans="1:39" s="1" customFormat="1" ht="12.95" customHeight="1" thickBot="1">
      <c r="A22" s="50">
        <f>'نتائج الشهادة من الرقمنة'!A26</f>
        <v>17</v>
      </c>
      <c r="B22" s="51">
        <f>'نتائج الشهادة من الرقمنة'!B26</f>
        <v>0</v>
      </c>
      <c r="C22" s="51">
        <f>'نتائج الشهادة من الرقمنة'!C26</f>
        <v>0</v>
      </c>
      <c r="D22" s="51" t="str">
        <f>'نتائج الشهادة من الرقمنة'!D26</f>
        <v xml:space="preserve"> نعم</v>
      </c>
      <c r="E22" s="52" t="str">
        <f>'نتائج الشهادة من الرقمنة'!F26</f>
        <v>بن والي طاطة</v>
      </c>
      <c r="F22" s="52">
        <f>'نتائج الشهادة من الرقمنة'!E26</f>
        <v>0</v>
      </c>
      <c r="G22" s="53">
        <f>'نتائج الشهادة من الرقمنة'!N26</f>
        <v>14</v>
      </c>
      <c r="H22" s="53">
        <f>'نتائج الشهادة من الرقمنة'!P26</f>
        <v>6.5</v>
      </c>
      <c r="I22" s="53">
        <f>'نتائج الشهادة من الرقمنة'!R26</f>
        <v>6</v>
      </c>
      <c r="J22" s="53">
        <f>'نتائج الشهادة من الرقمنة'!V26</f>
        <v>15.5</v>
      </c>
      <c r="K22" s="53">
        <f>'نتائج الشهادة من الرقمنة'!X26</f>
        <v>9</v>
      </c>
      <c r="L22" s="53">
        <f>'نتائج الشهادة من الرقمنة'!Z26</f>
        <v>9.5</v>
      </c>
      <c r="M22" s="53">
        <f>'نتائج الشهادة من الرقمنة'!L26</f>
        <v>5.5</v>
      </c>
      <c r="N22" s="53">
        <f>'نتائج الشهادة من الرقمنة'!AB26</f>
        <v>6</v>
      </c>
      <c r="O22" s="53">
        <f>'نتائج الشهادة من الرقمنة'!AD26</f>
        <v>13</v>
      </c>
      <c r="P22" s="44">
        <f>'نتائج الشهادة من الرقمنة'!I26</f>
        <v>10.130000000000001</v>
      </c>
      <c r="Q22" s="324"/>
      <c r="R22" s="54" t="str">
        <f t="shared" si="0"/>
        <v>بن والي طاطة</v>
      </c>
      <c r="S22" s="54">
        <f t="shared" si="1"/>
        <v>0</v>
      </c>
      <c r="T22" s="55">
        <v>10.08</v>
      </c>
      <c r="U22" s="55">
        <v>10</v>
      </c>
      <c r="V22" s="55">
        <v>8</v>
      </c>
      <c r="W22" s="55">
        <v>12.67</v>
      </c>
      <c r="X22" s="55">
        <v>11.58</v>
      </c>
      <c r="Y22" s="55">
        <v>11.67</v>
      </c>
      <c r="Z22" s="55">
        <v>7.25</v>
      </c>
      <c r="AA22" s="55">
        <v>13.58</v>
      </c>
      <c r="AB22" s="55">
        <v>11.17</v>
      </c>
      <c r="AC22" s="56">
        <v>13</v>
      </c>
      <c r="AD22" s="55">
        <v>18</v>
      </c>
      <c r="AE22" s="57">
        <v>10.75</v>
      </c>
      <c r="AF22" s="17"/>
      <c r="AG22" s="128">
        <f>'نتائج الشهادة من الرقمنة'!J27</f>
        <v>10.44</v>
      </c>
      <c r="AH22" s="58" t="str">
        <f>IF(AG22&lt;10,IF('نتائج الشهادة من الرقمنة'!G27&lt;39448,"يوجه","يعيد"),"ينتقل")</f>
        <v>ينتقل</v>
      </c>
      <c r="AI22" s="17"/>
      <c r="AJ22" s="25"/>
      <c r="AK22" s="25"/>
      <c r="AL22" s="25"/>
      <c r="AM22" s="25"/>
    </row>
    <row r="23" spans="1:39" s="1" customFormat="1" ht="12.95" customHeight="1" thickBot="1">
      <c r="A23" s="50">
        <f>'نتائج الشهادة من الرقمنة'!A27</f>
        <v>18</v>
      </c>
      <c r="B23" s="51">
        <f>'نتائج الشهادة من الرقمنة'!B27</f>
        <v>0</v>
      </c>
      <c r="C23" s="51">
        <f>'نتائج الشهادة من الرقمنة'!C27</f>
        <v>0</v>
      </c>
      <c r="D23" s="51">
        <f>'نتائج الشهادة من الرقمنة'!D27</f>
        <v>0</v>
      </c>
      <c r="E23" s="52" t="str">
        <f>'نتائج الشهادة من الرقمنة'!F27</f>
        <v>بوبكر عبد الرحمان</v>
      </c>
      <c r="F23" s="52" t="str">
        <f>'نتائج الشهادة من الرقمنة'!E27</f>
        <v>ذكر</v>
      </c>
      <c r="G23" s="53">
        <f>'نتائج الشهادة من الرقمنة'!N27</f>
        <v>12</v>
      </c>
      <c r="H23" s="53">
        <f>'نتائج الشهادة من الرقمنة'!P27</f>
        <v>10.5</v>
      </c>
      <c r="I23" s="53">
        <f>'نتائج الشهادة من الرقمنة'!R27</f>
        <v>4</v>
      </c>
      <c r="J23" s="53">
        <f>'نتائج الشهادة من الرقمنة'!V27</f>
        <v>10.5</v>
      </c>
      <c r="K23" s="53">
        <f>'نتائج الشهادة من الرقمنة'!X27</f>
        <v>13.5</v>
      </c>
      <c r="L23" s="53">
        <f>'نتائج الشهادة من الرقمنة'!Z27</f>
        <v>8.5</v>
      </c>
      <c r="M23" s="53">
        <f>'نتائج الشهادة من الرقمنة'!L27</f>
        <v>4.5</v>
      </c>
      <c r="N23" s="53">
        <f>'نتائج الشهادة من الرقمنة'!AB27</f>
        <v>10</v>
      </c>
      <c r="O23" s="53">
        <f>'نتائج الشهادة من الرقمنة'!AD27</f>
        <v>12.5</v>
      </c>
      <c r="P23" s="44">
        <f>'نتائج الشهادة من الرقمنة'!I27</f>
        <v>9.73</v>
      </c>
      <c r="Q23" s="324"/>
      <c r="R23" s="54" t="str">
        <f t="shared" si="0"/>
        <v>بوبكر عبد الرحمان</v>
      </c>
      <c r="S23" s="54" t="str">
        <f t="shared" si="1"/>
        <v>ذكر</v>
      </c>
      <c r="T23" s="55">
        <v>13</v>
      </c>
      <c r="U23" s="55">
        <v>12.67</v>
      </c>
      <c r="V23" s="55">
        <v>10.58</v>
      </c>
      <c r="W23" s="55">
        <v>12.33</v>
      </c>
      <c r="X23" s="55">
        <v>10.67</v>
      </c>
      <c r="Y23" s="55">
        <v>10.33</v>
      </c>
      <c r="Z23" s="55">
        <v>9</v>
      </c>
      <c r="AA23" s="55">
        <v>9.58</v>
      </c>
      <c r="AB23" s="55">
        <v>11.08</v>
      </c>
      <c r="AC23" s="56">
        <v>13.17</v>
      </c>
      <c r="AD23" s="55">
        <v>18</v>
      </c>
      <c r="AE23" s="57">
        <v>11.6</v>
      </c>
      <c r="AF23" s="17"/>
      <c r="AG23" s="128">
        <f>'نتائج الشهادة من الرقمنة'!J28</f>
        <v>10.36</v>
      </c>
      <c r="AH23" s="58" t="str">
        <f>IF(AG23&lt;10,IF('نتائج الشهادة من الرقمنة'!G28&lt;39448,"يوجه","يعيد"),"ينتقل")</f>
        <v>ينتقل</v>
      </c>
      <c r="AI23" s="17"/>
      <c r="AJ23" s="25"/>
      <c r="AK23" s="25"/>
      <c r="AL23" s="25"/>
      <c r="AM23" s="25"/>
    </row>
    <row r="24" spans="1:39" s="1" customFormat="1" ht="12.95" customHeight="1" thickBot="1">
      <c r="A24" s="50">
        <f>'نتائج الشهادة من الرقمنة'!A17</f>
        <v>8</v>
      </c>
      <c r="B24" s="51">
        <f>'نتائج الشهادة من الرقمنة'!B17</f>
        <v>0</v>
      </c>
      <c r="C24" s="51">
        <f>'نتائج الشهادة من الرقمنة'!C17</f>
        <v>0</v>
      </c>
      <c r="D24" s="51">
        <f>'نتائج الشهادة من الرقمنة'!D17</f>
        <v>0</v>
      </c>
      <c r="E24" s="52" t="str">
        <f>'نتائج الشهادة من الرقمنة'!F17</f>
        <v>بوزيد إيمان</v>
      </c>
      <c r="F24" s="52">
        <f>'نتائج الشهادة من الرقمنة'!E17</f>
        <v>0</v>
      </c>
      <c r="G24" s="53">
        <f>'نتائج الشهادة من الرقمنة'!N17</f>
        <v>8</v>
      </c>
      <c r="H24" s="53">
        <f>'نتائج الشهادة من الرقمنة'!P17</f>
        <v>12.5</v>
      </c>
      <c r="I24" s="53">
        <f>'نتائج الشهادة من الرقمنة'!R17</f>
        <v>5.5</v>
      </c>
      <c r="J24" s="53">
        <f>'نتائج الشهادة من الرقمنة'!V17</f>
        <v>7</v>
      </c>
      <c r="K24" s="53">
        <f>'نتائج الشهادة من الرقمنة'!X17</f>
        <v>5.5</v>
      </c>
      <c r="L24" s="53">
        <f>'نتائج الشهادة من الرقمنة'!Z17</f>
        <v>4</v>
      </c>
      <c r="M24" s="53">
        <f>'نتائج الشهادة من الرقمنة'!L17</f>
        <v>5</v>
      </c>
      <c r="N24" s="53">
        <f>'نتائج الشهادة من الرقمنة'!AB17</f>
        <v>5.5</v>
      </c>
      <c r="O24" s="53">
        <f>'نتائج الشهادة من الرقمنة'!AD17</f>
        <v>7</v>
      </c>
      <c r="P24" s="44">
        <f>'نتائج الشهادة من الرقمنة'!I17</f>
        <v>7.14</v>
      </c>
      <c r="Q24" s="324"/>
      <c r="R24" s="54" t="str">
        <f t="shared" si="0"/>
        <v>بوزيد إيمان</v>
      </c>
      <c r="S24" s="54">
        <f t="shared" si="1"/>
        <v>0</v>
      </c>
      <c r="T24" s="55">
        <v>8.5</v>
      </c>
      <c r="U24" s="55">
        <v>7.83</v>
      </c>
      <c r="V24" s="55">
        <v>6.75</v>
      </c>
      <c r="W24" s="55">
        <v>8.5</v>
      </c>
      <c r="X24" s="55">
        <v>6.5</v>
      </c>
      <c r="Y24" s="55">
        <v>4.42</v>
      </c>
      <c r="Z24" s="55">
        <v>8.5</v>
      </c>
      <c r="AA24" s="55">
        <v>6.83</v>
      </c>
      <c r="AB24" s="55">
        <v>8.33</v>
      </c>
      <c r="AC24" s="56">
        <v>16.5</v>
      </c>
      <c r="AD24" s="55">
        <v>0</v>
      </c>
      <c r="AE24" s="57">
        <v>7.88</v>
      </c>
      <c r="AF24" s="17"/>
      <c r="AG24" s="128">
        <f>'نتائج الشهادة من الرقمنة'!J29</f>
        <v>8.31</v>
      </c>
      <c r="AH24" s="58" t="str">
        <f>IF(AG24&lt;10,IF('نتائج الشهادة من الرقمنة'!G29&lt;39448,"يوجه","يعيد"),"ينتقل")</f>
        <v>يعيد</v>
      </c>
      <c r="AI24" s="17"/>
      <c r="AJ24" s="25"/>
      <c r="AK24" s="25"/>
      <c r="AL24" s="25"/>
      <c r="AM24" s="25"/>
    </row>
    <row r="25" spans="1:39" s="1" customFormat="1" ht="12.95" customHeight="1" thickBot="1">
      <c r="A25" s="50">
        <f>'نتائج الشهادة من الرقمنة'!A11</f>
        <v>2</v>
      </c>
      <c r="B25" s="51">
        <f>'نتائج الشهادة من الرقمنة'!B11</f>
        <v>0</v>
      </c>
      <c r="C25" s="51">
        <f>'نتائج الشهادة من الرقمنة'!C11</f>
        <v>0</v>
      </c>
      <c r="D25" s="51">
        <f>'نتائج الشهادة من الرقمنة'!D11</f>
        <v>0</v>
      </c>
      <c r="E25" s="52" t="str">
        <f>'نتائج الشهادة من الرقمنة'!F11</f>
        <v>بوشنتوف آلاء</v>
      </c>
      <c r="F25" s="52">
        <f>'نتائج الشهادة من الرقمنة'!E11</f>
        <v>0</v>
      </c>
      <c r="G25" s="53">
        <f>'نتائج الشهادة من الرقمنة'!N11</f>
        <v>15</v>
      </c>
      <c r="H25" s="53">
        <f>'نتائج الشهادة من الرقمنة'!P11</f>
        <v>8.5</v>
      </c>
      <c r="I25" s="53">
        <f>'نتائج الشهادة من الرقمنة'!R11</f>
        <v>11</v>
      </c>
      <c r="J25" s="53">
        <f>'نتائج الشهادة من الرقمنة'!V11</f>
        <v>19</v>
      </c>
      <c r="K25" s="53">
        <f>'نتائج الشهادة من الرقمنة'!X11</f>
        <v>11.5</v>
      </c>
      <c r="L25" s="53">
        <f>'نتائج الشهادة من الرقمنة'!Z11</f>
        <v>10</v>
      </c>
      <c r="M25" s="53">
        <f>'نتائج الشهادة من الرقمنة'!L11</f>
        <v>5</v>
      </c>
      <c r="N25" s="53">
        <f>'نتائج الشهادة من الرقمنة'!AB11</f>
        <v>9</v>
      </c>
      <c r="O25" s="53">
        <f>'نتائج الشهادة من الرقمنة'!AD11</f>
        <v>11</v>
      </c>
      <c r="P25" s="44">
        <f>'نتائج الشهادة من الرقمنة'!I11</f>
        <v>11.39</v>
      </c>
      <c r="Q25" s="324"/>
      <c r="R25" s="54" t="str">
        <f t="shared" si="0"/>
        <v>بوشنتوف آلاء</v>
      </c>
      <c r="S25" s="54">
        <f t="shared" si="1"/>
        <v>0</v>
      </c>
      <c r="T25" s="55">
        <v>15.25</v>
      </c>
      <c r="U25" s="55">
        <v>13.33</v>
      </c>
      <c r="V25" s="55">
        <v>10.5</v>
      </c>
      <c r="W25" s="55">
        <v>15.33</v>
      </c>
      <c r="X25" s="55">
        <v>14.92</v>
      </c>
      <c r="Y25" s="55">
        <v>13.25</v>
      </c>
      <c r="Z25" s="55">
        <v>11.58</v>
      </c>
      <c r="AA25" s="55">
        <v>8.67</v>
      </c>
      <c r="AB25" s="55">
        <v>17.170000000000002</v>
      </c>
      <c r="AC25" s="56">
        <v>16.329999999999998</v>
      </c>
      <c r="AD25" s="55">
        <v>18</v>
      </c>
      <c r="AE25" s="57">
        <v>13.45</v>
      </c>
      <c r="AF25" s="17"/>
      <c r="AG25" s="128">
        <f>'نتائج الشهادة من الرقمنة'!J30</f>
        <v>11.2</v>
      </c>
      <c r="AH25" s="58" t="str">
        <f>IF(AG25&lt;10,IF('نتائج الشهادة من الرقمنة'!G30&lt;39448,"يوجه","يعيد"),"ينتقل")</f>
        <v>ينتقل</v>
      </c>
      <c r="AI25" s="17"/>
      <c r="AJ25" s="25"/>
      <c r="AK25" s="25"/>
      <c r="AL25" s="25"/>
      <c r="AM25" s="25"/>
    </row>
    <row r="26" spans="1:39" s="1" customFormat="1" ht="12.95" customHeight="1" thickBot="1">
      <c r="A26" s="50">
        <f>'نتائج الشهادة من الرقمنة'!A43</f>
        <v>34</v>
      </c>
      <c r="B26" s="51">
        <f>'نتائج الشهادة من الرقمنة'!B43</f>
        <v>0</v>
      </c>
      <c r="C26" s="51">
        <f>'نتائج الشهادة من الرقمنة'!C43</f>
        <v>0</v>
      </c>
      <c r="D26" s="51">
        <f>'نتائج الشهادة من الرقمنة'!D43</f>
        <v>0</v>
      </c>
      <c r="E26" s="52" t="str">
        <f>'نتائج الشهادة من الرقمنة'!F43</f>
        <v>بويدية مصطفى عبد الستار</v>
      </c>
      <c r="F26" s="52" t="str">
        <f>'نتائج الشهادة من الرقمنة'!E43</f>
        <v>ذكر</v>
      </c>
      <c r="G26" s="53">
        <f>'نتائج الشهادة من الرقمنة'!N43</f>
        <v>16</v>
      </c>
      <c r="H26" s="53">
        <f>'نتائج الشهادة من الرقمنة'!P43</f>
        <v>11</v>
      </c>
      <c r="I26" s="53">
        <f>'نتائج الشهادة من الرقمنة'!R43</f>
        <v>11.5</v>
      </c>
      <c r="J26" s="53">
        <f>'نتائج الشهادة من الرقمنة'!V43</f>
        <v>18</v>
      </c>
      <c r="K26" s="53">
        <f>'نتائج الشهادة من الرقمنة'!X43</f>
        <v>14.5</v>
      </c>
      <c r="L26" s="53">
        <f>'نتائج الشهادة من الرقمنة'!Z43</f>
        <v>7.5</v>
      </c>
      <c r="M26" s="53">
        <f>'نتائج الشهادة من الرقمنة'!L43</f>
        <v>14.5</v>
      </c>
      <c r="N26" s="53">
        <f>'نتائج الشهادة من الرقمنة'!AB43</f>
        <v>15</v>
      </c>
      <c r="O26" s="53">
        <f>'نتائج الشهادة من الرقمنة'!AD43</f>
        <v>17</v>
      </c>
      <c r="P26" s="44">
        <f>'نتائج الشهادة من الرقمنة'!I43</f>
        <v>14.06</v>
      </c>
      <c r="Q26" s="324"/>
      <c r="R26" s="54" t="str">
        <f t="shared" si="0"/>
        <v>بويدية مصطفى عبد الستار</v>
      </c>
      <c r="S26" s="54" t="str">
        <f t="shared" si="1"/>
        <v>ذكر</v>
      </c>
      <c r="T26" s="55">
        <v>14.58</v>
      </c>
      <c r="U26" s="55">
        <v>11.83</v>
      </c>
      <c r="V26" s="55">
        <v>16.420000000000002</v>
      </c>
      <c r="W26" s="55">
        <v>16.079999999999998</v>
      </c>
      <c r="X26" s="55">
        <v>18.079999999999998</v>
      </c>
      <c r="Y26" s="55">
        <v>16.5</v>
      </c>
      <c r="Z26" s="55">
        <v>18.329999999999998</v>
      </c>
      <c r="AA26" s="55">
        <v>16.25</v>
      </c>
      <c r="AB26" s="55">
        <v>19.329999999999998</v>
      </c>
      <c r="AC26" s="56">
        <v>16.5</v>
      </c>
      <c r="AD26" s="55">
        <v>18</v>
      </c>
      <c r="AE26" s="57">
        <v>16.239999999999998</v>
      </c>
      <c r="AF26" s="17"/>
      <c r="AG26" s="128">
        <f>'نتائج الشهادة من الرقمنة'!J31</f>
        <v>14.61</v>
      </c>
      <c r="AH26" s="58" t="str">
        <f>IF(AG26&lt;10,IF('نتائج الشهادة من الرقمنة'!G31&lt;39448,"يوجه","يعيد"),"ينتقل")</f>
        <v>ينتقل</v>
      </c>
      <c r="AI26" s="17"/>
      <c r="AJ26" s="25"/>
      <c r="AK26" s="25"/>
      <c r="AL26" s="25"/>
      <c r="AM26" s="25"/>
    </row>
    <row r="27" spans="1:39" s="1" customFormat="1" ht="12.95" customHeight="1" thickBot="1">
      <c r="A27" s="50">
        <f>'نتائج الشهادة من الرقمنة'!A24</f>
        <v>15</v>
      </c>
      <c r="B27" s="51">
        <f>'نتائج الشهادة من الرقمنة'!B24</f>
        <v>0</v>
      </c>
      <c r="C27" s="51">
        <f>'نتائج الشهادة من الرقمنة'!C24</f>
        <v>0</v>
      </c>
      <c r="D27" s="51">
        <f>'نتائج الشهادة من الرقمنة'!D24</f>
        <v>0</v>
      </c>
      <c r="E27" s="52" t="str">
        <f>'نتائج الشهادة من الرقمنة'!F24</f>
        <v>بيدي سراج الدين</v>
      </c>
      <c r="F27" s="52" t="str">
        <f>'نتائج الشهادة من الرقمنة'!E24</f>
        <v>ذكر</v>
      </c>
      <c r="G27" s="53">
        <f>'نتائج الشهادة من الرقمنة'!N24</f>
        <v>16</v>
      </c>
      <c r="H27" s="53">
        <f>'نتائج الشهادة من الرقمنة'!P24</f>
        <v>17</v>
      </c>
      <c r="I27" s="53">
        <f>'نتائج الشهادة من الرقمنة'!R24</f>
        <v>15</v>
      </c>
      <c r="J27" s="53">
        <f>'نتائج الشهادة من الرقمنة'!V24</f>
        <v>15.5</v>
      </c>
      <c r="K27" s="53">
        <f>'نتائج الشهادة من الرقمنة'!X24</f>
        <v>11</v>
      </c>
      <c r="L27" s="53">
        <f>'نتائج الشهادة من الرقمنة'!Z24</f>
        <v>12.5</v>
      </c>
      <c r="M27" s="53">
        <f>'نتائج الشهادة من الرقمنة'!L24</f>
        <v>9</v>
      </c>
      <c r="N27" s="53">
        <f>'نتائج الشهادة من الرقمنة'!AB24</f>
        <v>9</v>
      </c>
      <c r="O27" s="53">
        <f>'نتائج الشهادة من الرقمنة'!AD24</f>
        <v>16</v>
      </c>
      <c r="P27" s="44">
        <f>'نتائج الشهادة من الرقمنة'!I24</f>
        <v>13.92</v>
      </c>
      <c r="Q27" s="324"/>
      <c r="R27" s="54" t="str">
        <f t="shared" si="0"/>
        <v>بيدي سراج الدين</v>
      </c>
      <c r="S27" s="54" t="str">
        <f t="shared" si="1"/>
        <v>ذكر</v>
      </c>
      <c r="T27" s="55">
        <v>16.079999999999998</v>
      </c>
      <c r="U27" s="55">
        <v>16.25</v>
      </c>
      <c r="V27" s="55">
        <v>18.75</v>
      </c>
      <c r="W27" s="55">
        <v>18.329999999999998</v>
      </c>
      <c r="X27" s="55">
        <v>16.670000000000002</v>
      </c>
      <c r="Y27" s="55">
        <v>16.579999999999998</v>
      </c>
      <c r="Z27" s="55">
        <v>17.420000000000002</v>
      </c>
      <c r="AA27" s="55">
        <v>10.5</v>
      </c>
      <c r="AB27" s="55">
        <v>17.670000000000002</v>
      </c>
      <c r="AC27" s="56">
        <v>16.5</v>
      </c>
      <c r="AD27" s="55">
        <v>19</v>
      </c>
      <c r="AE27" s="57">
        <v>16.63</v>
      </c>
      <c r="AF27" s="17"/>
      <c r="AG27" s="128">
        <f>'نتائج الشهادة من الرقمنة'!J32</f>
        <v>9.6</v>
      </c>
      <c r="AH27" s="58" t="s">
        <v>273</v>
      </c>
      <c r="AI27" s="17"/>
      <c r="AJ27" s="25"/>
      <c r="AK27" s="25"/>
      <c r="AL27" s="25"/>
      <c r="AM27" s="25"/>
    </row>
    <row r="28" spans="1:39" s="1" customFormat="1" ht="12.95" customHeight="1" thickBot="1">
      <c r="A28" s="50">
        <f>'نتائج الشهادة من الرقمنة'!A14</f>
        <v>5</v>
      </c>
      <c r="B28" s="51">
        <f>'نتائج الشهادة من الرقمنة'!B14</f>
        <v>0</v>
      </c>
      <c r="C28" s="51">
        <f>'نتائج الشهادة من الرقمنة'!C14</f>
        <v>0</v>
      </c>
      <c r="D28" s="51">
        <f>'نتائج الشهادة من الرقمنة'!D14</f>
        <v>0</v>
      </c>
      <c r="E28" s="52" t="str">
        <f>'نتائج الشهادة من الرقمنة'!F14</f>
        <v>حمادي أبوبكر الصديق</v>
      </c>
      <c r="F28" s="52" t="str">
        <f>'نتائج الشهادة من الرقمنة'!E14</f>
        <v>ذكر</v>
      </c>
      <c r="G28" s="53">
        <f>'نتائج الشهادة من الرقمنة'!N14</f>
        <v>17.5</v>
      </c>
      <c r="H28" s="53">
        <f>'نتائج الشهادة من الرقمنة'!P14</f>
        <v>12</v>
      </c>
      <c r="I28" s="53">
        <f>'نتائج الشهادة من الرقمنة'!R14</f>
        <v>11.5</v>
      </c>
      <c r="J28" s="53">
        <f>'نتائج الشهادة من الرقمنة'!V14</f>
        <v>16</v>
      </c>
      <c r="K28" s="53">
        <f>'نتائج الشهادة من الرقمنة'!X14</f>
        <v>13</v>
      </c>
      <c r="L28" s="53">
        <f>'نتائج الشهادة من الرقمنة'!Z14</f>
        <v>12</v>
      </c>
      <c r="M28" s="53">
        <f>'نتائج الشهادة من الرقمنة'!L14</f>
        <v>9.5</v>
      </c>
      <c r="N28" s="53">
        <f>'نتائج الشهادة من الرقمنة'!AB14</f>
        <v>8</v>
      </c>
      <c r="O28" s="53">
        <f>'نتائج الشهادة من الرقمنة'!AD14</f>
        <v>16.5</v>
      </c>
      <c r="P28" s="44">
        <f>'نتائج الشهادة من الرقمنة'!I14</f>
        <v>13.44</v>
      </c>
      <c r="Q28" s="324"/>
      <c r="R28" s="54" t="str">
        <f t="shared" si="0"/>
        <v>حمادي أبوبكر الصديق</v>
      </c>
      <c r="S28" s="54" t="str">
        <f t="shared" si="1"/>
        <v>ذكر</v>
      </c>
      <c r="T28" s="55">
        <v>14</v>
      </c>
      <c r="U28" s="55">
        <v>13.33</v>
      </c>
      <c r="V28" s="55">
        <v>15.92</v>
      </c>
      <c r="W28" s="55">
        <v>16.579999999999998</v>
      </c>
      <c r="X28" s="55">
        <v>15.25</v>
      </c>
      <c r="Y28" s="55">
        <v>15.08</v>
      </c>
      <c r="Z28" s="55">
        <v>17.670000000000002</v>
      </c>
      <c r="AA28" s="55">
        <v>8.33</v>
      </c>
      <c r="AB28" s="55">
        <v>15.67</v>
      </c>
      <c r="AC28" s="56">
        <v>17.5</v>
      </c>
      <c r="AD28" s="55">
        <v>18</v>
      </c>
      <c r="AE28" s="57">
        <v>14.77</v>
      </c>
      <c r="AF28" s="17"/>
      <c r="AG28" s="128">
        <f>'نتائج الشهادة من الرقمنة'!J33</f>
        <v>11.37</v>
      </c>
      <c r="AH28" s="58" t="str">
        <f>IF(AG28&lt;10,IF('نتائج الشهادة من الرقمنة'!G33&lt;39448,"يوجه","يعيد"),"ينتقل")</f>
        <v>ينتقل</v>
      </c>
      <c r="AI28" s="17"/>
      <c r="AJ28" s="25"/>
      <c r="AK28" s="25"/>
      <c r="AL28" s="25"/>
      <c r="AM28" s="25"/>
    </row>
    <row r="29" spans="1:39" s="1" customFormat="1" ht="12.95" customHeight="1" thickBot="1">
      <c r="A29" s="50">
        <f>'نتائج الشهادة من الرقمنة'!A12</f>
        <v>3</v>
      </c>
      <c r="B29" s="51">
        <f>'نتائج الشهادة من الرقمنة'!B12</f>
        <v>0</v>
      </c>
      <c r="C29" s="51">
        <f>'نتائج الشهادة من الرقمنة'!C12</f>
        <v>0</v>
      </c>
      <c r="D29" s="51">
        <f>'نتائج الشهادة من الرقمنة'!D12</f>
        <v>0</v>
      </c>
      <c r="E29" s="52" t="str">
        <f>'نتائج الشهادة من الرقمنة'!F12</f>
        <v>دحمون آلاء غدير</v>
      </c>
      <c r="F29" s="52">
        <f>'نتائج الشهادة من الرقمنة'!E12</f>
        <v>0</v>
      </c>
      <c r="G29" s="53">
        <f>'نتائج الشهادة من الرقمنة'!N12</f>
        <v>15</v>
      </c>
      <c r="H29" s="53">
        <f>'نتائج الشهادة من الرقمنة'!P12</f>
        <v>16.5</v>
      </c>
      <c r="I29" s="53">
        <f>'نتائج الشهادة من الرقمنة'!R12</f>
        <v>11</v>
      </c>
      <c r="J29" s="53">
        <f>'نتائج الشهادة من الرقمنة'!V12</f>
        <v>17</v>
      </c>
      <c r="K29" s="53">
        <f>'نتائج الشهادة من الرقمنة'!X12</f>
        <v>14</v>
      </c>
      <c r="L29" s="53">
        <f>'نتائج الشهادة من الرقمنة'!Z12</f>
        <v>13.5</v>
      </c>
      <c r="M29" s="53">
        <f>'نتائج الشهادة من الرقمنة'!L12</f>
        <v>12</v>
      </c>
      <c r="N29" s="53">
        <f>'نتائج الشهادة من الرقمنة'!AB12</f>
        <v>18</v>
      </c>
      <c r="O29" s="53">
        <f>'نتائج الشهادة من الرقمنة'!AD12</f>
        <v>16</v>
      </c>
      <c r="P29" s="44">
        <f>'نتائج الشهادة من الرقمنة'!I12</f>
        <v>14.96</v>
      </c>
      <c r="Q29" s="324"/>
      <c r="R29" s="54" t="str">
        <f t="shared" si="0"/>
        <v>دحمون آلاء غدير</v>
      </c>
      <c r="S29" s="54">
        <f t="shared" si="1"/>
        <v>0</v>
      </c>
      <c r="T29" s="55">
        <v>16.829999999999998</v>
      </c>
      <c r="U29" s="55">
        <v>16.5</v>
      </c>
      <c r="V29" s="55">
        <v>17</v>
      </c>
      <c r="W29" s="55">
        <v>18.079999999999998</v>
      </c>
      <c r="X29" s="55">
        <v>16</v>
      </c>
      <c r="Y29" s="55">
        <v>18.5</v>
      </c>
      <c r="Z29" s="55">
        <v>18.329999999999998</v>
      </c>
      <c r="AA29" s="55">
        <v>19.170000000000002</v>
      </c>
      <c r="AB29" s="55">
        <v>17.579999999999998</v>
      </c>
      <c r="AC29" s="56">
        <v>19.170000000000002</v>
      </c>
      <c r="AD29" s="55">
        <v>19</v>
      </c>
      <c r="AE29" s="57">
        <v>17.600000000000001</v>
      </c>
      <c r="AF29" s="17"/>
      <c r="AG29" s="128">
        <f>'نتائج الشهادة من الرقمنة'!J34</f>
        <v>10.15</v>
      </c>
      <c r="AH29" s="58" t="str">
        <f>IF(AG29&lt;10,IF('نتائج الشهادة من الرقمنة'!G34&lt;39448,"يوجه","يعيد"),"ينتقل")</f>
        <v>ينتقل</v>
      </c>
      <c r="AI29" s="17"/>
      <c r="AJ29" s="25"/>
      <c r="AK29" s="25"/>
      <c r="AL29" s="25"/>
      <c r="AM29" s="25"/>
    </row>
    <row r="30" spans="1:39" s="1" customFormat="1" ht="12.95" customHeight="1" thickBot="1">
      <c r="A30" s="50">
        <f>'نتائج الشهادة من الرقمنة'!A18</f>
        <v>9</v>
      </c>
      <c r="B30" s="51">
        <f>'نتائج الشهادة من الرقمنة'!B18</f>
        <v>0</v>
      </c>
      <c r="C30" s="51">
        <f>'نتائج الشهادة من الرقمنة'!C18</f>
        <v>0</v>
      </c>
      <c r="D30" s="51" t="str">
        <f>'نتائج الشهادة من الرقمنة'!D18</f>
        <v xml:space="preserve"> نعم</v>
      </c>
      <c r="E30" s="52" t="str">
        <f>'نتائج الشهادة من الرقمنة'!F18</f>
        <v>رحماني بشرى كنزة</v>
      </c>
      <c r="F30" s="52">
        <f>'نتائج الشهادة من الرقمنة'!E18</f>
        <v>0</v>
      </c>
      <c r="G30" s="53">
        <f>'نتائج الشهادة من الرقمنة'!N18</f>
        <v>9.5</v>
      </c>
      <c r="H30" s="53">
        <f>'نتائج الشهادة من الرقمنة'!P18</f>
        <v>8.5</v>
      </c>
      <c r="I30" s="53">
        <f>'نتائج الشهادة من الرقمنة'!R18</f>
        <v>4</v>
      </c>
      <c r="J30" s="53">
        <f>'نتائج الشهادة من الرقمنة'!V18</f>
        <v>7.5</v>
      </c>
      <c r="K30" s="53">
        <f>'نتائج الشهادة من الرقمنة'!X18</f>
        <v>7.5</v>
      </c>
      <c r="L30" s="53">
        <f>'نتائج الشهادة من الرقمنة'!Z18</f>
        <v>3.5</v>
      </c>
      <c r="M30" s="53">
        <f>'نتائج الشهادة من الرقمنة'!L18</f>
        <v>2.5</v>
      </c>
      <c r="N30" s="53">
        <f>'نتائج الشهادة من الرقمنة'!AB18</f>
        <v>4.5</v>
      </c>
      <c r="O30" s="53">
        <f>'نتائج الشهادة من الرقمنة'!AD18</f>
        <v>9</v>
      </c>
      <c r="P30" s="44">
        <f>'نتائج الشهادة من الرقمنة'!I18</f>
        <v>7.03</v>
      </c>
      <c r="Q30" s="324"/>
      <c r="R30" s="54" t="str">
        <f t="shared" si="0"/>
        <v>رحماني بشرى كنزة</v>
      </c>
      <c r="S30" s="54">
        <f t="shared" si="1"/>
        <v>0</v>
      </c>
      <c r="T30" s="55">
        <v>11.83</v>
      </c>
      <c r="U30" s="55">
        <v>9.42</v>
      </c>
      <c r="V30" s="55">
        <v>4.58</v>
      </c>
      <c r="W30" s="55">
        <v>6.83</v>
      </c>
      <c r="X30" s="55">
        <v>7.33</v>
      </c>
      <c r="Y30" s="55">
        <v>7.5</v>
      </c>
      <c r="Z30" s="55">
        <v>5.67</v>
      </c>
      <c r="AA30" s="55">
        <v>8.5</v>
      </c>
      <c r="AB30" s="55">
        <v>6.25</v>
      </c>
      <c r="AC30" s="56">
        <v>13.67</v>
      </c>
      <c r="AD30" s="55">
        <v>18</v>
      </c>
      <c r="AE30" s="57">
        <v>8.5299999999999994</v>
      </c>
      <c r="AF30" s="17"/>
      <c r="AG30" s="128">
        <f>'نتائج الشهادة من الرقمنة'!J35</f>
        <v>10.029999999999999</v>
      </c>
      <c r="AH30" s="58" t="s">
        <v>165</v>
      </c>
      <c r="AI30" s="17"/>
      <c r="AJ30" s="25"/>
      <c r="AK30" s="25"/>
      <c r="AL30" s="25"/>
      <c r="AM30" s="25"/>
    </row>
    <row r="31" spans="1:39" s="1" customFormat="1" ht="12.95" customHeight="1" thickBot="1">
      <c r="A31" s="50">
        <f>'نتائج الشهادة من الرقمنة'!A20</f>
        <v>11</v>
      </c>
      <c r="B31" s="51">
        <f>'نتائج الشهادة من الرقمنة'!B20</f>
        <v>0</v>
      </c>
      <c r="C31" s="51">
        <f>'نتائج الشهادة من الرقمنة'!C20</f>
        <v>0</v>
      </c>
      <c r="D31" s="51" t="str">
        <f>'نتائج الشهادة من الرقمنة'!D20</f>
        <v xml:space="preserve"> نعم</v>
      </c>
      <c r="E31" s="52" t="str">
        <f>'نتائج الشهادة من الرقمنة'!F20</f>
        <v>رحماني خديجة ندى</v>
      </c>
      <c r="F31" s="52">
        <f>'نتائج الشهادة من الرقمنة'!E20</f>
        <v>0</v>
      </c>
      <c r="G31" s="53">
        <f>'نتائج الشهادة من الرقمنة'!N20</f>
        <v>10</v>
      </c>
      <c r="H31" s="53">
        <f>'نتائج الشهادة من الرقمنة'!P20</f>
        <v>13.5</v>
      </c>
      <c r="I31" s="53">
        <f>'نتائج الشهادة من الرقمنة'!R20</f>
        <v>6</v>
      </c>
      <c r="J31" s="53">
        <f>'نتائج الشهادة من الرقمنة'!V20</f>
        <v>9</v>
      </c>
      <c r="K31" s="53">
        <f>'نتائج الشهادة من الرقمنة'!X20</f>
        <v>10</v>
      </c>
      <c r="L31" s="53">
        <f>'نتائج الشهادة من الرقمنة'!Z20</f>
        <v>8</v>
      </c>
      <c r="M31" s="53">
        <f>'نتائج الشهادة من الرقمنة'!L20</f>
        <v>4</v>
      </c>
      <c r="N31" s="53">
        <f>'نتائج الشهادة من الرقمنة'!AB20</f>
        <v>9</v>
      </c>
      <c r="O31" s="53">
        <f>'نتائج الشهادة من الرقمنة'!AD20</f>
        <v>14.5</v>
      </c>
      <c r="P31" s="44">
        <f>'نتائج الشهادة من الرقمنة'!I20</f>
        <v>9.56</v>
      </c>
      <c r="Q31" s="324"/>
      <c r="R31" s="54" t="str">
        <f t="shared" si="0"/>
        <v>رحماني خديجة ندى</v>
      </c>
      <c r="S31" s="54">
        <f t="shared" si="1"/>
        <v>0</v>
      </c>
      <c r="T31" s="55">
        <v>13.5</v>
      </c>
      <c r="U31" s="55">
        <v>13</v>
      </c>
      <c r="V31" s="55">
        <v>7.83</v>
      </c>
      <c r="W31" s="55">
        <v>13</v>
      </c>
      <c r="X31" s="55">
        <v>12.42</v>
      </c>
      <c r="Y31" s="55">
        <v>10.75</v>
      </c>
      <c r="Z31" s="55">
        <v>9.42</v>
      </c>
      <c r="AA31" s="55">
        <v>8.08</v>
      </c>
      <c r="AB31" s="55">
        <v>13.5</v>
      </c>
      <c r="AC31" s="56">
        <v>13.83</v>
      </c>
      <c r="AD31" s="55">
        <v>18</v>
      </c>
      <c r="AE31" s="57">
        <v>11.6</v>
      </c>
      <c r="AF31" s="17"/>
      <c r="AG31" s="128">
        <f>'نتائج الشهادة من الرقمنة'!J36</f>
        <v>9.17</v>
      </c>
      <c r="AH31" s="58" t="s">
        <v>273</v>
      </c>
      <c r="AI31" s="17"/>
      <c r="AJ31" s="25"/>
      <c r="AK31" s="25"/>
      <c r="AL31" s="25"/>
      <c r="AM31" s="25"/>
    </row>
    <row r="32" spans="1:39" s="1" customFormat="1" ht="12.95" customHeight="1" thickBot="1">
      <c r="A32" s="50">
        <f>'نتائج الشهادة من الرقمنة'!A44</f>
        <v>35</v>
      </c>
      <c r="B32" s="51">
        <f>'نتائج الشهادة من الرقمنة'!B44</f>
        <v>0</v>
      </c>
      <c r="C32" s="51">
        <f>'نتائج الشهادة من الرقمنة'!C44</f>
        <v>0</v>
      </c>
      <c r="D32" s="51">
        <f>'نتائج الشهادة من الرقمنة'!D44</f>
        <v>0</v>
      </c>
      <c r="E32" s="52" t="str">
        <f>'نتائج الشهادة من الرقمنة'!F44</f>
        <v>زروقي ملاك</v>
      </c>
      <c r="F32" s="52">
        <f>'نتائج الشهادة من الرقمنة'!E44</f>
        <v>0</v>
      </c>
      <c r="G32" s="53">
        <f>'نتائج الشهادة من الرقمنة'!N44</f>
        <v>15</v>
      </c>
      <c r="H32" s="53">
        <f>'نتائج الشهادة من الرقمنة'!P44</f>
        <v>10.5</v>
      </c>
      <c r="I32" s="53">
        <f>'نتائج الشهادة من الرقمنة'!R44</f>
        <v>14</v>
      </c>
      <c r="J32" s="53">
        <f>'نتائج الشهادة من الرقمنة'!V44</f>
        <v>16</v>
      </c>
      <c r="K32" s="53">
        <f>'نتائج الشهادة من الرقمنة'!X44</f>
        <v>16.5</v>
      </c>
      <c r="L32" s="53">
        <f>'نتائج الشهادة من الرقمنة'!Z44</f>
        <v>10.5</v>
      </c>
      <c r="M32" s="53">
        <f>'نتائج الشهادة من الرقمنة'!L44</f>
        <v>3.5</v>
      </c>
      <c r="N32" s="53">
        <f>'نتائج الشهادة من الرقمنة'!AB44</f>
        <v>13</v>
      </c>
      <c r="O32" s="53">
        <f>'نتائج الشهادة من الرقمنة'!AD44</f>
        <v>13</v>
      </c>
      <c r="P32" s="44">
        <f>'نتائج الشهادة من الرقمنة'!I44</f>
        <v>12.01</v>
      </c>
      <c r="Q32" s="324"/>
      <c r="R32" s="54" t="str">
        <f t="shared" si="0"/>
        <v>زروقي ملاك</v>
      </c>
      <c r="S32" s="54">
        <f t="shared" si="1"/>
        <v>0</v>
      </c>
      <c r="T32" s="55">
        <v>13.58</v>
      </c>
      <c r="U32" s="55">
        <v>9.75</v>
      </c>
      <c r="V32" s="55">
        <v>10.42</v>
      </c>
      <c r="W32" s="55">
        <v>13.5</v>
      </c>
      <c r="X32" s="55">
        <v>13.17</v>
      </c>
      <c r="Y32" s="55">
        <v>13.17</v>
      </c>
      <c r="Z32" s="55">
        <v>4</v>
      </c>
      <c r="AA32" s="55">
        <v>15.33</v>
      </c>
      <c r="AB32" s="55">
        <v>14.33</v>
      </c>
      <c r="AC32" s="56">
        <v>16.5</v>
      </c>
      <c r="AD32" s="55">
        <v>18</v>
      </c>
      <c r="AE32" s="57">
        <v>11.68</v>
      </c>
      <c r="AF32" s="17"/>
      <c r="AG32" s="128">
        <f>'نتائج الشهادة من الرقمنة'!J37</f>
        <v>10.84</v>
      </c>
      <c r="AH32" s="58" t="str">
        <f>IF(AG32&lt;10,IF('نتائج الشهادة من الرقمنة'!G37&lt;39448,"يوجه","يعيد"),"ينتقل")</f>
        <v>ينتقل</v>
      </c>
      <c r="AI32" s="17"/>
      <c r="AJ32" s="25"/>
      <c r="AK32" s="25"/>
      <c r="AL32" s="25"/>
      <c r="AM32" s="25"/>
    </row>
    <row r="33" spans="1:39" s="1" customFormat="1" ht="12.95" customHeight="1" thickBot="1">
      <c r="A33" s="50">
        <f>'نتائج الشهادة من الرقمنة'!A29</f>
        <v>20</v>
      </c>
      <c r="B33" s="51">
        <f>'نتائج الشهادة من الرقمنة'!B29</f>
        <v>0</v>
      </c>
      <c r="C33" s="51">
        <f>'نتائج الشهادة من الرقمنة'!C29</f>
        <v>0</v>
      </c>
      <c r="D33" s="51">
        <f>'نتائج الشهادة من الرقمنة'!D29</f>
        <v>0</v>
      </c>
      <c r="E33" s="52" t="str">
        <f>'نتائج الشهادة من الرقمنة'!F29</f>
        <v>سراج عدة</v>
      </c>
      <c r="F33" s="52" t="str">
        <f>'نتائج الشهادة من الرقمنة'!E29</f>
        <v>ذكر</v>
      </c>
      <c r="G33" s="53">
        <f>'نتائج الشهادة من الرقمنة'!N29</f>
        <v>11.5</v>
      </c>
      <c r="H33" s="53">
        <f>'نتائج الشهادة من الرقمنة'!P29</f>
        <v>5</v>
      </c>
      <c r="I33" s="53">
        <f>'نتائج الشهادة من الرقمنة'!R29</f>
        <v>5.5</v>
      </c>
      <c r="J33" s="53">
        <f>'نتائج الشهادة من الرقمنة'!V29</f>
        <v>8</v>
      </c>
      <c r="K33" s="53">
        <f>'نتائج الشهادة من الرقمنة'!X29</f>
        <v>11</v>
      </c>
      <c r="L33" s="53">
        <f>'نتائج الشهادة من الرقمنة'!Z29</f>
        <v>8.5</v>
      </c>
      <c r="M33" s="53">
        <f>'نتائج الشهادة من الرقمنة'!L29</f>
        <v>4</v>
      </c>
      <c r="N33" s="53">
        <f>'نتائج الشهادة من الرقمنة'!AB29</f>
        <v>3.5</v>
      </c>
      <c r="O33" s="53">
        <f>'نتائج الشهادة من الرقمنة'!AD29</f>
        <v>6</v>
      </c>
      <c r="P33" s="44">
        <f>'نتائج الشهادة من الرقمنة'!I29</f>
        <v>7.92</v>
      </c>
      <c r="Q33" s="324"/>
      <c r="R33" s="54" t="str">
        <f t="shared" si="0"/>
        <v>سراج عدة</v>
      </c>
      <c r="S33" s="54" t="str">
        <f t="shared" si="1"/>
        <v>ذكر</v>
      </c>
      <c r="T33" s="55">
        <v>9.08</v>
      </c>
      <c r="U33" s="55">
        <v>6.75</v>
      </c>
      <c r="V33" s="55">
        <v>7.25</v>
      </c>
      <c r="W33" s="55">
        <v>10.92</v>
      </c>
      <c r="X33" s="55">
        <v>11.67</v>
      </c>
      <c r="Y33" s="55">
        <v>10.83</v>
      </c>
      <c r="Z33" s="55">
        <v>4.25</v>
      </c>
      <c r="AA33" s="55">
        <v>7.58</v>
      </c>
      <c r="AB33" s="55">
        <v>4.92</v>
      </c>
      <c r="AC33" s="56">
        <v>16.829999999999998</v>
      </c>
      <c r="AD33" s="55">
        <v>19</v>
      </c>
      <c r="AE33" s="57">
        <v>8.59</v>
      </c>
      <c r="AF33" s="17"/>
      <c r="AG33" s="128">
        <f>'نتائج الشهادة من الرقمنة'!J38</f>
        <v>12.77</v>
      </c>
      <c r="AH33" s="58" t="s">
        <v>164</v>
      </c>
      <c r="AI33" s="17"/>
      <c r="AJ33" s="25"/>
      <c r="AK33" s="25"/>
      <c r="AL33" s="25"/>
      <c r="AM33" s="25"/>
    </row>
    <row r="34" spans="1:39" s="1" customFormat="1" ht="12.95" customHeight="1" thickBot="1">
      <c r="A34" s="50">
        <f>'نتائج الشهادة من الرقمنة'!A10</f>
        <v>1</v>
      </c>
      <c r="B34" s="51">
        <f>'نتائج الشهادة من الرقمنة'!B10</f>
        <v>0</v>
      </c>
      <c r="C34" s="51">
        <f>'نتائج الشهادة من الرقمنة'!C10</f>
        <v>0</v>
      </c>
      <c r="D34" s="51">
        <f>'نتائج الشهادة من الرقمنة'!D10</f>
        <v>0</v>
      </c>
      <c r="E34" s="52" t="str">
        <f>'نتائج الشهادة من الرقمنة'!F10</f>
        <v>سيفي آدم</v>
      </c>
      <c r="F34" s="52" t="str">
        <f>'نتائج الشهادة من الرقمنة'!E10</f>
        <v>ذكر</v>
      </c>
      <c r="G34" s="53">
        <f>'نتائج الشهادة من الرقمنة'!N10</f>
        <v>14</v>
      </c>
      <c r="H34" s="53">
        <f>'نتائج الشهادة من الرقمنة'!P10</f>
        <v>10</v>
      </c>
      <c r="I34" s="53">
        <f>'نتائج الشهادة من الرقمنة'!R10</f>
        <v>14</v>
      </c>
      <c r="J34" s="53">
        <f>'نتائج الشهادة من الرقمنة'!V10</f>
        <v>13</v>
      </c>
      <c r="K34" s="53">
        <f>'نتائج الشهادة من الرقمنة'!X10</f>
        <v>11</v>
      </c>
      <c r="L34" s="53">
        <f>'نتائج الشهادة من الرقمنة'!Z10</f>
        <v>8</v>
      </c>
      <c r="M34" s="53">
        <f>'نتائج الشهادة من الرقمنة'!L10</f>
        <v>9</v>
      </c>
      <c r="N34" s="53">
        <f>'نتائج الشهادة من الرقمنة'!AB10</f>
        <v>8.5</v>
      </c>
      <c r="O34" s="53">
        <f>'نتائج الشهادة من الرقمنة'!AD10</f>
        <v>15</v>
      </c>
      <c r="P34" s="44">
        <f>'نتائج الشهادة من الرقمنة'!I10</f>
        <v>11.76</v>
      </c>
      <c r="Q34" s="324"/>
      <c r="R34" s="54" t="str">
        <f t="shared" si="0"/>
        <v>سيفي آدم</v>
      </c>
      <c r="S34" s="54" t="str">
        <f t="shared" si="1"/>
        <v>ذكر</v>
      </c>
      <c r="T34" s="55">
        <v>13.92</v>
      </c>
      <c r="U34" s="55">
        <v>13.42</v>
      </c>
      <c r="V34" s="55">
        <v>12.33</v>
      </c>
      <c r="W34" s="55">
        <v>11.83</v>
      </c>
      <c r="X34" s="55">
        <v>11.58</v>
      </c>
      <c r="Y34" s="55">
        <v>9.75</v>
      </c>
      <c r="Z34" s="55">
        <v>19.25</v>
      </c>
      <c r="AA34" s="55">
        <v>8.33</v>
      </c>
      <c r="AB34" s="55">
        <v>16.670000000000002</v>
      </c>
      <c r="AC34" s="56">
        <v>14</v>
      </c>
      <c r="AD34" s="55">
        <v>19</v>
      </c>
      <c r="AE34" s="57">
        <v>13.63</v>
      </c>
      <c r="AF34" s="17"/>
      <c r="AG34" s="128">
        <f>'نتائج الشهادة من الرقمنة'!J39</f>
        <v>9.14</v>
      </c>
      <c r="AH34" s="58" t="s">
        <v>273</v>
      </c>
      <c r="AI34" s="17"/>
      <c r="AJ34" s="25"/>
      <c r="AK34" s="25"/>
      <c r="AL34" s="25"/>
      <c r="AM34" s="25"/>
    </row>
    <row r="35" spans="1:39" s="1" customFormat="1" ht="12.95" customHeight="1" thickBot="1">
      <c r="A35" s="50">
        <f>'نتائج الشهادة من الرقمنة'!A50</f>
        <v>41</v>
      </c>
      <c r="B35" s="51">
        <f>'نتائج الشهادة من الرقمنة'!B50</f>
        <v>0</v>
      </c>
      <c r="C35" s="51">
        <f>'نتائج الشهادة من الرقمنة'!C50</f>
        <v>0</v>
      </c>
      <c r="D35" s="51">
        <f>'نتائج الشهادة من الرقمنة'!D50</f>
        <v>0</v>
      </c>
      <c r="E35" s="52" t="str">
        <f>'نتائج الشهادة من الرقمنة'!F50</f>
        <v>شريف هاجر</v>
      </c>
      <c r="F35" s="52">
        <f>'نتائج الشهادة من الرقمنة'!E50</f>
        <v>0</v>
      </c>
      <c r="G35" s="53">
        <f>'نتائج الشهادة من الرقمنة'!N50</f>
        <v>16.5</v>
      </c>
      <c r="H35" s="53">
        <f>'نتائج الشهادة من الرقمنة'!P50</f>
        <v>13.5</v>
      </c>
      <c r="I35" s="53">
        <f>'نتائج الشهادة من الرقمنة'!R50</f>
        <v>9</v>
      </c>
      <c r="J35" s="53">
        <f>'نتائج الشهادة من الرقمنة'!V50</f>
        <v>14.5</v>
      </c>
      <c r="K35" s="53">
        <f>'نتائج الشهادة من الرقمنة'!X50</f>
        <v>14</v>
      </c>
      <c r="L35" s="53">
        <f>'نتائج الشهادة من الرقمنة'!Z50</f>
        <v>11</v>
      </c>
      <c r="M35" s="53">
        <f>'نتائج الشهادة من الرقمنة'!L50</f>
        <v>10</v>
      </c>
      <c r="N35" s="53">
        <f>'نتائج الشهادة من الرقمنة'!AB50</f>
        <v>14.5</v>
      </c>
      <c r="O35" s="53">
        <f>'نتائج الشهادة من الرقمنة'!AD50</f>
        <v>16.5</v>
      </c>
      <c r="P35" s="44">
        <f>'نتائج الشهادة من الرقمنة'!I50</f>
        <v>13.36</v>
      </c>
      <c r="Q35" s="324"/>
      <c r="R35" s="54" t="str">
        <f t="shared" si="0"/>
        <v>شريف هاجر</v>
      </c>
      <c r="S35" s="54">
        <f t="shared" si="1"/>
        <v>0</v>
      </c>
      <c r="T35" s="55">
        <v>13.17</v>
      </c>
      <c r="U35" s="55">
        <v>11.92</v>
      </c>
      <c r="V35" s="55">
        <v>11.08</v>
      </c>
      <c r="W35" s="55">
        <v>18.079999999999998</v>
      </c>
      <c r="X35" s="55">
        <v>17.829999999999998</v>
      </c>
      <c r="Y35" s="55">
        <v>14.83</v>
      </c>
      <c r="Z35" s="55">
        <v>11.25</v>
      </c>
      <c r="AA35" s="55">
        <v>8.17</v>
      </c>
      <c r="AB35" s="55">
        <v>17.75</v>
      </c>
      <c r="AC35" s="56">
        <v>17</v>
      </c>
      <c r="AD35" s="55">
        <v>0</v>
      </c>
      <c r="AE35" s="57">
        <v>13.5</v>
      </c>
      <c r="AF35" s="17"/>
      <c r="AG35" s="128">
        <f>'نتائج الشهادة من الرقمنة'!J40</f>
        <v>7.1</v>
      </c>
      <c r="AH35" s="58" t="s">
        <v>273</v>
      </c>
      <c r="AI35" s="17"/>
      <c r="AJ35" s="25"/>
      <c r="AK35" s="25"/>
      <c r="AL35" s="25"/>
      <c r="AM35" s="25"/>
    </row>
    <row r="36" spans="1:39" s="1" customFormat="1" ht="12.95" customHeight="1" thickBot="1">
      <c r="A36" s="50">
        <f>'نتائج الشهادة من الرقمنة'!A42</f>
        <v>33</v>
      </c>
      <c r="B36" s="51">
        <f>'نتائج الشهادة من الرقمنة'!B42</f>
        <v>0</v>
      </c>
      <c r="C36" s="51">
        <f>'نتائج الشهادة من الرقمنة'!C42</f>
        <v>0</v>
      </c>
      <c r="D36" s="51">
        <f>'نتائج الشهادة من الرقمنة'!D42</f>
        <v>0</v>
      </c>
      <c r="E36" s="52" t="str">
        <f>'نتائج الشهادة من الرقمنة'!F42</f>
        <v>شنتوف مراد البشير</v>
      </c>
      <c r="F36" s="52" t="str">
        <f>'نتائج الشهادة من الرقمنة'!E42</f>
        <v>ذكر</v>
      </c>
      <c r="G36" s="53">
        <f>'نتائج الشهادة من الرقمنة'!N42</f>
        <v>14.5</v>
      </c>
      <c r="H36" s="53">
        <f>'نتائج الشهادة من الرقمنة'!P42</f>
        <v>10</v>
      </c>
      <c r="I36" s="53">
        <f>'نتائج الشهادة من الرقمنة'!R42</f>
        <v>6.5</v>
      </c>
      <c r="J36" s="53">
        <f>'نتائج الشهادة من الرقمنة'!V42</f>
        <v>10.5</v>
      </c>
      <c r="K36" s="53">
        <f>'نتائج الشهادة من الرقمنة'!X42</f>
        <v>9</v>
      </c>
      <c r="L36" s="53">
        <f>'نتائج الشهادة من الرقمنة'!Z42</f>
        <v>8.5</v>
      </c>
      <c r="M36" s="53">
        <f>'نتائج الشهادة من الرقمنة'!L42</f>
        <v>5.5</v>
      </c>
      <c r="N36" s="53">
        <f>'نتائج الشهادة من الرقمنة'!AB42</f>
        <v>5.5</v>
      </c>
      <c r="O36" s="53">
        <f>'نتائج الشهادة من الرقمنة'!AD42</f>
        <v>10.5</v>
      </c>
      <c r="P36" s="44">
        <f>'نتائج الشهادة من الرقمنة'!I42</f>
        <v>9.76</v>
      </c>
      <c r="Q36" s="324"/>
      <c r="R36" s="54" t="str">
        <f t="shared" si="0"/>
        <v>شنتوف مراد البشير</v>
      </c>
      <c r="S36" s="54" t="str">
        <f t="shared" si="1"/>
        <v>ذكر</v>
      </c>
      <c r="T36" s="55">
        <v>10.83</v>
      </c>
      <c r="U36" s="55">
        <v>9.75</v>
      </c>
      <c r="V36" s="55">
        <v>11.5</v>
      </c>
      <c r="W36" s="55">
        <v>8.33</v>
      </c>
      <c r="X36" s="55">
        <v>14.5</v>
      </c>
      <c r="Y36" s="55">
        <v>7.92</v>
      </c>
      <c r="Z36" s="55">
        <v>8.67</v>
      </c>
      <c r="AA36" s="55">
        <v>6</v>
      </c>
      <c r="AB36" s="55">
        <v>7.08</v>
      </c>
      <c r="AC36" s="56">
        <v>13.33</v>
      </c>
      <c r="AD36" s="55">
        <v>17</v>
      </c>
      <c r="AE36" s="57">
        <v>9.73</v>
      </c>
      <c r="AF36" s="17"/>
      <c r="AG36" s="128">
        <f>'نتائج الشهادة من الرقمنة'!J41</f>
        <v>11.87</v>
      </c>
      <c r="AH36" s="58" t="str">
        <f>IF(AG36&lt;10,IF('نتائج الشهادة من الرقمنة'!G41&lt;39448,"يوجه","يعيد"),"ينتقل")</f>
        <v>ينتقل</v>
      </c>
      <c r="AI36" s="17"/>
      <c r="AJ36" s="25"/>
      <c r="AK36" s="25"/>
      <c r="AL36" s="25"/>
      <c r="AM36" s="25"/>
    </row>
    <row r="37" spans="1:39" s="1" customFormat="1" ht="12.95" customHeight="1" thickBot="1">
      <c r="A37" s="50">
        <f>'نتائج الشهادة من الرقمنة'!A32</f>
        <v>23</v>
      </c>
      <c r="B37" s="51">
        <f>'نتائج الشهادة من الرقمنة'!B32</f>
        <v>0</v>
      </c>
      <c r="C37" s="51">
        <f>'نتائج الشهادة من الرقمنة'!C32</f>
        <v>0</v>
      </c>
      <c r="D37" s="51" t="str">
        <f>'نتائج الشهادة من الرقمنة'!D32</f>
        <v xml:space="preserve"> نعم</v>
      </c>
      <c r="E37" s="52" t="str">
        <f>'نتائج الشهادة من الرقمنة'!F32</f>
        <v>شيخ علي</v>
      </c>
      <c r="F37" s="52" t="str">
        <f>'نتائج الشهادة من الرقمنة'!E32</f>
        <v>ذكر</v>
      </c>
      <c r="G37" s="53">
        <f>'نتائج الشهادة من الرقمنة'!N32</f>
        <v>12.5</v>
      </c>
      <c r="H37" s="53">
        <f>'نتائج الشهادة من الرقمنة'!P32</f>
        <v>7.5</v>
      </c>
      <c r="I37" s="53">
        <f>'نتائج الشهادة من الرقمنة'!R32</f>
        <v>7</v>
      </c>
      <c r="J37" s="53">
        <f>'نتائج الشهادة من الرقمنة'!V32</f>
        <v>14.5</v>
      </c>
      <c r="K37" s="53">
        <f>'نتائج الشهادة من الرقمنة'!X32</f>
        <v>11.5</v>
      </c>
      <c r="L37" s="53">
        <f>'نتائج الشهادة من الرقمنة'!Z32</f>
        <v>9.5</v>
      </c>
      <c r="M37" s="53">
        <f>'نتائج الشهادة من الرقمنة'!L32</f>
        <v>3.5</v>
      </c>
      <c r="N37" s="53">
        <f>'نتائج الشهادة من الرقمنة'!AB32</f>
        <v>10</v>
      </c>
      <c r="O37" s="53">
        <f>'نتائج الشهادة من الرقمنة'!AD32</f>
        <v>10.5</v>
      </c>
      <c r="P37" s="44">
        <f>'نتائج الشهادة من الرقمنة'!I32</f>
        <v>9.8800000000000008</v>
      </c>
      <c r="Q37" s="324"/>
      <c r="R37" s="54" t="str">
        <f t="shared" si="0"/>
        <v>شيخ علي</v>
      </c>
      <c r="S37" s="54" t="str">
        <f t="shared" si="1"/>
        <v>ذكر</v>
      </c>
      <c r="T37" s="55">
        <v>8.58</v>
      </c>
      <c r="U37" s="55">
        <v>5.25</v>
      </c>
      <c r="V37" s="55">
        <v>7.83</v>
      </c>
      <c r="W37" s="55">
        <v>6.75</v>
      </c>
      <c r="X37" s="55">
        <v>13</v>
      </c>
      <c r="Y37" s="55">
        <v>12.75</v>
      </c>
      <c r="Z37" s="55">
        <v>6.83</v>
      </c>
      <c r="AA37" s="55">
        <v>7.83</v>
      </c>
      <c r="AB37" s="55">
        <v>7.17</v>
      </c>
      <c r="AC37" s="56">
        <v>16</v>
      </c>
      <c r="AD37" s="55">
        <v>19</v>
      </c>
      <c r="AE37" s="57">
        <v>8.77</v>
      </c>
      <c r="AF37" s="17"/>
      <c r="AG37" s="128">
        <f>'نتائج الشهادة من الرقمنة'!J42</f>
        <v>10.08</v>
      </c>
      <c r="AH37" s="58" t="s">
        <v>165</v>
      </c>
      <c r="AI37" s="17"/>
      <c r="AJ37" s="25"/>
      <c r="AK37" s="25"/>
      <c r="AL37" s="25"/>
      <c r="AM37" s="25"/>
    </row>
    <row r="38" spans="1:39" s="1" customFormat="1" ht="12.95" customHeight="1" thickBot="1">
      <c r="A38" s="50">
        <f>'نتائج الشهادة من الرقمنة'!A31</f>
        <v>22</v>
      </c>
      <c r="B38" s="51">
        <f>'نتائج الشهادة من الرقمنة'!B31</f>
        <v>0</v>
      </c>
      <c r="C38" s="51">
        <f>'نتائج الشهادة من الرقمنة'!C31</f>
        <v>0</v>
      </c>
      <c r="D38" s="51">
        <f>'نتائج الشهادة من الرقمنة'!D31</f>
        <v>0</v>
      </c>
      <c r="E38" s="52" t="str">
        <f>'نتائج الشهادة من الرقمنة'!F31</f>
        <v>صابري علال</v>
      </c>
      <c r="F38" s="52" t="str">
        <f>'نتائج الشهادة من الرقمنة'!E31</f>
        <v>ذكر</v>
      </c>
      <c r="G38" s="53">
        <f>'نتائج الشهادة من الرقمنة'!N31</f>
        <v>16.5</v>
      </c>
      <c r="H38" s="53">
        <f>'نتائج الشهادة من الرقمنة'!P31</f>
        <v>15</v>
      </c>
      <c r="I38" s="53">
        <f>'نتائج الشهادة من الرقمنة'!R31</f>
        <v>9</v>
      </c>
      <c r="J38" s="53">
        <f>'نتائج الشهادة من الرقمنة'!V31</f>
        <v>15</v>
      </c>
      <c r="K38" s="53">
        <f>'نتائج الشهادة من الرقمنة'!X31</f>
        <v>13</v>
      </c>
      <c r="L38" s="53">
        <f>'نتائج الشهادة من الرقمنة'!Z31</f>
        <v>10.5</v>
      </c>
      <c r="M38" s="53">
        <f>'نتائج الشهادة من الرقمنة'!L31</f>
        <v>16</v>
      </c>
      <c r="N38" s="53">
        <f>'نتائج الشهادة من الرقمنة'!AB31</f>
        <v>13.5</v>
      </c>
      <c r="O38" s="53">
        <f>'نتائج الشهادة من الرقمنة'!AD31</f>
        <v>17.5</v>
      </c>
      <c r="P38" s="44">
        <f>'نتائج الشهادة من الرقمنة'!I31</f>
        <v>14.61</v>
      </c>
      <c r="Q38" s="324"/>
      <c r="R38" s="54" t="str">
        <f t="shared" si="0"/>
        <v>صابري علال</v>
      </c>
      <c r="S38" s="54" t="str">
        <f t="shared" si="1"/>
        <v>ذكر</v>
      </c>
      <c r="T38" s="55">
        <v>16.920000000000002</v>
      </c>
      <c r="U38" s="55">
        <v>16.670000000000002</v>
      </c>
      <c r="V38" s="55">
        <v>16</v>
      </c>
      <c r="W38" s="55">
        <v>18.329999999999998</v>
      </c>
      <c r="X38" s="55">
        <v>16.920000000000002</v>
      </c>
      <c r="Y38" s="55">
        <v>17.5</v>
      </c>
      <c r="Z38" s="55">
        <v>17.829999999999998</v>
      </c>
      <c r="AA38" s="55">
        <v>12.67</v>
      </c>
      <c r="AB38" s="55">
        <v>17.5</v>
      </c>
      <c r="AC38" s="56">
        <v>13.67</v>
      </c>
      <c r="AD38" s="55">
        <v>19</v>
      </c>
      <c r="AE38" s="57">
        <v>16.82</v>
      </c>
      <c r="AF38" s="17"/>
      <c r="AG38" s="128">
        <f>'نتائج الشهادة من الرقمنة'!J43</f>
        <v>14.06</v>
      </c>
      <c r="AH38" s="58" t="str">
        <f>IF(AG38&lt;10,IF('نتائج الشهادة من الرقمنة'!G43&lt;39448,"يوجه","يعيد"),"ينتقل")</f>
        <v>ينتقل</v>
      </c>
      <c r="AI38" s="17"/>
      <c r="AJ38" s="25"/>
      <c r="AK38" s="25"/>
      <c r="AL38" s="25"/>
      <c r="AM38" s="25"/>
    </row>
    <row r="39" spans="1:39" s="1" customFormat="1" ht="12.95" customHeight="1" thickBot="1">
      <c r="A39" s="50">
        <f>'نتائج الشهادة من الرقمنة'!A16</f>
        <v>7</v>
      </c>
      <c r="B39" s="51">
        <f>'نتائج الشهادة من الرقمنة'!B16</f>
        <v>0</v>
      </c>
      <c r="C39" s="51">
        <f>'نتائج الشهادة من الرقمنة'!C16</f>
        <v>0</v>
      </c>
      <c r="D39" s="51">
        <f>'نتائج الشهادة من الرقمنة'!D16</f>
        <v>0</v>
      </c>
      <c r="E39" s="52" t="str">
        <f>'نتائج الشهادة من الرقمنة'!F16</f>
        <v>فلوح إيمان</v>
      </c>
      <c r="F39" s="52">
        <f>'نتائج الشهادة من الرقمنة'!E16</f>
        <v>0</v>
      </c>
      <c r="G39" s="53">
        <f>'نتائج الشهادة من الرقمنة'!N16</f>
        <v>15</v>
      </c>
      <c r="H39" s="53">
        <f>'نتائج الشهادة من الرقمنة'!P16</f>
        <v>14.5</v>
      </c>
      <c r="I39" s="53">
        <f>'نتائج الشهادة من الرقمنة'!R16</f>
        <v>8.5</v>
      </c>
      <c r="J39" s="53">
        <f>'نتائج الشهادة من الرقمنة'!V16</f>
        <v>17</v>
      </c>
      <c r="K39" s="53">
        <f>'نتائج الشهادة من الرقمنة'!X16</f>
        <v>13.5</v>
      </c>
      <c r="L39" s="53">
        <f>'نتائج الشهادة من الرقمنة'!Z16</f>
        <v>11</v>
      </c>
      <c r="M39" s="53">
        <f>'نتائج الشهادة من الرقمنة'!L16</f>
        <v>6</v>
      </c>
      <c r="N39" s="53">
        <f>'نتائج الشهادة من الرقمنة'!AB16</f>
        <v>9</v>
      </c>
      <c r="O39" s="53">
        <f>'نتائج الشهادة من الرقمنة'!AD16</f>
        <v>13.5</v>
      </c>
      <c r="P39" s="44">
        <f>'نتائج الشهادة من الرقمنة'!I16</f>
        <v>12.26</v>
      </c>
      <c r="Q39" s="324"/>
      <c r="R39" s="54" t="str">
        <f t="shared" si="0"/>
        <v>فلوح إيمان</v>
      </c>
      <c r="S39" s="54">
        <f t="shared" si="1"/>
        <v>0</v>
      </c>
      <c r="T39" s="55">
        <v>14.67</v>
      </c>
      <c r="U39" s="55">
        <v>16</v>
      </c>
      <c r="V39" s="55">
        <v>14.08</v>
      </c>
      <c r="W39" s="55">
        <v>17.5</v>
      </c>
      <c r="X39" s="55">
        <v>15.42</v>
      </c>
      <c r="Y39" s="55">
        <v>13.33</v>
      </c>
      <c r="Z39" s="55">
        <v>18.170000000000002</v>
      </c>
      <c r="AA39" s="55">
        <v>9</v>
      </c>
      <c r="AB39" s="55">
        <v>17.75</v>
      </c>
      <c r="AC39" s="56">
        <v>18.170000000000002</v>
      </c>
      <c r="AD39" s="55">
        <v>18</v>
      </c>
      <c r="AE39" s="57">
        <v>15.13</v>
      </c>
      <c r="AF39" s="17"/>
      <c r="AG39" s="128">
        <f>'نتائج الشهادة من الرقمنة'!J44</f>
        <v>12.01</v>
      </c>
      <c r="AH39" s="58" t="str">
        <f>IF(AG39&lt;10,IF('نتائج الشهادة من الرقمنة'!G44&lt;39448,"يوجه","يعيد"),"ينتقل")</f>
        <v>ينتقل</v>
      </c>
      <c r="AI39" s="17"/>
      <c r="AJ39" s="25"/>
      <c r="AK39" s="25"/>
      <c r="AL39" s="25"/>
      <c r="AM39" s="25"/>
    </row>
    <row r="40" spans="1:39" s="1" customFormat="1" ht="12.95" customHeight="1" thickBot="1">
      <c r="A40" s="50">
        <f>'نتائج الشهادة من الرقمنة'!A53</f>
        <v>44</v>
      </c>
      <c r="B40" s="51">
        <f>'نتائج الشهادة من الرقمنة'!B53</f>
        <v>0</v>
      </c>
      <c r="C40" s="51">
        <f>'نتائج الشهادة من الرقمنة'!C53</f>
        <v>0</v>
      </c>
      <c r="D40" s="51">
        <f>'نتائج الشهادة من الرقمنة'!D53</f>
        <v>0</v>
      </c>
      <c r="E40" s="52" t="str">
        <f>'نتائج الشهادة من الرقمنة'!F53</f>
        <v>قادي ولاء</v>
      </c>
      <c r="F40" s="52">
        <f>'نتائج الشهادة من الرقمنة'!E53</f>
        <v>0</v>
      </c>
      <c r="G40" s="53">
        <f>'نتائج الشهادة من الرقمنة'!N53</f>
        <v>12</v>
      </c>
      <c r="H40" s="53">
        <f>'نتائج الشهادة من الرقمنة'!P53</f>
        <v>11.5</v>
      </c>
      <c r="I40" s="53">
        <f>'نتائج الشهادة من الرقمنة'!R53</f>
        <v>16</v>
      </c>
      <c r="J40" s="53">
        <f>'نتائج الشهادة من الرقمنة'!V53</f>
        <v>15.5</v>
      </c>
      <c r="K40" s="53">
        <f>'نتائج الشهادة من الرقمنة'!X53</f>
        <v>16</v>
      </c>
      <c r="L40" s="53">
        <f>'نتائج الشهادة من الرقمنة'!Z53</f>
        <v>13</v>
      </c>
      <c r="M40" s="53">
        <f>'نتائج الشهادة من الرقمنة'!L53</f>
        <v>10</v>
      </c>
      <c r="N40" s="53">
        <f>'نتائج الشهادة من الرقمنة'!AB53</f>
        <v>10.5</v>
      </c>
      <c r="O40" s="53">
        <f>'نتائج الشهادة من الرقمنة'!AD53</f>
        <v>16</v>
      </c>
      <c r="P40" s="44">
        <f>'نتائج الشهادة من الرقمنة'!I53</f>
        <v>13.08</v>
      </c>
      <c r="Q40" s="324"/>
      <c r="R40" s="54" t="str">
        <f t="shared" si="0"/>
        <v>قادي ولاء</v>
      </c>
      <c r="S40" s="54">
        <f t="shared" si="1"/>
        <v>0</v>
      </c>
      <c r="T40" s="55">
        <v>14</v>
      </c>
      <c r="U40" s="55">
        <v>13.75</v>
      </c>
      <c r="V40" s="55">
        <v>12.92</v>
      </c>
      <c r="W40" s="55">
        <v>14.33</v>
      </c>
      <c r="X40" s="55">
        <v>16.25</v>
      </c>
      <c r="Y40" s="55">
        <v>15.33</v>
      </c>
      <c r="Z40" s="55">
        <v>16</v>
      </c>
      <c r="AA40" s="55">
        <v>12.67</v>
      </c>
      <c r="AB40" s="55">
        <v>14.63</v>
      </c>
      <c r="AC40" s="56">
        <v>16.829999999999998</v>
      </c>
      <c r="AD40" s="55">
        <v>18</v>
      </c>
      <c r="AE40" s="57">
        <v>14.41</v>
      </c>
      <c r="AF40" s="17"/>
      <c r="AG40" s="128">
        <f>'نتائج الشهادة من الرقمنة'!J45</f>
        <v>9.17</v>
      </c>
      <c r="AH40" s="58" t="s">
        <v>273</v>
      </c>
      <c r="AI40" s="17"/>
      <c r="AJ40" s="25"/>
      <c r="AK40" s="25"/>
      <c r="AL40" s="25"/>
      <c r="AM40" s="25"/>
    </row>
    <row r="41" spans="1:39" s="1" customFormat="1" ht="12.95" customHeight="1" thickBot="1">
      <c r="A41" s="50">
        <f>'نتائج الشهادة من الرقمنة'!A38</f>
        <v>29</v>
      </c>
      <c r="B41" s="51">
        <f>'نتائج الشهادة من الرقمنة'!B38</f>
        <v>0</v>
      </c>
      <c r="C41" s="51">
        <f>'نتائج الشهادة من الرقمنة'!C38</f>
        <v>0</v>
      </c>
      <c r="D41" s="51">
        <f>'نتائج الشهادة من الرقمنة'!D38</f>
        <v>0</v>
      </c>
      <c r="E41" s="52" t="str">
        <f>'نتائج الشهادة من الرقمنة'!F38</f>
        <v>قبايلي كوثر</v>
      </c>
      <c r="F41" s="52">
        <f>'نتائج الشهادة من الرقمنة'!E38</f>
        <v>0</v>
      </c>
      <c r="G41" s="53">
        <f>'نتائج الشهادة من الرقمنة'!N38</f>
        <v>13</v>
      </c>
      <c r="H41" s="53">
        <f>'نتائج الشهادة من الرقمنة'!P38</f>
        <v>12.5</v>
      </c>
      <c r="I41" s="53">
        <f>'نتائج الشهادة من الرقمنة'!R38</f>
        <v>8</v>
      </c>
      <c r="J41" s="53">
        <f>'نتائج الشهادة من الرقمنة'!V38</f>
        <v>13.5</v>
      </c>
      <c r="K41" s="53">
        <f>'نتائج الشهادة من الرقمنة'!X38</f>
        <v>13</v>
      </c>
      <c r="L41" s="53">
        <f>'نتائج الشهادة من الرقمنة'!Z38</f>
        <v>11</v>
      </c>
      <c r="M41" s="53">
        <f>'نتائج الشهادة من الرقمنة'!L38</f>
        <v>11</v>
      </c>
      <c r="N41" s="53">
        <f>'نتائج الشهادة من الرقمنة'!AB38</f>
        <v>14.5</v>
      </c>
      <c r="O41" s="53">
        <f>'نتائج الشهادة من الرقمنة'!AD38</f>
        <v>17.5</v>
      </c>
      <c r="P41" s="44">
        <f>'نتائج الشهادة من الرقمنة'!I38</f>
        <v>12.77</v>
      </c>
      <c r="Q41" s="324"/>
      <c r="R41" s="54" t="str">
        <f t="shared" si="0"/>
        <v>قبايلي كوثر</v>
      </c>
      <c r="S41" s="54">
        <f t="shared" si="1"/>
        <v>0</v>
      </c>
      <c r="T41" s="55">
        <v>12.67</v>
      </c>
      <c r="U41" s="55">
        <v>11.58</v>
      </c>
      <c r="V41" s="55">
        <v>12.75</v>
      </c>
      <c r="W41" s="55">
        <v>17.170000000000002</v>
      </c>
      <c r="X41" s="55">
        <v>13.33</v>
      </c>
      <c r="Y41" s="55">
        <v>14.58</v>
      </c>
      <c r="Z41" s="55">
        <v>17.579999999999998</v>
      </c>
      <c r="AA41" s="55">
        <v>15</v>
      </c>
      <c r="AB41" s="55">
        <v>16</v>
      </c>
      <c r="AC41" s="56">
        <v>12.67</v>
      </c>
      <c r="AD41" s="55">
        <v>18</v>
      </c>
      <c r="AE41" s="57">
        <v>14.59</v>
      </c>
      <c r="AF41" s="17"/>
      <c r="AG41" s="128">
        <f>'نتائج الشهادة من الرقمنة'!J46</f>
        <v>9.17</v>
      </c>
      <c r="AH41" s="58" t="s">
        <v>273</v>
      </c>
      <c r="AI41" s="17"/>
      <c r="AJ41" s="25"/>
      <c r="AK41" s="25"/>
      <c r="AL41" s="25"/>
      <c r="AM41" s="25"/>
    </row>
    <row r="42" spans="1:39" s="1" customFormat="1" ht="12.95" customHeight="1" thickBot="1">
      <c r="A42" s="50">
        <f>'نتائج الشهادة من الرقمنة'!A30</f>
        <v>21</v>
      </c>
      <c r="B42" s="51">
        <f>'نتائج الشهادة من الرقمنة'!B30</f>
        <v>0</v>
      </c>
      <c r="C42" s="51">
        <f>'نتائج الشهادة من الرقمنة'!C30</f>
        <v>0</v>
      </c>
      <c r="D42" s="51" t="str">
        <f>'نتائج الشهادة من الرقمنة'!D30</f>
        <v xml:space="preserve"> نعم</v>
      </c>
      <c r="E42" s="52" t="str">
        <f>'نتائج الشهادة من الرقمنة'!F30</f>
        <v>قسوس عزالدين</v>
      </c>
      <c r="F42" s="52" t="str">
        <f>'نتائج الشهادة من الرقمنة'!E30</f>
        <v>ذكر</v>
      </c>
      <c r="G42" s="53">
        <f>'نتائج الشهادة من الرقمنة'!N30</f>
        <v>15</v>
      </c>
      <c r="H42" s="53">
        <f>'نتائج الشهادة من الرقمنة'!P30</f>
        <v>11.5</v>
      </c>
      <c r="I42" s="53">
        <f>'نتائج الشهادة من الرقمنة'!R30</f>
        <v>6.5</v>
      </c>
      <c r="J42" s="53">
        <f>'نتائج الشهادة من الرقمنة'!V30</f>
        <v>12</v>
      </c>
      <c r="K42" s="53">
        <f>'نتائج الشهادة من الرقمنة'!X30</f>
        <v>14</v>
      </c>
      <c r="L42" s="53">
        <f>'نتائج الشهادة من الرقمنة'!Z30</f>
        <v>11</v>
      </c>
      <c r="M42" s="53">
        <f>'نتائج الشهادة من الرقمنة'!L30</f>
        <v>5.5</v>
      </c>
      <c r="N42" s="53">
        <f>'نتائج الشهادة من الرقمنة'!AB30</f>
        <v>9.5</v>
      </c>
      <c r="O42" s="53">
        <f>'نتائج الشهادة من الرقمنة'!AD30</f>
        <v>13</v>
      </c>
      <c r="P42" s="44">
        <f>'نتائج الشهادة من الرقمنة'!I30</f>
        <v>11.2</v>
      </c>
      <c r="Q42" s="324"/>
      <c r="R42" s="54" t="str">
        <f t="shared" si="0"/>
        <v>قسوس عزالدين</v>
      </c>
      <c r="S42" s="54" t="str">
        <f t="shared" si="1"/>
        <v>ذكر</v>
      </c>
      <c r="T42" s="55">
        <v>9.67</v>
      </c>
      <c r="U42" s="55">
        <v>11.08</v>
      </c>
      <c r="V42" s="55">
        <v>7</v>
      </c>
      <c r="W42" s="55">
        <v>11.5</v>
      </c>
      <c r="X42" s="55">
        <v>12.5</v>
      </c>
      <c r="Y42" s="55">
        <v>12.5</v>
      </c>
      <c r="Z42" s="55">
        <v>9.42</v>
      </c>
      <c r="AA42" s="55">
        <v>7.58</v>
      </c>
      <c r="AB42" s="55">
        <v>12.5</v>
      </c>
      <c r="AC42" s="56">
        <v>16.670000000000002</v>
      </c>
      <c r="AD42" s="55">
        <v>18</v>
      </c>
      <c r="AE42" s="57">
        <v>10.89</v>
      </c>
      <c r="AF42" s="17"/>
      <c r="AG42" s="128">
        <f>'نتائج الشهادة من الرقمنة'!J47</f>
        <v>14.46</v>
      </c>
      <c r="AH42" s="58" t="str">
        <f>IF(AG42&lt;10,IF('نتائج الشهادة من الرقمنة'!G47&lt;39448,"يوجه","يعيد"),"ينتقل")</f>
        <v>ينتقل</v>
      </c>
      <c r="AI42" s="17"/>
      <c r="AJ42" s="25"/>
      <c r="AK42" s="25"/>
      <c r="AL42" s="25"/>
      <c r="AM42" s="25"/>
    </row>
    <row r="43" spans="1:39" s="12" customFormat="1" ht="12.95" customHeight="1" thickBot="1">
      <c r="A43" s="50">
        <f>'نتائج الشهادة من الرقمنة'!A37</f>
        <v>28</v>
      </c>
      <c r="B43" s="51">
        <f>'نتائج الشهادة من الرقمنة'!B37</f>
        <v>0</v>
      </c>
      <c r="C43" s="51">
        <f>'نتائج الشهادة من الرقمنة'!C37</f>
        <v>0</v>
      </c>
      <c r="D43" s="51" t="str">
        <f>'نتائج الشهادة من الرقمنة'!D37</f>
        <v xml:space="preserve"> نعم</v>
      </c>
      <c r="E43" s="52" t="str">
        <f>'نتائج الشهادة من الرقمنة'!F37</f>
        <v>قسوس فايزة</v>
      </c>
      <c r="F43" s="52">
        <f>'نتائج الشهادة من الرقمنة'!E37</f>
        <v>0</v>
      </c>
      <c r="G43" s="53">
        <f>'نتائج الشهادة من الرقمنة'!N37</f>
        <v>16</v>
      </c>
      <c r="H43" s="53">
        <f>'نتائج الشهادة من الرقمنة'!P37</f>
        <v>5.5</v>
      </c>
      <c r="I43" s="53">
        <f>'نتائج الشهادة من الرقمنة'!R37</f>
        <v>6</v>
      </c>
      <c r="J43" s="53">
        <f>'نتائج الشهادة من الرقمنة'!V37</f>
        <v>17</v>
      </c>
      <c r="K43" s="53">
        <f>'نتائج الشهادة من الرقمنة'!X37</f>
        <v>14.5</v>
      </c>
      <c r="L43" s="53">
        <f>'نتائج الشهادة من الرقمنة'!Z37</f>
        <v>12</v>
      </c>
      <c r="M43" s="53">
        <f>'نتائج الشهادة من الرقمنة'!L37</f>
        <v>2</v>
      </c>
      <c r="N43" s="53">
        <f>'نتائج الشهادة من الرقمنة'!AB37</f>
        <v>8</v>
      </c>
      <c r="O43" s="53">
        <f>'نتائج الشهادة من الرقمنة'!AD37</f>
        <v>14.5</v>
      </c>
      <c r="P43" s="44">
        <f>'نتائج الشهادة من الرقمنة'!I37</f>
        <v>10.84</v>
      </c>
      <c r="Q43" s="324"/>
      <c r="R43" s="54" t="str">
        <f t="shared" si="0"/>
        <v>قسوس فايزة</v>
      </c>
      <c r="S43" s="54">
        <f t="shared" si="1"/>
        <v>0</v>
      </c>
      <c r="T43" s="55">
        <v>14.83</v>
      </c>
      <c r="U43" s="55">
        <v>8</v>
      </c>
      <c r="V43" s="55">
        <v>5.42</v>
      </c>
      <c r="W43" s="55">
        <v>17.829999999999998</v>
      </c>
      <c r="X43" s="55">
        <v>17</v>
      </c>
      <c r="Y43" s="55">
        <v>16.75</v>
      </c>
      <c r="Z43" s="55">
        <v>5.33</v>
      </c>
      <c r="AA43" s="55">
        <v>13.08</v>
      </c>
      <c r="AB43" s="55">
        <v>15.5</v>
      </c>
      <c r="AC43" s="56">
        <v>14.83</v>
      </c>
      <c r="AD43" s="55">
        <v>19</v>
      </c>
      <c r="AE43" s="57">
        <v>12.5</v>
      </c>
      <c r="AF43" s="39"/>
      <c r="AG43" s="128">
        <f>'نتائج الشهادة من الرقمنة'!J48</f>
        <v>8.44</v>
      </c>
      <c r="AH43" s="58" t="s">
        <v>273</v>
      </c>
      <c r="AI43" s="39"/>
      <c r="AJ43" s="27"/>
      <c r="AK43" s="27"/>
      <c r="AL43" s="27"/>
      <c r="AM43" s="27"/>
    </row>
    <row r="44" spans="1:39" s="12" customFormat="1" ht="12.95" customHeight="1" thickBot="1">
      <c r="A44" s="50">
        <f>'نتائج الشهادة من الرقمنة'!A52</f>
        <v>43</v>
      </c>
      <c r="B44" s="51">
        <f>'نتائج الشهادة من الرقمنة'!B52</f>
        <v>0</v>
      </c>
      <c r="C44" s="51">
        <f>'نتائج الشهادة من الرقمنة'!C52</f>
        <v>0</v>
      </c>
      <c r="D44" s="51" t="str">
        <f>'نتائج الشهادة من الرقمنة'!D52</f>
        <v xml:space="preserve"> نعم</v>
      </c>
      <c r="E44" s="52" t="str">
        <f>'نتائج الشهادة من الرقمنة'!F52</f>
        <v>قينان هواري</v>
      </c>
      <c r="F44" s="52" t="str">
        <f>'نتائج الشهادة من الرقمنة'!E52</f>
        <v>ذكر</v>
      </c>
      <c r="G44" s="53">
        <f>'نتائج الشهادة من الرقمنة'!N52</f>
        <v>11.5</v>
      </c>
      <c r="H44" s="53">
        <f>'نتائج الشهادة من الرقمنة'!P52</f>
        <v>6</v>
      </c>
      <c r="I44" s="53">
        <f>'نتائج الشهادة من الرقمنة'!R52</f>
        <v>8.5</v>
      </c>
      <c r="J44" s="53">
        <f>'نتائج الشهادة من الرقمنة'!V52</f>
        <v>12</v>
      </c>
      <c r="K44" s="53">
        <f>'نتائج الشهادة من الرقمنة'!X52</f>
        <v>11</v>
      </c>
      <c r="L44" s="53">
        <f>'نتائج الشهادة من الرقمنة'!Z52</f>
        <v>7.5</v>
      </c>
      <c r="M44" s="53">
        <f>'نتائج الشهادة من الرقمنة'!L52</f>
        <v>4</v>
      </c>
      <c r="N44" s="53">
        <f>'نتائج الشهادة من الرقمنة'!AB52</f>
        <v>8.5</v>
      </c>
      <c r="O44" s="53">
        <f>'نتائج الشهادة من الرقمنة'!AD52</f>
        <v>9.5</v>
      </c>
      <c r="P44" s="44">
        <f>'نتائج الشهادة من الرقمنة'!I52</f>
        <v>8.93</v>
      </c>
      <c r="Q44" s="324"/>
      <c r="R44" s="54" t="str">
        <f t="shared" si="0"/>
        <v>قينان هواري</v>
      </c>
      <c r="S44" s="54" t="str">
        <f t="shared" si="1"/>
        <v>ذكر</v>
      </c>
      <c r="T44" s="55">
        <v>7.67</v>
      </c>
      <c r="U44" s="55">
        <v>9.17</v>
      </c>
      <c r="V44" s="55">
        <v>9.92</v>
      </c>
      <c r="W44" s="55">
        <v>10.42</v>
      </c>
      <c r="X44" s="55">
        <v>10.25</v>
      </c>
      <c r="Y44" s="55">
        <v>10.58</v>
      </c>
      <c r="Z44" s="55">
        <v>8</v>
      </c>
      <c r="AA44" s="55">
        <v>6.92</v>
      </c>
      <c r="AB44" s="55">
        <v>11.33</v>
      </c>
      <c r="AC44" s="56">
        <v>13.83</v>
      </c>
      <c r="AD44" s="55">
        <v>17</v>
      </c>
      <c r="AE44" s="57">
        <v>9.5</v>
      </c>
      <c r="AF44" s="39"/>
      <c r="AG44" s="128">
        <f>'نتائج الشهادة من الرقمنة'!J49</f>
        <v>8.68</v>
      </c>
      <c r="AH44" s="58" t="s">
        <v>165</v>
      </c>
      <c r="AI44" s="39"/>
      <c r="AJ44" s="27"/>
      <c r="AK44" s="27"/>
      <c r="AL44" s="27"/>
      <c r="AM44" s="27"/>
    </row>
    <row r="45" spans="1:39" s="12" customFormat="1" ht="12.95" customHeight="1" thickBot="1">
      <c r="A45" s="50">
        <f>'نتائج الشهادة من الرقمنة'!A48</f>
        <v>39</v>
      </c>
      <c r="B45" s="51">
        <f>'نتائج الشهادة من الرقمنة'!B48</f>
        <v>0</v>
      </c>
      <c r="C45" s="51">
        <f>'نتائج الشهادة من الرقمنة'!C48</f>
        <v>0</v>
      </c>
      <c r="D45" s="51">
        <f>'نتائج الشهادة من الرقمنة'!D48</f>
        <v>0</v>
      </c>
      <c r="E45" s="52" t="str">
        <f>'نتائج الشهادة من الرقمنة'!F48</f>
        <v>لكحل نور الهدى</v>
      </c>
      <c r="F45" s="52">
        <f>'نتائج الشهادة من الرقمنة'!E48</f>
        <v>0</v>
      </c>
      <c r="G45" s="53">
        <f>'نتائج الشهادة من الرقمنة'!N48</f>
        <v>13</v>
      </c>
      <c r="H45" s="53">
        <f>'نتائج الشهادة من الرقمنة'!P48</f>
        <v>3</v>
      </c>
      <c r="I45" s="53">
        <f>'نتائج الشهادة من الرقمنة'!R48</f>
        <v>4.5</v>
      </c>
      <c r="J45" s="53">
        <f>'نتائج الشهادة من الرقمنة'!V48</f>
        <v>9.5</v>
      </c>
      <c r="K45" s="53">
        <f>'نتائج الشهادة من الرقمنة'!X48</f>
        <v>10</v>
      </c>
      <c r="L45" s="53">
        <f>'نتائج الشهادة من الرقمنة'!Z48</f>
        <v>7</v>
      </c>
      <c r="M45" s="53">
        <f>'نتائج الشهادة من الرقمنة'!L48</f>
        <v>1.5</v>
      </c>
      <c r="N45" s="53">
        <f>'نتائج الشهادة من الرقمنة'!AB48</f>
        <v>6</v>
      </c>
      <c r="O45" s="53">
        <f>'نتائج الشهادة من الرقمنة'!AD48</f>
        <v>8</v>
      </c>
      <c r="P45" s="44">
        <f>'نتائج الشهادة من الرقمنة'!I48</f>
        <v>7.25</v>
      </c>
      <c r="Q45" s="324"/>
      <c r="R45" s="54" t="str">
        <f t="shared" si="0"/>
        <v>لكحل نور الهدى</v>
      </c>
      <c r="S45" s="54">
        <f t="shared" si="1"/>
        <v>0</v>
      </c>
      <c r="T45" s="55">
        <v>13</v>
      </c>
      <c r="U45" s="55">
        <v>7.33</v>
      </c>
      <c r="V45" s="55">
        <v>7.17</v>
      </c>
      <c r="W45" s="55">
        <v>11</v>
      </c>
      <c r="X45" s="55">
        <v>7.75</v>
      </c>
      <c r="Y45" s="55">
        <v>8.17</v>
      </c>
      <c r="Z45" s="55">
        <v>6.75</v>
      </c>
      <c r="AA45" s="55">
        <v>5</v>
      </c>
      <c r="AB45" s="55">
        <v>8.08</v>
      </c>
      <c r="AC45" s="56">
        <v>14.5</v>
      </c>
      <c r="AD45" s="55">
        <v>0</v>
      </c>
      <c r="AE45" s="57">
        <v>9.06</v>
      </c>
      <c r="AF45" s="39"/>
      <c r="AG45" s="128">
        <f>'نتائج الشهادة من الرقمنة'!J50</f>
        <v>13.36</v>
      </c>
      <c r="AH45" s="58" t="s">
        <v>164</v>
      </c>
      <c r="AI45" s="39"/>
      <c r="AJ45" s="27"/>
      <c r="AK45" s="27"/>
      <c r="AL45" s="27"/>
      <c r="AM45" s="27"/>
    </row>
    <row r="46" spans="1:39" s="12" customFormat="1" ht="12.95" customHeight="1" thickBot="1">
      <c r="A46" s="50">
        <f>'نتائج الشهادة من الرقمنة'!A34</f>
        <v>25</v>
      </c>
      <c r="B46" s="51">
        <f>'نتائج الشهادة من الرقمنة'!B34</f>
        <v>0</v>
      </c>
      <c r="C46" s="51">
        <f>'نتائج الشهادة من الرقمنة'!C34</f>
        <v>0</v>
      </c>
      <c r="D46" s="51">
        <f>'نتائج الشهادة من الرقمنة'!D34</f>
        <v>0</v>
      </c>
      <c r="E46" s="52" t="str">
        <f>'نتائج الشهادة من الرقمنة'!F34</f>
        <v>معوش فاروق عبد الاله</v>
      </c>
      <c r="F46" s="52" t="str">
        <f>'نتائج الشهادة من الرقمنة'!E34</f>
        <v>ذكر</v>
      </c>
      <c r="G46" s="53">
        <f>'نتائج الشهادة من الرقمنة'!N34</f>
        <v>12</v>
      </c>
      <c r="H46" s="53">
        <f>'نتائج الشهادة من الرقمنة'!P34</f>
        <v>5</v>
      </c>
      <c r="I46" s="53">
        <f>'نتائج الشهادة من الرقمنة'!R34</f>
        <v>7.5</v>
      </c>
      <c r="J46" s="53">
        <f>'نتائج الشهادة من الرقمنة'!V34</f>
        <v>14</v>
      </c>
      <c r="K46" s="53">
        <f>'نتائج الشهادة من الرقمنة'!X34</f>
        <v>6</v>
      </c>
      <c r="L46" s="53">
        <f>'نتائج الشهادة من الرقمنة'!Z34</f>
        <v>7</v>
      </c>
      <c r="M46" s="53">
        <f>'نتائج الشهادة من الرقمنة'!L34</f>
        <v>11.5</v>
      </c>
      <c r="N46" s="53">
        <f>'نتائج الشهادة من الرقمنة'!AB34</f>
        <v>5.5</v>
      </c>
      <c r="O46" s="53">
        <f>'نتائج الشهادة من الرقمنة'!AD34</f>
        <v>14</v>
      </c>
      <c r="P46" s="44">
        <f>'نتائج الشهادة من الرقمنة'!I34</f>
        <v>10.15</v>
      </c>
      <c r="Q46" s="324"/>
      <c r="R46" s="54" t="str">
        <f t="shared" si="0"/>
        <v>معوش فاروق عبد الاله</v>
      </c>
      <c r="S46" s="54" t="str">
        <f t="shared" si="1"/>
        <v>ذكر</v>
      </c>
      <c r="T46" s="55">
        <v>11.75</v>
      </c>
      <c r="U46" s="55">
        <v>5.25</v>
      </c>
      <c r="V46" s="55">
        <v>12.08</v>
      </c>
      <c r="W46" s="55">
        <v>13.67</v>
      </c>
      <c r="X46" s="55">
        <v>11.58</v>
      </c>
      <c r="Y46" s="55">
        <v>10.25</v>
      </c>
      <c r="Z46" s="55">
        <v>17.420000000000002</v>
      </c>
      <c r="AA46" s="55">
        <v>7.83</v>
      </c>
      <c r="AB46" s="55">
        <v>14.92</v>
      </c>
      <c r="AC46" s="56">
        <v>16.829999999999998</v>
      </c>
      <c r="AD46" s="55">
        <v>18</v>
      </c>
      <c r="AE46" s="57">
        <v>12.08</v>
      </c>
      <c r="AF46" s="39"/>
      <c r="AG46" s="128">
        <f>'نتائج الشهادة من الرقمنة'!J51</f>
        <v>10.93</v>
      </c>
      <c r="AH46" s="58" t="str">
        <f>IF(AG46&lt;10,IF('نتائج الشهادة من الرقمنة'!G51&lt;39448,"يوجه","يعيد"),"ينتقل")</f>
        <v>ينتقل</v>
      </c>
      <c r="AI46" s="39"/>
      <c r="AJ46" s="27"/>
      <c r="AK46" s="27"/>
      <c r="AL46" s="27"/>
      <c r="AM46" s="27"/>
    </row>
    <row r="47" spans="1:39" s="12" customFormat="1" ht="12.95" customHeight="1" thickBot="1">
      <c r="A47" s="50">
        <f>'نتائج الشهادة من الرقمنة'!A13</f>
        <v>4</v>
      </c>
      <c r="B47" s="51">
        <f>'نتائج الشهادة من الرقمنة'!B13</f>
        <v>0</v>
      </c>
      <c r="C47" s="51">
        <f>'نتائج الشهادة من الرقمنة'!C13</f>
        <v>0</v>
      </c>
      <c r="D47" s="51">
        <f>'نتائج الشهادة من الرقمنة'!D13</f>
        <v>0</v>
      </c>
      <c r="E47" s="52" t="str">
        <f>'نتائج الشهادة من الرقمنة'!F13</f>
        <v>مكراربش آية</v>
      </c>
      <c r="F47" s="52">
        <f>'نتائج الشهادة من الرقمنة'!E13</f>
        <v>0</v>
      </c>
      <c r="G47" s="53">
        <f>'نتائج الشهادة من الرقمنة'!N13</f>
        <v>10</v>
      </c>
      <c r="H47" s="53">
        <f>'نتائج الشهادة من الرقمنة'!P13</f>
        <v>7.5</v>
      </c>
      <c r="I47" s="53">
        <f>'نتائج الشهادة من الرقمنة'!R13</f>
        <v>9</v>
      </c>
      <c r="J47" s="53">
        <f>'نتائج الشهادة من الرقمنة'!V13</f>
        <v>14.5</v>
      </c>
      <c r="K47" s="53">
        <f>'نتائج الشهادة من الرقمنة'!X13</f>
        <v>12.5</v>
      </c>
      <c r="L47" s="53">
        <f>'نتائج الشهادة من الرقمنة'!Z13</f>
        <v>8</v>
      </c>
      <c r="M47" s="53">
        <f>'نتائج الشهادة من الرقمنة'!L13</f>
        <v>3.5</v>
      </c>
      <c r="N47" s="53">
        <f>'نتائج الشهادة من الرقمنة'!AB13</f>
        <v>9.5</v>
      </c>
      <c r="O47" s="53">
        <f>'نتائج الشهادة من الرقمنة'!AD13</f>
        <v>11</v>
      </c>
      <c r="P47" s="44">
        <f>'نتائج الشهادة من الرقمنة'!I13</f>
        <v>9.39</v>
      </c>
      <c r="Q47" s="324"/>
      <c r="R47" s="54" t="str">
        <f t="shared" si="0"/>
        <v>مكراربش آية</v>
      </c>
      <c r="S47" s="54">
        <f t="shared" si="1"/>
        <v>0</v>
      </c>
      <c r="T47" s="55">
        <v>12.33</v>
      </c>
      <c r="U47" s="55">
        <v>8.08</v>
      </c>
      <c r="V47" s="55">
        <v>6.83</v>
      </c>
      <c r="W47" s="55">
        <v>16.170000000000002</v>
      </c>
      <c r="X47" s="55">
        <v>10</v>
      </c>
      <c r="Y47" s="55">
        <v>10.08</v>
      </c>
      <c r="Z47" s="55">
        <v>9</v>
      </c>
      <c r="AA47" s="55">
        <v>10.17</v>
      </c>
      <c r="AB47" s="55">
        <v>9.83</v>
      </c>
      <c r="AC47" s="56">
        <v>17.5</v>
      </c>
      <c r="AD47" s="55">
        <v>18</v>
      </c>
      <c r="AE47" s="57">
        <v>10.79</v>
      </c>
      <c r="AF47" s="39"/>
      <c r="AG47" s="128">
        <f>'نتائج الشهادة من الرقمنة'!J52</f>
        <v>9.73</v>
      </c>
      <c r="AH47" s="58" t="s">
        <v>273</v>
      </c>
      <c r="AI47" s="39"/>
      <c r="AJ47" s="27"/>
      <c r="AK47" s="27"/>
      <c r="AL47" s="27"/>
      <c r="AM47" s="27"/>
    </row>
    <row r="48" spans="1:39" s="12" customFormat="1" ht="12.95" customHeight="1" thickBot="1">
      <c r="A48" s="50">
        <f>'نتائج الشهادة من الرقمنة'!A21</f>
        <v>12</v>
      </c>
      <c r="B48" s="51">
        <f>'نتائج الشهادة من الرقمنة'!B21</f>
        <v>0</v>
      </c>
      <c r="C48" s="51">
        <f>'نتائج الشهادة من الرقمنة'!C21</f>
        <v>0</v>
      </c>
      <c r="D48" s="51">
        <f>'نتائج الشهادة من الرقمنة'!D21</f>
        <v>0</v>
      </c>
      <c r="E48" s="52" t="str">
        <f>'نتائج الشهادة من الرقمنة'!F21</f>
        <v>مكراربش داني</v>
      </c>
      <c r="F48" s="52" t="str">
        <f>'نتائج الشهادة من الرقمنة'!E21</f>
        <v>ذكر</v>
      </c>
      <c r="G48" s="53">
        <f>'نتائج الشهادة من الرقمنة'!N21</f>
        <v>12.5</v>
      </c>
      <c r="H48" s="53">
        <f>'نتائج الشهادة من الرقمنة'!P21</f>
        <v>8.5</v>
      </c>
      <c r="I48" s="53">
        <f>'نتائج الشهادة من الرقمنة'!R21</f>
        <v>10</v>
      </c>
      <c r="J48" s="53">
        <f>'نتائج الشهادة من الرقمنة'!V21</f>
        <v>12</v>
      </c>
      <c r="K48" s="53">
        <f>'نتائج الشهادة من الرقمنة'!X21</f>
        <v>10</v>
      </c>
      <c r="L48" s="53">
        <f>'نتائج الشهادة من الرقمنة'!Z21</f>
        <v>11.5</v>
      </c>
      <c r="M48" s="53">
        <f>'نتائج الشهادة من الرقمنة'!L21</f>
        <v>4</v>
      </c>
      <c r="N48" s="53">
        <f>'نتائج الشهادة من الرقمنة'!AB21</f>
        <v>6</v>
      </c>
      <c r="O48" s="53">
        <f>'نتائج الشهادة من الرقمنة'!AD21</f>
        <v>7.5</v>
      </c>
      <c r="P48" s="44">
        <f>'نتائج الشهادة من الرقمنة'!I21</f>
        <v>9.7200000000000006</v>
      </c>
      <c r="Q48" s="324"/>
      <c r="R48" s="54" t="str">
        <f t="shared" si="0"/>
        <v>مكراربش داني</v>
      </c>
      <c r="S48" s="54" t="str">
        <f t="shared" si="1"/>
        <v>ذكر</v>
      </c>
      <c r="T48" s="55">
        <v>11.83</v>
      </c>
      <c r="U48" s="55">
        <v>8.17</v>
      </c>
      <c r="V48" s="55">
        <v>9.83</v>
      </c>
      <c r="W48" s="55">
        <v>13</v>
      </c>
      <c r="X48" s="55">
        <v>11.25</v>
      </c>
      <c r="Y48" s="55">
        <v>10.42</v>
      </c>
      <c r="Z48" s="55">
        <v>5.58</v>
      </c>
      <c r="AA48" s="55">
        <v>5.83</v>
      </c>
      <c r="AB48" s="55">
        <v>8</v>
      </c>
      <c r="AC48" s="56">
        <v>15.5</v>
      </c>
      <c r="AD48" s="55">
        <v>19</v>
      </c>
      <c r="AE48" s="57">
        <v>9.7200000000000006</v>
      </c>
      <c r="AF48" s="39"/>
      <c r="AG48" s="128">
        <f>'نتائج الشهادة من الرقمنة'!J53</f>
        <v>13.08</v>
      </c>
      <c r="AH48" s="58" t="str">
        <f>IF(AG48&lt;10,IF('نتائج الشهادة من الرقمنة'!G53&lt;39448,"يوجه","يعيد"),"ينتقل")</f>
        <v>ينتقل</v>
      </c>
      <c r="AI48" s="39"/>
      <c r="AJ48" s="27"/>
      <c r="AK48" s="27"/>
      <c r="AL48" s="27"/>
      <c r="AM48" s="27"/>
    </row>
    <row r="49" spans="1:45" s="12" customFormat="1" ht="12.95" customHeight="1" thickBot="1">
      <c r="A49" s="50">
        <f>'نتائج الشهادة من الرقمنة'!A41</f>
        <v>32</v>
      </c>
      <c r="B49" s="51">
        <f>'نتائج الشهادة من الرقمنة'!B41</f>
        <v>0</v>
      </c>
      <c r="C49" s="51">
        <f>'نتائج الشهادة من الرقمنة'!C41</f>
        <v>0</v>
      </c>
      <c r="D49" s="51">
        <f>'نتائج الشهادة من الرقمنة'!D41</f>
        <v>0</v>
      </c>
      <c r="E49" s="52" t="str">
        <f>'نتائج الشهادة من الرقمنة'!F41</f>
        <v>مناد محمد بهاء الدين</v>
      </c>
      <c r="F49" s="52" t="str">
        <f>'نتائج الشهادة من الرقمنة'!E41</f>
        <v>ذكر</v>
      </c>
      <c r="G49" s="53">
        <f>'نتائج الشهادة من الرقمنة'!N41</f>
        <v>14</v>
      </c>
      <c r="H49" s="53">
        <f>'نتائج الشهادة من الرقمنة'!P41</f>
        <v>10</v>
      </c>
      <c r="I49" s="53">
        <f>'نتائج الشهادة من الرقمنة'!R41</f>
        <v>7</v>
      </c>
      <c r="J49" s="53">
        <f>'نتائج الشهادة من الرقمنة'!V41</f>
        <v>17</v>
      </c>
      <c r="K49" s="53">
        <f>'نتائج الشهادة من الرقمنة'!X41</f>
        <v>14.5</v>
      </c>
      <c r="L49" s="53">
        <f>'نتائج الشهادة من الرقمنة'!Z41</f>
        <v>13</v>
      </c>
      <c r="M49" s="53">
        <f>'نتائج الشهادة من الرقمنة'!L41</f>
        <v>7</v>
      </c>
      <c r="N49" s="53">
        <f>'نتائج الشهادة من الرقمنة'!AB41</f>
        <v>8</v>
      </c>
      <c r="O49" s="53">
        <f>'نتائج الشهادة من الرقمنة'!AD41</f>
        <v>13.5</v>
      </c>
      <c r="P49" s="44">
        <f>'نتائج الشهادة من الرقمنة'!I41</f>
        <v>11.87</v>
      </c>
      <c r="Q49" s="324"/>
      <c r="R49" s="54" t="str">
        <f t="shared" si="0"/>
        <v>مناد محمد بهاء الدين</v>
      </c>
      <c r="S49" s="54" t="str">
        <f t="shared" si="1"/>
        <v>ذكر</v>
      </c>
      <c r="T49" s="55">
        <v>14.67</v>
      </c>
      <c r="U49" s="55">
        <v>12.33</v>
      </c>
      <c r="V49" s="55">
        <v>11.42</v>
      </c>
      <c r="W49" s="55">
        <v>14.67</v>
      </c>
      <c r="X49" s="55">
        <v>14.25</v>
      </c>
      <c r="Y49" s="55">
        <v>15.5</v>
      </c>
      <c r="Z49" s="55">
        <v>14.92</v>
      </c>
      <c r="AA49" s="55">
        <v>7.5</v>
      </c>
      <c r="AB49" s="55">
        <v>15.33</v>
      </c>
      <c r="AC49" s="56">
        <v>17.670000000000002</v>
      </c>
      <c r="AD49" s="55">
        <v>19</v>
      </c>
      <c r="AE49" s="57">
        <v>14.13</v>
      </c>
      <c r="AF49" s="39"/>
      <c r="AG49" s="128">
        <f>'نتائج الشهادة من الرقمنة'!J54</f>
        <v>8.69</v>
      </c>
      <c r="AH49" s="58" t="s">
        <v>273</v>
      </c>
      <c r="AI49" s="39"/>
      <c r="AJ49" s="27"/>
      <c r="AK49" s="27"/>
      <c r="AL49" s="27"/>
      <c r="AM49" s="27"/>
    </row>
    <row r="50" spans="1:45" s="12" customFormat="1" ht="12.95" customHeight="1" thickBot="1">
      <c r="A50" s="50">
        <f>'نتائج الشهادة من الرقمنة'!A22</f>
        <v>13</v>
      </c>
      <c r="B50" s="51">
        <f>'نتائج الشهادة من الرقمنة'!B22</f>
        <v>0</v>
      </c>
      <c r="C50" s="51">
        <f>'نتائج الشهادة من الرقمنة'!C22</f>
        <v>0</v>
      </c>
      <c r="D50" s="51">
        <f>'نتائج الشهادة من الرقمنة'!D22</f>
        <v>0</v>
      </c>
      <c r="E50" s="52" t="str">
        <f>'نتائج الشهادة من الرقمنة'!F22</f>
        <v>مناقر رؤية</v>
      </c>
      <c r="F50" s="52">
        <f>'نتائج الشهادة من الرقمنة'!E22</f>
        <v>0</v>
      </c>
      <c r="G50" s="53">
        <f>'نتائج الشهادة من الرقمنة'!N22</f>
        <v>11.5</v>
      </c>
      <c r="H50" s="53">
        <f>'نتائج الشهادة من الرقمنة'!P22</f>
        <v>10</v>
      </c>
      <c r="I50" s="53">
        <f>'نتائج الشهادة من الرقمنة'!R22</f>
        <v>9</v>
      </c>
      <c r="J50" s="53">
        <f>'نتائج الشهادة من الرقمنة'!V22</f>
        <v>9</v>
      </c>
      <c r="K50" s="53">
        <f>'نتائج الشهادة من الرقمنة'!X22</f>
        <v>10.5</v>
      </c>
      <c r="L50" s="53">
        <f>'نتائج الشهادة من الرقمنة'!Z22</f>
        <v>8</v>
      </c>
      <c r="M50" s="53">
        <f>'نتائج الشهادة من الرقمنة'!L22</f>
        <v>6</v>
      </c>
      <c r="N50" s="53">
        <f>'نتائج الشهادة من الرقمنة'!AB22</f>
        <v>7.5</v>
      </c>
      <c r="O50" s="53">
        <f>'نتائج الشهادة من الرقمنة'!AD22</f>
        <v>12</v>
      </c>
      <c r="P50" s="44">
        <f>'نتائج الشهادة من الرقمنة'!I22</f>
        <v>9.84</v>
      </c>
      <c r="Q50" s="324"/>
      <c r="R50" s="54" t="str">
        <f t="shared" si="0"/>
        <v>مناقر رؤية</v>
      </c>
      <c r="S50" s="54">
        <f t="shared" si="1"/>
        <v>0</v>
      </c>
      <c r="T50" s="55">
        <v>14.5</v>
      </c>
      <c r="U50" s="55">
        <v>8.75</v>
      </c>
      <c r="V50" s="55">
        <v>7.75</v>
      </c>
      <c r="W50" s="55">
        <v>12</v>
      </c>
      <c r="X50" s="55">
        <v>14.08</v>
      </c>
      <c r="Y50" s="55">
        <v>11.5</v>
      </c>
      <c r="Z50" s="55">
        <v>10.75</v>
      </c>
      <c r="AA50" s="55">
        <v>7.08</v>
      </c>
      <c r="AB50" s="55">
        <v>13.67</v>
      </c>
      <c r="AC50" s="56">
        <v>18.170000000000002</v>
      </c>
      <c r="AD50" s="55">
        <v>18</v>
      </c>
      <c r="AE50" s="57">
        <v>11.79</v>
      </c>
      <c r="AF50" s="39"/>
      <c r="AG50" s="128">
        <f>'نتائج الشهادة من الرقمنة'!J55</f>
        <v>14.82</v>
      </c>
      <c r="AH50" s="58" t="str">
        <f>IF(AG50&lt;10,IF('نتائج الشهادة من الرقمنة'!G55&lt;39448,"يوجه","يعيد"),"ينتقل")</f>
        <v>ينتقل</v>
      </c>
      <c r="AI50" s="39"/>
      <c r="AJ50" s="27"/>
      <c r="AK50" s="27"/>
      <c r="AL50" s="27"/>
      <c r="AM50" s="27"/>
    </row>
    <row r="51" spans="1:45" s="12" customFormat="1" ht="12.95" customHeight="1" thickBot="1">
      <c r="A51" s="50">
        <f>'نتائج الشهادة من الرقمنة'!A23</f>
        <v>14</v>
      </c>
      <c r="B51" s="51">
        <f>'نتائج الشهادة من الرقمنة'!B23</f>
        <v>0</v>
      </c>
      <c r="C51" s="51">
        <f>'نتائج الشهادة من الرقمنة'!C23</f>
        <v>0</v>
      </c>
      <c r="D51" s="51">
        <f>'نتائج الشهادة من الرقمنة'!D23</f>
        <v>0</v>
      </c>
      <c r="E51" s="52" t="str">
        <f>'نتائج الشهادة من الرقمنة'!F23</f>
        <v>مولاي علي ريتاج</v>
      </c>
      <c r="F51" s="52">
        <f>'نتائج الشهادة من الرقمنة'!E23</f>
        <v>0</v>
      </c>
      <c r="G51" s="53">
        <f>'نتائج الشهادة من الرقمنة'!N23</f>
        <v>15</v>
      </c>
      <c r="H51" s="53">
        <f>'نتائج الشهادة من الرقمنة'!P23</f>
        <v>10</v>
      </c>
      <c r="I51" s="53">
        <f>'نتائج الشهادة من الرقمنة'!R23</f>
        <v>7.5</v>
      </c>
      <c r="J51" s="53">
        <f>'نتائج الشهادة من الرقمنة'!V23</f>
        <v>11.5</v>
      </c>
      <c r="K51" s="53">
        <f>'نتائج الشهادة من الرقمنة'!X23</f>
        <v>14.5</v>
      </c>
      <c r="L51" s="53">
        <f>'نتائج الشهادة من الرقمنة'!Z23</f>
        <v>10.5</v>
      </c>
      <c r="M51" s="53">
        <f>'نتائج الشهادة من الرقمنة'!L23</f>
        <v>11</v>
      </c>
      <c r="N51" s="53">
        <f>'نتائج الشهادة من الرقمنة'!AB23</f>
        <v>13</v>
      </c>
      <c r="O51" s="53">
        <f>'نتائج الشهادة من الرقمنة'!AD23</f>
        <v>13</v>
      </c>
      <c r="P51" s="44">
        <f>'نتائج الشهادة من الرقمنة'!I23</f>
        <v>12.25</v>
      </c>
      <c r="Q51" s="324"/>
      <c r="R51" s="54" t="str">
        <f t="shared" si="0"/>
        <v>مولاي علي ريتاج</v>
      </c>
      <c r="S51" s="54">
        <f t="shared" si="1"/>
        <v>0</v>
      </c>
      <c r="T51" s="55">
        <v>11.83</v>
      </c>
      <c r="U51" s="55">
        <v>10.83</v>
      </c>
      <c r="V51" s="55">
        <v>11.5</v>
      </c>
      <c r="W51" s="55">
        <v>14.42</v>
      </c>
      <c r="X51" s="55">
        <v>17.829999999999998</v>
      </c>
      <c r="Y51" s="55">
        <v>12.92</v>
      </c>
      <c r="Z51" s="55">
        <v>15.83</v>
      </c>
      <c r="AA51" s="55">
        <v>5.42</v>
      </c>
      <c r="AB51" s="55">
        <v>15.54</v>
      </c>
      <c r="AC51" s="56">
        <v>18.329999999999998</v>
      </c>
      <c r="AD51" s="55">
        <v>18</v>
      </c>
      <c r="AE51" s="57">
        <v>13.16</v>
      </c>
      <c r="AF51" s="39"/>
      <c r="AG51" s="128">
        <f>'نتائج الشهادة من الرقمنة'!J56</f>
        <v>9.3800000000000008</v>
      </c>
      <c r="AH51" s="58" t="s">
        <v>273</v>
      </c>
      <c r="AI51" s="39"/>
      <c r="AJ51" s="27"/>
      <c r="AK51" s="27"/>
      <c r="AL51" s="27"/>
      <c r="AM51" s="27"/>
    </row>
    <row r="52" spans="1:45" s="8" customFormat="1" ht="15" customHeight="1">
      <c r="A52" s="24"/>
      <c r="B52" s="41"/>
      <c r="C52" s="41"/>
      <c r="D52" s="41"/>
      <c r="E52" s="59"/>
      <c r="F52" s="60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2"/>
      <c r="W52" s="17"/>
      <c r="X52" s="41"/>
      <c r="Y52" s="59"/>
      <c r="Z52" s="60"/>
      <c r="AA52" s="61"/>
      <c r="AB52" s="61"/>
      <c r="AC52" s="61"/>
      <c r="AD52" s="61"/>
      <c r="AE52" s="61"/>
      <c r="AF52" s="61"/>
      <c r="AG52" s="129"/>
      <c r="AH52" s="129"/>
      <c r="AI52" s="61"/>
      <c r="AJ52" s="29"/>
      <c r="AK52" s="29"/>
      <c r="AL52" s="29"/>
      <c r="AM52" s="29"/>
      <c r="AN52" s="7"/>
      <c r="AO52" s="7"/>
      <c r="AP52" s="7"/>
      <c r="AQ52" s="7"/>
      <c r="AR52" s="10"/>
      <c r="AS52" s="7"/>
    </row>
    <row r="53" spans="1:45" s="1" customFormat="1" ht="15" customHeight="1">
      <c r="A53" s="24"/>
      <c r="B53" s="41"/>
      <c r="C53" s="41"/>
      <c r="D53" s="41"/>
      <c r="E53" s="17"/>
      <c r="F53" s="63"/>
      <c r="G53" s="64"/>
      <c r="H53" s="64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17"/>
      <c r="X53" s="41"/>
      <c r="Y53" s="17"/>
      <c r="Z53" s="17"/>
      <c r="AA53" s="17"/>
      <c r="AB53" s="17"/>
      <c r="AC53" s="17"/>
      <c r="AD53" s="17"/>
      <c r="AE53" s="17"/>
      <c r="AF53" s="17"/>
      <c r="AG53" s="33"/>
      <c r="AH53" s="125"/>
      <c r="AI53" s="17"/>
      <c r="AJ53" s="25"/>
      <c r="AK53" s="25"/>
      <c r="AL53" s="25"/>
      <c r="AM53" s="25"/>
      <c r="AS53" s="6"/>
    </row>
    <row r="54" spans="1:45" s="1" customFormat="1" ht="15" customHeight="1">
      <c r="A54" s="24"/>
      <c r="B54" s="41"/>
      <c r="C54" s="41"/>
      <c r="D54" s="41"/>
      <c r="E54" s="17"/>
      <c r="F54" s="63"/>
      <c r="G54" s="64"/>
      <c r="H54" s="64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17"/>
      <c r="X54" s="41"/>
      <c r="Y54" s="17"/>
      <c r="Z54" s="17"/>
      <c r="AA54" s="17"/>
      <c r="AB54" s="17"/>
      <c r="AC54" s="17"/>
      <c r="AD54" s="17"/>
      <c r="AE54" s="17"/>
      <c r="AF54" s="17"/>
      <c r="AG54" s="33"/>
      <c r="AH54" s="125"/>
      <c r="AI54" s="17"/>
      <c r="AJ54" s="25"/>
      <c r="AK54" s="25"/>
      <c r="AL54" s="25"/>
      <c r="AM54" s="25"/>
      <c r="AS54" s="6"/>
    </row>
    <row r="55" spans="1:45" s="1" customFormat="1" ht="15" customHeight="1">
      <c r="A55" s="24"/>
      <c r="B55" s="41"/>
      <c r="C55" s="41"/>
      <c r="D55" s="41"/>
      <c r="E55" s="17"/>
      <c r="F55" s="63"/>
      <c r="G55" s="64"/>
      <c r="H55" s="64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17"/>
      <c r="X55" s="41"/>
      <c r="Y55" s="17"/>
      <c r="Z55" s="17"/>
      <c r="AA55" s="17"/>
      <c r="AB55" s="17"/>
      <c r="AC55" s="17"/>
      <c r="AD55" s="17"/>
      <c r="AE55" s="17"/>
      <c r="AF55" s="17"/>
      <c r="AG55" s="33"/>
      <c r="AH55" s="125"/>
      <c r="AI55" s="17"/>
      <c r="AJ55" s="25"/>
      <c r="AK55" s="25"/>
      <c r="AL55" s="25"/>
      <c r="AM55" s="25"/>
      <c r="AS55" s="6"/>
    </row>
    <row r="57" spans="1:45" s="4" customFormat="1" ht="15" customHeight="1">
      <c r="A57" s="24"/>
      <c r="B57" s="41"/>
      <c r="C57" s="41"/>
      <c r="D57" s="41"/>
      <c r="E57" s="17"/>
      <c r="F57" s="66"/>
      <c r="G57" s="66"/>
      <c r="H57" s="6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126"/>
      <c r="AH57" s="126"/>
      <c r="AI57" s="41"/>
      <c r="AJ57" s="26"/>
      <c r="AK57" s="26"/>
      <c r="AL57" s="26"/>
      <c r="AM57" s="26"/>
    </row>
    <row r="58" spans="1:45" s="4" customFormat="1" ht="15" customHeight="1">
      <c r="A58" s="24"/>
      <c r="B58" s="41"/>
      <c r="C58" s="41"/>
      <c r="D58" s="41"/>
      <c r="E58" s="17"/>
      <c r="F58" s="66"/>
      <c r="G58" s="66"/>
      <c r="H58" s="6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7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126"/>
      <c r="AH58" s="126"/>
      <c r="AI58" s="41"/>
      <c r="AJ58" s="26"/>
      <c r="AK58" s="26"/>
      <c r="AL58" s="26"/>
      <c r="AM58" s="26"/>
    </row>
    <row r="62" spans="1:45" ht="15" customHeight="1">
      <c r="E62" s="41"/>
    </row>
    <row r="63" spans="1:45" ht="15" customHeight="1">
      <c r="E63" s="41"/>
    </row>
  </sheetData>
  <sortState ref="A5:P51">
    <sortCondition ref="E5"/>
  </sortState>
  <mergeCells count="3">
    <mergeCell ref="Q4:Q51"/>
    <mergeCell ref="E2:O2"/>
    <mergeCell ref="R2:A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X254"/>
  <sheetViews>
    <sheetView rightToLeft="1" tabSelected="1" workbookViewId="0">
      <selection activeCell="J27" sqref="J27"/>
    </sheetView>
  </sheetViews>
  <sheetFormatPr baseColWidth="10" defaultColWidth="11.42578125" defaultRowHeight="15"/>
  <cols>
    <col min="1" max="1" width="6.5703125" style="2" customWidth="1"/>
    <col min="2" max="2" width="7.28515625" style="170" customWidth="1"/>
    <col min="3" max="3" width="11.28515625" style="170" customWidth="1"/>
    <col min="4" max="9" width="9.7109375" style="170" customWidth="1"/>
    <col min="10" max="15" width="7.7109375" style="170" customWidth="1"/>
    <col min="16" max="16" width="7.7109375" style="2" customWidth="1"/>
    <col min="17" max="24" width="11.42578125" style="144"/>
  </cols>
  <sheetData>
    <row r="1" spans="1:24" ht="19.5" thickBot="1">
      <c r="A1" s="5"/>
      <c r="B1" s="143"/>
      <c r="C1" s="143"/>
      <c r="D1" s="376" t="s">
        <v>271</v>
      </c>
      <c r="E1" s="376"/>
      <c r="F1" s="376"/>
      <c r="G1" s="376"/>
      <c r="H1" s="376"/>
      <c r="I1" s="376"/>
      <c r="J1" s="376"/>
      <c r="K1" s="376"/>
      <c r="L1" s="376"/>
      <c r="M1" s="143"/>
      <c r="N1" s="143"/>
      <c r="O1" s="143"/>
      <c r="P1" s="5"/>
    </row>
    <row r="2" spans="1:24" s="4" customFormat="1" ht="9.9499999999999993" customHeight="1" thickBot="1">
      <c r="A2" s="5"/>
      <c r="B2" s="143"/>
      <c r="C2" s="143"/>
      <c r="D2" s="145"/>
      <c r="E2" s="145"/>
      <c r="F2" s="145"/>
      <c r="G2" s="145"/>
      <c r="H2" s="145"/>
      <c r="I2" s="145"/>
      <c r="J2" s="145"/>
      <c r="K2" s="145"/>
      <c r="L2" s="146"/>
      <c r="M2" s="146"/>
      <c r="N2" s="143"/>
      <c r="O2" s="143"/>
      <c r="P2" s="5"/>
      <c r="Q2" s="147"/>
      <c r="R2" s="147"/>
      <c r="S2" s="147"/>
      <c r="T2" s="147"/>
      <c r="U2" s="147"/>
      <c r="V2" s="147"/>
      <c r="W2" s="147"/>
      <c r="X2" s="147"/>
    </row>
    <row r="3" spans="1:24" ht="15" customHeight="1" thickBot="1">
      <c r="A3" s="5"/>
      <c r="B3" s="379" t="s">
        <v>10</v>
      </c>
      <c r="C3" s="379"/>
      <c r="D3" s="379"/>
      <c r="E3" s="148" t="s">
        <v>26</v>
      </c>
      <c r="F3" s="149" t="s">
        <v>54</v>
      </c>
      <c r="G3" s="148" t="s">
        <v>26</v>
      </c>
      <c r="H3" s="149" t="s">
        <v>54</v>
      </c>
      <c r="I3" s="148" t="s">
        <v>26</v>
      </c>
      <c r="J3" s="149" t="s">
        <v>54</v>
      </c>
      <c r="K3" s="150"/>
      <c r="L3" s="146"/>
      <c r="M3" s="382" t="s">
        <v>46</v>
      </c>
      <c r="N3" s="382"/>
      <c r="O3" s="346" t="s">
        <v>48</v>
      </c>
      <c r="P3" s="346"/>
    </row>
    <row r="4" spans="1:24" ht="15.75" thickBot="1">
      <c r="A4" s="5"/>
      <c r="B4" s="151" t="s">
        <v>11</v>
      </c>
      <c r="C4" s="151">
        <v>21</v>
      </c>
      <c r="D4" s="152">
        <f>(C4*100)/C6</f>
        <v>44.680851063829785</v>
      </c>
      <c r="E4" s="148">
        <v>13</v>
      </c>
      <c r="F4" s="149">
        <v>11</v>
      </c>
      <c r="G4" s="148">
        <v>0</v>
      </c>
      <c r="H4" s="149">
        <f>COUNTIFS('نتائج الشهادة. المعدلات السنوية'!P5:P51,"&gt;=10",'نتائج الشهادة. المعدلات السنوية'!C5:C51,"س",'نتائج الشهادة. المعدلات السنوية'!F5:F51,"ذكر")</f>
        <v>0</v>
      </c>
      <c r="I4" s="148">
        <f>COUNTIFS('نتائج الشهادة. المعدلات السنوية'!B5:B51,"ج",'نتائج الشهادة. المعدلات السنوية'!F5:F51,"ذكر")</f>
        <v>0</v>
      </c>
      <c r="J4" s="149">
        <f>COUNTIFS('نتائج الشهادة. المعدلات السنوية'!P5:P51,"&gt;=10",'نتائج الشهادة. المعدلات السنوية'!B5:B51,"ج",'نتائج الشهادة. المعدلات السنوية'!F5:F51,"ذكر")</f>
        <v>0</v>
      </c>
      <c r="K4" s="150"/>
      <c r="L4" s="153" t="s">
        <v>11</v>
      </c>
      <c r="M4" s="153">
        <v>13</v>
      </c>
      <c r="N4" s="154">
        <f>M4*100/C6</f>
        <v>27.659574468085108</v>
      </c>
      <c r="O4" s="155">
        <f>COUNTIFS('نتائج الشهادة. المعدلات السنوية'!P5:P51,"&lt;10",'نتائج الشهادة. المعدلات السنوية'!F5:F51,"ذكر")</f>
        <v>11</v>
      </c>
      <c r="P4" s="156">
        <f>O4*100/C6</f>
        <v>23.404255319148938</v>
      </c>
    </row>
    <row r="5" spans="1:24" ht="15.75" thickBot="1">
      <c r="A5" s="5"/>
      <c r="B5" s="157" t="s">
        <v>30</v>
      </c>
      <c r="C5" s="157">
        <v>26</v>
      </c>
      <c r="D5" s="158">
        <f>(C5*100)/C6</f>
        <v>55.319148936170215</v>
      </c>
      <c r="E5" s="159">
        <v>6</v>
      </c>
      <c r="F5" s="159">
        <v>6</v>
      </c>
      <c r="G5" s="159">
        <f>COUNTIFS('نتائج الشهادة. المعدلات السنوية'!C5:C51,"س",'نتائج الشهادة. المعدلات السنوية'!F5:F51,"أنثى")</f>
        <v>0</v>
      </c>
      <c r="H5" s="159">
        <f>COUNTIFS('نتائج الشهادة. المعدلات السنوية'!P5:P51,"&gt;=10",'نتائج الشهادة. المعدلات السنوية'!C5:C51,"س",'نتائج الشهادة. المعدلات السنوية'!F5:F51,"أنثى")</f>
        <v>0</v>
      </c>
      <c r="I5" s="159">
        <v>1</v>
      </c>
      <c r="J5" s="159">
        <f>COUNTIFS('نتائج الشهادة. المعدلات السنوية'!P5:P51,"&gt;=10",'نتائج الشهادة. المعدلات السنوية'!B5:B51,"ج",'نتائج الشهادة. المعدلات السنوية'!F5:F51,"أنثى")</f>
        <v>0</v>
      </c>
      <c r="K5" s="160"/>
      <c r="L5" s="153" t="s">
        <v>30</v>
      </c>
      <c r="M5" s="153">
        <v>20</v>
      </c>
      <c r="N5" s="154">
        <f>M5*100/C6</f>
        <v>42.553191489361701</v>
      </c>
      <c r="O5" s="155">
        <f>COUNTIFS('نتائج الشهادة. المعدلات السنوية'!P5:P51,"&lt;10",'نتائج الشهادة. المعدلات السنوية'!F5:F51,"أنثى")</f>
        <v>0</v>
      </c>
      <c r="P5" s="156">
        <f>O5*100/C6</f>
        <v>0</v>
      </c>
    </row>
    <row r="6" spans="1:24" ht="16.5" thickBot="1">
      <c r="A6" s="5"/>
      <c r="B6" s="161" t="s">
        <v>12</v>
      </c>
      <c r="C6" s="378">
        <f>C4+C5</f>
        <v>47</v>
      </c>
      <c r="D6" s="378"/>
      <c r="E6" s="383" t="s">
        <v>47</v>
      </c>
      <c r="F6" s="383"/>
      <c r="G6" s="383" t="s">
        <v>57</v>
      </c>
      <c r="H6" s="383"/>
      <c r="I6" s="383" t="s">
        <v>58</v>
      </c>
      <c r="J6" s="383"/>
      <c r="K6" s="160"/>
      <c r="L6" s="155" t="s">
        <v>12</v>
      </c>
      <c r="M6" s="153">
        <f>M4+M5</f>
        <v>33</v>
      </c>
      <c r="N6" s="154">
        <f>M6*100/C6</f>
        <v>70.212765957446805</v>
      </c>
      <c r="O6" s="155">
        <v>14</v>
      </c>
      <c r="P6" s="156">
        <f>O6*100/C6</f>
        <v>29.787234042553191</v>
      </c>
    </row>
    <row r="7" spans="1:24" ht="8.1" customHeight="1" thickBot="1">
      <c r="A7" s="16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5"/>
    </row>
    <row r="8" spans="1:24" ht="15.75" thickBot="1">
      <c r="A8" s="5"/>
      <c r="B8" s="143"/>
      <c r="C8" s="163" t="s">
        <v>13</v>
      </c>
      <c r="D8" s="163" t="s">
        <v>18</v>
      </c>
      <c r="E8" s="163" t="s">
        <v>19</v>
      </c>
      <c r="F8" s="163" t="s">
        <v>20</v>
      </c>
      <c r="G8" s="163" t="s">
        <v>15</v>
      </c>
      <c r="H8" s="163" t="s">
        <v>21</v>
      </c>
      <c r="I8" s="163" t="s">
        <v>16</v>
      </c>
      <c r="J8" s="163" t="s">
        <v>17</v>
      </c>
      <c r="K8" s="163" t="s">
        <v>22</v>
      </c>
      <c r="L8" s="163" t="s">
        <v>23</v>
      </c>
      <c r="M8" s="163" t="s">
        <v>24</v>
      </c>
      <c r="N8" s="163" t="s">
        <v>92</v>
      </c>
      <c r="O8" s="164" t="s">
        <v>54</v>
      </c>
      <c r="P8" s="165" t="s">
        <v>62</v>
      </c>
    </row>
    <row r="9" spans="1:24" s="2" customFormat="1" ht="15.75" thickBot="1">
      <c r="A9" s="347" t="s">
        <v>49</v>
      </c>
      <c r="B9" s="348"/>
      <c r="C9" s="154">
        <f>AVERAGE('نتائج الشهادة. المعدلات السنوية'!G5:G51)</f>
        <v>12.946808510638299</v>
      </c>
      <c r="D9" s="154">
        <f>AVERAGE('نتائج الشهادة. المعدلات السنوية'!H5:H51)</f>
        <v>9.4574468085106389</v>
      </c>
      <c r="E9" s="154">
        <f>AVERAGE('نتائج الشهادة. المعدلات السنوية'!I5:I51)</f>
        <v>8.0957446808510642</v>
      </c>
      <c r="F9" s="154">
        <f>AVERAGE('نتائج الشهادة. المعدلات السنوية'!J5:J51)</f>
        <v>12.638297872340425</v>
      </c>
      <c r="G9" s="154">
        <f>AVERAGE('نتائج الشهادة. المعدلات السنوية'!K5:K51)</f>
        <v>11.606382978723405</v>
      </c>
      <c r="H9" s="154">
        <f>AVERAGE('نتائج الشهادة. المعدلات السنوية'!L5:L51)</f>
        <v>9.0744680851063837</v>
      </c>
      <c r="I9" s="154">
        <f>AVERAGE('نتائج الشهادة. المعدلات السنوية'!M5:M51)</f>
        <v>6.3617021276595747</v>
      </c>
      <c r="J9" s="154">
        <f>AVERAGE('نتائج الشهادة. المعدلات السنوية'!N5:N51)</f>
        <v>8.9574468085106389</v>
      </c>
      <c r="K9" s="154">
        <f>AVERAGE('نتائج الشهادة. المعدلات السنوية'!O5:O51)</f>
        <v>12.446808510638299</v>
      </c>
      <c r="L9" s="154">
        <f>AVERAGE('نتائج الشهادة. المعدلات السنوية'!AC5:AC51)</f>
        <v>15.844042553191489</v>
      </c>
      <c r="M9" s="154">
        <f>AVERAGE('نتائج الشهادة. المعدلات السنوية'!AD5:AD51)</f>
        <v>16.702127659574469</v>
      </c>
      <c r="N9" s="154">
        <f>AVERAGE('نتائج الشهادة. المعدلات السنوية'!P5:P51)</f>
        <v>10.545744680851062</v>
      </c>
      <c r="O9" s="166">
        <f>M6</f>
        <v>33</v>
      </c>
      <c r="P9" s="166">
        <f>M5</f>
        <v>20</v>
      </c>
    </row>
    <row r="10" spans="1:24" s="2" customFormat="1" ht="15.75" thickBot="1">
      <c r="A10" s="347" t="s">
        <v>50</v>
      </c>
      <c r="B10" s="348"/>
      <c r="C10" s="156">
        <f>AVEDEV('نتائج الشهادة. المعدلات السنوية'!G5:G51)</f>
        <v>2.0353100950656402</v>
      </c>
      <c r="D10" s="156">
        <f>AVEDEV('نتائج الشهادة. المعدلات السنوية'!H5:H51)</f>
        <v>3.2154821186057041</v>
      </c>
      <c r="E10" s="156">
        <f>AVEDEV('نتائج الشهادة. المعدلات السنوية'!I5:I51)</f>
        <v>2.8678134902670886</v>
      </c>
      <c r="F10" s="156">
        <f>AVEDEV('نتائج الشهادة. المعدلات السنوية'!J5:J51)</f>
        <v>3.0928021729289261</v>
      </c>
      <c r="G10" s="156">
        <f>AVEDEV('نتائج الشهادة. المعدلات السنوية'!K5:K51)</f>
        <v>2.1054775916704389</v>
      </c>
      <c r="H10" s="156">
        <f>AVEDEV('نتائج الشهادة. المعدلات السنوية'!L5:L51)</f>
        <v>2.0004526935264821</v>
      </c>
      <c r="I10" s="156">
        <f>AVEDEV('نتائج الشهادة. المعدلات السنوية'!M5:M51)</f>
        <v>3.1851516523313723</v>
      </c>
      <c r="J10" s="156">
        <f>AVEDEV('نتائج الشهادة. المعدلات السنوية'!N5:N51)</f>
        <v>2.8076052512449072</v>
      </c>
      <c r="K10" s="156">
        <f>AVEDEV('نتائج الشهادة. المعدلات السنوية'!O5:O51)</f>
        <v>2.6948845631507465</v>
      </c>
      <c r="L10" s="156">
        <f>AVEDEV('نتائج الشهادة. المعدلات السنوية'!AC5:AC51)</f>
        <v>1.6480398370303309</v>
      </c>
      <c r="M10" s="156">
        <f>AVEDEV('نتائج الشهادة. المعدلات السنوية'!AD5:AD51)</f>
        <v>2.8429153463105457</v>
      </c>
      <c r="N10" s="156">
        <f>AVEDEV('نتائج الشهادة. المعدلات السنوية'!P5:P51)</f>
        <v>2.0087279311905837</v>
      </c>
      <c r="O10" s="167" t="s">
        <v>113</v>
      </c>
      <c r="P10" s="165" t="s">
        <v>62</v>
      </c>
    </row>
    <row r="11" spans="1:24" s="2" customFormat="1" ht="15.75" thickBot="1">
      <c r="A11" s="347" t="s">
        <v>31</v>
      </c>
      <c r="B11" s="348"/>
      <c r="C11" s="153">
        <f>COUNTIF('نتائج الشهادة. المعدلات السنوية'!G5:G51, "&gt;=10")</f>
        <v>41</v>
      </c>
      <c r="D11" s="153">
        <f>COUNTIF('نتائج الشهادة. المعدلات السنوية'!H5:H51, "&gt;=10")</f>
        <v>25</v>
      </c>
      <c r="E11" s="153">
        <f>COUNTIF('نتائج الشهادة. المعدلات السنوية'!I5:I51, "&gt;=10")</f>
        <v>12</v>
      </c>
      <c r="F11" s="153">
        <f>COUNTIF('نتائج الشهادة. المعدلات السنوية'!J5:J51, "&gt;=10")</f>
        <v>35</v>
      </c>
      <c r="G11" s="153">
        <f>COUNTIF('نتائج الشهادة. المعدلات السنوية'!K5:K51, "&gt;=10")</f>
        <v>39</v>
      </c>
      <c r="H11" s="153">
        <f>COUNTIF('نتائج الشهادة. المعدلات السنوية'!L5:L51, "&gt;=10")</f>
        <v>18</v>
      </c>
      <c r="I11" s="153">
        <f>COUNTIF('نتائج الشهادة. المعدلات السنوية'!M5:M51, "&gt;=10")</f>
        <v>12</v>
      </c>
      <c r="J11" s="153">
        <f>COUNTIF('نتائج الشهادة. المعدلات السنوية'!N5:N51, "&gt;=10")</f>
        <v>15</v>
      </c>
      <c r="K11" s="153">
        <f>COUNTIF('نتائج الشهادة. المعدلات السنوية'!O5:O51, "&gt;=10")</f>
        <v>37</v>
      </c>
      <c r="L11" s="153">
        <f>COUNTIF('نتائج الشهادة من الرقمنة'!Z9:Z56, "&gt;=10")</f>
        <v>18</v>
      </c>
      <c r="M11" s="153">
        <f>COUNTIF('نتائج الشهادة من الرقمنة'!AA9:AA56, "&gt;=10")</f>
        <v>26</v>
      </c>
      <c r="N11" s="153">
        <f>COUNTIF('نتائج الشهادة. المعدلات السنوية'!P5:P51, "&gt;=10")</f>
        <v>23</v>
      </c>
      <c r="O11" s="153">
        <f>COUNTIF('نتائج الشهادة. المعدلات السنوية'!AG5:AG51,"&gt;=10,00")</f>
        <v>33</v>
      </c>
      <c r="P11" s="153">
        <v>20</v>
      </c>
    </row>
    <row r="12" spans="1:24" s="2" customFormat="1" ht="15.75" thickBot="1">
      <c r="A12" s="349" t="s">
        <v>51</v>
      </c>
      <c r="B12" s="350"/>
      <c r="C12" s="168">
        <f>COUNTIFS('نتائج الشهادة. المعدلات السنوية'!G5:G51, "&gt;=10",'نتائج الشهادة. المعدلات السنوية'!F5:F51,"أنثى")</f>
        <v>0</v>
      </c>
      <c r="D12" s="168">
        <f>COUNTIFS('نتائج الشهادة. المعدلات السنوية'!H5:H51, "&gt;=10",'نتائج الشهادة. المعدلات السنوية'!F5:F51,"أنثى")</f>
        <v>0</v>
      </c>
      <c r="E12" s="168">
        <f>COUNTIFS('نتائج الشهادة. المعدلات السنوية'!I5:I51, "&gt;=10",'نتائج الشهادة. المعدلات السنوية'!F5:F51,"أنثى")</f>
        <v>0</v>
      </c>
      <c r="F12" s="168">
        <f>COUNTIFS('نتائج الشهادة. المعدلات السنوية'!J5:J51, "&gt;=10",'نتائج الشهادة. المعدلات السنوية'!F5:F51,"أنثى")</f>
        <v>0</v>
      </c>
      <c r="G12" s="168">
        <f>COUNTIFS('نتائج الشهادة. المعدلات السنوية'!K5:K51, "&gt;=10",'نتائج الشهادة. المعدلات السنوية'!F5:F51,"أنثى")</f>
        <v>0</v>
      </c>
      <c r="H12" s="168">
        <f>COUNTIFS('نتائج الشهادة. المعدلات السنوية'!L5:L51, "&gt;=10",'نتائج الشهادة. المعدلات السنوية'!F5:F51,"أنثى")</f>
        <v>0</v>
      </c>
      <c r="I12" s="168">
        <f>COUNTIFS('نتائج الشهادة. المعدلات السنوية'!M5:M51, "&gt;=10",'نتائج الشهادة. المعدلات السنوية'!F5:F51,"أنثى")</f>
        <v>0</v>
      </c>
      <c r="J12" s="168">
        <f>COUNTIFS('نتائج الشهادة. المعدلات السنوية'!N5:N51, "&gt;=10",'نتائج الشهادة. المعدلات السنوية'!F5:F51,"أنثى")</f>
        <v>0</v>
      </c>
      <c r="K12" s="168">
        <f>COUNTIFS('نتائج الشهادة. المعدلات السنوية'!O5:O51, "&gt;=10",'نتائج الشهادة. المعدلات السنوية'!F5:F51,"أنثى")</f>
        <v>0</v>
      </c>
      <c r="L12" s="168">
        <v>26</v>
      </c>
      <c r="M12" s="168">
        <v>26</v>
      </c>
      <c r="N12" s="168">
        <f>COUNTIFS('نتائج الشهادة. المعدلات السنوية'!P5:P51, "&gt;=10",'نتائج الشهادة. المعدلات السنوية'!F5:F51,"أنثى")</f>
        <v>0</v>
      </c>
      <c r="O12" s="169" t="s">
        <v>114</v>
      </c>
      <c r="P12" s="165" t="s">
        <v>62</v>
      </c>
    </row>
    <row r="13" spans="1:24" s="5" customFormat="1" ht="15.75" thickBot="1">
      <c r="A13" s="347" t="s">
        <v>32</v>
      </c>
      <c r="B13" s="348"/>
      <c r="C13" s="153">
        <f>COUNT('نتائج الشهادة. المعدلات السنوية'!G5:G51)</f>
        <v>47</v>
      </c>
      <c r="D13" s="153">
        <f>COUNT('نتائج الشهادة. المعدلات السنوية'!H5:H51)</f>
        <v>47</v>
      </c>
      <c r="E13" s="153">
        <f>COUNT('نتائج الشهادة. المعدلات السنوية'!I5:I51)</f>
        <v>47</v>
      </c>
      <c r="F13" s="153">
        <f>COUNT('نتائج الشهادة. المعدلات السنوية'!J5:J51)</f>
        <v>47</v>
      </c>
      <c r="G13" s="153">
        <f>COUNT('نتائج الشهادة. المعدلات السنوية'!K5:K51)</f>
        <v>47</v>
      </c>
      <c r="H13" s="153">
        <f>COUNT('نتائج الشهادة. المعدلات السنوية'!L5:L51)</f>
        <v>47</v>
      </c>
      <c r="I13" s="153">
        <f>COUNT('نتائج الشهادة. المعدلات السنوية'!M5:M51)</f>
        <v>47</v>
      </c>
      <c r="J13" s="153">
        <f>COUNT('نتائج الشهادة. المعدلات السنوية'!N5:N51)</f>
        <v>47</v>
      </c>
      <c r="K13" s="153">
        <f>COUNT('نتائج الشهادة. المعدلات السنوية'!O5:O51)</f>
        <v>47</v>
      </c>
      <c r="L13" s="153">
        <f>COUNT('نتائج الشهادة. المعدلات السنوية'!AC5:AC51)</f>
        <v>47</v>
      </c>
      <c r="M13" s="153">
        <f>COUNT('نتائج الشهادة. المعدلات السنوية'!AD5:AD51)</f>
        <v>47</v>
      </c>
      <c r="N13" s="153">
        <f>COUNT('نتائج الشهادة. المعدلات السنوية'!P5:P51)</f>
        <v>47</v>
      </c>
      <c r="O13" s="155">
        <f>C6-O11</f>
        <v>14</v>
      </c>
      <c r="P13" s="155">
        <f>C5-P11</f>
        <v>6</v>
      </c>
    </row>
    <row r="14" spans="1:24" ht="5.0999999999999996" customHeight="1">
      <c r="A14" s="5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5"/>
    </row>
    <row r="15" spans="1:24" s="1" customFormat="1" ht="12" customHeight="1" thickBot="1">
      <c r="A15" s="5"/>
      <c r="B15" s="170"/>
      <c r="C15" s="170"/>
      <c r="D15" s="170"/>
      <c r="E15" s="170"/>
      <c r="F15" s="170"/>
      <c r="G15" s="170"/>
      <c r="H15" s="170"/>
      <c r="I15" s="170"/>
      <c r="J15" s="143"/>
      <c r="K15" s="143"/>
      <c r="L15" s="143"/>
      <c r="M15" s="143"/>
      <c r="N15" s="143"/>
      <c r="O15" s="143"/>
      <c r="P15" s="5"/>
      <c r="Q15" s="144"/>
      <c r="R15" s="144"/>
      <c r="S15" s="144"/>
      <c r="T15" s="144"/>
      <c r="U15" s="144"/>
      <c r="V15" s="144"/>
      <c r="W15" s="144"/>
      <c r="X15" s="144"/>
    </row>
    <row r="16" spans="1:24" ht="12.95" customHeight="1" thickBot="1">
      <c r="B16" s="380" t="s">
        <v>115</v>
      </c>
      <c r="C16" s="380"/>
      <c r="D16" s="380"/>
      <c r="E16" s="380"/>
      <c r="F16" s="380"/>
      <c r="G16" s="380"/>
      <c r="H16" s="380"/>
      <c r="I16" s="380"/>
      <c r="J16" s="171"/>
      <c r="K16" s="143"/>
      <c r="L16" s="377" t="s">
        <v>64</v>
      </c>
      <c r="M16" s="377"/>
      <c r="N16" s="377"/>
      <c r="O16" s="357" t="s">
        <v>116</v>
      </c>
      <c r="P16" s="357"/>
    </row>
    <row r="17" spans="1:24" s="1" customFormat="1" ht="12.95" customHeight="1" thickBot="1">
      <c r="A17" s="166" t="s">
        <v>27</v>
      </c>
      <c r="B17" s="166" t="s">
        <v>26</v>
      </c>
      <c r="C17" s="172" t="s">
        <v>33</v>
      </c>
      <c r="D17" s="172" t="s">
        <v>34</v>
      </c>
      <c r="E17" s="172" t="s">
        <v>35</v>
      </c>
      <c r="F17" s="149" t="s">
        <v>36</v>
      </c>
      <c r="G17" s="149" t="s">
        <v>37</v>
      </c>
      <c r="H17" s="149" t="s">
        <v>38</v>
      </c>
      <c r="I17" s="149" t="s">
        <v>25</v>
      </c>
      <c r="J17" s="173" t="s">
        <v>39</v>
      </c>
      <c r="K17" s="143"/>
      <c r="L17" s="166" t="s">
        <v>27</v>
      </c>
      <c r="M17" s="166" t="s">
        <v>53</v>
      </c>
      <c r="N17" s="166" t="s">
        <v>39</v>
      </c>
      <c r="O17" s="174" t="s">
        <v>93</v>
      </c>
      <c r="P17" s="174" t="s">
        <v>94</v>
      </c>
      <c r="Q17" s="144"/>
      <c r="R17" s="144"/>
      <c r="S17" s="144"/>
      <c r="T17" s="144"/>
      <c r="U17" s="144"/>
      <c r="V17" s="144"/>
      <c r="W17" s="144"/>
      <c r="X17" s="144"/>
    </row>
    <row r="18" spans="1:24" ht="12.95" customHeight="1" thickBot="1">
      <c r="A18" s="175" t="s">
        <v>13</v>
      </c>
      <c r="B18" s="176">
        <f>C13</f>
        <v>47</v>
      </c>
      <c r="C18" s="177">
        <f>COUNTIF('نتائج الشهادة. المعدلات السنوية'!G5:G51,"&lt;=8,99")</f>
        <v>2</v>
      </c>
      <c r="D18" s="177">
        <f>COUNTIF('نتائج الشهادة. المعدلات السنوية'!G5:G51,"&lt;=9,99")-C18</f>
        <v>4</v>
      </c>
      <c r="E18" s="178">
        <f>COUNTIF('نتائج الشهادة. المعدلات السنوية'!G5:G51,"&lt;=11,99")-(C18+D18)</f>
        <v>8</v>
      </c>
      <c r="F18" s="178">
        <f>COUNTIF('نتائج الشهادة. المعدلات السنوية'!G5:G51,"&lt;=13,99")-(C18+D18+E18)</f>
        <v>13</v>
      </c>
      <c r="G18" s="178">
        <f>COUNTIF('نتائج الشهادة. المعدلات السنوية'!G5:G51,"&lt;=15,99")-(C18+D18+E18+F18)</f>
        <v>13</v>
      </c>
      <c r="H18" s="178">
        <f>COUNTIF('نتائج الشهادة. المعدلات السنوية'!G5:G51,"&gt;=16")</f>
        <v>7</v>
      </c>
      <c r="I18" s="179">
        <f>AVERAGE('نتائج الشهادة. المعدلات السنوية'!G5:G51)</f>
        <v>12.946808510638299</v>
      </c>
      <c r="J18" s="180">
        <f>C11*100/B18</f>
        <v>87.234042553191486</v>
      </c>
      <c r="K18" s="143"/>
      <c r="L18" s="175" t="s">
        <v>13</v>
      </c>
      <c r="M18" s="181">
        <f>COUNTIF('نتائج الشهادة. المعدلات السنوية'!T5:T51,"&gt;=10")</f>
        <v>37</v>
      </c>
      <c r="N18" s="182">
        <f>M18*100/B18</f>
        <v>78.723404255319153</v>
      </c>
      <c r="O18" s="156">
        <f>J18-N18</f>
        <v>8.5106382978723332</v>
      </c>
      <c r="P18" s="183" t="str">
        <f>IF(J18= N18,"استقرار",IF(J18&gt;N18,"تقدم","تراجع"))</f>
        <v>تقدم</v>
      </c>
    </row>
    <row r="19" spans="1:24" ht="12.95" customHeight="1" thickBot="1">
      <c r="A19" s="175" t="s">
        <v>18</v>
      </c>
      <c r="B19" s="176">
        <f>D13</f>
        <v>47</v>
      </c>
      <c r="C19" s="177">
        <f>COUNTIF('نتائج الشهادة. المعدلات السنوية'!H5:H51,"&lt;=8,99")</f>
        <v>22</v>
      </c>
      <c r="D19" s="177">
        <f>COUNTIF('نتائج الشهادة. المعدلات السنوية'!H5:H51,"&lt;=9,99")-C19</f>
        <v>0</v>
      </c>
      <c r="E19" s="178">
        <f>COUNTIF('نتائج الشهادة. المعدلات السنوية'!H5:H51,"&lt;=11,99")-(C19+D19)</f>
        <v>12</v>
      </c>
      <c r="F19" s="178">
        <f>COUNTIF('نتائج الشهادة. المعدلات السنوية'!H5:H51,"&lt;=13,99")-(C19+D19+E19)</f>
        <v>7</v>
      </c>
      <c r="G19" s="178">
        <f>COUNTIF('نتائج الشهادة. المعدلات السنوية'!H5:H51,"&lt;=15,99")-(C19+D19+E19+F19)</f>
        <v>2</v>
      </c>
      <c r="H19" s="178">
        <f>COUNTIF('نتائج الشهادة. المعدلات السنوية'!H5:H51,"&gt;=16.00")</f>
        <v>0</v>
      </c>
      <c r="I19" s="179">
        <f>AVERAGE('نتائج الشهادة. المعدلات السنوية'!H5:H51)</f>
        <v>9.4574468085106389</v>
      </c>
      <c r="J19" s="180">
        <f>D11*100/B19</f>
        <v>53.191489361702125</v>
      </c>
      <c r="K19" s="143"/>
      <c r="L19" s="175" t="s">
        <v>18</v>
      </c>
      <c r="M19" s="181">
        <f>COUNTIF('نتائج الشهادة. المعدلات السنوية'!U5:U51,"&gt;=10")</f>
        <v>23</v>
      </c>
      <c r="N19" s="182">
        <f t="shared" ref="N19:N29" si="0">M19*100/B19</f>
        <v>48.936170212765958</v>
      </c>
      <c r="O19" s="156">
        <f t="shared" ref="O19:O29" si="1">J19-N19</f>
        <v>4.2553191489361666</v>
      </c>
      <c r="P19" s="183" t="str">
        <f t="shared" ref="P19:P29" si="2">IF(J19= N19,"استقرار",IF(J19&gt;N19,"تقدم","تراجع"))</f>
        <v>تقدم</v>
      </c>
    </row>
    <row r="20" spans="1:24" ht="12.95" customHeight="1" thickBot="1">
      <c r="A20" s="175" t="s">
        <v>28</v>
      </c>
      <c r="B20" s="176">
        <f>E13</f>
        <v>47</v>
      </c>
      <c r="C20" s="184">
        <f>COUNTIF('نتائج الشهادة. المعدلات السنوية'!I5:I51,"&lt;=8,99")</f>
        <v>29</v>
      </c>
      <c r="D20" s="184">
        <f>COUNTIF('نتائج الشهادة. المعدلات السنوية'!I5:I51,"&lt;=9,99")-C20</f>
        <v>6</v>
      </c>
      <c r="E20" s="185">
        <f>COUNTIF('نتائج الشهادة. المعدلات السنوية'!I5:I51,"&lt;=11,99")-(C20+D20)</f>
        <v>6</v>
      </c>
      <c r="F20" s="185">
        <f>COUNTIF('نتائج الشهادة. المعدلات السنوية'!I5:I51,"&lt;=13,99")-(C20+D20+E20)</f>
        <v>0</v>
      </c>
      <c r="G20" s="185">
        <f>COUNTIF('نتائج الشهادة. المعدلات السنوية'!I5:I51,"&lt;=15,99")-(C20+D20+E20+F20)</f>
        <v>4</v>
      </c>
      <c r="H20" s="185">
        <f>COUNTIF('نتائج الشهادة. المعدلات السنوية'!I5:I51,"&gt;=16")</f>
        <v>2</v>
      </c>
      <c r="I20" s="156">
        <f>AVERAGE('نتائج الشهادة. المعدلات السنوية'!I5:I51)</f>
        <v>8.0957446808510642</v>
      </c>
      <c r="J20" s="186">
        <f>E11*100/B20</f>
        <v>25.531914893617021</v>
      </c>
      <c r="K20" s="143"/>
      <c r="L20" s="175" t="s">
        <v>28</v>
      </c>
      <c r="M20" s="181">
        <f>COUNTIF('نتائج الشهادة. المعدلات السنوية'!V5:V51,"&gt;=10")</f>
        <v>22</v>
      </c>
      <c r="N20" s="182">
        <f t="shared" si="0"/>
        <v>46.808510638297875</v>
      </c>
      <c r="O20" s="156">
        <f t="shared" si="1"/>
        <v>-21.276595744680854</v>
      </c>
      <c r="P20" s="183" t="str">
        <f t="shared" si="2"/>
        <v>تراجع</v>
      </c>
    </row>
    <row r="21" spans="1:24" ht="12.95" customHeight="1" thickBot="1">
      <c r="A21" s="187" t="s">
        <v>14</v>
      </c>
      <c r="B21" s="176">
        <f>F13</f>
        <v>47</v>
      </c>
      <c r="C21" s="184">
        <f>COUNTIF('نتائج الشهادة. المعدلات السنوية'!J5:J51,"&lt;=8,99")</f>
        <v>8</v>
      </c>
      <c r="D21" s="184">
        <f>COUNTIF('نتائج الشهادة. المعدلات السنوية'!J5:J51,"&lt;=9,99")-C21</f>
        <v>4</v>
      </c>
      <c r="E21" s="185">
        <f>COUNTIF('نتائج الشهادة. المعدلات السنوية'!J5:J51,"&lt;=11,99")-(C21+D21)</f>
        <v>6</v>
      </c>
      <c r="F21" s="185">
        <f>COUNTIF('نتائج الشهادة. المعدلات السنوية'!J5:J51,"&lt;=13,99")-(C21+D21+E21)</f>
        <v>8</v>
      </c>
      <c r="G21" s="185">
        <f>COUNTIF('نتائج الشهادة. المعدلات السنوية'!J5:J51,"&lt;=15,99")-(C21+D21+E21+F21)</f>
        <v>10</v>
      </c>
      <c r="H21" s="185">
        <f>COUNTIF('نتائج الشهادة. المعدلات السنوية'!J5:J51,"&gt;=16")</f>
        <v>11</v>
      </c>
      <c r="I21" s="156">
        <f>AVERAGE('نتائج الشهادة. المعدلات السنوية'!J5:J51)</f>
        <v>12.638297872340425</v>
      </c>
      <c r="J21" s="186">
        <f>F11*100/B21</f>
        <v>74.468085106382972</v>
      </c>
      <c r="K21" s="143"/>
      <c r="L21" s="187" t="s">
        <v>14</v>
      </c>
      <c r="M21" s="181">
        <f>COUNTIF('نتائج الشهادة. المعدلات السنوية'!W5:W51,"&gt;=10")</f>
        <v>38</v>
      </c>
      <c r="N21" s="182">
        <f t="shared" si="0"/>
        <v>80.851063829787236</v>
      </c>
      <c r="O21" s="156">
        <f t="shared" si="1"/>
        <v>-6.3829787234042641</v>
      </c>
      <c r="P21" s="183" t="str">
        <f t="shared" si="2"/>
        <v>تراجع</v>
      </c>
    </row>
    <row r="22" spans="1:24" ht="12.95" customHeight="1" thickBot="1">
      <c r="A22" s="175" t="s">
        <v>15</v>
      </c>
      <c r="B22" s="176">
        <f>G13</f>
        <v>47</v>
      </c>
      <c r="C22" s="184">
        <f>COUNTIF('نتائج الشهادة. المعدلات السنوية'!K5:K51,"&lt;=8,99")</f>
        <v>5</v>
      </c>
      <c r="D22" s="184">
        <f>COUNTIF('نتائج الشهادة. المعدلات السنوية'!K5:K51,"&lt;=9,99")-C22</f>
        <v>3</v>
      </c>
      <c r="E22" s="185">
        <f>COUNTIF('نتائج الشهادة. المعدلات السنوية'!K5:K51,"&lt;=11,99")-(C22+D22)</f>
        <v>20</v>
      </c>
      <c r="F22" s="185">
        <f>COUNTIF('نتائج الشهادة. المعدلات السنوية'!K5:K51,"&lt;=13,99")-(C22+D22+E22)</f>
        <v>8</v>
      </c>
      <c r="G22" s="185">
        <f>COUNTIF('نتائج الشهادة. المعدلات السنوية'!K5:K51,"&lt;=15,99")-(C22+D22+E22+F22)</f>
        <v>7</v>
      </c>
      <c r="H22" s="185">
        <f>COUNTIF('نتائج الشهادة. المعدلات السنوية'!K5:K51,"&gt;=16")</f>
        <v>4</v>
      </c>
      <c r="I22" s="156">
        <f>AVERAGE('نتائج الشهادة. المعدلات السنوية'!K5:K51)</f>
        <v>11.606382978723405</v>
      </c>
      <c r="J22" s="186">
        <f>G11*100/B22</f>
        <v>82.978723404255319</v>
      </c>
      <c r="K22" s="143"/>
      <c r="L22" s="175" t="s">
        <v>15</v>
      </c>
      <c r="M22" s="181">
        <f>COUNTIF('نتائج الشهادة. المعدلات السنوية'!X5:X51,"&gt;=10")</f>
        <v>39</v>
      </c>
      <c r="N22" s="182">
        <f t="shared" si="0"/>
        <v>82.978723404255319</v>
      </c>
      <c r="O22" s="156">
        <f t="shared" si="1"/>
        <v>0</v>
      </c>
      <c r="P22" s="183" t="str">
        <f t="shared" si="2"/>
        <v>استقرار</v>
      </c>
    </row>
    <row r="23" spans="1:24" ht="12.95" customHeight="1" thickBot="1">
      <c r="A23" s="175" t="s">
        <v>63</v>
      </c>
      <c r="B23" s="176">
        <f>H13</f>
        <v>47</v>
      </c>
      <c r="C23" s="184">
        <f>COUNTIF('نتائج الشهادة. المعدلات السنوية'!L5:L51,"&lt;=8,99")</f>
        <v>26</v>
      </c>
      <c r="D23" s="184">
        <f>COUNTIF('نتائج الشهادة. المعدلات السنوية'!L5:L51,"&lt;=9,99")-C23</f>
        <v>3</v>
      </c>
      <c r="E23" s="185">
        <f>COUNTIF('نتائج الشهادة. المعدلات السنوية'!L5:L51,"&lt;=11,99")-(C23+D23)</f>
        <v>11</v>
      </c>
      <c r="F23" s="185">
        <f>COUNTIF('نتائج الشهادة. المعدلات السنوية'!L5:L51,"&lt;=13,99")-(C23+D23+E23)</f>
        <v>6</v>
      </c>
      <c r="G23" s="185">
        <f>COUNTIF('نتائج الشهادة. المعدلات السنوية'!L5:L51,"&lt;=15,99")-(C23+D23+E23+F23)</f>
        <v>1</v>
      </c>
      <c r="H23" s="185">
        <f>COUNTIF('نتائج الشهادة. المعدلات السنوية'!L5:L51,"&gt;=16")</f>
        <v>0</v>
      </c>
      <c r="I23" s="156">
        <f>AVERAGE('نتائج الشهادة. المعدلات السنوية'!L5:L51)</f>
        <v>9.0744680851063837</v>
      </c>
      <c r="J23" s="186">
        <f>H11*100/B23</f>
        <v>38.297872340425535</v>
      </c>
      <c r="K23" s="143"/>
      <c r="L23" s="175" t="s">
        <v>63</v>
      </c>
      <c r="M23" s="181">
        <f>COUNTIF('نتائج الشهادة. المعدلات السنوية'!Y5:Y51,"&gt;=10")</f>
        <v>35</v>
      </c>
      <c r="N23" s="182">
        <f t="shared" si="0"/>
        <v>74.468085106382972</v>
      </c>
      <c r="O23" s="156">
        <f t="shared" si="1"/>
        <v>-36.170212765957437</v>
      </c>
      <c r="P23" s="183" t="str">
        <f t="shared" si="2"/>
        <v>تراجع</v>
      </c>
    </row>
    <row r="24" spans="1:24" ht="12.95" customHeight="1" thickBot="1">
      <c r="A24" s="175" t="s">
        <v>8</v>
      </c>
      <c r="B24" s="176">
        <f>I13</f>
        <v>47</v>
      </c>
      <c r="C24" s="184">
        <f>COUNTIF('نتائج الشهادة. المعدلات السنوية'!M5:M51,"&lt;=8,99")</f>
        <v>32</v>
      </c>
      <c r="D24" s="184">
        <f>COUNTIF('نتائج الشهادة. المعدلات السنوية'!M5:M51,"&lt;=9,99")-C24</f>
        <v>3</v>
      </c>
      <c r="E24" s="185">
        <f>COUNTIF('نتائج الشهادة. المعدلات السنوية'!M5:M51,"&lt;=11,99")-(C24+D24)</f>
        <v>8</v>
      </c>
      <c r="F24" s="185">
        <f>COUNTIF('نتائج الشهادة. المعدلات السنوية'!M5:M51,"&lt;=13,99")-(C24+D24+E24)</f>
        <v>2</v>
      </c>
      <c r="G24" s="185">
        <f>COUNTIF('نتائج الشهادة. المعدلات السنوية'!M5:M51,"&lt;=15,99")-(C24+D24+E24+F24)</f>
        <v>1</v>
      </c>
      <c r="H24" s="185">
        <f>COUNTIF('نتائج الشهادة. المعدلات السنوية'!M5:M51,"&gt;=16")</f>
        <v>1</v>
      </c>
      <c r="I24" s="156">
        <f>AVERAGE('نتائج الشهادة. المعدلات السنوية'!M5:M51)</f>
        <v>6.3617021276595747</v>
      </c>
      <c r="J24" s="186">
        <f>I11*100/B24</f>
        <v>25.531914893617021</v>
      </c>
      <c r="K24" s="143"/>
      <c r="L24" s="175" t="s">
        <v>8</v>
      </c>
      <c r="M24" s="181">
        <f>COUNTIF('نتائج الشهادة. المعدلات السنوية'!Z5:Z51,"&gt;=10")</f>
        <v>22</v>
      </c>
      <c r="N24" s="182">
        <f t="shared" si="0"/>
        <v>46.808510638297875</v>
      </c>
      <c r="O24" s="156">
        <f t="shared" si="1"/>
        <v>-21.276595744680854</v>
      </c>
      <c r="P24" s="183" t="str">
        <f t="shared" si="2"/>
        <v>تراجع</v>
      </c>
    </row>
    <row r="25" spans="1:24" ht="12.95" customHeight="1" thickBot="1">
      <c r="A25" s="175" t="s">
        <v>17</v>
      </c>
      <c r="B25" s="176">
        <f>J13</f>
        <v>47</v>
      </c>
      <c r="C25" s="184">
        <f>COUNTIF('نتائج الشهادة. المعدلات السنوية'!N5:N51,"&lt;=8,99")</f>
        <v>24</v>
      </c>
      <c r="D25" s="184">
        <f>COUNTIF('نتائج الشهادة. المعدلات السنوية'!N5:N51,"&lt;=9,99")-C25</f>
        <v>8</v>
      </c>
      <c r="E25" s="185">
        <f>COUNTIF('نتائج الشهادة. المعدلات السنوية'!N5:N51,"&lt;=11,99")-(C25+D25)</f>
        <v>5</v>
      </c>
      <c r="F25" s="185">
        <f>COUNTIF('نتائج الشهادة. المعدلات السنوية'!N5:N51,"&lt;=13,99")-(C25+D25+E25)</f>
        <v>4</v>
      </c>
      <c r="G25" s="185">
        <f>COUNTIF('نتائج الشهادة. المعدلات السنوية'!N5:N51,"&lt;=15,99")-(C25+D25+E25+F25)</f>
        <v>4</v>
      </c>
      <c r="H25" s="185">
        <f>COUNTIF('نتائج الشهادة. المعدلات السنوية'!N5:N51,"&gt;=16")</f>
        <v>2</v>
      </c>
      <c r="I25" s="156">
        <f>AVERAGE('نتائج الشهادة. المعدلات السنوية'!N5:N51)</f>
        <v>8.9574468085106389</v>
      </c>
      <c r="J25" s="186">
        <f>J11*100/B25</f>
        <v>31.914893617021278</v>
      </c>
      <c r="K25" s="143"/>
      <c r="L25" s="175" t="s">
        <v>17</v>
      </c>
      <c r="M25" s="181">
        <f>COUNTIF('نتائج الشهادة. المعدلات السنوية'!AA5:AA51,"&gt;=10")</f>
        <v>15</v>
      </c>
      <c r="N25" s="182">
        <f t="shared" si="0"/>
        <v>31.914893617021278</v>
      </c>
      <c r="O25" s="156">
        <f t="shared" si="1"/>
        <v>0</v>
      </c>
      <c r="P25" s="183" t="str">
        <f t="shared" si="2"/>
        <v>استقرار</v>
      </c>
    </row>
    <row r="26" spans="1:24" ht="12.95" customHeight="1" thickBot="1">
      <c r="A26" s="175" t="s">
        <v>29</v>
      </c>
      <c r="B26" s="176">
        <f>K13</f>
        <v>47</v>
      </c>
      <c r="C26" s="184">
        <f>COUNTIF('نتائج الشهادة. المعدلات السنوية'!O5:O51,"&lt;=8,99")</f>
        <v>6</v>
      </c>
      <c r="D26" s="184">
        <f>COUNTIF('نتائج الشهادة. المعدلات السنوية'!O5:O51,"&lt;=9,99")-C26</f>
        <v>4</v>
      </c>
      <c r="E26" s="185">
        <f>COUNTIF('نتائج الشهادة. المعدلات السنوية'!O5:O51,"&lt;=11,99")-(C26+D26)</f>
        <v>10</v>
      </c>
      <c r="F26" s="185">
        <f>COUNTIF('نتائج الشهادة. المعدلات السنوية'!O5:O51,"&lt;=13,99")-(C26+D26+E26)</f>
        <v>11</v>
      </c>
      <c r="G26" s="185">
        <f>COUNTIF('نتائج الشهادة. المعدلات السنوية'!O5:O51,"&lt;=15,99")-(C26+D26+E26+F26)</f>
        <v>5</v>
      </c>
      <c r="H26" s="185">
        <f>COUNTIF('نتائج الشهادة. المعدلات السنوية'!O5:O51,"&gt;=16")</f>
        <v>11</v>
      </c>
      <c r="I26" s="156">
        <f>AVERAGE('نتائج الشهادة. المعدلات السنوية'!O5:O51)</f>
        <v>12.446808510638299</v>
      </c>
      <c r="J26" s="186">
        <f>K11*100/B26</f>
        <v>78.723404255319153</v>
      </c>
      <c r="K26" s="143"/>
      <c r="L26" s="175" t="s">
        <v>29</v>
      </c>
      <c r="M26" s="181">
        <f>COUNTIF('نتائج الشهادة. المعدلات السنوية'!AB5:AB51,"&gt;=10")</f>
        <v>34</v>
      </c>
      <c r="N26" s="182">
        <f t="shared" si="0"/>
        <v>72.340425531914889</v>
      </c>
      <c r="O26" s="156">
        <f t="shared" si="1"/>
        <v>6.3829787234042641</v>
      </c>
      <c r="P26" s="183" t="str">
        <f t="shared" si="2"/>
        <v>تقدم</v>
      </c>
    </row>
    <row r="27" spans="1:24" ht="12.95" customHeight="1" thickBot="1">
      <c r="A27" s="175" t="s">
        <v>23</v>
      </c>
      <c r="B27" s="176">
        <f>L13</f>
        <v>47</v>
      </c>
      <c r="C27" s="184">
        <f>COUNTIF('نتائج الشهادة. المعدلات السنوية'!AC5:AC51,"&lt;=8,99")</f>
        <v>0</v>
      </c>
      <c r="D27" s="184">
        <f>COUNTIF('نتائج الشهادة. المعدلات السنوية'!AC5:AC51,"&lt;=9,99")-C27</f>
        <v>0</v>
      </c>
      <c r="E27" s="185">
        <f>COUNTIF('نتائج الشهادة. المعدلات السنوية'!AC5:AC51,"&lt;=11,99")-(C27+D27)</f>
        <v>0</v>
      </c>
      <c r="F27" s="185">
        <f>COUNTIF('نتائج الشهادة. المعدلات السنوية'!AC5:AC51,"&lt;=13,99")-(C27+D27+E27)</f>
        <v>11</v>
      </c>
      <c r="G27" s="185">
        <f>COUNTIF('نتائج الشهادة. المعدلات السنوية'!AC5:AC51,"&lt;=15,99")-(C27+D27+E27+F27)</f>
        <v>11</v>
      </c>
      <c r="H27" s="185">
        <f>COUNTIF('نتائج الشهادة. المعدلات السنوية'!AC5:AC51,"&gt;=16")</f>
        <v>25</v>
      </c>
      <c r="I27" s="156">
        <f>AVERAGE('نتائج الشهادة. المعدلات السنوية'!AC5:AC51)</f>
        <v>15.844042553191489</v>
      </c>
      <c r="J27" s="186">
        <v>100</v>
      </c>
      <c r="K27" s="143"/>
      <c r="L27" s="175" t="s">
        <v>23</v>
      </c>
      <c r="M27" s="181">
        <f>COUNTIF('نتائج الشهادة. المعدلات السنوية'!AC5:AC51,"&gt;=10")</f>
        <v>47</v>
      </c>
      <c r="N27" s="188">
        <f t="shared" si="0"/>
        <v>100</v>
      </c>
      <c r="O27" s="189">
        <f t="shared" si="1"/>
        <v>0</v>
      </c>
      <c r="P27" s="183" t="str">
        <f t="shared" si="2"/>
        <v>استقرار</v>
      </c>
    </row>
    <row r="28" spans="1:24" ht="12.95" customHeight="1" thickBot="1">
      <c r="A28" s="175" t="s">
        <v>24</v>
      </c>
      <c r="B28" s="176">
        <f>M13</f>
        <v>47</v>
      </c>
      <c r="C28" s="184">
        <f>COUNTIF('نتائج الشهادة. المعدلات السنوية'!AD5:AD51,"&lt;=8,99")</f>
        <v>4</v>
      </c>
      <c r="D28" s="184">
        <f>COUNTIF('نتائج الشهادة. المعدلات السنوية'!AD5:AD51,"&lt;=9,99")-C28</f>
        <v>0</v>
      </c>
      <c r="E28" s="185">
        <f>COUNTIF('نتائج الشهادة. المعدلات السنوية'!AD5:AD51,"&lt;=11,99")-(C28+D28)</f>
        <v>0</v>
      </c>
      <c r="F28" s="185">
        <f>COUNTIF('نتائج الشهادة. المعدلات السنوية'!AD5:AD51,"&lt;=13,99")-(C28+D28+E28)</f>
        <v>0</v>
      </c>
      <c r="G28" s="185">
        <f>COUNTIF('نتائج الشهادة. المعدلات السنوية'!AD5:AD51,"&lt;=15,99")-(C28+D28+E28+F28)</f>
        <v>0</v>
      </c>
      <c r="H28" s="185">
        <f>COUNTIF('نتائج الشهادة. المعدلات السنوية'!AD5:AD51,"&gt;=16")</f>
        <v>43</v>
      </c>
      <c r="I28" s="156">
        <f>AVERAGE('نتائج الشهادة. المعدلات السنوية'!AD5:AD51)</f>
        <v>16.702127659574469</v>
      </c>
      <c r="J28" s="186">
        <f>M11*100/B28</f>
        <v>55.319148936170215</v>
      </c>
      <c r="K28" s="143"/>
      <c r="L28" s="175" t="s">
        <v>24</v>
      </c>
      <c r="M28" s="181">
        <f>COUNTIF('نتائج الشهادة. المعدلات السنوية'!AD5:AD51,"&gt;=10")</f>
        <v>43</v>
      </c>
      <c r="N28" s="188">
        <f t="shared" si="0"/>
        <v>91.489361702127653</v>
      </c>
      <c r="O28" s="189">
        <f t="shared" si="1"/>
        <v>-36.170212765957437</v>
      </c>
      <c r="P28" s="183" t="str">
        <f t="shared" si="2"/>
        <v>تراجع</v>
      </c>
    </row>
    <row r="29" spans="1:24" s="1" customFormat="1" ht="12.95" customHeight="1" thickBot="1">
      <c r="A29" s="190" t="s">
        <v>92</v>
      </c>
      <c r="B29" s="191">
        <f>N13</f>
        <v>47</v>
      </c>
      <c r="C29" s="192">
        <f>COUNTIF('نتائج الشهادة. المعدلات السنوية'!P5:P51,"&lt;=8,99")</f>
        <v>13</v>
      </c>
      <c r="D29" s="192">
        <f>COUNTIF('نتائج الشهادة. المعدلات السنوية'!P5:P51,"&lt;=9,99")-C29</f>
        <v>11</v>
      </c>
      <c r="E29" s="193">
        <f>COUNTIF('نتائج الشهادة. المعدلات السنوية'!P5:P51,"&lt;=11,99")-(C29+D29)</f>
        <v>9</v>
      </c>
      <c r="F29" s="193">
        <f>COUNTIF('نتائج الشهادة. المعدلات السنوية'!P5:P51,"&lt;=13,99")-(C29+D29+E29)</f>
        <v>9</v>
      </c>
      <c r="G29" s="193">
        <f>COUNTIF('نتائج الشهادة. المعدلات السنوية'!P5:P51,"&lt;=15,99")-(C29+D29+E29+F29)</f>
        <v>5</v>
      </c>
      <c r="H29" s="193">
        <f>COUNTIF('نتائج الشهادة. المعدلات السنوية'!P5:P51,"&gt;=16")</f>
        <v>0</v>
      </c>
      <c r="I29" s="194">
        <f>AVERAGE('نتائج الشهادة. المعدلات السنوية'!P5:P51)</f>
        <v>10.545744680851062</v>
      </c>
      <c r="J29" s="195">
        <f>N11*100/B29</f>
        <v>48.936170212765958</v>
      </c>
      <c r="K29" s="143"/>
      <c r="L29" s="196" t="s">
        <v>122</v>
      </c>
      <c r="M29" s="197">
        <f>COUNTIF('نتائج الشهادة. المعدلات السنوية'!AE5:AE51,"&gt;=10")</f>
        <v>31</v>
      </c>
      <c r="N29" s="198">
        <f t="shared" si="0"/>
        <v>65.957446808510639</v>
      </c>
      <c r="O29" s="194">
        <f t="shared" si="1"/>
        <v>-17.021276595744681</v>
      </c>
      <c r="P29" s="199" t="str">
        <f t="shared" si="2"/>
        <v>تراجع</v>
      </c>
      <c r="Q29" s="144"/>
      <c r="R29" s="144"/>
      <c r="S29" s="144"/>
      <c r="T29" s="144"/>
      <c r="U29" s="144"/>
      <c r="V29" s="144"/>
      <c r="W29" s="144"/>
      <c r="X29" s="144"/>
    </row>
    <row r="30" spans="1:24" s="11" customFormat="1" ht="15" customHeight="1" thickBot="1">
      <c r="A30" s="381"/>
      <c r="B30" s="381"/>
      <c r="C30" s="381"/>
      <c r="D30" s="200"/>
      <c r="E30" s="146"/>
      <c r="F30" s="200"/>
      <c r="G30" s="201"/>
      <c r="H30" s="200"/>
      <c r="I30" s="202"/>
      <c r="J30" s="203"/>
      <c r="K30" s="204"/>
      <c r="L30" s="203"/>
      <c r="M30" s="205"/>
      <c r="N30" s="146"/>
      <c r="O30" s="146"/>
      <c r="P30" s="206"/>
      <c r="Q30" s="134"/>
      <c r="R30" s="134"/>
      <c r="S30" s="134"/>
      <c r="T30" s="134"/>
      <c r="U30" s="134"/>
      <c r="V30" s="134"/>
      <c r="W30" s="134"/>
      <c r="X30" s="134"/>
    </row>
    <row r="31" spans="1:24" s="4" customFormat="1" ht="12.95" customHeight="1" thickBot="1">
      <c r="A31" s="207"/>
      <c r="B31" s="380" t="s">
        <v>112</v>
      </c>
      <c r="C31" s="380"/>
      <c r="D31" s="380"/>
      <c r="E31" s="380"/>
      <c r="F31" s="380"/>
      <c r="G31" s="380"/>
      <c r="H31" s="380"/>
      <c r="I31" s="208"/>
      <c r="J31" s="143"/>
      <c r="K31" s="143"/>
      <c r="L31" s="143"/>
      <c r="M31" s="143"/>
      <c r="N31" s="143"/>
      <c r="O31" s="143"/>
      <c r="P31" s="5"/>
      <c r="Q31" s="147"/>
      <c r="R31" s="147"/>
      <c r="S31" s="147"/>
      <c r="T31" s="147"/>
      <c r="U31" s="147"/>
      <c r="V31" s="147"/>
      <c r="W31" s="147"/>
      <c r="X31" s="147"/>
    </row>
    <row r="32" spans="1:24" s="1" customFormat="1" ht="8.1" customHeight="1" thickBot="1">
      <c r="A32" s="209"/>
      <c r="B32" s="150"/>
      <c r="C32" s="150"/>
      <c r="D32" s="170"/>
      <c r="E32" s="170"/>
      <c r="F32" s="170"/>
      <c r="G32" s="170"/>
      <c r="H32" s="170"/>
      <c r="I32" s="170"/>
      <c r="J32" s="150"/>
      <c r="K32" s="170"/>
      <c r="L32" s="170"/>
      <c r="M32" s="170"/>
      <c r="N32" s="170"/>
      <c r="O32" s="170"/>
      <c r="P32" s="2"/>
      <c r="Q32" s="144"/>
      <c r="R32" s="144"/>
      <c r="S32" s="144"/>
      <c r="T32" s="144"/>
      <c r="U32" s="144"/>
      <c r="V32" s="144"/>
      <c r="W32" s="144"/>
      <c r="X32" s="144"/>
    </row>
    <row r="33" spans="1:24" s="1" customFormat="1" ht="15" customHeight="1" thickBot="1">
      <c r="A33" s="368" t="s">
        <v>42</v>
      </c>
      <c r="B33" s="368"/>
      <c r="C33" s="368"/>
      <c r="D33" s="183" t="s">
        <v>43</v>
      </c>
      <c r="E33" s="183" t="s">
        <v>40</v>
      </c>
      <c r="F33" s="183" t="s">
        <v>44</v>
      </c>
      <c r="G33" s="187" t="s">
        <v>41</v>
      </c>
      <c r="H33" s="187" t="s">
        <v>44</v>
      </c>
      <c r="I33" s="170"/>
      <c r="J33" s="170"/>
      <c r="K33" s="170"/>
      <c r="L33" s="170"/>
      <c r="M33" s="170"/>
      <c r="N33" s="170"/>
      <c r="O33" s="170"/>
      <c r="P33" s="2"/>
      <c r="Q33" s="144"/>
      <c r="R33" s="144"/>
      <c r="S33" s="144"/>
      <c r="T33" s="144"/>
      <c r="U33" s="144"/>
      <c r="V33" s="144"/>
      <c r="W33" s="144"/>
      <c r="X33" s="144"/>
    </row>
    <row r="34" spans="1:24" s="1" customFormat="1" ht="15.75" thickBot="1">
      <c r="A34" s="368"/>
      <c r="B34" s="368"/>
      <c r="C34" s="368"/>
      <c r="D34" s="153">
        <v>13</v>
      </c>
      <c r="E34" s="210">
        <v>11</v>
      </c>
      <c r="F34" s="211">
        <f>E34*100/D34</f>
        <v>84.615384615384613</v>
      </c>
      <c r="G34" s="212">
        <v>2</v>
      </c>
      <c r="H34" s="213">
        <f>G34*100/D34</f>
        <v>15.384615384615385</v>
      </c>
      <c r="I34" s="170"/>
      <c r="J34" s="170"/>
      <c r="K34" s="170"/>
      <c r="L34" s="170"/>
      <c r="M34" s="170"/>
      <c r="N34" s="170"/>
      <c r="O34" s="170"/>
      <c r="P34" s="2"/>
      <c r="Q34" s="144"/>
      <c r="R34" s="144"/>
      <c r="S34" s="144"/>
      <c r="T34" s="144"/>
      <c r="U34" s="144"/>
      <c r="V34" s="144"/>
      <c r="W34" s="144"/>
      <c r="X34" s="144"/>
    </row>
    <row r="35" spans="1:24" s="11" customFormat="1" ht="5.0999999999999996" customHeight="1" thickBot="1">
      <c r="A35" s="384"/>
      <c r="B35" s="384"/>
      <c r="C35" s="384"/>
      <c r="D35" s="384"/>
      <c r="E35" s="384"/>
      <c r="F35" s="384"/>
      <c r="G35" s="384"/>
      <c r="H35" s="384"/>
      <c r="I35" s="146"/>
      <c r="J35" s="146"/>
      <c r="K35" s="146"/>
      <c r="L35" s="146"/>
      <c r="M35" s="146"/>
      <c r="N35" s="146"/>
      <c r="O35" s="146"/>
      <c r="P35" s="206"/>
      <c r="Q35" s="134"/>
      <c r="R35" s="134"/>
      <c r="S35" s="134"/>
      <c r="T35" s="134"/>
      <c r="U35" s="134"/>
      <c r="V35" s="134"/>
      <c r="W35" s="134"/>
      <c r="X35" s="134"/>
    </row>
    <row r="36" spans="1:24" s="11" customFormat="1" ht="15.75" thickBot="1">
      <c r="A36" s="368" t="s">
        <v>52</v>
      </c>
      <c r="B36" s="368"/>
      <c r="C36" s="368"/>
      <c r="D36" s="183" t="s">
        <v>43</v>
      </c>
      <c r="E36" s="183" t="s">
        <v>40</v>
      </c>
      <c r="F36" s="183" t="s">
        <v>44</v>
      </c>
      <c r="G36" s="187" t="s">
        <v>41</v>
      </c>
      <c r="H36" s="187" t="s">
        <v>44</v>
      </c>
      <c r="I36" s="146"/>
      <c r="J36" s="146"/>
      <c r="K36" s="146"/>
      <c r="L36" s="146"/>
      <c r="M36" s="146"/>
      <c r="N36" s="146"/>
      <c r="O36" s="146"/>
      <c r="P36" s="206"/>
      <c r="Q36" s="134"/>
      <c r="R36" s="134"/>
      <c r="S36" s="134"/>
      <c r="T36" s="134"/>
      <c r="U36" s="134"/>
      <c r="V36" s="134"/>
      <c r="W36" s="134"/>
      <c r="X36" s="134"/>
    </row>
    <row r="37" spans="1:24" s="11" customFormat="1" ht="15.75" thickBot="1">
      <c r="A37" s="368"/>
      <c r="B37" s="368"/>
      <c r="C37" s="368"/>
      <c r="D37" s="153">
        <f>COUNTIF('نتائج الشهادة. المعدلات السنوية'!B5:B51,"ج")</f>
        <v>1</v>
      </c>
      <c r="E37" s="210">
        <f>COUNTIFS('نتائج الشهادة. المعدلات السنوية'!P5:P51,"&gt;=10",'نتائج الشهادة. المعدلات السنوية'!B5:B51,"ج")</f>
        <v>0</v>
      </c>
      <c r="F37" s="211">
        <f>E37*100/D37</f>
        <v>0</v>
      </c>
      <c r="G37" s="212">
        <f>COUNTIFS('نتائج الشهادة. المعدلات السنوية'!P5:P51,"&lt;10",'نتائج الشهادة. المعدلات السنوية'!B5:B51,"ج")</f>
        <v>1</v>
      </c>
      <c r="H37" s="213">
        <f>G37*100/D37</f>
        <v>100</v>
      </c>
      <c r="I37" s="146"/>
      <c r="J37" s="146"/>
      <c r="K37" s="146"/>
      <c r="L37" s="146"/>
      <c r="M37" s="146"/>
      <c r="N37" s="146"/>
      <c r="O37" s="146"/>
      <c r="P37" s="206"/>
      <c r="Q37" s="134"/>
      <c r="R37" s="134"/>
      <c r="S37" s="134"/>
      <c r="T37" s="134"/>
      <c r="U37" s="134"/>
      <c r="V37" s="134"/>
      <c r="W37" s="134"/>
      <c r="X37" s="134"/>
    </row>
    <row r="38" spans="1:24" s="11" customFormat="1" ht="5.0999999999999996" customHeight="1" thickBot="1">
      <c r="A38" s="214"/>
      <c r="B38" s="215"/>
      <c r="C38" s="215"/>
      <c r="D38" s="215"/>
      <c r="E38" s="215"/>
      <c r="F38" s="215"/>
      <c r="G38" s="215"/>
      <c r="H38" s="215"/>
      <c r="I38" s="146"/>
      <c r="J38" s="146"/>
      <c r="K38" s="146"/>
      <c r="L38" s="146"/>
      <c r="M38" s="146"/>
      <c r="N38" s="146"/>
      <c r="O38" s="146"/>
      <c r="P38" s="206"/>
      <c r="Q38" s="134"/>
      <c r="R38" s="134"/>
      <c r="S38" s="134"/>
      <c r="T38" s="134"/>
      <c r="U38" s="134"/>
      <c r="V38" s="134"/>
      <c r="W38" s="134"/>
      <c r="X38" s="134"/>
    </row>
    <row r="39" spans="1:24" s="11" customFormat="1" ht="15.75" thickBot="1">
      <c r="A39" s="368" t="s">
        <v>56</v>
      </c>
      <c r="B39" s="368"/>
      <c r="C39" s="368"/>
      <c r="D39" s="183" t="s">
        <v>43</v>
      </c>
      <c r="E39" s="183" t="s">
        <v>40</v>
      </c>
      <c r="F39" s="183" t="s">
        <v>44</v>
      </c>
      <c r="G39" s="187" t="s">
        <v>41</v>
      </c>
      <c r="H39" s="187" t="s">
        <v>44</v>
      </c>
      <c r="I39" s="146"/>
      <c r="J39" s="146"/>
      <c r="K39" s="146"/>
      <c r="L39" s="146"/>
      <c r="M39" s="146"/>
      <c r="N39" s="146"/>
      <c r="O39" s="146"/>
      <c r="P39" s="206"/>
      <c r="Q39" s="134"/>
      <c r="R39" s="134"/>
      <c r="S39" s="134"/>
      <c r="T39" s="134"/>
      <c r="U39" s="134"/>
      <c r="V39" s="134"/>
      <c r="W39" s="134"/>
      <c r="X39" s="134"/>
    </row>
    <row r="40" spans="1:24" s="11" customFormat="1" ht="15.75" thickBot="1">
      <c r="A40" s="368"/>
      <c r="B40" s="368"/>
      <c r="C40" s="368"/>
      <c r="D40" s="153">
        <v>1</v>
      </c>
      <c r="E40" s="210">
        <f>COUNTIFS('نتائج الشهادة. المعدلات السنوية'!P5:P51,"&gt;=10",'نتائج الشهادة. المعدلات السنوية'!C5:C51,"س")</f>
        <v>0</v>
      </c>
      <c r="F40" s="211">
        <f>E40*100/D40</f>
        <v>0</v>
      </c>
      <c r="G40" s="212">
        <v>1</v>
      </c>
      <c r="H40" s="213">
        <f>G40*100/D40</f>
        <v>100</v>
      </c>
      <c r="I40" s="146"/>
      <c r="J40" s="146"/>
      <c r="K40" s="146"/>
      <c r="L40" s="146"/>
      <c r="M40" s="146"/>
      <c r="N40" s="146"/>
      <c r="O40" s="146"/>
      <c r="P40" s="206"/>
      <c r="Q40" s="134"/>
      <c r="R40" s="134"/>
      <c r="S40" s="134"/>
      <c r="T40" s="134"/>
      <c r="U40" s="134"/>
      <c r="V40" s="134"/>
      <c r="W40" s="134"/>
      <c r="X40" s="134"/>
    </row>
    <row r="41" spans="1:24" s="11" customFormat="1">
      <c r="A41" s="207"/>
      <c r="B41" s="207"/>
      <c r="C41" s="207"/>
      <c r="D41" s="216"/>
      <c r="E41" s="200"/>
      <c r="F41" s="217"/>
      <c r="G41" s="203"/>
      <c r="H41" s="218"/>
      <c r="I41" s="146"/>
      <c r="J41" s="146"/>
      <c r="K41" s="146"/>
      <c r="L41" s="146"/>
      <c r="M41" s="146"/>
      <c r="N41" s="146"/>
      <c r="O41" s="146"/>
      <c r="P41" s="206"/>
      <c r="Q41" s="134"/>
      <c r="R41" s="134"/>
      <c r="S41" s="134"/>
      <c r="T41" s="134"/>
      <c r="U41" s="134"/>
      <c r="V41" s="134"/>
      <c r="W41" s="134"/>
      <c r="X41" s="134"/>
    </row>
    <row r="42" spans="1:24" s="11" customFormat="1" ht="9.9499999999999993" customHeight="1" thickBot="1">
      <c r="A42" s="207"/>
      <c r="B42" s="207"/>
      <c r="C42" s="207"/>
      <c r="D42" s="216"/>
      <c r="E42" s="200"/>
      <c r="F42" s="217"/>
      <c r="G42" s="203"/>
      <c r="H42" s="218"/>
      <c r="I42" s="146"/>
      <c r="J42" s="146"/>
      <c r="K42" s="146"/>
      <c r="L42" s="146"/>
      <c r="M42" s="146"/>
      <c r="N42" s="146"/>
      <c r="O42" s="146"/>
      <c r="P42" s="206"/>
      <c r="Q42" s="134"/>
      <c r="R42" s="134"/>
      <c r="S42" s="134"/>
      <c r="T42" s="134"/>
      <c r="U42" s="134"/>
      <c r="V42" s="134"/>
      <c r="W42" s="134"/>
      <c r="X42" s="134"/>
    </row>
    <row r="43" spans="1:24" s="11" customFormat="1" ht="15" customHeight="1" thickBot="1">
      <c r="A43" s="2"/>
      <c r="B43" s="369" t="s">
        <v>149</v>
      </c>
      <c r="C43" s="369"/>
      <c r="D43" s="369"/>
      <c r="E43" s="369"/>
      <c r="F43" s="369"/>
      <c r="G43" s="369"/>
      <c r="H43" s="369"/>
      <c r="I43" s="170"/>
      <c r="J43" s="170"/>
      <c r="K43" s="170"/>
      <c r="L43" s="170"/>
      <c r="M43" s="170"/>
      <c r="N43" s="170"/>
      <c r="O43" s="170"/>
      <c r="P43" s="2"/>
      <c r="Q43" s="134"/>
      <c r="R43" s="134"/>
      <c r="S43" s="134"/>
      <c r="T43" s="134"/>
      <c r="U43" s="134"/>
      <c r="V43" s="134"/>
      <c r="W43" s="134"/>
      <c r="X43" s="134"/>
    </row>
    <row r="44" spans="1:24" s="11" customFormat="1" ht="5.0999999999999996" customHeight="1">
      <c r="A44" s="5"/>
      <c r="B44" s="219"/>
      <c r="C44" s="219"/>
      <c r="D44" s="219"/>
      <c r="E44" s="219"/>
      <c r="F44" s="219"/>
      <c r="G44" s="219"/>
      <c r="H44" s="219"/>
      <c r="I44" s="143"/>
      <c r="J44" s="143"/>
      <c r="K44" s="143"/>
      <c r="L44" s="143"/>
      <c r="M44" s="143"/>
      <c r="N44" s="143"/>
      <c r="O44" s="143"/>
      <c r="P44" s="5"/>
      <c r="Q44" s="134"/>
      <c r="R44" s="134"/>
      <c r="S44" s="134"/>
      <c r="T44" s="134"/>
      <c r="U44" s="134"/>
      <c r="V44" s="134"/>
      <c r="W44" s="134"/>
      <c r="X44" s="134"/>
    </row>
    <row r="45" spans="1:24" s="11" customFormat="1" ht="8.1" customHeight="1" thickBot="1">
      <c r="A45" s="2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2"/>
      <c r="Q45" s="134"/>
      <c r="R45" s="134"/>
      <c r="S45" s="134"/>
      <c r="T45" s="134"/>
      <c r="U45" s="134"/>
      <c r="V45" s="134"/>
      <c r="W45" s="134"/>
      <c r="X45" s="134"/>
    </row>
    <row r="46" spans="1:24" s="11" customFormat="1" ht="15" customHeight="1" thickBot="1">
      <c r="A46" s="2"/>
      <c r="B46" s="220"/>
      <c r="C46" s="370" t="s">
        <v>139</v>
      </c>
      <c r="D46" s="371"/>
      <c r="E46" s="221">
        <f>'نتائج الشهادة من الرقمنة'!D5</f>
        <v>67.56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2"/>
      <c r="Q46" s="134"/>
      <c r="R46" s="134"/>
      <c r="S46" s="134"/>
      <c r="T46" s="134"/>
      <c r="U46" s="134"/>
      <c r="V46" s="134"/>
      <c r="W46" s="134"/>
      <c r="X46" s="134"/>
    </row>
    <row r="47" spans="1:24" s="11" customFormat="1" ht="15" customHeight="1" thickBot="1">
      <c r="A47" s="2"/>
      <c r="B47" s="220"/>
      <c r="C47" s="372" t="s">
        <v>140</v>
      </c>
      <c r="D47" s="373"/>
      <c r="E47" s="222">
        <f>'نتائج الشهادة من الرقمنة'!G5</f>
        <v>69.5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2"/>
      <c r="Q47" s="134"/>
      <c r="R47" s="134"/>
      <c r="S47" s="134"/>
      <c r="T47" s="134"/>
      <c r="U47" s="134"/>
      <c r="V47" s="134"/>
      <c r="W47" s="134"/>
      <c r="X47" s="134"/>
    </row>
    <row r="48" spans="1:24" s="11" customFormat="1" ht="15" customHeight="1" thickBot="1">
      <c r="A48" s="2"/>
      <c r="B48" s="220"/>
      <c r="C48" s="374" t="s">
        <v>141</v>
      </c>
      <c r="D48" s="375"/>
      <c r="E48" s="223">
        <f>N6</f>
        <v>70.212765957446805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2"/>
      <c r="Q48" s="134"/>
      <c r="R48" s="134"/>
      <c r="S48" s="134"/>
      <c r="T48" s="134"/>
      <c r="U48" s="134"/>
      <c r="V48" s="134"/>
      <c r="W48" s="134"/>
      <c r="X48" s="134"/>
    </row>
    <row r="49" spans="1:24" s="11" customFormat="1" ht="15" customHeight="1" thickBot="1">
      <c r="A49" s="2"/>
      <c r="B49" s="220"/>
      <c r="C49" s="394" t="s">
        <v>176</v>
      </c>
      <c r="D49" s="395"/>
      <c r="E49" s="224">
        <f>E48-E47</f>
        <v>0.71276595744680549</v>
      </c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2"/>
      <c r="Q49" s="134"/>
      <c r="R49" s="134"/>
      <c r="S49" s="134"/>
      <c r="T49" s="134"/>
      <c r="U49" s="134"/>
      <c r="V49" s="134"/>
      <c r="W49" s="134"/>
      <c r="X49" s="134"/>
    </row>
    <row r="50" spans="1:24" ht="15" customHeight="1"/>
    <row r="51" spans="1:24" s="1" customFormat="1" ht="15" customHeight="1">
      <c r="A51" s="2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2"/>
      <c r="Q51" s="144"/>
      <c r="R51" s="144"/>
      <c r="S51" s="144"/>
      <c r="T51" s="144"/>
      <c r="U51" s="144"/>
      <c r="V51" s="144"/>
      <c r="W51" s="144"/>
      <c r="X51" s="144"/>
    </row>
    <row r="52" spans="1:24" s="1" customFormat="1" ht="15" customHeight="1" thickBot="1">
      <c r="A52" s="2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2"/>
      <c r="Q52" s="144"/>
      <c r="R52" s="144"/>
      <c r="S52" s="144"/>
      <c r="T52" s="144"/>
      <c r="U52" s="144"/>
      <c r="V52" s="144"/>
      <c r="W52" s="144"/>
      <c r="X52" s="144"/>
    </row>
    <row r="53" spans="1:24" ht="15.75" customHeight="1" thickBot="1">
      <c r="B53" s="364" t="s">
        <v>124</v>
      </c>
      <c r="C53" s="365"/>
      <c r="D53" s="365"/>
      <c r="E53" s="365"/>
      <c r="F53" s="366"/>
      <c r="G53" s="219"/>
      <c r="H53" s="208"/>
      <c r="I53" s="208"/>
    </row>
    <row r="54" spans="1:24" ht="15.75" thickBot="1"/>
    <row r="55" spans="1:24" ht="18" customHeight="1" thickBot="1">
      <c r="C55" s="225" t="s">
        <v>127</v>
      </c>
      <c r="D55" s="226" t="s">
        <v>177</v>
      </c>
    </row>
    <row r="56" spans="1:24" s="1" customFormat="1" ht="18" customHeight="1" thickBot="1">
      <c r="A56" s="2"/>
      <c r="B56" s="170"/>
      <c r="C56" s="227" t="s">
        <v>114</v>
      </c>
      <c r="D56" s="228">
        <f>C29+D29</f>
        <v>24</v>
      </c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2"/>
      <c r="Q56" s="144"/>
      <c r="R56" s="144"/>
      <c r="S56" s="144"/>
      <c r="T56" s="144"/>
      <c r="U56" s="144"/>
      <c r="V56" s="144"/>
      <c r="W56" s="144"/>
      <c r="X56" s="144"/>
    </row>
    <row r="57" spans="1:24" ht="16.5" thickBot="1">
      <c r="C57" s="229" t="s">
        <v>130</v>
      </c>
      <c r="D57" s="230">
        <f>COUNTIF('نتائج الشهادة. المعدلات السنوية'!P5:P51,"&lt;=11,99")-D56</f>
        <v>9</v>
      </c>
    </row>
    <row r="58" spans="1:24" ht="18" customHeight="1" thickBot="1">
      <c r="C58" s="231" t="s">
        <v>126</v>
      </c>
      <c r="D58" s="230">
        <f>COUNTIF('نتائج الشهادة. المعدلات السنوية'!P5:P51,"&lt;=13,99")-D57-D56</f>
        <v>9</v>
      </c>
    </row>
    <row r="59" spans="1:24" ht="16.5" thickBot="1">
      <c r="C59" s="229" t="s">
        <v>129</v>
      </c>
      <c r="D59" s="230">
        <f>COUNTIF('نتائج الشهادة. المعدلات السنوية'!P5:P51,"&lt;=15,99")-D57-D58-D56</f>
        <v>5</v>
      </c>
    </row>
    <row r="60" spans="1:24" ht="18" customHeight="1" thickBot="1">
      <c r="C60" s="229" t="s">
        <v>125</v>
      </c>
      <c r="D60" s="230">
        <f>COUNTIF('نتائج الشهادة. المعدلات السنوية'!P5:P51,"&lt;=17,99")-D57-D58-D59-D56</f>
        <v>0</v>
      </c>
    </row>
    <row r="61" spans="1:24" ht="16.5" thickBot="1">
      <c r="C61" s="229" t="s">
        <v>128</v>
      </c>
      <c r="D61" s="230">
        <f>COUNTIF('نتائج الشهادة. المعدلات السنوية'!P5:P51,"&gt;=18")</f>
        <v>0</v>
      </c>
    </row>
    <row r="62" spans="1:24" s="1" customFormat="1" ht="16.5" thickBot="1">
      <c r="A62" s="2"/>
      <c r="B62" s="170"/>
      <c r="C62" s="232"/>
      <c r="D62" s="233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2"/>
      <c r="Q62" s="144"/>
      <c r="R62" s="144"/>
      <c r="S62" s="144"/>
      <c r="T62" s="144"/>
      <c r="U62" s="144"/>
      <c r="V62" s="144"/>
      <c r="W62" s="144"/>
      <c r="X62" s="144"/>
    </row>
    <row r="63" spans="1:24" s="1" customFormat="1" ht="16.5" customHeight="1" thickBot="1">
      <c r="A63" s="2"/>
      <c r="B63" s="361" t="s">
        <v>157</v>
      </c>
      <c r="C63" s="362"/>
      <c r="D63" s="362"/>
      <c r="E63" s="362"/>
      <c r="F63" s="362"/>
      <c r="G63" s="362"/>
      <c r="H63" s="363"/>
      <c r="I63" s="170"/>
      <c r="J63" s="170"/>
      <c r="K63" s="170"/>
      <c r="L63" s="170"/>
      <c r="M63" s="170"/>
      <c r="N63" s="170"/>
      <c r="O63" s="170"/>
      <c r="P63" s="2"/>
      <c r="Q63" s="144"/>
      <c r="R63" s="144"/>
      <c r="S63" s="144"/>
      <c r="T63" s="144"/>
      <c r="U63" s="144"/>
      <c r="V63" s="144"/>
      <c r="W63" s="144"/>
      <c r="X63" s="144"/>
    </row>
    <row r="64" spans="1:24" ht="8.1" customHeight="1" thickBot="1"/>
    <row r="65" spans="1:24" s="19" customFormat="1" ht="16.5" customHeight="1" thickBot="1">
      <c r="A65" s="234"/>
      <c r="B65" s="358" t="s">
        <v>142</v>
      </c>
      <c r="C65" s="359"/>
      <c r="D65" s="359"/>
      <c r="E65" s="360"/>
      <c r="F65" s="235"/>
      <c r="G65" s="358" t="s">
        <v>143</v>
      </c>
      <c r="H65" s="359"/>
      <c r="I65" s="359"/>
      <c r="J65" s="360"/>
      <c r="K65" s="236"/>
      <c r="L65" s="358" t="s">
        <v>144</v>
      </c>
      <c r="M65" s="359"/>
      <c r="N65" s="359"/>
      <c r="O65" s="360"/>
      <c r="P65" s="234"/>
    </row>
    <row r="66" spans="1:24" s="1" customFormat="1" ht="9.9499999999999993" customHeight="1" thickBot="1">
      <c r="A66" s="2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2"/>
      <c r="Q66" s="144"/>
      <c r="R66" s="144"/>
      <c r="S66" s="144"/>
      <c r="T66" s="144"/>
      <c r="U66" s="144"/>
      <c r="V66" s="144"/>
      <c r="W66" s="144"/>
      <c r="X66" s="144"/>
    </row>
    <row r="67" spans="1:24" s="18" customFormat="1" ht="15.75" thickBot="1">
      <c r="A67" s="237"/>
      <c r="B67" s="237"/>
      <c r="C67" s="238" t="s">
        <v>148</v>
      </c>
      <c r="D67" s="238" t="s">
        <v>145</v>
      </c>
      <c r="E67" s="239" t="s">
        <v>146</v>
      </c>
      <c r="F67" s="237"/>
      <c r="G67" s="237"/>
      <c r="H67" s="238" t="s">
        <v>148</v>
      </c>
      <c r="I67" s="238" t="s">
        <v>145</v>
      </c>
      <c r="J67" s="239" t="s">
        <v>39</v>
      </c>
      <c r="K67" s="237"/>
      <c r="L67" s="237"/>
      <c r="M67" s="240" t="s">
        <v>148</v>
      </c>
      <c r="N67" s="240" t="s">
        <v>145</v>
      </c>
      <c r="O67" s="241" t="s">
        <v>147</v>
      </c>
      <c r="P67" s="237"/>
    </row>
    <row r="68" spans="1:24" s="1" customFormat="1" ht="15.75" thickBot="1">
      <c r="A68" s="2"/>
      <c r="B68" s="170"/>
      <c r="C68" s="171" t="s">
        <v>13</v>
      </c>
      <c r="D68" s="171">
        <f>COUNTIFS('نتائج الشهادة. المعدلات السنوية'!G5:G51,"&gt;=10",'نتائج الشهادة. المعدلات السنوية'!D5:D51,"نعم")</f>
        <v>0</v>
      </c>
      <c r="E68" s="179">
        <f>(D68*100)/C6</f>
        <v>0</v>
      </c>
      <c r="F68" s="170"/>
      <c r="G68" s="170"/>
      <c r="H68" s="171" t="s">
        <v>13</v>
      </c>
      <c r="I68" s="171">
        <f>COUNTIFS('نتائج الشهادة. المعدلات السنوية'!G5:G51,"&gt;=10",'نتائج الشهادة. المعدلات السنوية'!C5:C51,"س")</f>
        <v>0</v>
      </c>
      <c r="J68" s="179">
        <v>10.8</v>
      </c>
      <c r="K68" s="170"/>
      <c r="L68" s="170"/>
      <c r="M68" s="242" t="s">
        <v>13</v>
      </c>
      <c r="N68" s="171">
        <f>COUNTIFS('نتائج الشهادة. المعدلات السنوية'!G5:G51,"&gt;=10",'نتائج الشهادة. المعدلات السنوية'!B5:B51,"ج")</f>
        <v>0</v>
      </c>
      <c r="O68" s="243">
        <v>10.8</v>
      </c>
      <c r="P68" s="2"/>
      <c r="Q68" s="144"/>
      <c r="R68" s="144"/>
      <c r="S68" s="144"/>
      <c r="T68" s="144"/>
      <c r="U68" s="144"/>
      <c r="V68" s="144"/>
      <c r="W68" s="144"/>
      <c r="X68" s="144"/>
    </row>
    <row r="69" spans="1:24" s="1" customFormat="1" ht="15.75" thickBot="1">
      <c r="A69" s="2"/>
      <c r="B69" s="170"/>
      <c r="C69" s="171" t="s">
        <v>18</v>
      </c>
      <c r="D69" s="171">
        <f>COUNTIFS('نتائج الشهادة. المعدلات السنوية'!H5:H51,"&gt;=10",'نتائج الشهادة. المعدلات السنوية'!D5:D51,"نعم")</f>
        <v>0</v>
      </c>
      <c r="E69" s="179">
        <f>(D69*100)/C6</f>
        <v>0</v>
      </c>
      <c r="F69" s="170"/>
      <c r="G69" s="170"/>
      <c r="H69" s="171" t="s">
        <v>18</v>
      </c>
      <c r="I69" s="171">
        <f>COUNTIFS('نتائج الشهادة. المعدلات السنوية'!H5:H51,"&gt;=10",'نتائج الشهادة. المعدلات السنوية'!C5:C51,"س")</f>
        <v>0</v>
      </c>
      <c r="J69" s="179">
        <v>2</v>
      </c>
      <c r="K69" s="170"/>
      <c r="L69" s="170"/>
      <c r="M69" s="242" t="s">
        <v>18</v>
      </c>
      <c r="N69" s="171">
        <f>COUNTIFS('نتائج الشهادة. المعدلات السنوية'!H5:H51,"&gt;=10",'نتائج الشهادة. المعدلات السنوية'!B5:B51,"ج")</f>
        <v>0</v>
      </c>
      <c r="O69" s="243">
        <v>2</v>
      </c>
      <c r="P69" s="2"/>
      <c r="Q69" s="144"/>
      <c r="R69" s="144"/>
      <c r="S69" s="144"/>
      <c r="T69" s="144"/>
      <c r="U69" s="144"/>
      <c r="V69" s="144"/>
      <c r="W69" s="144"/>
      <c r="X69" s="144"/>
    </row>
    <row r="70" spans="1:24" s="1" customFormat="1" ht="15.75" thickBot="1">
      <c r="A70" s="2"/>
      <c r="B70" s="170"/>
      <c r="C70" s="171" t="s">
        <v>19</v>
      </c>
      <c r="D70" s="171">
        <f>COUNTIFS('نتائج الشهادة. المعدلات السنوية'!I5:I51,"&gt;=10",'نتائج الشهادة. المعدلات السنوية'!D5:D51,"نعم")</f>
        <v>0</v>
      </c>
      <c r="E70" s="179">
        <f>(D70*100)/C6</f>
        <v>0</v>
      </c>
      <c r="F70" s="170"/>
      <c r="G70" s="170"/>
      <c r="H70" s="171" t="s">
        <v>19</v>
      </c>
      <c r="I70" s="171">
        <f>COUNTIFS('نتائج الشهادة. المعدلات السنوية'!I5:I51,"&gt;=10",'نتائج الشهادة. المعدلات السنوية'!C5:C51,"س")</f>
        <v>0</v>
      </c>
      <c r="J70" s="179">
        <v>1.6</v>
      </c>
      <c r="K70" s="170"/>
      <c r="L70" s="170"/>
      <c r="M70" s="242" t="s">
        <v>19</v>
      </c>
      <c r="N70" s="171">
        <f>COUNTIFS('نتائج الشهادة. المعدلات السنوية'!I5:I51,"&gt;=10",'نتائج الشهادة. المعدلات السنوية'!B5:B51,"ج")</f>
        <v>0</v>
      </c>
      <c r="O70" s="243">
        <v>1.6</v>
      </c>
      <c r="P70" s="2"/>
      <c r="Q70" s="144"/>
      <c r="R70" s="144"/>
      <c r="S70" s="144"/>
      <c r="T70" s="144"/>
      <c r="U70" s="144"/>
      <c r="V70" s="144"/>
      <c r="W70" s="144"/>
      <c r="X70" s="144"/>
    </row>
    <row r="71" spans="1:24" s="1" customFormat="1" ht="15.75" thickBot="1">
      <c r="A71" s="2"/>
      <c r="B71" s="170"/>
      <c r="C71" s="171" t="s">
        <v>20</v>
      </c>
      <c r="D71" s="171">
        <f>COUNTIFS('نتائج الشهادة. المعدلات السنوية'!J5:J51,"&gt;=10",'نتائج الشهادة. المعدلات السنوية'!D5:D51,"نعم")</f>
        <v>0</v>
      </c>
      <c r="E71" s="179">
        <f>(D71*100)/C6</f>
        <v>0</v>
      </c>
      <c r="F71" s="170"/>
      <c r="G71" s="170"/>
      <c r="H71" s="171" t="s">
        <v>20</v>
      </c>
      <c r="I71" s="171">
        <f>COUNTIFS('نتائج الشهادة. المعدلات السنوية'!J5:J51,"&gt;=10",'نتائج الشهادة. المعدلات السنوية'!C5:C51,"س")</f>
        <v>0</v>
      </c>
      <c r="J71" s="179">
        <v>11.2</v>
      </c>
      <c r="K71" s="170"/>
      <c r="L71" s="170"/>
      <c r="M71" s="242" t="s">
        <v>20</v>
      </c>
      <c r="N71" s="171">
        <f>COUNTIFS('نتائج الشهادة. المعدلات السنوية'!J5:J51,"&gt;=10",'نتائج الشهادة. المعدلات السنوية'!B5:B51,"ج")</f>
        <v>0</v>
      </c>
      <c r="O71" s="243">
        <v>11.2</v>
      </c>
      <c r="P71" s="2"/>
      <c r="Q71" s="144"/>
      <c r="R71" s="144"/>
      <c r="S71" s="144"/>
      <c r="T71" s="144"/>
      <c r="U71" s="144"/>
      <c r="V71" s="144"/>
      <c r="W71" s="144"/>
      <c r="X71" s="144"/>
    </row>
    <row r="72" spans="1:24" s="1" customFormat="1" ht="15.75" thickBot="1">
      <c r="A72" s="2"/>
      <c r="B72" s="170"/>
      <c r="C72" s="171" t="s">
        <v>15</v>
      </c>
      <c r="D72" s="171">
        <f>COUNTIFS('نتائج الشهادة. المعدلات السنوية'!K5:K51,"&gt;=10",'نتائج الشهادة. المعدلات السنوية'!D5:D51,"نعم")</f>
        <v>0</v>
      </c>
      <c r="E72" s="179">
        <f>(D72*100)/C6</f>
        <v>0</v>
      </c>
      <c r="F72" s="170"/>
      <c r="G72" s="170"/>
      <c r="H72" s="171" t="s">
        <v>15</v>
      </c>
      <c r="I72" s="171">
        <f>COUNTIFS('نتائج الشهادة. المعدلات السنوية'!K5:K51,"&gt;=10",'نتائج الشهادة. المعدلات السنوية'!C5:C51,"س")</f>
        <v>0</v>
      </c>
      <c r="J72" s="179">
        <v>6</v>
      </c>
      <c r="K72" s="170"/>
      <c r="L72" s="170"/>
      <c r="M72" s="242" t="s">
        <v>15</v>
      </c>
      <c r="N72" s="171">
        <f>COUNTIFS('نتائج الشهادة. المعدلات السنوية'!K5:K51,"&gt;=10",'نتائج الشهادة. المعدلات السنوية'!B5:B51,"ج")</f>
        <v>1</v>
      </c>
      <c r="O72" s="243">
        <v>6</v>
      </c>
      <c r="P72" s="2"/>
      <c r="Q72" s="144"/>
      <c r="R72" s="144"/>
      <c r="S72" s="144"/>
      <c r="T72" s="144"/>
      <c r="U72" s="144"/>
      <c r="V72" s="144"/>
      <c r="W72" s="144"/>
      <c r="X72" s="144"/>
    </row>
    <row r="73" spans="1:24" s="1" customFormat="1" ht="15.75" thickBot="1">
      <c r="A73" s="2"/>
      <c r="B73" s="170"/>
      <c r="C73" s="171" t="s">
        <v>21</v>
      </c>
      <c r="D73" s="171">
        <f>COUNTIFS('نتائج الشهادة. المعدلات السنوية'!L5:L51,"&gt;=10",'نتائج الشهادة. المعدلات السنوية'!D5:D51,"نعم")</f>
        <v>0</v>
      </c>
      <c r="E73" s="179">
        <f>(D73*100)/C6</f>
        <v>0</v>
      </c>
      <c r="F73" s="170"/>
      <c r="G73" s="170"/>
      <c r="H73" s="171" t="s">
        <v>21</v>
      </c>
      <c r="I73" s="171">
        <f>COUNTIFS('نتائج الشهادة. المعدلات السنوية'!L5:L51,"&gt;=10",'نتائج الشهادة. المعدلات السنوية'!C5:C51,"س")</f>
        <v>0</v>
      </c>
      <c r="J73" s="179">
        <v>8.4</v>
      </c>
      <c r="K73" s="170"/>
      <c r="L73" s="170"/>
      <c r="M73" s="242" t="s">
        <v>21</v>
      </c>
      <c r="N73" s="171">
        <f>COUNTIFS('نتائج الشهادة. المعدلات السنوية'!L5:L51,"&gt;=10",'نتائج الشهادة. المعدلات السنوية'!B5:B51,"ج")</f>
        <v>0</v>
      </c>
      <c r="O73" s="243">
        <v>8.4</v>
      </c>
      <c r="P73" s="2"/>
      <c r="Q73" s="144"/>
      <c r="R73" s="144"/>
      <c r="S73" s="144"/>
      <c r="T73" s="144"/>
      <c r="U73" s="144"/>
      <c r="V73" s="144"/>
      <c r="W73" s="144"/>
      <c r="X73" s="144"/>
    </row>
    <row r="74" spans="1:24" s="1" customFormat="1" ht="15.75" thickBot="1">
      <c r="A74" s="2"/>
      <c r="B74" s="170"/>
      <c r="C74" s="171" t="s">
        <v>16</v>
      </c>
      <c r="D74" s="171">
        <f>COUNTIFS('نتائج الشهادة. المعدلات السنوية'!M5:M51,"&gt;=10",'نتائج الشهادة. المعدلات السنوية'!D5:D51,"نعم")</f>
        <v>0</v>
      </c>
      <c r="E74" s="179">
        <f>(D74*100)/C6</f>
        <v>0</v>
      </c>
      <c r="F74" s="170"/>
      <c r="G74" s="170"/>
      <c r="H74" s="171" t="s">
        <v>16</v>
      </c>
      <c r="I74" s="171">
        <f>COUNTIFS('نتائج الشهادة. المعدلات السنوية'!M5:M51,"&gt;=10",'نتائج الشهادة. المعدلات السنوية'!C5:C51,"س")</f>
        <v>0</v>
      </c>
      <c r="J74" s="179">
        <v>3.6</v>
      </c>
      <c r="K74" s="170"/>
      <c r="L74" s="170"/>
      <c r="M74" s="242" t="s">
        <v>16</v>
      </c>
      <c r="N74" s="171">
        <f>COUNTIFS('نتائج الشهادة. المعدلات السنوية'!M5:M51,"&gt;=10",'نتائج الشهادة. المعدلات السنوية'!B5:B51,"ج")</f>
        <v>0</v>
      </c>
      <c r="O74" s="243">
        <v>3.6</v>
      </c>
      <c r="P74" s="2"/>
      <c r="Q74" s="144"/>
      <c r="R74" s="144"/>
      <c r="S74" s="144"/>
      <c r="T74" s="144"/>
      <c r="U74" s="144"/>
      <c r="V74" s="144"/>
      <c r="W74" s="144"/>
      <c r="X74" s="144"/>
    </row>
    <row r="75" spans="1:24" s="1" customFormat="1" ht="15.75" thickBot="1">
      <c r="A75" s="2"/>
      <c r="B75" s="170"/>
      <c r="C75" s="171" t="s">
        <v>17</v>
      </c>
      <c r="D75" s="171">
        <f>COUNTIFS('نتائج الشهادة. المعدلات السنوية'!N5:N51,"&gt;=10",'نتائج الشهادة. المعدلات السنوية'!D5:D51,"نعم")</f>
        <v>0</v>
      </c>
      <c r="E75" s="179">
        <f>(D75*100)/C6</f>
        <v>0</v>
      </c>
      <c r="F75" s="170"/>
      <c r="G75" s="170"/>
      <c r="H75" s="171" t="s">
        <v>17</v>
      </c>
      <c r="I75" s="171">
        <f>COUNTIFS('نتائج الشهادة. المعدلات السنوية'!N5:N51,"&gt;=10",'نتائج الشهادة. المعدلات السنوية'!C5:C51,"س")</f>
        <v>0</v>
      </c>
      <c r="J75" s="179">
        <v>3.2</v>
      </c>
      <c r="K75" s="170"/>
      <c r="L75" s="170"/>
      <c r="M75" s="242" t="s">
        <v>17</v>
      </c>
      <c r="N75" s="171">
        <f>COUNTIFS('نتائج الشهادة. المعدلات السنوية'!N5:N51,"&gt;=10",'نتائج الشهادة. المعدلات السنوية'!B5:B51,"ج")</f>
        <v>0</v>
      </c>
      <c r="O75" s="243">
        <v>3.2</v>
      </c>
      <c r="P75" s="2"/>
      <c r="Q75" s="144"/>
      <c r="R75" s="144"/>
      <c r="S75" s="144"/>
      <c r="T75" s="144"/>
      <c r="U75" s="144"/>
      <c r="V75" s="144"/>
      <c r="W75" s="144"/>
      <c r="X75" s="144"/>
    </row>
    <row r="76" spans="1:24" s="1" customFormat="1" ht="15.75" thickBot="1">
      <c r="A76" s="2"/>
      <c r="B76" s="170"/>
      <c r="C76" s="171" t="s">
        <v>22</v>
      </c>
      <c r="D76" s="171">
        <f>COUNTIFS('نتائج الشهادة. المعدلات السنوية'!O5:O51,"&gt;=10",'نتائج الشهادة. المعدلات السنوية'!D5:D51,"نعم")</f>
        <v>0</v>
      </c>
      <c r="E76" s="179">
        <f>(D76*100)/C6</f>
        <v>0</v>
      </c>
      <c r="F76" s="170"/>
      <c r="G76" s="170"/>
      <c r="H76" s="171" t="s">
        <v>22</v>
      </c>
      <c r="I76" s="171">
        <f>COUNTIFS('نتائج الشهادة. المعدلات السنوية'!O5:O51,"&gt;=10",'نتائج الشهادة. المعدلات السنوية'!C5:C51,"س")</f>
        <v>0</v>
      </c>
      <c r="J76" s="179">
        <v>9.6</v>
      </c>
      <c r="K76" s="170"/>
      <c r="L76" s="170"/>
      <c r="M76" s="242" t="s">
        <v>22</v>
      </c>
      <c r="N76" s="171">
        <f>COUNTIFS('نتائج الشهادة. المعدلات السنوية'!O5:O51,"&gt;=10",'نتائج الشهادة. المعدلات السنوية'!B5:B51,"ج")</f>
        <v>1</v>
      </c>
      <c r="O76" s="243">
        <v>9.6</v>
      </c>
      <c r="P76" s="2"/>
      <c r="Q76" s="144"/>
      <c r="R76" s="144"/>
      <c r="S76" s="144"/>
      <c r="T76" s="144"/>
      <c r="U76" s="144"/>
      <c r="V76" s="144"/>
      <c r="W76" s="144"/>
      <c r="X76" s="144"/>
    </row>
    <row r="77" spans="1:24" s="1" customFormat="1" ht="15.75" thickBot="1">
      <c r="A77" s="2"/>
      <c r="B77" s="170"/>
      <c r="C77" s="244" t="s">
        <v>92</v>
      </c>
      <c r="D77" s="244">
        <f>COUNTIFS('نتائج الشهادة. المعدلات السنوية'!P5:P51,"&gt;=10",'نتائج الشهادة. المعدلات السنوية'!D5:D51,"نعم")</f>
        <v>0</v>
      </c>
      <c r="E77" s="245">
        <f>(D77*100)/C6</f>
        <v>0</v>
      </c>
      <c r="F77" s="170"/>
      <c r="G77" s="170"/>
      <c r="H77" s="244" t="s">
        <v>92</v>
      </c>
      <c r="I77" s="244">
        <f>COUNTIFS('نتائج الشهادة. المعدلات السنوية'!P5:P51,"&gt;=10",'نتائج الشهادة. المعدلات السنوية'!C5:C51,"س")</f>
        <v>0</v>
      </c>
      <c r="J77" s="245">
        <v>8.8000000000000007</v>
      </c>
      <c r="K77" s="170"/>
      <c r="L77" s="170"/>
      <c r="M77" s="246" t="s">
        <v>92</v>
      </c>
      <c r="N77" s="244">
        <f>COUNTIFS('نتائج الشهادة. المعدلات السنوية'!P5:P51,"&gt;=10",'نتائج الشهادة. المعدلات السنوية'!B5:B51,"ج")</f>
        <v>0</v>
      </c>
      <c r="O77" s="247">
        <v>8.8000000000000007</v>
      </c>
      <c r="P77" s="2"/>
      <c r="Q77" s="144"/>
      <c r="R77" s="144"/>
      <c r="S77" s="144"/>
      <c r="T77" s="144"/>
      <c r="U77" s="144"/>
      <c r="V77" s="144"/>
      <c r="W77" s="144"/>
      <c r="X77" s="144"/>
    </row>
    <row r="78" spans="1:24" s="1" customFormat="1">
      <c r="A78" s="2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2"/>
      <c r="Q78" s="144"/>
      <c r="R78" s="144"/>
      <c r="S78" s="144"/>
      <c r="T78" s="144"/>
      <c r="U78" s="144"/>
      <c r="V78" s="144"/>
      <c r="W78" s="144"/>
      <c r="X78" s="144"/>
    </row>
    <row r="79" spans="1:24" s="1" customFormat="1" ht="15.75" thickBot="1">
      <c r="A79" s="2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2"/>
      <c r="Q79" s="144"/>
      <c r="R79" s="144"/>
      <c r="S79" s="144"/>
      <c r="T79" s="144"/>
      <c r="U79" s="144"/>
      <c r="V79" s="144"/>
      <c r="W79" s="144"/>
      <c r="X79" s="144"/>
    </row>
    <row r="80" spans="1:24" ht="15.75" customHeight="1" thickBot="1">
      <c r="A80" s="356" t="s">
        <v>133</v>
      </c>
      <c r="B80" s="356"/>
      <c r="C80" s="356"/>
      <c r="D80" s="356"/>
      <c r="E80" s="356"/>
      <c r="F80" s="356"/>
      <c r="G80" s="356"/>
      <c r="H80" s="356"/>
    </row>
    <row r="81" spans="1:24" s="4" customFormat="1" ht="15.75" customHeight="1" thickBot="1">
      <c r="A81" s="219"/>
      <c r="B81" s="219"/>
      <c r="C81" s="219"/>
      <c r="D81" s="219"/>
      <c r="E81" s="219"/>
      <c r="F81" s="219"/>
      <c r="G81" s="219"/>
      <c r="H81" s="219"/>
      <c r="I81" s="143"/>
      <c r="J81" s="143"/>
      <c r="K81" s="143"/>
      <c r="L81" s="143"/>
      <c r="M81" s="143"/>
      <c r="N81" s="143"/>
      <c r="O81" s="143"/>
      <c r="P81" s="5"/>
      <c r="Q81" s="147"/>
      <c r="R81" s="147"/>
      <c r="S81" s="147"/>
      <c r="T81" s="147"/>
      <c r="U81" s="147"/>
      <c r="V81" s="147"/>
      <c r="W81" s="147"/>
      <c r="X81" s="147"/>
    </row>
    <row r="82" spans="1:24" s="4" customFormat="1" ht="15.75" customHeight="1" thickBot="1">
      <c r="A82" s="219"/>
      <c r="B82" s="219"/>
      <c r="C82" s="367" t="s">
        <v>134</v>
      </c>
      <c r="D82" s="367"/>
      <c r="E82" s="219"/>
      <c r="F82" s="219"/>
      <c r="G82" s="219"/>
      <c r="H82" s="219"/>
      <c r="I82" s="367" t="s">
        <v>135</v>
      </c>
      <c r="J82" s="367"/>
      <c r="K82" s="143"/>
      <c r="L82" s="143"/>
      <c r="M82" s="143"/>
      <c r="N82" s="143"/>
      <c r="O82" s="143"/>
      <c r="P82" s="5"/>
      <c r="Q82" s="147"/>
      <c r="R82" s="147"/>
      <c r="S82" s="147"/>
      <c r="T82" s="147"/>
      <c r="U82" s="147"/>
      <c r="V82" s="147"/>
      <c r="W82" s="147"/>
      <c r="X82" s="147"/>
    </row>
    <row r="83" spans="1:24" s="4" customFormat="1" ht="15.75" customHeight="1" thickBot="1">
      <c r="A83" s="219"/>
      <c r="B83" s="219"/>
      <c r="C83" s="248" t="s">
        <v>131</v>
      </c>
      <c r="D83" s="249" t="s">
        <v>132</v>
      </c>
      <c r="E83" s="219"/>
      <c r="F83" s="219"/>
      <c r="G83" s="219"/>
      <c r="H83" s="219"/>
      <c r="I83" s="248" t="s">
        <v>131</v>
      </c>
      <c r="J83" s="250" t="s">
        <v>132</v>
      </c>
      <c r="K83" s="143"/>
      <c r="L83" s="143"/>
      <c r="M83" s="143"/>
      <c r="N83" s="143"/>
      <c r="O83" s="143"/>
      <c r="P83" s="5"/>
      <c r="Q83" s="147"/>
      <c r="R83" s="147"/>
      <c r="S83" s="147"/>
      <c r="T83" s="147"/>
      <c r="U83" s="147"/>
      <c r="V83" s="147"/>
      <c r="W83" s="147"/>
      <c r="X83" s="147"/>
    </row>
    <row r="84" spans="1:24" s="4" customFormat="1" ht="15.75" customHeight="1" thickBot="1">
      <c r="A84" s="219"/>
      <c r="B84" s="219"/>
      <c r="C84" s="166" t="s">
        <v>33</v>
      </c>
      <c r="D84" s="251">
        <f>C18</f>
        <v>2</v>
      </c>
      <c r="E84" s="219"/>
      <c r="F84" s="219"/>
      <c r="G84" s="219"/>
      <c r="H84" s="219"/>
      <c r="I84" s="166" t="s">
        <v>33</v>
      </c>
      <c r="J84" s="251">
        <f>C19</f>
        <v>22</v>
      </c>
      <c r="K84" s="143"/>
      <c r="L84" s="143"/>
      <c r="M84" s="143"/>
      <c r="N84" s="143"/>
      <c r="O84" s="143"/>
      <c r="P84" s="5"/>
      <c r="Q84" s="147"/>
      <c r="R84" s="147"/>
      <c r="S84" s="147"/>
      <c r="T84" s="147"/>
      <c r="U84" s="147"/>
      <c r="V84" s="147"/>
      <c r="W84" s="147"/>
      <c r="X84" s="147"/>
    </row>
    <row r="85" spans="1:24" s="4" customFormat="1" ht="15.75" customHeight="1" thickBot="1">
      <c r="A85" s="219"/>
      <c r="B85" s="219"/>
      <c r="C85" s="166" t="s">
        <v>34</v>
      </c>
      <c r="D85" s="252">
        <f>D18</f>
        <v>4</v>
      </c>
      <c r="E85" s="219"/>
      <c r="F85" s="219"/>
      <c r="G85" s="219"/>
      <c r="H85" s="219"/>
      <c r="I85" s="166" t="s">
        <v>34</v>
      </c>
      <c r="J85" s="252">
        <f>D19</f>
        <v>0</v>
      </c>
      <c r="K85" s="143"/>
      <c r="L85" s="143"/>
      <c r="M85" s="143"/>
      <c r="N85" s="143"/>
      <c r="O85" s="143"/>
      <c r="P85" s="5"/>
      <c r="Q85" s="147"/>
      <c r="R85" s="147"/>
      <c r="S85" s="147"/>
      <c r="T85" s="147"/>
      <c r="U85" s="147"/>
      <c r="V85" s="147"/>
      <c r="W85" s="147"/>
      <c r="X85" s="147"/>
    </row>
    <row r="86" spans="1:24" s="4" customFormat="1" ht="15.75" customHeight="1" thickBot="1">
      <c r="A86" s="219"/>
      <c r="B86" s="219"/>
      <c r="C86" s="166" t="s">
        <v>35</v>
      </c>
      <c r="D86" s="252">
        <f>E18</f>
        <v>8</v>
      </c>
      <c r="E86" s="219"/>
      <c r="F86" s="219"/>
      <c r="G86" s="219"/>
      <c r="H86" s="219"/>
      <c r="I86" s="166" t="s">
        <v>35</v>
      </c>
      <c r="J86" s="252">
        <f>E19</f>
        <v>12</v>
      </c>
      <c r="K86" s="143"/>
      <c r="L86" s="143"/>
      <c r="M86" s="143"/>
      <c r="N86" s="143"/>
      <c r="O86" s="143"/>
      <c r="P86" s="5"/>
      <c r="Q86" s="147"/>
      <c r="R86" s="147"/>
      <c r="S86" s="147"/>
      <c r="T86" s="147"/>
      <c r="U86" s="147"/>
      <c r="V86" s="147"/>
      <c r="W86" s="147"/>
      <c r="X86" s="147"/>
    </row>
    <row r="87" spans="1:24" s="4" customFormat="1" ht="15.75" customHeight="1" thickBot="1">
      <c r="A87" s="219"/>
      <c r="B87" s="219"/>
      <c r="C87" s="166" t="s">
        <v>36</v>
      </c>
      <c r="D87" s="252">
        <f>F18</f>
        <v>13</v>
      </c>
      <c r="E87" s="219"/>
      <c r="F87" s="219"/>
      <c r="G87" s="219"/>
      <c r="H87" s="219"/>
      <c r="I87" s="166" t="s">
        <v>36</v>
      </c>
      <c r="J87" s="252">
        <f>F19</f>
        <v>7</v>
      </c>
      <c r="K87" s="143"/>
      <c r="L87" s="143"/>
      <c r="M87" s="143"/>
      <c r="N87" s="143"/>
      <c r="O87" s="143"/>
      <c r="P87" s="5"/>
      <c r="Q87" s="147"/>
      <c r="R87" s="147"/>
      <c r="S87" s="147"/>
      <c r="T87" s="147"/>
      <c r="U87" s="147"/>
      <c r="V87" s="147"/>
      <c r="W87" s="147"/>
      <c r="X87" s="147"/>
    </row>
    <row r="88" spans="1:24" s="4" customFormat="1" ht="15.75" customHeight="1" thickBot="1">
      <c r="A88" s="219"/>
      <c r="B88" s="219"/>
      <c r="C88" s="166" t="s">
        <v>37</v>
      </c>
      <c r="D88" s="252">
        <f>G18</f>
        <v>13</v>
      </c>
      <c r="E88" s="219"/>
      <c r="F88" s="219"/>
      <c r="G88" s="219"/>
      <c r="H88" s="219"/>
      <c r="I88" s="166" t="s">
        <v>37</v>
      </c>
      <c r="J88" s="252">
        <f>G19</f>
        <v>2</v>
      </c>
      <c r="K88" s="143"/>
      <c r="L88" s="143"/>
      <c r="M88" s="143"/>
      <c r="N88" s="143"/>
      <c r="O88" s="143"/>
      <c r="P88" s="5"/>
      <c r="Q88" s="147"/>
      <c r="R88" s="147"/>
      <c r="S88" s="147"/>
      <c r="T88" s="147"/>
      <c r="U88" s="147"/>
      <c r="V88" s="147"/>
      <c r="W88" s="147"/>
      <c r="X88" s="147"/>
    </row>
    <row r="89" spans="1:24" s="4" customFormat="1" ht="15.75" customHeight="1" thickBot="1">
      <c r="A89" s="219"/>
      <c r="B89" s="219"/>
      <c r="C89" s="166" t="s">
        <v>38</v>
      </c>
      <c r="D89" s="251">
        <f>H18</f>
        <v>7</v>
      </c>
      <c r="E89" s="219"/>
      <c r="F89" s="219"/>
      <c r="G89" s="219"/>
      <c r="H89" s="219"/>
      <c r="I89" s="166" t="s">
        <v>38</v>
      </c>
      <c r="J89" s="251">
        <f>H19</f>
        <v>0</v>
      </c>
      <c r="K89" s="143"/>
      <c r="L89" s="143"/>
      <c r="M89" s="143"/>
      <c r="N89" s="143"/>
      <c r="O89" s="143"/>
      <c r="P89" s="5"/>
      <c r="Q89" s="147"/>
      <c r="R89" s="147"/>
      <c r="S89" s="147"/>
      <c r="T89" s="147"/>
      <c r="U89" s="147"/>
      <c r="V89" s="147"/>
      <c r="W89" s="147"/>
      <c r="X89" s="147"/>
    </row>
    <row r="90" spans="1:24" s="4" customFormat="1" ht="15.75" customHeight="1">
      <c r="A90" s="219"/>
      <c r="B90" s="219"/>
      <c r="C90" s="219"/>
      <c r="D90" s="219"/>
      <c r="E90" s="219"/>
      <c r="F90" s="219"/>
      <c r="G90" s="219"/>
      <c r="H90" s="219"/>
      <c r="I90" s="143"/>
      <c r="J90" s="143"/>
      <c r="K90" s="143"/>
      <c r="L90" s="143"/>
      <c r="M90" s="143"/>
      <c r="N90" s="143"/>
      <c r="O90" s="143"/>
      <c r="P90" s="5"/>
      <c r="Q90" s="147"/>
      <c r="R90" s="147"/>
      <c r="S90" s="147"/>
      <c r="T90" s="147"/>
      <c r="U90" s="147"/>
      <c r="V90" s="147"/>
      <c r="W90" s="147"/>
      <c r="X90" s="147"/>
    </row>
    <row r="91" spans="1:24" ht="15" customHeight="1" thickBot="1"/>
    <row r="92" spans="1:24" s="1" customFormat="1" ht="15.75" thickBot="1">
      <c r="A92" s="2"/>
      <c r="B92" s="170"/>
      <c r="C92" s="367" t="s">
        <v>136</v>
      </c>
      <c r="D92" s="367"/>
      <c r="E92" s="170"/>
      <c r="F92" s="170"/>
      <c r="G92" s="170"/>
      <c r="H92" s="170"/>
      <c r="I92" s="367" t="s">
        <v>137</v>
      </c>
      <c r="J92" s="367"/>
      <c r="K92" s="170"/>
      <c r="L92" s="170"/>
      <c r="M92" s="170"/>
      <c r="N92" s="170"/>
      <c r="O92" s="170"/>
      <c r="P92" s="2"/>
      <c r="Q92" s="144"/>
      <c r="R92" s="144"/>
      <c r="S92" s="144"/>
      <c r="T92" s="144"/>
      <c r="U92" s="144"/>
      <c r="V92" s="144"/>
      <c r="W92" s="144"/>
      <c r="X92" s="144"/>
    </row>
    <row r="93" spans="1:24" s="1" customFormat="1" ht="15.75" customHeight="1" thickBot="1">
      <c r="A93" s="2"/>
      <c r="B93" s="170"/>
      <c r="C93" s="248" t="s">
        <v>131</v>
      </c>
      <c r="D93" s="249" t="s">
        <v>132</v>
      </c>
      <c r="E93" s="170"/>
      <c r="F93" s="170"/>
      <c r="G93" s="170"/>
      <c r="H93" s="170"/>
      <c r="I93" s="248" t="s">
        <v>131</v>
      </c>
      <c r="J93" s="250" t="s">
        <v>132</v>
      </c>
      <c r="K93" s="170"/>
      <c r="L93" s="170"/>
      <c r="M93" s="170"/>
      <c r="N93" s="170"/>
      <c r="O93" s="170"/>
      <c r="P93" s="2"/>
      <c r="Q93" s="144"/>
      <c r="R93" s="144"/>
      <c r="S93" s="144"/>
      <c r="T93" s="144"/>
      <c r="U93" s="144"/>
      <c r="V93" s="144"/>
      <c r="W93" s="144"/>
      <c r="X93" s="144"/>
    </row>
    <row r="94" spans="1:24" s="1" customFormat="1" ht="15.75" thickBot="1">
      <c r="A94" s="2"/>
      <c r="B94" s="170"/>
      <c r="C94" s="166" t="s">
        <v>33</v>
      </c>
      <c r="D94" s="251">
        <f>C20</f>
        <v>29</v>
      </c>
      <c r="E94" s="170"/>
      <c r="F94" s="170"/>
      <c r="G94" s="170"/>
      <c r="H94" s="170"/>
      <c r="I94" s="166" t="s">
        <v>33</v>
      </c>
      <c r="J94" s="251">
        <f>C21</f>
        <v>8</v>
      </c>
      <c r="K94" s="170"/>
      <c r="L94" s="170"/>
      <c r="M94" s="170"/>
      <c r="N94" s="170"/>
      <c r="O94" s="170"/>
      <c r="P94" s="2"/>
      <c r="Q94" s="144"/>
      <c r="R94" s="144"/>
      <c r="S94" s="144"/>
      <c r="T94" s="144"/>
      <c r="U94" s="144"/>
      <c r="V94" s="144"/>
      <c r="W94" s="144"/>
      <c r="X94" s="144"/>
    </row>
    <row r="95" spans="1:24" s="1" customFormat="1" ht="15.75" thickBot="1">
      <c r="A95" s="2"/>
      <c r="B95" s="170"/>
      <c r="C95" s="166" t="s">
        <v>34</v>
      </c>
      <c r="D95" s="252">
        <f>D20</f>
        <v>6</v>
      </c>
      <c r="E95" s="170"/>
      <c r="F95" s="170"/>
      <c r="G95" s="170"/>
      <c r="H95" s="170"/>
      <c r="I95" s="166" t="s">
        <v>34</v>
      </c>
      <c r="J95" s="252">
        <f>D21</f>
        <v>4</v>
      </c>
      <c r="K95" s="170"/>
      <c r="L95" s="170"/>
      <c r="M95" s="170"/>
      <c r="N95" s="170"/>
      <c r="O95" s="170"/>
      <c r="P95" s="2"/>
      <c r="Q95" s="144"/>
      <c r="R95" s="144"/>
      <c r="S95" s="144"/>
      <c r="T95" s="144"/>
      <c r="U95" s="144"/>
      <c r="V95" s="144"/>
      <c r="W95" s="144"/>
      <c r="X95" s="144"/>
    </row>
    <row r="96" spans="1:24" s="1" customFormat="1" ht="15.75" thickBot="1">
      <c r="A96" s="2"/>
      <c r="B96" s="170"/>
      <c r="C96" s="166" t="s">
        <v>35</v>
      </c>
      <c r="D96" s="252">
        <f>E20</f>
        <v>6</v>
      </c>
      <c r="E96" s="170"/>
      <c r="F96" s="170"/>
      <c r="G96" s="170"/>
      <c r="H96" s="170"/>
      <c r="I96" s="166" t="s">
        <v>35</v>
      </c>
      <c r="J96" s="252">
        <f>E21</f>
        <v>6</v>
      </c>
      <c r="K96" s="170"/>
      <c r="L96" s="170"/>
      <c r="M96" s="170"/>
      <c r="N96" s="170"/>
      <c r="O96" s="170"/>
      <c r="P96" s="2"/>
      <c r="Q96" s="144"/>
      <c r="R96" s="144"/>
      <c r="S96" s="144"/>
      <c r="T96" s="144"/>
      <c r="U96" s="144"/>
      <c r="V96" s="144"/>
      <c r="W96" s="144"/>
      <c r="X96" s="144"/>
    </row>
    <row r="97" spans="1:24" s="1" customFormat="1" ht="15.75" thickBot="1">
      <c r="A97" s="2"/>
      <c r="B97" s="170"/>
      <c r="C97" s="166" t="s">
        <v>36</v>
      </c>
      <c r="D97" s="252">
        <f>F20</f>
        <v>0</v>
      </c>
      <c r="E97" s="170"/>
      <c r="F97" s="170"/>
      <c r="G97" s="170"/>
      <c r="H97" s="170"/>
      <c r="I97" s="166" t="s">
        <v>36</v>
      </c>
      <c r="J97" s="252">
        <f>F21</f>
        <v>8</v>
      </c>
      <c r="K97" s="170"/>
      <c r="L97" s="170"/>
      <c r="M97" s="170"/>
      <c r="N97" s="170"/>
      <c r="O97" s="170"/>
      <c r="P97" s="2"/>
      <c r="Q97" s="144"/>
      <c r="R97" s="144"/>
      <c r="S97" s="144"/>
      <c r="T97" s="144"/>
      <c r="U97" s="144"/>
      <c r="V97" s="144"/>
      <c r="W97" s="144"/>
      <c r="X97" s="144"/>
    </row>
    <row r="98" spans="1:24" s="1" customFormat="1" ht="15.75" thickBot="1">
      <c r="A98" s="2"/>
      <c r="B98" s="170"/>
      <c r="C98" s="166" t="s">
        <v>37</v>
      </c>
      <c r="D98" s="252">
        <f>G20</f>
        <v>4</v>
      </c>
      <c r="E98" s="170"/>
      <c r="F98" s="170"/>
      <c r="G98" s="170"/>
      <c r="H98" s="170"/>
      <c r="I98" s="166" t="s">
        <v>37</v>
      </c>
      <c r="J98" s="252">
        <f>G21</f>
        <v>10</v>
      </c>
      <c r="K98" s="170"/>
      <c r="L98" s="170"/>
      <c r="M98" s="170"/>
      <c r="N98" s="170"/>
      <c r="O98" s="170"/>
      <c r="P98" s="2"/>
      <c r="Q98" s="144"/>
      <c r="R98" s="144"/>
      <c r="S98" s="144"/>
      <c r="T98" s="144"/>
      <c r="U98" s="144"/>
      <c r="V98" s="144"/>
      <c r="W98" s="144"/>
      <c r="X98" s="144"/>
    </row>
    <row r="99" spans="1:24" s="1" customFormat="1" ht="15.75" thickBot="1">
      <c r="A99" s="2"/>
      <c r="B99" s="170"/>
      <c r="C99" s="166" t="s">
        <v>38</v>
      </c>
      <c r="D99" s="251">
        <f>H20</f>
        <v>2</v>
      </c>
      <c r="E99" s="170"/>
      <c r="F99" s="170"/>
      <c r="G99" s="170"/>
      <c r="H99" s="170"/>
      <c r="I99" s="166" t="s">
        <v>38</v>
      </c>
      <c r="J99" s="251">
        <f>H21</f>
        <v>11</v>
      </c>
      <c r="K99" s="170"/>
      <c r="L99" s="170"/>
      <c r="M99" s="170"/>
      <c r="N99" s="170"/>
      <c r="O99" s="170"/>
      <c r="P99" s="2"/>
      <c r="Q99" s="144"/>
      <c r="R99" s="144"/>
      <c r="S99" s="144"/>
      <c r="T99" s="144"/>
      <c r="U99" s="144"/>
      <c r="V99" s="144"/>
      <c r="W99" s="144"/>
      <c r="X99" s="144"/>
    </row>
    <row r="100" spans="1:24" s="1" customFormat="1" ht="15" customHeight="1">
      <c r="A100" s="2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2"/>
      <c r="Q100" s="144"/>
      <c r="R100" s="144"/>
      <c r="S100" s="144"/>
      <c r="T100" s="144"/>
      <c r="U100" s="144"/>
      <c r="V100" s="144"/>
      <c r="W100" s="144"/>
      <c r="X100" s="144"/>
    </row>
    <row r="101" spans="1:24" s="1" customFormat="1" ht="15" customHeight="1" thickBot="1">
      <c r="A101" s="2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2"/>
      <c r="Q101" s="144"/>
      <c r="R101" s="144"/>
      <c r="S101" s="144"/>
      <c r="T101" s="144"/>
      <c r="U101" s="144"/>
      <c r="V101" s="144"/>
      <c r="W101" s="144"/>
      <c r="X101" s="144"/>
    </row>
    <row r="102" spans="1:24" s="1" customFormat="1" ht="15.75" thickBot="1">
      <c r="A102" s="2"/>
      <c r="B102" s="170"/>
      <c r="C102" s="367" t="s">
        <v>138</v>
      </c>
      <c r="D102" s="367"/>
      <c r="E102" s="170"/>
      <c r="F102" s="170"/>
      <c r="G102" s="170"/>
      <c r="H102" s="170"/>
      <c r="I102" s="367" t="s">
        <v>7</v>
      </c>
      <c r="J102" s="367"/>
      <c r="K102" s="170"/>
      <c r="L102" s="170"/>
      <c r="M102" s="170"/>
      <c r="N102" s="170"/>
      <c r="O102" s="170"/>
      <c r="P102" s="2"/>
      <c r="Q102" s="144"/>
      <c r="R102" s="144"/>
      <c r="S102" s="144"/>
      <c r="T102" s="144"/>
      <c r="U102" s="144"/>
      <c r="V102" s="144"/>
      <c r="W102" s="144"/>
      <c r="X102" s="144"/>
    </row>
    <row r="103" spans="1:24" s="1" customFormat="1" ht="15.75" customHeight="1" thickBot="1">
      <c r="A103" s="2"/>
      <c r="B103" s="170"/>
      <c r="C103" s="248" t="s">
        <v>131</v>
      </c>
      <c r="D103" s="249" t="s">
        <v>132</v>
      </c>
      <c r="E103" s="170"/>
      <c r="F103" s="170"/>
      <c r="G103" s="170"/>
      <c r="H103" s="170"/>
      <c r="I103" s="248" t="s">
        <v>131</v>
      </c>
      <c r="J103" s="250" t="s">
        <v>132</v>
      </c>
      <c r="K103" s="170"/>
      <c r="L103" s="170"/>
      <c r="M103" s="170"/>
      <c r="N103" s="170"/>
      <c r="O103" s="170"/>
      <c r="P103" s="2"/>
      <c r="Q103" s="144"/>
      <c r="R103" s="144"/>
      <c r="S103" s="144"/>
      <c r="T103" s="144"/>
      <c r="U103" s="144"/>
      <c r="V103" s="144"/>
      <c r="W103" s="144"/>
      <c r="X103" s="144"/>
    </row>
    <row r="104" spans="1:24" s="1" customFormat="1" ht="15.75" thickBot="1">
      <c r="A104" s="2"/>
      <c r="B104" s="170"/>
      <c r="C104" s="166" t="s">
        <v>33</v>
      </c>
      <c r="D104" s="251">
        <f>C22</f>
        <v>5</v>
      </c>
      <c r="E104" s="170"/>
      <c r="F104" s="170"/>
      <c r="G104" s="170"/>
      <c r="H104" s="170"/>
      <c r="I104" s="166" t="s">
        <v>33</v>
      </c>
      <c r="J104" s="251">
        <f>C23</f>
        <v>26</v>
      </c>
      <c r="K104" s="170"/>
      <c r="L104" s="170"/>
      <c r="M104" s="170"/>
      <c r="N104" s="170"/>
      <c r="O104" s="170"/>
      <c r="P104" s="2"/>
      <c r="Q104" s="144"/>
      <c r="R104" s="144"/>
      <c r="S104" s="144"/>
      <c r="T104" s="144"/>
      <c r="U104" s="144"/>
      <c r="V104" s="144"/>
      <c r="W104" s="144"/>
      <c r="X104" s="144"/>
    </row>
    <row r="105" spans="1:24" s="1" customFormat="1" ht="15.75" thickBot="1">
      <c r="A105" s="2"/>
      <c r="B105" s="170"/>
      <c r="C105" s="166" t="s">
        <v>34</v>
      </c>
      <c r="D105" s="252">
        <f>D22</f>
        <v>3</v>
      </c>
      <c r="E105" s="170"/>
      <c r="F105" s="170"/>
      <c r="G105" s="170"/>
      <c r="H105" s="170"/>
      <c r="I105" s="166" t="s">
        <v>34</v>
      </c>
      <c r="J105" s="252">
        <f>D23</f>
        <v>3</v>
      </c>
      <c r="K105" s="170"/>
      <c r="L105" s="170"/>
      <c r="M105" s="170"/>
      <c r="N105" s="170"/>
      <c r="O105" s="170"/>
      <c r="P105" s="2"/>
      <c r="Q105" s="144"/>
      <c r="R105" s="144"/>
      <c r="S105" s="144"/>
      <c r="T105" s="144"/>
      <c r="U105" s="144"/>
      <c r="V105" s="144"/>
      <c r="W105" s="144"/>
      <c r="X105" s="144"/>
    </row>
    <row r="106" spans="1:24" s="1" customFormat="1" ht="15.75" thickBot="1">
      <c r="A106" s="2"/>
      <c r="B106" s="170"/>
      <c r="C106" s="166" t="s">
        <v>35</v>
      </c>
      <c r="D106" s="252">
        <f>E22</f>
        <v>20</v>
      </c>
      <c r="E106" s="170"/>
      <c r="F106" s="170"/>
      <c r="G106" s="170"/>
      <c r="H106" s="170"/>
      <c r="I106" s="166" t="s">
        <v>35</v>
      </c>
      <c r="J106" s="252">
        <f>E23</f>
        <v>11</v>
      </c>
      <c r="K106" s="170"/>
      <c r="L106" s="170"/>
      <c r="M106" s="170"/>
      <c r="N106" s="170"/>
      <c r="O106" s="170"/>
      <c r="P106" s="2"/>
      <c r="Q106" s="144"/>
      <c r="R106" s="144"/>
      <c r="S106" s="144"/>
      <c r="T106" s="144"/>
      <c r="U106" s="144"/>
      <c r="V106" s="144"/>
      <c r="W106" s="144"/>
      <c r="X106" s="144"/>
    </row>
    <row r="107" spans="1:24" s="1" customFormat="1" ht="15.75" thickBot="1">
      <c r="A107" s="2"/>
      <c r="B107" s="170"/>
      <c r="C107" s="166" t="s">
        <v>36</v>
      </c>
      <c r="D107" s="252">
        <f>F22</f>
        <v>8</v>
      </c>
      <c r="E107" s="170"/>
      <c r="F107" s="170"/>
      <c r="G107" s="170"/>
      <c r="H107" s="170"/>
      <c r="I107" s="166" t="s">
        <v>36</v>
      </c>
      <c r="J107" s="252">
        <f>F23</f>
        <v>6</v>
      </c>
      <c r="K107" s="170"/>
      <c r="L107" s="170"/>
      <c r="M107" s="170"/>
      <c r="N107" s="170"/>
      <c r="O107" s="170"/>
      <c r="P107" s="2"/>
      <c r="Q107" s="144"/>
      <c r="R107" s="144"/>
      <c r="S107" s="144"/>
      <c r="T107" s="144"/>
      <c r="U107" s="144"/>
      <c r="V107" s="144"/>
      <c r="W107" s="144"/>
      <c r="X107" s="144"/>
    </row>
    <row r="108" spans="1:24" s="1" customFormat="1" ht="15.75" thickBot="1">
      <c r="A108" s="2"/>
      <c r="B108" s="170"/>
      <c r="C108" s="166" t="s">
        <v>37</v>
      </c>
      <c r="D108" s="252">
        <f>G22</f>
        <v>7</v>
      </c>
      <c r="E108" s="170"/>
      <c r="F108" s="170"/>
      <c r="G108" s="170"/>
      <c r="H108" s="170"/>
      <c r="I108" s="166" t="s">
        <v>37</v>
      </c>
      <c r="J108" s="252">
        <f>G23</f>
        <v>1</v>
      </c>
      <c r="K108" s="170"/>
      <c r="L108" s="170"/>
      <c r="M108" s="170"/>
      <c r="N108" s="170"/>
      <c r="O108" s="170"/>
      <c r="P108" s="2"/>
      <c r="Q108" s="144"/>
      <c r="R108" s="144"/>
      <c r="S108" s="144"/>
      <c r="T108" s="144"/>
      <c r="U108" s="144"/>
      <c r="V108" s="144"/>
      <c r="W108" s="144"/>
      <c r="X108" s="144"/>
    </row>
    <row r="109" spans="1:24" s="1" customFormat="1" ht="15.75" thickBot="1">
      <c r="A109" s="2"/>
      <c r="B109" s="170"/>
      <c r="C109" s="166" t="s">
        <v>38</v>
      </c>
      <c r="D109" s="251">
        <f>H22</f>
        <v>4</v>
      </c>
      <c r="E109" s="170"/>
      <c r="F109" s="170"/>
      <c r="G109" s="170"/>
      <c r="H109" s="170"/>
      <c r="I109" s="166" t="s">
        <v>38</v>
      </c>
      <c r="J109" s="251">
        <f>H23</f>
        <v>0</v>
      </c>
      <c r="K109" s="170"/>
      <c r="L109" s="170"/>
      <c r="M109" s="170"/>
      <c r="N109" s="170"/>
      <c r="O109" s="170"/>
      <c r="P109" s="2"/>
      <c r="Q109" s="144"/>
      <c r="R109" s="144"/>
      <c r="S109" s="144"/>
      <c r="T109" s="144"/>
      <c r="U109" s="144"/>
      <c r="V109" s="144"/>
      <c r="W109" s="144"/>
      <c r="X109" s="144"/>
    </row>
    <row r="110" spans="1:24" s="1" customFormat="1">
      <c r="A110" s="2"/>
      <c r="B110" s="170"/>
      <c r="C110" s="253"/>
      <c r="D110" s="254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2"/>
      <c r="Q110" s="144"/>
      <c r="R110" s="144"/>
      <c r="S110" s="144"/>
      <c r="T110" s="144"/>
      <c r="U110" s="144"/>
      <c r="V110" s="144"/>
      <c r="W110" s="144"/>
      <c r="X110" s="144"/>
    </row>
    <row r="111" spans="1:24" s="1" customFormat="1">
      <c r="A111" s="2"/>
      <c r="B111" s="170"/>
      <c r="C111" s="253"/>
      <c r="D111" s="254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2"/>
      <c r="Q111" s="144"/>
      <c r="R111" s="144"/>
      <c r="S111" s="144"/>
      <c r="T111" s="144"/>
      <c r="U111" s="144"/>
      <c r="V111" s="144"/>
      <c r="W111" s="144"/>
      <c r="X111" s="144"/>
    </row>
    <row r="112" spans="1:24" s="1" customFormat="1" ht="15" customHeight="1">
      <c r="A112" s="2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2"/>
      <c r="Q112" s="144"/>
      <c r="R112" s="144"/>
      <c r="S112" s="144"/>
      <c r="T112" s="144"/>
      <c r="U112" s="144"/>
      <c r="V112" s="144"/>
      <c r="W112" s="144"/>
      <c r="X112" s="144"/>
    </row>
    <row r="113" spans="1:24" s="11" customFormat="1">
      <c r="A113" s="206"/>
      <c r="B113" s="146"/>
      <c r="C113" s="411"/>
      <c r="D113" s="411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206"/>
      <c r="Q113" s="134"/>
      <c r="R113" s="134"/>
      <c r="S113" s="134"/>
      <c r="T113" s="134"/>
      <c r="U113" s="134"/>
      <c r="V113" s="134"/>
      <c r="W113" s="134"/>
      <c r="X113" s="134"/>
    </row>
    <row r="114" spans="1:24" s="11" customFormat="1" ht="15.75" customHeight="1">
      <c r="A114" s="206"/>
      <c r="B114" s="146"/>
      <c r="C114" s="255"/>
      <c r="D114" s="25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206"/>
      <c r="Q114" s="134"/>
      <c r="R114" s="134"/>
      <c r="S114" s="134"/>
      <c r="T114" s="134"/>
      <c r="U114" s="134"/>
      <c r="V114" s="134"/>
      <c r="W114" s="134"/>
      <c r="X114" s="134"/>
    </row>
    <row r="115" spans="1:24" s="1" customFormat="1" ht="15" customHeight="1" thickBot="1">
      <c r="A115" s="2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2"/>
      <c r="Q115" s="144"/>
      <c r="R115" s="144"/>
      <c r="S115" s="144"/>
      <c r="T115" s="144"/>
      <c r="U115" s="144"/>
      <c r="V115" s="144"/>
      <c r="W115" s="144"/>
      <c r="X115" s="144"/>
    </row>
    <row r="116" spans="1:24" s="1" customFormat="1" ht="15.75" thickBot="1">
      <c r="A116" s="2"/>
      <c r="B116" s="170"/>
      <c r="C116" s="367" t="s">
        <v>8</v>
      </c>
      <c r="D116" s="367"/>
      <c r="E116" s="170"/>
      <c r="F116" s="170"/>
      <c r="G116" s="170"/>
      <c r="H116" s="170"/>
      <c r="I116" s="367" t="s">
        <v>77</v>
      </c>
      <c r="J116" s="367"/>
      <c r="K116" s="170"/>
      <c r="L116" s="170"/>
      <c r="M116" s="170"/>
      <c r="N116" s="170"/>
      <c r="O116" s="170"/>
      <c r="P116" s="2"/>
      <c r="Q116" s="144"/>
      <c r="R116" s="144"/>
      <c r="S116" s="144"/>
      <c r="T116" s="144"/>
      <c r="U116" s="144"/>
      <c r="V116" s="144"/>
      <c r="W116" s="144"/>
      <c r="X116" s="144"/>
    </row>
    <row r="117" spans="1:24" s="1" customFormat="1" ht="15.75" customHeight="1" thickBot="1">
      <c r="A117" s="2"/>
      <c r="B117" s="170"/>
      <c r="C117" s="248" t="s">
        <v>131</v>
      </c>
      <c r="D117" s="249" t="s">
        <v>132</v>
      </c>
      <c r="E117" s="170"/>
      <c r="F117" s="170"/>
      <c r="G117" s="170"/>
      <c r="H117" s="170"/>
      <c r="I117" s="248" t="s">
        <v>131</v>
      </c>
      <c r="J117" s="250" t="s">
        <v>132</v>
      </c>
      <c r="K117" s="170"/>
      <c r="L117" s="170"/>
      <c r="M117" s="170"/>
      <c r="N117" s="170"/>
      <c r="O117" s="170"/>
      <c r="P117" s="2"/>
      <c r="Q117" s="144"/>
      <c r="R117" s="144"/>
      <c r="S117" s="144"/>
      <c r="T117" s="144"/>
      <c r="U117" s="144"/>
      <c r="V117" s="144"/>
      <c r="W117" s="144"/>
      <c r="X117" s="144"/>
    </row>
    <row r="118" spans="1:24" s="1" customFormat="1" ht="15.75" thickBot="1">
      <c r="A118" s="2"/>
      <c r="B118" s="170"/>
      <c r="C118" s="166" t="s">
        <v>33</v>
      </c>
      <c r="D118" s="251">
        <f>C24</f>
        <v>32</v>
      </c>
      <c r="E118" s="170"/>
      <c r="F118" s="170"/>
      <c r="G118" s="170"/>
      <c r="H118" s="170"/>
      <c r="I118" s="166" t="s">
        <v>33</v>
      </c>
      <c r="J118" s="251">
        <f>C25</f>
        <v>24</v>
      </c>
      <c r="K118" s="170"/>
      <c r="L118" s="170"/>
      <c r="M118" s="170"/>
      <c r="N118" s="170"/>
      <c r="O118" s="170"/>
      <c r="P118" s="2"/>
      <c r="Q118" s="144"/>
      <c r="R118" s="144"/>
      <c r="S118" s="144"/>
      <c r="T118" s="144"/>
      <c r="U118" s="144"/>
      <c r="V118" s="144"/>
      <c r="W118" s="144"/>
      <c r="X118" s="144"/>
    </row>
    <row r="119" spans="1:24" s="1" customFormat="1" ht="15.75" thickBot="1">
      <c r="A119" s="2"/>
      <c r="B119" s="170"/>
      <c r="C119" s="166" t="s">
        <v>34</v>
      </c>
      <c r="D119" s="252">
        <f>D24</f>
        <v>3</v>
      </c>
      <c r="E119" s="170"/>
      <c r="F119" s="170"/>
      <c r="G119" s="170"/>
      <c r="H119" s="170"/>
      <c r="I119" s="166" t="s">
        <v>34</v>
      </c>
      <c r="J119" s="252">
        <f>D25</f>
        <v>8</v>
      </c>
      <c r="K119" s="170"/>
      <c r="L119" s="170"/>
      <c r="M119" s="170"/>
      <c r="N119" s="170"/>
      <c r="O119" s="170"/>
      <c r="P119" s="2"/>
      <c r="Q119" s="144"/>
      <c r="R119" s="144"/>
      <c r="S119" s="144"/>
      <c r="T119" s="144"/>
      <c r="U119" s="144"/>
      <c r="V119" s="144"/>
      <c r="W119" s="144"/>
      <c r="X119" s="144"/>
    </row>
    <row r="120" spans="1:24" s="1" customFormat="1" ht="15.75" thickBot="1">
      <c r="A120" s="2"/>
      <c r="B120" s="170"/>
      <c r="C120" s="166" t="s">
        <v>35</v>
      </c>
      <c r="D120" s="252">
        <f>E24</f>
        <v>8</v>
      </c>
      <c r="E120" s="170"/>
      <c r="F120" s="170"/>
      <c r="G120" s="170"/>
      <c r="H120" s="170"/>
      <c r="I120" s="166" t="s">
        <v>35</v>
      </c>
      <c r="J120" s="252">
        <f>E25</f>
        <v>5</v>
      </c>
      <c r="K120" s="170"/>
      <c r="L120" s="170"/>
      <c r="M120" s="170"/>
      <c r="N120" s="170"/>
      <c r="O120" s="170"/>
      <c r="P120" s="2"/>
      <c r="Q120" s="144"/>
      <c r="R120" s="144"/>
      <c r="S120" s="144"/>
      <c r="T120" s="144"/>
      <c r="U120" s="144"/>
      <c r="V120" s="144"/>
      <c r="W120" s="144"/>
      <c r="X120" s="144"/>
    </row>
    <row r="121" spans="1:24" s="1" customFormat="1" ht="15.75" thickBot="1">
      <c r="A121" s="2"/>
      <c r="B121" s="170"/>
      <c r="C121" s="166" t="s">
        <v>36</v>
      </c>
      <c r="D121" s="252">
        <f>F24</f>
        <v>2</v>
      </c>
      <c r="E121" s="170"/>
      <c r="F121" s="170"/>
      <c r="G121" s="170"/>
      <c r="H121" s="170"/>
      <c r="I121" s="166" t="s">
        <v>36</v>
      </c>
      <c r="J121" s="252">
        <f>F25</f>
        <v>4</v>
      </c>
      <c r="K121" s="170"/>
      <c r="L121" s="170"/>
      <c r="M121" s="170"/>
      <c r="N121" s="170"/>
      <c r="O121" s="170"/>
      <c r="P121" s="2"/>
      <c r="Q121" s="144"/>
      <c r="R121" s="144"/>
      <c r="S121" s="144"/>
      <c r="T121" s="144"/>
      <c r="U121" s="144"/>
      <c r="V121" s="144"/>
      <c r="W121" s="144"/>
      <c r="X121" s="144"/>
    </row>
    <row r="122" spans="1:24" s="1" customFormat="1" ht="15.75" thickBot="1">
      <c r="A122" s="2"/>
      <c r="B122" s="170"/>
      <c r="C122" s="166" t="s">
        <v>37</v>
      </c>
      <c r="D122" s="252">
        <f>G24</f>
        <v>1</v>
      </c>
      <c r="E122" s="170"/>
      <c r="F122" s="170"/>
      <c r="G122" s="170"/>
      <c r="H122" s="170"/>
      <c r="I122" s="166" t="s">
        <v>37</v>
      </c>
      <c r="J122" s="252">
        <f>G25</f>
        <v>4</v>
      </c>
      <c r="K122" s="170"/>
      <c r="L122" s="170"/>
      <c r="M122" s="170"/>
      <c r="N122" s="170"/>
      <c r="O122" s="170"/>
      <c r="P122" s="2"/>
      <c r="Q122" s="144"/>
      <c r="R122" s="144"/>
      <c r="S122" s="144"/>
      <c r="T122" s="144"/>
      <c r="U122" s="144"/>
      <c r="V122" s="144"/>
      <c r="W122" s="144"/>
      <c r="X122" s="144"/>
    </row>
    <row r="123" spans="1:24" s="1" customFormat="1" ht="15.75" thickBot="1">
      <c r="A123" s="2"/>
      <c r="B123" s="170"/>
      <c r="C123" s="166" t="s">
        <v>38</v>
      </c>
      <c r="D123" s="251">
        <f>H24</f>
        <v>1</v>
      </c>
      <c r="E123" s="170"/>
      <c r="F123" s="170"/>
      <c r="G123" s="170"/>
      <c r="H123" s="170"/>
      <c r="I123" s="166" t="s">
        <v>38</v>
      </c>
      <c r="J123" s="251">
        <f>H25</f>
        <v>2</v>
      </c>
      <c r="K123" s="170"/>
      <c r="L123" s="170"/>
      <c r="M123" s="170"/>
      <c r="N123" s="170"/>
      <c r="O123" s="170"/>
      <c r="P123" s="2"/>
      <c r="Q123" s="144"/>
      <c r="R123" s="144"/>
      <c r="S123" s="144"/>
      <c r="T123" s="144"/>
      <c r="U123" s="144"/>
      <c r="V123" s="144"/>
      <c r="W123" s="144"/>
      <c r="X123" s="144"/>
    </row>
    <row r="124" spans="1:24" s="1" customFormat="1">
      <c r="A124" s="2"/>
      <c r="B124" s="170"/>
      <c r="C124" s="253"/>
      <c r="D124" s="254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2"/>
      <c r="Q124" s="144"/>
      <c r="R124" s="144"/>
      <c r="S124" s="144"/>
      <c r="T124" s="144"/>
      <c r="U124" s="144"/>
      <c r="V124" s="144"/>
      <c r="W124" s="144"/>
      <c r="X124" s="144"/>
    </row>
    <row r="125" spans="1:24" s="1" customFormat="1">
      <c r="A125" s="2"/>
      <c r="B125" s="170"/>
      <c r="C125" s="253"/>
      <c r="D125" s="254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2"/>
      <c r="Q125" s="144"/>
      <c r="R125" s="144"/>
      <c r="S125" s="144"/>
      <c r="T125" s="144"/>
      <c r="U125" s="144"/>
      <c r="V125" s="144"/>
      <c r="W125" s="144"/>
      <c r="X125" s="144"/>
    </row>
    <row r="126" spans="1:24" s="1" customFormat="1">
      <c r="A126" s="2"/>
      <c r="B126" s="170"/>
      <c r="C126" s="253"/>
      <c r="D126" s="254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2"/>
      <c r="Q126" s="144"/>
      <c r="R126" s="144"/>
      <c r="S126" s="144"/>
      <c r="T126" s="144"/>
      <c r="U126" s="144"/>
      <c r="V126" s="144"/>
      <c r="W126" s="144"/>
      <c r="X126" s="144"/>
    </row>
    <row r="127" spans="1:24" s="1" customFormat="1" ht="15" customHeight="1" thickBot="1">
      <c r="A127" s="2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2"/>
      <c r="Q127" s="144"/>
      <c r="R127" s="144"/>
      <c r="S127" s="144"/>
      <c r="T127" s="144"/>
      <c r="U127" s="144"/>
      <c r="V127" s="144"/>
      <c r="W127" s="144"/>
      <c r="X127" s="144"/>
    </row>
    <row r="128" spans="1:24" s="1" customFormat="1" ht="15.75" thickBot="1">
      <c r="A128" s="2"/>
      <c r="B128" s="170"/>
      <c r="C128" s="367" t="s">
        <v>78</v>
      </c>
      <c r="D128" s="367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2"/>
      <c r="Q128" s="144"/>
      <c r="R128" s="144"/>
      <c r="S128" s="144"/>
      <c r="T128" s="144"/>
      <c r="U128" s="144"/>
      <c r="V128" s="144"/>
      <c r="W128" s="144"/>
      <c r="X128" s="144"/>
    </row>
    <row r="129" spans="1:24" s="1" customFormat="1" ht="15.75" customHeight="1" thickBot="1">
      <c r="A129" s="2"/>
      <c r="B129" s="170"/>
      <c r="C129" s="248" t="s">
        <v>131</v>
      </c>
      <c r="D129" s="249" t="s">
        <v>132</v>
      </c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2"/>
      <c r="Q129" s="144"/>
      <c r="R129" s="144"/>
      <c r="S129" s="144"/>
      <c r="T129" s="144"/>
      <c r="U129" s="144"/>
      <c r="V129" s="144"/>
      <c r="W129" s="144"/>
      <c r="X129" s="144"/>
    </row>
    <row r="130" spans="1:24" s="1" customFormat="1" ht="15.75" thickBot="1">
      <c r="A130" s="2"/>
      <c r="B130" s="170"/>
      <c r="C130" s="166" t="s">
        <v>33</v>
      </c>
      <c r="D130" s="252">
        <f>D26</f>
        <v>4</v>
      </c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2"/>
      <c r="Q130" s="144"/>
      <c r="R130" s="144"/>
      <c r="S130" s="144"/>
      <c r="T130" s="144"/>
      <c r="U130" s="144"/>
      <c r="V130" s="144"/>
      <c r="W130" s="144"/>
      <c r="X130" s="144"/>
    </row>
    <row r="131" spans="1:24" s="1" customFormat="1" ht="15.75" thickBot="1">
      <c r="A131" s="2"/>
      <c r="B131" s="170"/>
      <c r="C131" s="166" t="s">
        <v>34</v>
      </c>
      <c r="D131" s="252">
        <f>D26</f>
        <v>4</v>
      </c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2"/>
      <c r="Q131" s="144"/>
      <c r="R131" s="144"/>
      <c r="S131" s="144"/>
      <c r="T131" s="144"/>
      <c r="U131" s="144"/>
      <c r="V131" s="144"/>
      <c r="W131" s="144"/>
      <c r="X131" s="144"/>
    </row>
    <row r="132" spans="1:24" s="1" customFormat="1" ht="15.75" thickBot="1">
      <c r="A132" s="2"/>
      <c r="B132" s="170"/>
      <c r="C132" s="166" t="s">
        <v>35</v>
      </c>
      <c r="D132" s="252">
        <f>E26</f>
        <v>10</v>
      </c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2"/>
      <c r="Q132" s="144"/>
      <c r="R132" s="144"/>
      <c r="S132" s="144"/>
      <c r="T132" s="144"/>
      <c r="U132" s="144"/>
      <c r="V132" s="144"/>
      <c r="W132" s="144"/>
      <c r="X132" s="144"/>
    </row>
    <row r="133" spans="1:24" s="1" customFormat="1" ht="15.75" thickBot="1">
      <c r="A133" s="2"/>
      <c r="B133" s="170"/>
      <c r="C133" s="166" t="s">
        <v>36</v>
      </c>
      <c r="D133" s="252">
        <f>F26</f>
        <v>11</v>
      </c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2"/>
      <c r="Q133" s="144"/>
      <c r="R133" s="144"/>
      <c r="S133" s="144"/>
      <c r="T133" s="144"/>
      <c r="U133" s="144"/>
      <c r="V133" s="144"/>
      <c r="W133" s="144"/>
      <c r="X133" s="144"/>
    </row>
    <row r="134" spans="1:24" s="1" customFormat="1" ht="15.75" thickBot="1">
      <c r="A134" s="2"/>
      <c r="B134" s="170"/>
      <c r="C134" s="166" t="s">
        <v>37</v>
      </c>
      <c r="D134" s="252">
        <f>G26</f>
        <v>5</v>
      </c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2"/>
      <c r="Q134" s="144"/>
      <c r="R134" s="144"/>
      <c r="S134" s="144"/>
      <c r="T134" s="144"/>
      <c r="U134" s="144"/>
      <c r="V134" s="144"/>
      <c r="W134" s="144"/>
      <c r="X134" s="144"/>
    </row>
    <row r="135" spans="1:24" s="1" customFormat="1" ht="15.75" thickBot="1">
      <c r="A135" s="2"/>
      <c r="B135" s="170"/>
      <c r="C135" s="166" t="s">
        <v>38</v>
      </c>
      <c r="D135" s="251">
        <f>H26</f>
        <v>11</v>
      </c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2"/>
      <c r="Q135" s="144"/>
      <c r="R135" s="144"/>
      <c r="S135" s="144"/>
      <c r="T135" s="144"/>
      <c r="U135" s="144"/>
      <c r="V135" s="144"/>
      <c r="W135" s="144"/>
      <c r="X135" s="144"/>
    </row>
    <row r="136" spans="1:24" s="1" customFormat="1">
      <c r="A136" s="2"/>
      <c r="B136" s="170"/>
      <c r="C136" s="253"/>
      <c r="D136" s="254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2"/>
      <c r="Q136" s="144"/>
      <c r="R136" s="144"/>
      <c r="S136" s="144"/>
      <c r="T136" s="144"/>
      <c r="U136" s="144"/>
      <c r="V136" s="144"/>
      <c r="W136" s="144"/>
      <c r="X136" s="144"/>
    </row>
    <row r="137" spans="1:24" s="1" customFormat="1" ht="9.75" customHeight="1" thickBot="1">
      <c r="A137" s="2"/>
      <c r="B137" s="170"/>
      <c r="K137" s="170"/>
      <c r="L137" s="170"/>
      <c r="M137" s="170"/>
      <c r="N137" s="170"/>
      <c r="O137" s="170"/>
      <c r="P137" s="2"/>
      <c r="Q137" s="144"/>
      <c r="R137" s="144"/>
      <c r="S137" s="144"/>
      <c r="T137" s="144"/>
      <c r="U137" s="144"/>
      <c r="V137" s="144"/>
      <c r="W137" s="144"/>
      <c r="X137" s="144"/>
    </row>
    <row r="138" spans="1:24" s="1" customFormat="1" ht="16.5" thickBot="1">
      <c r="A138" s="2"/>
      <c r="B138" s="170"/>
      <c r="C138" s="356" t="s">
        <v>160</v>
      </c>
      <c r="D138" s="356"/>
      <c r="E138" s="356"/>
      <c r="F138" s="356"/>
      <c r="G138" s="356"/>
      <c r="H138" s="356"/>
      <c r="I138" s="356"/>
      <c r="J138" s="356"/>
      <c r="K138" s="170"/>
      <c r="L138" s="170"/>
      <c r="M138" s="170"/>
      <c r="N138" s="170"/>
      <c r="O138" s="170"/>
      <c r="P138" s="2"/>
      <c r="Q138" s="144"/>
      <c r="R138" s="144"/>
      <c r="S138" s="144"/>
      <c r="T138" s="144"/>
      <c r="U138" s="144"/>
      <c r="V138" s="144"/>
      <c r="W138" s="144"/>
      <c r="X138" s="144"/>
    </row>
    <row r="139" spans="1:24" s="1" customFormat="1" ht="15.75" thickBot="1">
      <c r="A139" s="2"/>
      <c r="B139" s="170"/>
      <c r="C139" s="253"/>
      <c r="D139" s="254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2"/>
      <c r="Q139" s="144"/>
      <c r="R139" s="144"/>
      <c r="S139" s="144"/>
      <c r="T139" s="144"/>
      <c r="U139" s="144"/>
      <c r="V139" s="144"/>
      <c r="W139" s="144"/>
      <c r="X139" s="144"/>
    </row>
    <row r="140" spans="1:24" s="1" customFormat="1" ht="16.5" thickTop="1" thickBot="1">
      <c r="A140" s="2"/>
      <c r="B140" s="144"/>
      <c r="C140" s="257" t="s">
        <v>158</v>
      </c>
      <c r="D140" s="257" t="s">
        <v>159</v>
      </c>
      <c r="E140" s="170"/>
      <c r="F140" s="170"/>
      <c r="G140" s="170"/>
      <c r="H140" s="170"/>
      <c r="I140" s="170"/>
      <c r="J140" s="170"/>
      <c r="K140" s="258"/>
      <c r="L140" s="170"/>
      <c r="M140" s="170"/>
      <c r="N140" s="170"/>
      <c r="O140" s="170"/>
      <c r="P140" s="2"/>
      <c r="Q140" s="144"/>
      <c r="R140" s="144"/>
      <c r="S140" s="144"/>
      <c r="T140" s="144"/>
      <c r="U140" s="144"/>
      <c r="V140" s="144"/>
      <c r="W140" s="144"/>
      <c r="X140" s="144"/>
    </row>
    <row r="141" spans="1:24" s="1" customFormat="1" ht="17.25" thickTop="1" thickBot="1">
      <c r="A141" s="2"/>
      <c r="B141" s="259"/>
      <c r="C141" s="260" t="s">
        <v>33</v>
      </c>
      <c r="D141" s="261">
        <f>C29</f>
        <v>13</v>
      </c>
      <c r="E141" s="170"/>
      <c r="F141" s="170"/>
      <c r="G141" s="170"/>
      <c r="H141" s="170"/>
      <c r="I141" s="170"/>
      <c r="J141" s="170"/>
      <c r="K141" s="262"/>
      <c r="L141" s="170"/>
      <c r="M141" s="170"/>
      <c r="N141" s="170"/>
      <c r="O141" s="170"/>
      <c r="P141" s="2"/>
      <c r="Q141" s="144"/>
      <c r="R141" s="144"/>
      <c r="S141" s="144"/>
      <c r="T141" s="144"/>
      <c r="U141" s="144"/>
      <c r="V141" s="144"/>
      <c r="W141" s="144"/>
      <c r="X141" s="144"/>
    </row>
    <row r="142" spans="1:24" s="1" customFormat="1" ht="17.25" thickTop="1" thickBot="1">
      <c r="A142" s="2"/>
      <c r="B142" s="259"/>
      <c r="C142" s="260" t="s">
        <v>34</v>
      </c>
      <c r="D142" s="261">
        <f>D29</f>
        <v>11</v>
      </c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2"/>
      <c r="Q142" s="144"/>
      <c r="R142" s="144"/>
      <c r="S142" s="144"/>
      <c r="T142" s="144"/>
      <c r="U142" s="144"/>
      <c r="V142" s="144"/>
      <c r="W142" s="144"/>
      <c r="X142" s="144"/>
    </row>
    <row r="143" spans="1:24" s="1" customFormat="1" ht="17.25" thickTop="1" thickBot="1">
      <c r="A143" s="2"/>
      <c r="B143" s="259"/>
      <c r="C143" s="260" t="s">
        <v>35</v>
      </c>
      <c r="D143" s="261">
        <f>E29</f>
        <v>9</v>
      </c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2"/>
      <c r="Q143" s="144"/>
      <c r="R143" s="144"/>
      <c r="S143" s="144"/>
      <c r="T143" s="144"/>
      <c r="U143" s="144"/>
      <c r="V143" s="144"/>
      <c r="W143" s="144"/>
      <c r="X143" s="144"/>
    </row>
    <row r="144" spans="1:24" s="1" customFormat="1" ht="17.25" thickTop="1" thickBot="1">
      <c r="A144" s="2"/>
      <c r="B144" s="259"/>
      <c r="C144" s="260" t="s">
        <v>36</v>
      </c>
      <c r="D144" s="261">
        <f>F29</f>
        <v>9</v>
      </c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2"/>
      <c r="Q144" s="144"/>
      <c r="R144" s="144"/>
      <c r="S144" s="144"/>
      <c r="T144" s="144"/>
      <c r="U144" s="144"/>
      <c r="V144" s="144"/>
      <c r="W144" s="144"/>
      <c r="X144" s="144"/>
    </row>
    <row r="145" spans="1:24" s="1" customFormat="1" ht="17.25" thickTop="1" thickBot="1">
      <c r="A145" s="2"/>
      <c r="B145" s="259"/>
      <c r="C145" s="260" t="s">
        <v>37</v>
      </c>
      <c r="D145" s="261">
        <f>G29</f>
        <v>5</v>
      </c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2"/>
      <c r="Q145" s="144"/>
      <c r="R145" s="144"/>
      <c r="S145" s="144"/>
      <c r="T145" s="144"/>
      <c r="U145" s="144"/>
      <c r="V145" s="144"/>
      <c r="W145" s="144"/>
      <c r="X145" s="144"/>
    </row>
    <row r="146" spans="1:24" s="1" customFormat="1" ht="17.25" thickTop="1" thickBot="1">
      <c r="A146" s="2"/>
      <c r="B146" s="259"/>
      <c r="C146" s="260" t="s">
        <v>38</v>
      </c>
      <c r="D146" s="261">
        <f>H29</f>
        <v>0</v>
      </c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2"/>
      <c r="Q146" s="144"/>
      <c r="R146" s="144"/>
      <c r="S146" s="144"/>
      <c r="T146" s="144"/>
      <c r="U146" s="144"/>
      <c r="V146" s="144"/>
      <c r="W146" s="144"/>
      <c r="X146" s="144"/>
    </row>
    <row r="147" spans="1:24" s="1" customFormat="1" ht="16.5" thickTop="1" thickBot="1">
      <c r="A147" s="2"/>
      <c r="B147" s="170"/>
      <c r="C147" s="253"/>
      <c r="D147" s="254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2"/>
      <c r="Q147" s="144"/>
      <c r="R147" s="144"/>
      <c r="S147" s="144"/>
      <c r="T147" s="144"/>
      <c r="U147" s="144"/>
      <c r="V147" s="144"/>
      <c r="W147" s="144"/>
      <c r="X147" s="144"/>
    </row>
    <row r="148" spans="1:24" s="17" customFormat="1" ht="15.95" customHeight="1" thickBot="1">
      <c r="A148" s="2"/>
      <c r="B148" s="352" t="s">
        <v>154</v>
      </c>
      <c r="C148" s="353"/>
      <c r="D148" s="353"/>
      <c r="E148" s="353"/>
      <c r="F148" s="353"/>
      <c r="G148" s="353"/>
      <c r="H148" s="353"/>
      <c r="I148" s="354"/>
      <c r="J148" s="219"/>
      <c r="K148" s="219"/>
      <c r="L148" s="219"/>
      <c r="M148" s="219"/>
      <c r="N148" s="219"/>
      <c r="O148" s="219"/>
      <c r="P148" s="263"/>
      <c r="Q148" s="2"/>
      <c r="R148" s="2"/>
      <c r="S148" s="2"/>
      <c r="T148" s="2"/>
      <c r="U148" s="2"/>
      <c r="V148" s="2"/>
      <c r="W148" s="2"/>
      <c r="X148" s="2"/>
    </row>
    <row r="149" spans="1:24" s="17" customFormat="1" ht="12" customHeight="1" thickBot="1">
      <c r="A149" s="2"/>
      <c r="B149" s="355"/>
      <c r="C149" s="355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2"/>
      <c r="Q149" s="2"/>
      <c r="R149" s="2"/>
      <c r="S149" s="2"/>
      <c r="T149" s="2"/>
      <c r="U149" s="2"/>
      <c r="V149" s="2"/>
      <c r="W149" s="2"/>
      <c r="X149" s="2"/>
    </row>
    <row r="150" spans="1:24" s="17" customFormat="1" ht="15" customHeight="1" thickBot="1">
      <c r="A150" s="2"/>
      <c r="B150" s="351" t="s">
        <v>3</v>
      </c>
      <c r="C150" s="351"/>
      <c r="D150" s="170"/>
      <c r="E150" s="351" t="s">
        <v>4</v>
      </c>
      <c r="F150" s="351"/>
      <c r="G150" s="170"/>
      <c r="H150" s="351" t="s">
        <v>150</v>
      </c>
      <c r="I150" s="351"/>
      <c r="J150" s="170"/>
      <c r="K150" s="351" t="s">
        <v>118</v>
      </c>
      <c r="L150" s="351"/>
      <c r="M150" s="170"/>
      <c r="N150" s="351" t="s">
        <v>6</v>
      </c>
      <c r="O150" s="351"/>
      <c r="P150" s="2"/>
      <c r="Q150" s="2"/>
      <c r="R150" s="2"/>
      <c r="S150" s="2"/>
      <c r="T150" s="2"/>
      <c r="U150" s="2"/>
      <c r="V150" s="2"/>
      <c r="W150" s="2"/>
      <c r="X150" s="2"/>
    </row>
    <row r="151" spans="1:24" s="20" customFormat="1" ht="15.75" customHeight="1" thickBot="1">
      <c r="A151" s="264"/>
      <c r="B151" s="265" t="s">
        <v>145</v>
      </c>
      <c r="C151" s="265" t="s">
        <v>44</v>
      </c>
      <c r="D151" s="266"/>
      <c r="E151" s="265" t="s">
        <v>145</v>
      </c>
      <c r="F151" s="265" t="s">
        <v>44</v>
      </c>
      <c r="G151" s="267"/>
      <c r="H151" s="265" t="s">
        <v>145</v>
      </c>
      <c r="I151" s="265" t="s">
        <v>44</v>
      </c>
      <c r="J151" s="266"/>
      <c r="K151" s="265" t="s">
        <v>145</v>
      </c>
      <c r="L151" s="265" t="s">
        <v>44</v>
      </c>
      <c r="M151" s="266"/>
      <c r="N151" s="265" t="s">
        <v>145</v>
      </c>
      <c r="O151" s="265" t="s">
        <v>44</v>
      </c>
      <c r="P151" s="264"/>
      <c r="Q151" s="264"/>
      <c r="R151" s="264"/>
      <c r="S151" s="264"/>
      <c r="T151" s="264"/>
      <c r="U151" s="264"/>
      <c r="V151" s="264"/>
      <c r="W151" s="264"/>
      <c r="X151" s="264"/>
    </row>
    <row r="152" spans="1:24" s="21" customFormat="1" ht="15.75" customHeight="1" thickBot="1">
      <c r="A152" s="268" t="s">
        <v>152</v>
      </c>
      <c r="B152" s="269">
        <f>C11</f>
        <v>41</v>
      </c>
      <c r="C152" s="270">
        <f>J18</f>
        <v>87.234042553191486</v>
      </c>
      <c r="D152" s="271"/>
      <c r="E152" s="272">
        <f>D11</f>
        <v>25</v>
      </c>
      <c r="F152" s="270">
        <f>J19</f>
        <v>53.191489361702125</v>
      </c>
      <c r="G152" s="273"/>
      <c r="H152" s="272">
        <v>2</v>
      </c>
      <c r="I152" s="270">
        <f>J20</f>
        <v>25.531914893617021</v>
      </c>
      <c r="J152" s="271"/>
      <c r="K152" s="272">
        <v>2</v>
      </c>
      <c r="L152" s="270">
        <f>J21</f>
        <v>74.468085106382972</v>
      </c>
      <c r="M152" s="271"/>
      <c r="N152" s="272">
        <v>2</v>
      </c>
      <c r="O152" s="270">
        <f>J22</f>
        <v>82.978723404255319</v>
      </c>
      <c r="P152" s="274"/>
      <c r="Q152" s="274"/>
      <c r="R152" s="274"/>
      <c r="S152" s="274"/>
      <c r="T152" s="274"/>
      <c r="U152" s="274"/>
      <c r="V152" s="274"/>
      <c r="W152" s="274"/>
      <c r="X152" s="274"/>
    </row>
    <row r="153" spans="1:24" s="21" customFormat="1" ht="15" customHeight="1" thickBot="1">
      <c r="A153" s="268" t="s">
        <v>153</v>
      </c>
      <c r="B153" s="275">
        <f>M18</f>
        <v>37</v>
      </c>
      <c r="C153" s="276">
        <f>N18</f>
        <v>78.723404255319153</v>
      </c>
      <c r="D153" s="271"/>
      <c r="E153" s="275">
        <f>M19</f>
        <v>23</v>
      </c>
      <c r="F153" s="276">
        <f>N19</f>
        <v>48.936170212765958</v>
      </c>
      <c r="G153" s="277"/>
      <c r="H153" s="275">
        <f>M20</f>
        <v>22</v>
      </c>
      <c r="I153" s="276">
        <f>N20</f>
        <v>46.808510638297875</v>
      </c>
      <c r="J153" s="271"/>
      <c r="K153" s="275">
        <f>M21</f>
        <v>38</v>
      </c>
      <c r="L153" s="276">
        <f>N21</f>
        <v>80.851063829787236</v>
      </c>
      <c r="M153" s="271"/>
      <c r="N153" s="275">
        <f>M22</f>
        <v>39</v>
      </c>
      <c r="O153" s="276">
        <f>N22</f>
        <v>82.978723404255319</v>
      </c>
      <c r="P153" s="274"/>
      <c r="Q153" s="274"/>
      <c r="R153" s="274"/>
      <c r="S153" s="274"/>
      <c r="T153" s="274"/>
      <c r="U153" s="274"/>
      <c r="V153" s="274"/>
      <c r="W153" s="274"/>
      <c r="X153" s="274"/>
    </row>
    <row r="154" spans="1:24" s="20" customFormat="1" ht="15.75" thickBot="1">
      <c r="A154" s="264"/>
      <c r="B154" s="343" t="str">
        <f>IF(C152= C153,"استقرار في النتائج",IF(C152&gt;C153,"  تقدم في النتائج ","تراجع في النتائج"))</f>
        <v xml:space="preserve">  تقدم في النتائج </v>
      </c>
      <c r="C154" s="343"/>
      <c r="D154" s="266"/>
      <c r="E154" s="343" t="str">
        <f>IF(F152= F153,"استقرار في النتائج",IF(F152&gt;F153,"  تقدم في النتائج ","تراجع في النتائج"))</f>
        <v xml:space="preserve">  تقدم في النتائج </v>
      </c>
      <c r="F154" s="343"/>
      <c r="G154" s="266"/>
      <c r="H154" s="343" t="str">
        <f>IF(C152= C153,"استقرار في النتائج",IF(I152&gt;I153,"  تقدم في النتائج ","تراجع في النتائج"))</f>
        <v>تراجع في النتائج</v>
      </c>
      <c r="I154" s="343"/>
      <c r="J154" s="266"/>
      <c r="K154" s="343" t="str">
        <f>IF(C152= C153,"استقرار في النتائج",IF(L152&gt;L153,"  تقدم في النتائج ","تراجع في النتائج"))</f>
        <v>تراجع في النتائج</v>
      </c>
      <c r="L154" s="343"/>
      <c r="M154" s="266"/>
      <c r="N154" s="343" t="str">
        <f>IF(C152= C153,"استقرار في النتائج",IF(O152&gt;O153,"  تقدم في النتائج ","تراجع في النتائج"))</f>
        <v>تراجع في النتائج</v>
      </c>
      <c r="O154" s="343"/>
      <c r="P154" s="264"/>
      <c r="Q154" s="264"/>
      <c r="R154" s="264"/>
      <c r="S154" s="264"/>
      <c r="T154" s="264"/>
      <c r="U154" s="264"/>
      <c r="V154" s="264"/>
      <c r="W154" s="264"/>
      <c r="X154" s="264"/>
    </row>
    <row r="155" spans="1:24" s="24" customFormat="1">
      <c r="A155" s="278"/>
      <c r="B155" s="207"/>
      <c r="C155" s="207"/>
      <c r="D155" s="279"/>
      <c r="E155" s="207"/>
      <c r="F155" s="207"/>
      <c r="G155" s="279"/>
      <c r="H155" s="207"/>
      <c r="I155" s="207"/>
      <c r="J155" s="279"/>
      <c r="K155" s="207"/>
      <c r="L155" s="207"/>
      <c r="M155" s="279"/>
      <c r="N155" s="207"/>
      <c r="O155" s="207"/>
      <c r="P155" s="278"/>
      <c r="Q155" s="278"/>
      <c r="R155" s="278"/>
      <c r="S155" s="278"/>
      <c r="T155" s="278"/>
      <c r="U155" s="278"/>
      <c r="V155" s="278"/>
      <c r="W155" s="278"/>
      <c r="X155" s="278"/>
    </row>
    <row r="156" spans="1:24" s="24" customFormat="1">
      <c r="A156" s="278"/>
      <c r="B156" s="207"/>
      <c r="C156" s="207"/>
      <c r="D156" s="279"/>
      <c r="E156" s="207"/>
      <c r="F156" s="207"/>
      <c r="G156" s="279"/>
      <c r="H156" s="207"/>
      <c r="I156" s="207"/>
      <c r="J156" s="279"/>
      <c r="K156" s="207"/>
      <c r="L156" s="207"/>
      <c r="M156" s="279"/>
      <c r="N156" s="207"/>
      <c r="O156" s="207"/>
      <c r="P156" s="278"/>
      <c r="Q156" s="278"/>
      <c r="R156" s="278"/>
      <c r="S156" s="278"/>
      <c r="T156" s="278"/>
      <c r="U156" s="278"/>
      <c r="V156" s="278"/>
      <c r="W156" s="278"/>
      <c r="X156" s="278"/>
    </row>
    <row r="157" spans="1:24" s="24" customFormat="1">
      <c r="A157" s="278"/>
      <c r="B157" s="207"/>
      <c r="C157" s="207"/>
      <c r="D157" s="279"/>
      <c r="E157" s="207"/>
      <c r="F157" s="207"/>
      <c r="G157" s="279"/>
      <c r="H157" s="207"/>
      <c r="I157" s="207"/>
      <c r="J157" s="279"/>
      <c r="K157" s="207"/>
      <c r="L157" s="207"/>
      <c r="M157" s="279"/>
      <c r="N157" s="207"/>
      <c r="O157" s="207"/>
      <c r="P157" s="278"/>
      <c r="Q157" s="278"/>
      <c r="R157" s="278"/>
      <c r="S157" s="278"/>
      <c r="T157" s="278"/>
      <c r="U157" s="278"/>
      <c r="V157" s="278"/>
      <c r="W157" s="278"/>
      <c r="X157" s="278"/>
    </row>
    <row r="158" spans="1:24" s="24" customFormat="1">
      <c r="A158" s="278"/>
      <c r="B158" s="207"/>
      <c r="C158" s="207"/>
      <c r="D158" s="279"/>
      <c r="E158" s="207"/>
      <c r="F158" s="207"/>
      <c r="G158" s="279"/>
      <c r="H158" s="207"/>
      <c r="I158" s="207"/>
      <c r="J158" s="279"/>
      <c r="K158" s="207"/>
      <c r="L158" s="207"/>
      <c r="M158" s="279"/>
      <c r="N158" s="207"/>
      <c r="O158" s="207"/>
      <c r="P158" s="278"/>
      <c r="Q158" s="278"/>
      <c r="R158" s="278"/>
      <c r="S158" s="278"/>
      <c r="T158" s="278"/>
      <c r="U158" s="278"/>
      <c r="V158" s="278"/>
      <c r="W158" s="278"/>
      <c r="X158" s="278"/>
    </row>
    <row r="159" spans="1:24" s="24" customFormat="1">
      <c r="A159" s="278"/>
      <c r="B159" s="207"/>
      <c r="C159" s="207"/>
      <c r="D159" s="279"/>
      <c r="E159" s="207"/>
      <c r="F159" s="207"/>
      <c r="G159" s="279"/>
      <c r="H159" s="207"/>
      <c r="I159" s="207"/>
      <c r="J159" s="279"/>
      <c r="K159" s="207"/>
      <c r="L159" s="207"/>
      <c r="M159" s="279"/>
      <c r="N159" s="207"/>
      <c r="O159" s="207"/>
      <c r="P159" s="278"/>
      <c r="Q159" s="278"/>
      <c r="R159" s="278"/>
      <c r="S159" s="278"/>
      <c r="T159" s="278"/>
      <c r="U159" s="278"/>
      <c r="V159" s="278"/>
      <c r="W159" s="278"/>
      <c r="X159" s="278"/>
    </row>
    <row r="160" spans="1:24" s="24" customFormat="1">
      <c r="A160" s="278"/>
      <c r="B160" s="207"/>
      <c r="C160" s="207"/>
      <c r="D160" s="279"/>
      <c r="E160" s="207"/>
      <c r="F160" s="207"/>
      <c r="G160" s="279"/>
      <c r="H160" s="207"/>
      <c r="I160" s="207"/>
      <c r="J160" s="279"/>
      <c r="K160" s="207"/>
      <c r="L160" s="207"/>
      <c r="M160" s="279"/>
      <c r="N160" s="207"/>
      <c r="O160" s="207"/>
      <c r="P160" s="278"/>
      <c r="Q160" s="278"/>
      <c r="R160" s="278"/>
      <c r="S160" s="278"/>
      <c r="T160" s="278"/>
      <c r="U160" s="278"/>
      <c r="V160" s="278"/>
      <c r="W160" s="278"/>
      <c r="X160" s="278"/>
    </row>
    <row r="161" spans="1:24" s="24" customFormat="1" ht="15.75" thickBot="1">
      <c r="A161" s="278"/>
      <c r="B161" s="207"/>
      <c r="C161" s="207"/>
      <c r="D161" s="279"/>
      <c r="E161" s="207"/>
      <c r="F161" s="207"/>
      <c r="G161" s="279"/>
      <c r="H161" s="207"/>
      <c r="I161" s="207"/>
      <c r="J161" s="279"/>
      <c r="K161" s="207"/>
      <c r="L161" s="207"/>
      <c r="M161" s="279"/>
      <c r="N161" s="207"/>
      <c r="O161" s="207"/>
      <c r="P161" s="278"/>
      <c r="Q161" s="278"/>
      <c r="R161" s="278"/>
      <c r="S161" s="278"/>
      <c r="T161" s="278"/>
      <c r="U161" s="278"/>
      <c r="V161" s="278"/>
      <c r="W161" s="278"/>
      <c r="X161" s="278"/>
    </row>
    <row r="162" spans="1:24" s="17" customFormat="1" ht="15" customHeight="1" thickBot="1">
      <c r="A162" s="2"/>
      <c r="B162" s="351" t="s">
        <v>7</v>
      </c>
      <c r="C162" s="351"/>
      <c r="D162" s="170"/>
      <c r="E162" s="344" t="s">
        <v>8</v>
      </c>
      <c r="F162" s="344"/>
      <c r="G162" s="170"/>
      <c r="H162" s="344" t="s">
        <v>77</v>
      </c>
      <c r="I162" s="344"/>
      <c r="J162" s="170"/>
      <c r="K162" s="344" t="s">
        <v>78</v>
      </c>
      <c r="L162" s="344"/>
      <c r="M162" s="170"/>
      <c r="N162" s="345" t="s">
        <v>151</v>
      </c>
      <c r="O162" s="345"/>
      <c r="P162" s="2"/>
      <c r="Q162" s="2"/>
      <c r="R162" s="2"/>
      <c r="S162" s="2"/>
      <c r="T162" s="2"/>
      <c r="U162" s="2"/>
      <c r="V162" s="2"/>
      <c r="W162" s="2"/>
      <c r="X162" s="2"/>
    </row>
    <row r="163" spans="1:24" s="20" customFormat="1" ht="15.75" customHeight="1" thickBot="1">
      <c r="A163" s="264"/>
      <c r="B163" s="265" t="s">
        <v>145</v>
      </c>
      <c r="C163" s="265" t="s">
        <v>44</v>
      </c>
      <c r="D163" s="266"/>
      <c r="E163" s="265" t="s">
        <v>145</v>
      </c>
      <c r="F163" s="265" t="s">
        <v>44</v>
      </c>
      <c r="G163" s="267"/>
      <c r="H163" s="265" t="s">
        <v>145</v>
      </c>
      <c r="I163" s="265" t="s">
        <v>44</v>
      </c>
      <c r="J163" s="266"/>
      <c r="K163" s="265" t="s">
        <v>145</v>
      </c>
      <c r="L163" s="265" t="s">
        <v>44</v>
      </c>
      <c r="M163" s="266"/>
      <c r="N163" s="265" t="s">
        <v>145</v>
      </c>
      <c r="O163" s="265" t="s">
        <v>44</v>
      </c>
      <c r="P163" s="264"/>
      <c r="Q163" s="264"/>
      <c r="R163" s="264"/>
      <c r="S163" s="264"/>
      <c r="T163" s="264"/>
      <c r="U163" s="264"/>
      <c r="V163" s="264"/>
      <c r="W163" s="264"/>
      <c r="X163" s="264"/>
    </row>
    <row r="164" spans="1:24" s="21" customFormat="1" ht="15.75" customHeight="1" thickBot="1">
      <c r="A164" s="280" t="s">
        <v>152</v>
      </c>
      <c r="B164" s="272">
        <v>2</v>
      </c>
      <c r="C164" s="270">
        <f>J23</f>
        <v>38.297872340425535</v>
      </c>
      <c r="D164" s="271"/>
      <c r="E164" s="272">
        <v>2</v>
      </c>
      <c r="F164" s="270">
        <f>J24</f>
        <v>25.531914893617021</v>
      </c>
      <c r="G164" s="273"/>
      <c r="H164" s="272">
        <v>2</v>
      </c>
      <c r="I164" s="270">
        <f>J25</f>
        <v>31.914893617021278</v>
      </c>
      <c r="J164" s="271"/>
      <c r="K164" s="272">
        <v>2</v>
      </c>
      <c r="L164" s="270">
        <f>J26</f>
        <v>78.723404255319153</v>
      </c>
      <c r="M164" s="271"/>
      <c r="N164" s="272">
        <v>2</v>
      </c>
      <c r="O164" s="270">
        <f>J29</f>
        <v>48.936170212765958</v>
      </c>
      <c r="P164" s="274"/>
      <c r="Q164" s="274"/>
      <c r="R164" s="274"/>
      <c r="S164" s="274"/>
      <c r="T164" s="274"/>
      <c r="U164" s="274"/>
      <c r="V164" s="274"/>
      <c r="W164" s="274"/>
      <c r="X164" s="274"/>
    </row>
    <row r="165" spans="1:24" s="22" customFormat="1" ht="15.75" thickBot="1">
      <c r="A165" s="280" t="s">
        <v>153</v>
      </c>
      <c r="B165" s="275">
        <f>M23</f>
        <v>35</v>
      </c>
      <c r="C165" s="276">
        <f>N23</f>
        <v>74.468085106382972</v>
      </c>
      <c r="D165" s="271"/>
      <c r="E165" s="275">
        <f>M24</f>
        <v>22</v>
      </c>
      <c r="F165" s="276">
        <f>N24</f>
        <v>46.808510638297875</v>
      </c>
      <c r="G165" s="271"/>
      <c r="H165" s="275">
        <f>M25</f>
        <v>15</v>
      </c>
      <c r="I165" s="276">
        <f>N25</f>
        <v>31.914893617021278</v>
      </c>
      <c r="J165" s="271"/>
      <c r="K165" s="275">
        <f>M26</f>
        <v>34</v>
      </c>
      <c r="L165" s="276">
        <f>N26</f>
        <v>72.340425531914889</v>
      </c>
      <c r="M165" s="271"/>
      <c r="N165" s="275">
        <f>M29</f>
        <v>31</v>
      </c>
      <c r="O165" s="276">
        <f>N29</f>
        <v>65.957446808510639</v>
      </c>
      <c r="P165" s="274"/>
    </row>
    <row r="166" spans="1:24" s="23" customFormat="1" ht="15.75" thickBot="1">
      <c r="A166" s="264"/>
      <c r="B166" s="343" t="str">
        <f>IF(C152= C153,"استقرار في النتائج",IF(C164&gt;C165,"  تقدم في النتائج ","تراجع في النتائج"))</f>
        <v>تراجع في النتائج</v>
      </c>
      <c r="C166" s="343"/>
      <c r="D166" s="266"/>
      <c r="E166" s="343" t="str">
        <f>IF(C152= C153,"استقرار في النتائج",IF(F164&gt;F165,"  تقدم في النتائج ","تراجع في النتائج"))</f>
        <v>تراجع في النتائج</v>
      </c>
      <c r="F166" s="343"/>
      <c r="G166" s="266"/>
      <c r="H166" s="343" t="str">
        <f>IF(C152= C153,"استقرار في النتائج",IF(I164&gt;I165,"  تقدم في النتائج ","تراجع في النتائج"))</f>
        <v>تراجع في النتائج</v>
      </c>
      <c r="I166" s="343"/>
      <c r="J166" s="266"/>
      <c r="K166" s="343" t="str">
        <f>IF(C152= C153,"استقرار في النتائج",IF(L164&gt;L165,"  تقدم في النتائج ","تراجع في النتائج"))</f>
        <v xml:space="preserve">  تقدم في النتائج </v>
      </c>
      <c r="L166" s="343"/>
      <c r="M166" s="266"/>
      <c r="N166" s="343" t="str">
        <f>IF(C152= C153,"استقرار في النتائج",IF(O164&gt;O165,"  تقدم في النتائج ","تراجع في النتائج"))</f>
        <v>تراجع في النتائج</v>
      </c>
      <c r="O166" s="343"/>
      <c r="P166" s="264"/>
    </row>
    <row r="183" spans="1:24" s="1" customFormat="1">
      <c r="A183" s="2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2"/>
      <c r="Q183" s="144"/>
      <c r="R183" s="144"/>
      <c r="S183" s="144"/>
      <c r="T183" s="144"/>
      <c r="U183" s="144"/>
      <c r="V183" s="144"/>
      <c r="W183" s="144"/>
      <c r="X183" s="144"/>
    </row>
    <row r="184" spans="1:24" s="1" customFormat="1">
      <c r="A184" s="2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2"/>
      <c r="Q184" s="144"/>
      <c r="R184" s="144"/>
      <c r="S184" s="144"/>
      <c r="T184" s="144"/>
      <c r="U184" s="144"/>
      <c r="V184" s="144"/>
      <c r="W184" s="144"/>
      <c r="X184" s="144"/>
    </row>
    <row r="185" spans="1:24" ht="9.9499999999999993" customHeight="1" thickBot="1"/>
    <row r="186" spans="1:24" s="1" customFormat="1" ht="16.5" customHeight="1">
      <c r="A186" s="2"/>
      <c r="B186" s="170"/>
      <c r="C186" s="337" t="s">
        <v>168</v>
      </c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9"/>
      <c r="O186" s="170"/>
      <c r="P186" s="2"/>
      <c r="Q186" s="144"/>
      <c r="R186" s="144"/>
      <c r="S186" s="144"/>
      <c r="T186" s="144"/>
      <c r="U186" s="144"/>
      <c r="V186" s="144"/>
      <c r="W186" s="144"/>
      <c r="X186" s="144"/>
    </row>
    <row r="187" spans="1:24" s="1" customFormat="1" ht="15.75" thickBot="1">
      <c r="A187" s="2"/>
      <c r="B187" s="170"/>
      <c r="C187" s="340"/>
      <c r="D187" s="341"/>
      <c r="E187" s="341"/>
      <c r="F187" s="341"/>
      <c r="G187" s="341"/>
      <c r="H187" s="341"/>
      <c r="I187" s="341"/>
      <c r="J187" s="341"/>
      <c r="K187" s="341"/>
      <c r="L187" s="341"/>
      <c r="M187" s="341"/>
      <c r="N187" s="342"/>
      <c r="O187" s="170"/>
      <c r="P187" s="2"/>
      <c r="Q187" s="144"/>
      <c r="R187" s="144"/>
      <c r="S187" s="144"/>
      <c r="T187" s="144"/>
      <c r="U187" s="144"/>
      <c r="V187" s="144"/>
      <c r="W187" s="144"/>
      <c r="X187" s="144"/>
    </row>
    <row r="188" spans="1:24" s="1" customFormat="1">
      <c r="A188" s="2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2"/>
      <c r="Q188" s="144"/>
      <c r="R188" s="144"/>
      <c r="S188" s="144"/>
      <c r="T188" s="144"/>
      <c r="U188" s="144"/>
      <c r="V188" s="144"/>
      <c r="W188" s="144"/>
      <c r="X188" s="144"/>
    </row>
    <row r="189" spans="1:24" s="70" customFormat="1" ht="16.5" customHeight="1">
      <c r="A189" s="281"/>
      <c r="C189" s="282"/>
      <c r="D189" s="282"/>
      <c r="E189" s="282"/>
      <c r="F189" s="283"/>
      <c r="H189" s="284"/>
      <c r="I189" s="284"/>
      <c r="J189" s="284"/>
      <c r="K189" s="219"/>
      <c r="L189" s="219"/>
      <c r="M189" s="219"/>
      <c r="N189" s="219"/>
      <c r="O189" s="219"/>
      <c r="P189" s="281"/>
    </row>
    <row r="190" spans="1:24" s="70" customFormat="1" ht="16.5" customHeight="1">
      <c r="A190" s="281"/>
      <c r="C190" s="282"/>
      <c r="D190" s="282"/>
      <c r="E190" s="282"/>
      <c r="F190" s="283"/>
      <c r="H190" s="284"/>
      <c r="I190" s="284"/>
      <c r="J190" s="284"/>
      <c r="K190" s="219"/>
      <c r="L190" s="219"/>
      <c r="M190" s="219"/>
      <c r="N190" s="219"/>
      <c r="O190" s="219"/>
      <c r="P190" s="281"/>
    </row>
    <row r="191" spans="1:24" s="70" customFormat="1" ht="16.5" customHeight="1" thickBot="1">
      <c r="A191" s="281"/>
      <c r="C191" s="282"/>
      <c r="D191" s="282"/>
      <c r="E191" s="282"/>
      <c r="F191" s="283"/>
      <c r="H191" s="284"/>
      <c r="I191" s="284"/>
      <c r="J191" s="284"/>
      <c r="K191" s="219"/>
      <c r="L191" s="219"/>
      <c r="M191" s="219"/>
      <c r="N191" s="219"/>
      <c r="O191" s="219"/>
      <c r="P191" s="281"/>
    </row>
    <row r="192" spans="1:24" s="70" customFormat="1" ht="16.5" customHeight="1" thickTop="1" thickBot="1">
      <c r="A192" s="281"/>
      <c r="C192" s="282"/>
      <c r="D192" s="285" t="s">
        <v>26</v>
      </c>
      <c r="F192" s="283"/>
      <c r="H192" s="285" t="s">
        <v>26</v>
      </c>
      <c r="J192" s="284"/>
      <c r="K192" s="219"/>
      <c r="L192" s="219"/>
      <c r="M192" s="219"/>
      <c r="N192" s="219"/>
      <c r="O192" s="219"/>
      <c r="P192" s="281"/>
    </row>
    <row r="193" spans="1:24" s="70" customFormat="1" ht="16.5" customHeight="1" thickTop="1" thickBot="1">
      <c r="A193" s="281"/>
      <c r="C193" s="282"/>
      <c r="D193" s="286">
        <v>44</v>
      </c>
      <c r="F193" s="283"/>
      <c r="H193" s="287">
        <f>C6</f>
        <v>47</v>
      </c>
      <c r="J193" s="284"/>
      <c r="K193" s="219"/>
      <c r="L193" s="219"/>
      <c r="M193" s="219"/>
      <c r="N193" s="219"/>
      <c r="O193" s="219"/>
      <c r="P193" s="281"/>
    </row>
    <row r="194" spans="1:24" s="18" customFormat="1" ht="16.5" customHeight="1" thickTop="1" thickBot="1">
      <c r="A194" s="237"/>
      <c r="B194" s="237"/>
      <c r="C194" s="288" t="s">
        <v>27</v>
      </c>
      <c r="D194" s="289" t="s">
        <v>146</v>
      </c>
      <c r="F194" s="237"/>
      <c r="G194" s="288" t="s">
        <v>27</v>
      </c>
      <c r="H194" s="290" t="s">
        <v>39</v>
      </c>
      <c r="K194" s="288" t="s">
        <v>27</v>
      </c>
      <c r="L194" s="333" t="s">
        <v>93</v>
      </c>
      <c r="M194" s="333"/>
      <c r="N194" s="336" t="s">
        <v>169</v>
      </c>
      <c r="O194" s="336"/>
      <c r="P194" s="237"/>
    </row>
    <row r="195" spans="1:24" s="1" customFormat="1" ht="16.5" thickTop="1" thickBot="1">
      <c r="A195" s="2"/>
      <c r="B195" s="170"/>
      <c r="C195" s="291" t="s">
        <v>13</v>
      </c>
      <c r="D195" s="292">
        <f>'نتائج الشهادة من الرقمنة'!K5</f>
        <v>0</v>
      </c>
      <c r="E195" s="144"/>
      <c r="F195" s="170"/>
      <c r="G195" s="291" t="s">
        <v>13</v>
      </c>
      <c r="H195" s="292">
        <f>J18</f>
        <v>87.234042553191486</v>
      </c>
      <c r="I195" s="144"/>
      <c r="J195" s="144"/>
      <c r="K195" s="293" t="s">
        <v>13</v>
      </c>
      <c r="L195" s="334">
        <f>H195-D195</f>
        <v>87.234042553191486</v>
      </c>
      <c r="M195" s="335"/>
      <c r="N195" s="331" t="str">
        <f>IF(H195= D195,"استقرار",IF(H195&gt;D195,"تقدم","تراجع"))</f>
        <v>تقدم</v>
      </c>
      <c r="O195" s="331"/>
      <c r="P195" s="2"/>
      <c r="Q195" s="144"/>
      <c r="R195" s="144"/>
      <c r="S195" s="144"/>
      <c r="T195" s="144"/>
      <c r="U195" s="144"/>
      <c r="V195" s="144"/>
      <c r="W195" s="144"/>
      <c r="X195" s="144"/>
    </row>
    <row r="196" spans="1:24" s="1" customFormat="1" ht="16.5" thickTop="1" thickBot="1">
      <c r="A196" s="2"/>
      <c r="B196" s="170"/>
      <c r="C196" s="291" t="s">
        <v>18</v>
      </c>
      <c r="D196" s="292">
        <f>'نتائج الشهادة من الرقمنة'!L5</f>
        <v>0</v>
      </c>
      <c r="E196" s="144"/>
      <c r="F196" s="170"/>
      <c r="G196" s="291" t="s">
        <v>18</v>
      </c>
      <c r="H196" s="292">
        <f t="shared" ref="H196:H203" si="3">J19</f>
        <v>53.191489361702125</v>
      </c>
      <c r="I196" s="144"/>
      <c r="J196" s="144"/>
      <c r="K196" s="293" t="s">
        <v>18</v>
      </c>
      <c r="L196" s="334">
        <f t="shared" ref="L196:L203" si="4">H196-D196</f>
        <v>53.191489361702125</v>
      </c>
      <c r="M196" s="335"/>
      <c r="N196" s="331" t="str">
        <f t="shared" ref="N196:N204" si="5">IF(H196= D196,"استقرار",IF(H196&gt;D196,"تقدم","تراجع"))</f>
        <v>تقدم</v>
      </c>
      <c r="O196" s="331"/>
      <c r="P196" s="2"/>
      <c r="Q196" s="144"/>
      <c r="R196" s="144"/>
      <c r="S196" s="144"/>
      <c r="T196" s="144"/>
      <c r="U196" s="144"/>
      <c r="V196" s="144"/>
      <c r="W196" s="144"/>
      <c r="X196" s="144"/>
    </row>
    <row r="197" spans="1:24" s="1" customFormat="1" ht="16.5" thickTop="1" thickBot="1">
      <c r="A197" s="2"/>
      <c r="B197" s="170"/>
      <c r="C197" s="291" t="s">
        <v>19</v>
      </c>
      <c r="D197" s="292">
        <f>'نتائج الشهادة من الرقمنة'!M5</f>
        <v>0</v>
      </c>
      <c r="E197" s="144"/>
      <c r="F197" s="170"/>
      <c r="G197" s="291" t="s">
        <v>19</v>
      </c>
      <c r="H197" s="292">
        <f t="shared" si="3"/>
        <v>25.531914893617021</v>
      </c>
      <c r="I197" s="144"/>
      <c r="J197" s="144"/>
      <c r="K197" s="293" t="s">
        <v>19</v>
      </c>
      <c r="L197" s="334">
        <f t="shared" si="4"/>
        <v>25.531914893617021</v>
      </c>
      <c r="M197" s="335"/>
      <c r="N197" s="331" t="str">
        <f t="shared" si="5"/>
        <v>تقدم</v>
      </c>
      <c r="O197" s="331"/>
      <c r="P197" s="2"/>
      <c r="Q197" s="144"/>
      <c r="R197" s="144"/>
      <c r="S197" s="144"/>
      <c r="T197" s="144"/>
      <c r="U197" s="144"/>
      <c r="V197" s="144"/>
      <c r="W197" s="144"/>
      <c r="X197" s="144"/>
    </row>
    <row r="198" spans="1:24" s="1" customFormat="1" ht="16.5" thickTop="1" thickBot="1">
      <c r="A198" s="2"/>
      <c r="B198" s="170"/>
      <c r="C198" s="291" t="s">
        <v>20</v>
      </c>
      <c r="D198" s="292">
        <f>'نتائج الشهادة من الرقمنة'!N5</f>
        <v>0</v>
      </c>
      <c r="E198" s="144"/>
      <c r="F198" s="170"/>
      <c r="G198" s="291" t="s">
        <v>20</v>
      </c>
      <c r="H198" s="292">
        <f t="shared" si="3"/>
        <v>74.468085106382972</v>
      </c>
      <c r="I198" s="144"/>
      <c r="J198" s="144"/>
      <c r="K198" s="293" t="s">
        <v>20</v>
      </c>
      <c r="L198" s="334">
        <f t="shared" si="4"/>
        <v>74.468085106382972</v>
      </c>
      <c r="M198" s="335"/>
      <c r="N198" s="331" t="str">
        <f t="shared" si="5"/>
        <v>تقدم</v>
      </c>
      <c r="O198" s="331"/>
      <c r="P198" s="2"/>
      <c r="Q198" s="144"/>
      <c r="R198" s="144"/>
      <c r="S198" s="144"/>
      <c r="T198" s="144"/>
      <c r="U198" s="144"/>
      <c r="V198" s="144"/>
      <c r="W198" s="144"/>
      <c r="X198" s="144"/>
    </row>
    <row r="199" spans="1:24" s="1" customFormat="1" ht="16.5" thickTop="1" thickBot="1">
      <c r="A199" s="2"/>
      <c r="B199" s="170"/>
      <c r="C199" s="291" t="s">
        <v>15</v>
      </c>
      <c r="D199" s="292">
        <f>'نتائج الشهادة من الرقمنة'!O5</f>
        <v>0</v>
      </c>
      <c r="E199" s="144"/>
      <c r="F199" s="170"/>
      <c r="G199" s="291" t="s">
        <v>15</v>
      </c>
      <c r="H199" s="292">
        <f t="shared" si="3"/>
        <v>82.978723404255319</v>
      </c>
      <c r="I199" s="144"/>
      <c r="J199" s="144"/>
      <c r="K199" s="293" t="s">
        <v>15</v>
      </c>
      <c r="L199" s="334">
        <f t="shared" si="4"/>
        <v>82.978723404255319</v>
      </c>
      <c r="M199" s="335"/>
      <c r="N199" s="331" t="str">
        <f t="shared" si="5"/>
        <v>تقدم</v>
      </c>
      <c r="O199" s="331"/>
      <c r="P199" s="2"/>
      <c r="Q199" s="144"/>
      <c r="R199" s="144"/>
      <c r="S199" s="144"/>
      <c r="T199" s="144"/>
      <c r="U199" s="144"/>
      <c r="V199" s="144"/>
      <c r="W199" s="144"/>
      <c r="X199" s="144"/>
    </row>
    <row r="200" spans="1:24" s="1" customFormat="1" ht="16.5" thickTop="1" thickBot="1">
      <c r="A200" s="2"/>
      <c r="B200" s="170"/>
      <c r="C200" s="291" t="s">
        <v>21</v>
      </c>
      <c r="D200" s="292">
        <f>'نتائج الشهادة من الرقمنة'!P5</f>
        <v>0</v>
      </c>
      <c r="E200" s="144"/>
      <c r="F200" s="170"/>
      <c r="G200" s="291" t="s">
        <v>21</v>
      </c>
      <c r="H200" s="292">
        <f t="shared" si="3"/>
        <v>38.297872340425535</v>
      </c>
      <c r="I200" s="144"/>
      <c r="J200" s="144"/>
      <c r="K200" s="293" t="s">
        <v>21</v>
      </c>
      <c r="L200" s="334">
        <f t="shared" si="4"/>
        <v>38.297872340425535</v>
      </c>
      <c r="M200" s="335"/>
      <c r="N200" s="331" t="str">
        <f t="shared" si="5"/>
        <v>تقدم</v>
      </c>
      <c r="O200" s="331"/>
      <c r="P200" s="2"/>
      <c r="Q200" s="144"/>
      <c r="R200" s="144"/>
      <c r="S200" s="144"/>
      <c r="T200" s="144"/>
      <c r="U200" s="144"/>
      <c r="V200" s="144"/>
      <c r="W200" s="144"/>
      <c r="X200" s="144"/>
    </row>
    <row r="201" spans="1:24" s="1" customFormat="1" ht="16.5" thickTop="1" thickBot="1">
      <c r="A201" s="2"/>
      <c r="B201" s="170"/>
      <c r="C201" s="291" t="s">
        <v>16</v>
      </c>
      <c r="D201" s="292">
        <f>'نتائج الشهادة من الرقمنة'!Q5</f>
        <v>0</v>
      </c>
      <c r="E201" s="144"/>
      <c r="F201" s="170"/>
      <c r="G201" s="291" t="s">
        <v>16</v>
      </c>
      <c r="H201" s="292">
        <f t="shared" si="3"/>
        <v>25.531914893617021</v>
      </c>
      <c r="I201" s="144"/>
      <c r="J201" s="144"/>
      <c r="K201" s="293" t="s">
        <v>16</v>
      </c>
      <c r="L201" s="334">
        <f t="shared" si="4"/>
        <v>25.531914893617021</v>
      </c>
      <c r="M201" s="335"/>
      <c r="N201" s="331" t="str">
        <f t="shared" si="5"/>
        <v>تقدم</v>
      </c>
      <c r="O201" s="331"/>
      <c r="P201" s="2"/>
      <c r="Q201" s="144"/>
      <c r="R201" s="144"/>
      <c r="S201" s="144"/>
      <c r="T201" s="144"/>
      <c r="U201" s="144"/>
      <c r="V201" s="144"/>
      <c r="W201" s="144"/>
      <c r="X201" s="144"/>
    </row>
    <row r="202" spans="1:24" s="1" customFormat="1" ht="16.5" thickTop="1" thickBot="1">
      <c r="A202" s="2"/>
      <c r="B202" s="170"/>
      <c r="C202" s="291" t="s">
        <v>17</v>
      </c>
      <c r="D202" s="292">
        <f>'نتائج الشهادة من الرقمنة'!R5</f>
        <v>0</v>
      </c>
      <c r="E202" s="144"/>
      <c r="F202" s="170"/>
      <c r="G202" s="291" t="s">
        <v>17</v>
      </c>
      <c r="H202" s="292">
        <f t="shared" si="3"/>
        <v>31.914893617021278</v>
      </c>
      <c r="I202" s="144"/>
      <c r="J202" s="144"/>
      <c r="K202" s="293" t="s">
        <v>17</v>
      </c>
      <c r="L202" s="334">
        <f t="shared" si="4"/>
        <v>31.914893617021278</v>
      </c>
      <c r="M202" s="335"/>
      <c r="N202" s="331" t="str">
        <f t="shared" si="5"/>
        <v>تقدم</v>
      </c>
      <c r="O202" s="331"/>
      <c r="P202" s="2"/>
      <c r="Q202" s="144"/>
      <c r="R202" s="144"/>
      <c r="S202" s="144"/>
      <c r="T202" s="144"/>
      <c r="U202" s="144"/>
      <c r="V202" s="144"/>
      <c r="W202" s="144"/>
      <c r="X202" s="144"/>
    </row>
    <row r="203" spans="1:24" s="1" customFormat="1" ht="16.5" thickTop="1" thickBot="1">
      <c r="A203" s="2"/>
      <c r="B203" s="170"/>
      <c r="C203" s="291" t="s">
        <v>22</v>
      </c>
      <c r="D203" s="292">
        <f>'نتائج الشهادة من الرقمنة'!S5</f>
        <v>0</v>
      </c>
      <c r="E203" s="144"/>
      <c r="F203" s="170"/>
      <c r="G203" s="291" t="s">
        <v>22</v>
      </c>
      <c r="H203" s="292">
        <f t="shared" si="3"/>
        <v>78.723404255319153</v>
      </c>
      <c r="I203" s="144"/>
      <c r="J203" s="144"/>
      <c r="K203" s="293" t="s">
        <v>22</v>
      </c>
      <c r="L203" s="334">
        <f t="shared" si="4"/>
        <v>78.723404255319153</v>
      </c>
      <c r="M203" s="335"/>
      <c r="N203" s="331" t="str">
        <f t="shared" si="5"/>
        <v>تقدم</v>
      </c>
      <c r="O203" s="331"/>
      <c r="P203" s="2"/>
      <c r="Q203" s="144"/>
      <c r="R203" s="144"/>
      <c r="S203" s="144"/>
      <c r="T203" s="144"/>
      <c r="U203" s="144"/>
      <c r="V203" s="144"/>
      <c r="W203" s="144"/>
      <c r="X203" s="144"/>
    </row>
    <row r="204" spans="1:24" s="23" customFormat="1" ht="16.5" thickTop="1" thickBot="1">
      <c r="A204" s="264"/>
      <c r="B204" s="266"/>
      <c r="C204" s="289" t="s">
        <v>92</v>
      </c>
      <c r="D204" s="294">
        <f>'نتائج الشهادة من الرقمنة'!T5</f>
        <v>0</v>
      </c>
      <c r="F204" s="266"/>
      <c r="G204" s="289" t="s">
        <v>92</v>
      </c>
      <c r="H204" s="294">
        <f>J29</f>
        <v>48.936170212765958</v>
      </c>
      <c r="K204" s="295" t="s">
        <v>172</v>
      </c>
      <c r="L204" s="332">
        <f>H204-D204</f>
        <v>48.936170212765958</v>
      </c>
      <c r="M204" s="336"/>
      <c r="N204" s="332" t="str">
        <f t="shared" si="5"/>
        <v>تقدم</v>
      </c>
      <c r="O204" s="332"/>
      <c r="P204" s="264"/>
    </row>
    <row r="205" spans="1:24" s="1" customFormat="1" ht="15.75" thickTop="1">
      <c r="A205" s="2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2"/>
      <c r="Q205" s="144"/>
      <c r="R205" s="144"/>
      <c r="S205" s="144"/>
      <c r="T205" s="144"/>
      <c r="U205" s="144"/>
      <c r="V205" s="144"/>
      <c r="W205" s="144"/>
      <c r="X205" s="144"/>
    </row>
    <row r="206" spans="1:24" s="1" customFormat="1">
      <c r="A206" s="2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2"/>
      <c r="Q206" s="144"/>
      <c r="R206" s="144"/>
      <c r="S206" s="144"/>
      <c r="T206" s="144"/>
      <c r="U206" s="144"/>
      <c r="V206" s="144"/>
      <c r="W206" s="144"/>
      <c r="X206" s="144"/>
    </row>
    <row r="207" spans="1:24" s="1" customFormat="1">
      <c r="A207" s="2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2"/>
      <c r="Q207" s="144"/>
      <c r="R207" s="144"/>
      <c r="S207" s="144"/>
      <c r="T207" s="144"/>
      <c r="U207" s="144"/>
      <c r="V207" s="144"/>
      <c r="W207" s="144"/>
      <c r="X207" s="144"/>
    </row>
    <row r="208" spans="1:24" s="1" customFormat="1">
      <c r="A208" s="2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2"/>
      <c r="Q208" s="144"/>
      <c r="R208" s="144"/>
      <c r="S208" s="144"/>
      <c r="T208" s="144"/>
      <c r="U208" s="144"/>
      <c r="V208" s="144"/>
      <c r="W208" s="144"/>
      <c r="X208" s="144"/>
    </row>
    <row r="209" spans="1:24" s="1" customFormat="1">
      <c r="A209" s="206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2"/>
      <c r="Q209" s="144"/>
      <c r="R209" s="144"/>
      <c r="S209" s="144"/>
      <c r="T209" s="144"/>
      <c r="U209" s="144"/>
      <c r="V209" s="144"/>
      <c r="W209" s="144"/>
      <c r="X209" s="144"/>
    </row>
    <row r="210" spans="1:24" s="1" customFormat="1">
      <c r="A210" s="2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2"/>
      <c r="Q210" s="144"/>
      <c r="R210" s="144"/>
      <c r="S210" s="144"/>
      <c r="T210" s="144"/>
      <c r="U210" s="144"/>
      <c r="V210" s="144"/>
      <c r="W210" s="144"/>
      <c r="X210" s="144"/>
    </row>
    <row r="211" spans="1:24" s="1" customFormat="1">
      <c r="A211" s="2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2"/>
      <c r="Q211" s="144"/>
      <c r="R211" s="144"/>
      <c r="S211" s="144"/>
      <c r="T211" s="144"/>
      <c r="U211" s="144"/>
      <c r="V211" s="144"/>
      <c r="W211" s="144"/>
      <c r="X211" s="144"/>
    </row>
    <row r="212" spans="1:24" s="1" customFormat="1">
      <c r="A212" s="2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2"/>
      <c r="Q212" s="144"/>
      <c r="R212" s="144"/>
      <c r="S212" s="144"/>
      <c r="T212" s="144"/>
      <c r="U212" s="144"/>
      <c r="V212" s="144"/>
      <c r="W212" s="144"/>
      <c r="X212" s="144"/>
    </row>
    <row r="213" spans="1:24" s="1" customFormat="1">
      <c r="A213" s="206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2"/>
      <c r="Q213" s="144"/>
      <c r="R213" s="144"/>
      <c r="S213" s="144"/>
      <c r="T213" s="144"/>
      <c r="U213" s="144"/>
      <c r="V213" s="144"/>
      <c r="W213" s="144"/>
      <c r="X213" s="144"/>
    </row>
    <row r="214" spans="1:24" s="1" customFormat="1">
      <c r="A214" s="2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2"/>
      <c r="Q214" s="144"/>
      <c r="R214" s="144"/>
      <c r="S214" s="144"/>
      <c r="T214" s="144"/>
      <c r="U214" s="144"/>
      <c r="V214" s="144"/>
      <c r="W214" s="144"/>
      <c r="X214" s="144"/>
    </row>
    <row r="215" spans="1:24" s="1" customFormat="1">
      <c r="A215" s="2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2"/>
      <c r="Q215" s="144"/>
      <c r="R215" s="144"/>
      <c r="S215" s="144"/>
      <c r="T215" s="144"/>
      <c r="U215" s="144"/>
      <c r="V215" s="144"/>
      <c r="W215" s="144"/>
      <c r="X215" s="144"/>
    </row>
    <row r="216" spans="1:24" s="1" customFormat="1">
      <c r="A216" s="2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2"/>
      <c r="Q216" s="144"/>
      <c r="R216" s="144"/>
      <c r="S216" s="144"/>
      <c r="T216" s="144"/>
      <c r="U216" s="144"/>
      <c r="V216" s="144"/>
      <c r="W216" s="144"/>
      <c r="X216" s="144"/>
    </row>
    <row r="217" spans="1:24" s="1" customFormat="1">
      <c r="A217" s="2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2"/>
      <c r="Q217" s="144"/>
      <c r="R217" s="144"/>
      <c r="S217" s="144"/>
      <c r="T217" s="144"/>
      <c r="U217" s="144"/>
      <c r="V217" s="144"/>
      <c r="W217" s="144"/>
      <c r="X217" s="144"/>
    </row>
    <row r="218" spans="1:24" s="1" customFormat="1" ht="15.75" thickBot="1">
      <c r="A218" s="2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2"/>
      <c r="Q218" s="144"/>
      <c r="R218" s="144"/>
      <c r="S218" s="144"/>
      <c r="T218" s="144"/>
      <c r="U218" s="144"/>
      <c r="V218" s="144"/>
      <c r="W218" s="144"/>
      <c r="X218" s="144"/>
    </row>
    <row r="219" spans="1:24" s="1" customFormat="1" ht="15.75" thickBot="1">
      <c r="A219" s="2"/>
      <c r="B219" s="170"/>
      <c r="C219" s="170"/>
      <c r="D219" s="170"/>
      <c r="E219" s="296">
        <v>2023</v>
      </c>
      <c r="F219" s="170"/>
      <c r="G219" s="170"/>
      <c r="H219" s="170"/>
      <c r="I219" s="297">
        <v>2024</v>
      </c>
      <c r="J219" s="170"/>
      <c r="K219" s="170"/>
      <c r="L219" s="170"/>
      <c r="M219" s="170"/>
      <c r="N219" s="170"/>
      <c r="O219" s="170"/>
      <c r="P219" s="2"/>
      <c r="Q219" s="144"/>
      <c r="R219" s="144"/>
      <c r="S219" s="144"/>
      <c r="T219" s="144"/>
      <c r="U219" s="144"/>
      <c r="V219" s="144"/>
      <c r="W219" s="144"/>
      <c r="X219" s="144"/>
    </row>
    <row r="220" spans="1:24" s="1" customFormat="1">
      <c r="A220" s="2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2"/>
      <c r="Q220" s="144"/>
      <c r="R220" s="144"/>
      <c r="S220" s="144"/>
      <c r="T220" s="144"/>
      <c r="U220" s="144"/>
      <c r="V220" s="144"/>
      <c r="W220" s="144"/>
      <c r="X220" s="144"/>
    </row>
    <row r="221" spans="1:24" s="1" customFormat="1">
      <c r="A221" s="2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2"/>
      <c r="Q221" s="144"/>
      <c r="R221" s="144"/>
      <c r="S221" s="144"/>
      <c r="T221" s="144"/>
      <c r="U221" s="144"/>
      <c r="V221" s="144"/>
      <c r="W221" s="144"/>
      <c r="X221" s="144"/>
    </row>
    <row r="222" spans="1:24" s="1" customFormat="1">
      <c r="A222" s="2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2"/>
      <c r="Q222" s="144"/>
      <c r="R222" s="144"/>
      <c r="S222" s="144"/>
      <c r="T222" s="144"/>
      <c r="U222" s="144"/>
      <c r="V222" s="144"/>
      <c r="W222" s="144"/>
      <c r="X222" s="144"/>
    </row>
    <row r="223" spans="1:24" s="1" customFormat="1">
      <c r="A223" s="2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2"/>
      <c r="Q223" s="144"/>
      <c r="R223" s="144"/>
      <c r="S223" s="144"/>
      <c r="T223" s="144"/>
      <c r="U223" s="144"/>
      <c r="V223" s="144"/>
      <c r="W223" s="144"/>
      <c r="X223" s="144"/>
    </row>
    <row r="225" spans="3:14" ht="15.75" thickBot="1"/>
    <row r="226" spans="3:14" ht="16.5" thickTop="1" thickBot="1">
      <c r="C226" s="396" t="s">
        <v>161</v>
      </c>
      <c r="D226" s="397"/>
      <c r="E226" s="397"/>
      <c r="F226" s="398"/>
      <c r="I226" s="406" t="s">
        <v>166</v>
      </c>
      <c r="J226" s="406"/>
      <c r="K226" s="298"/>
      <c r="L226" s="298"/>
    </row>
    <row r="227" spans="3:14" ht="16.5" thickTop="1" thickBot="1">
      <c r="C227" s="399"/>
      <c r="D227" s="400"/>
      <c r="E227" s="400"/>
      <c r="F227" s="401"/>
      <c r="I227" s="406"/>
      <c r="J227" s="406"/>
      <c r="K227" s="298"/>
      <c r="L227" s="298"/>
    </row>
    <row r="228" spans="3:14" ht="15.75" thickBot="1"/>
    <row r="229" spans="3:14" ht="15.75" thickBot="1">
      <c r="D229" s="402">
        <f>O11</f>
        <v>33</v>
      </c>
      <c r="E229" s="403"/>
      <c r="I229" s="407">
        <f>D229*0.1</f>
        <v>3.3000000000000003</v>
      </c>
      <c r="J229" s="408"/>
    </row>
    <row r="230" spans="3:14" ht="16.5" thickTop="1" thickBot="1">
      <c r="D230" s="404"/>
      <c r="E230" s="405"/>
      <c r="I230" s="409"/>
      <c r="J230" s="410"/>
    </row>
    <row r="240" spans="3:14" ht="15.75" thickBot="1">
      <c r="C240" s="299">
        <v>0.7</v>
      </c>
      <c r="F240" s="299">
        <v>0.3</v>
      </c>
      <c r="K240" s="299">
        <v>0.6</v>
      </c>
      <c r="N240" s="299">
        <v>0.4</v>
      </c>
    </row>
    <row r="241" spans="1:24" s="30" customFormat="1" ht="19.5" thickBot="1">
      <c r="A241" s="300"/>
      <c r="B241" s="389" t="s">
        <v>162</v>
      </c>
      <c r="C241" s="390"/>
      <c r="D241" s="390"/>
      <c r="E241" s="391" t="s">
        <v>163</v>
      </c>
      <c r="F241" s="392"/>
      <c r="G241" s="393"/>
      <c r="H241" s="301"/>
      <c r="I241" s="301"/>
      <c r="J241" s="389" t="s">
        <v>162</v>
      </c>
      <c r="K241" s="390"/>
      <c r="L241" s="390"/>
      <c r="M241" s="391" t="s">
        <v>163</v>
      </c>
      <c r="N241" s="392"/>
      <c r="O241" s="393"/>
      <c r="P241" s="300"/>
    </row>
    <row r="242" spans="1:24">
      <c r="D242" s="302"/>
      <c r="E242" s="302"/>
    </row>
    <row r="243" spans="1:24">
      <c r="D243" s="298"/>
      <c r="E243" s="298"/>
    </row>
    <row r="244" spans="1:24" ht="15.75" thickBot="1"/>
    <row r="245" spans="1:24">
      <c r="C245" s="385">
        <f>D229*0.7</f>
        <v>23.099999999999998</v>
      </c>
      <c r="F245" s="387">
        <f>D229*0.3</f>
        <v>9.9</v>
      </c>
      <c r="K245" s="385">
        <f>D229*0.6</f>
        <v>19.8</v>
      </c>
      <c r="N245" s="387">
        <f>D229*0.4</f>
        <v>13.200000000000001</v>
      </c>
    </row>
    <row r="246" spans="1:24" ht="15.75" thickBot="1">
      <c r="C246" s="386"/>
      <c r="F246" s="388"/>
      <c r="K246" s="386"/>
      <c r="N246" s="388"/>
    </row>
    <row r="247" spans="1:24" s="4" customFormat="1" ht="15.95" customHeight="1">
      <c r="A247" s="5"/>
      <c r="B247" s="143"/>
      <c r="C247" s="303"/>
      <c r="D247" s="143"/>
      <c r="E247" s="143"/>
      <c r="F247" s="303"/>
      <c r="G247" s="143"/>
      <c r="H247" s="143"/>
      <c r="I247" s="143"/>
      <c r="J247" s="143"/>
      <c r="K247" s="303"/>
      <c r="L247" s="143"/>
      <c r="M247" s="143"/>
      <c r="N247" s="303"/>
      <c r="O247" s="143"/>
      <c r="P247" s="5"/>
      <c r="Q247" s="147"/>
      <c r="R247" s="147"/>
      <c r="S247" s="147"/>
      <c r="T247" s="147"/>
      <c r="U247" s="147"/>
      <c r="V247" s="147"/>
      <c r="W247" s="147"/>
      <c r="X247" s="147"/>
    </row>
    <row r="253" spans="1:24" ht="15.75" thickBot="1"/>
    <row r="254" spans="1:24" s="31" customFormat="1" ht="19.5" thickBot="1">
      <c r="A254" s="2"/>
      <c r="B254" s="170"/>
      <c r="C254" s="170"/>
      <c r="D254" s="170"/>
      <c r="E254" s="327" t="s">
        <v>173</v>
      </c>
      <c r="F254" s="328"/>
      <c r="G254" s="304">
        <f>(100*'نتائج الشهادة. المعدلات السنوية'!AD2)/C6</f>
        <v>17.021276595744681</v>
      </c>
      <c r="H254" s="170"/>
      <c r="I254" s="170"/>
      <c r="J254" s="170"/>
      <c r="K254" s="170"/>
      <c r="L254" s="170"/>
      <c r="M254" s="329" t="s">
        <v>173</v>
      </c>
      <c r="N254" s="330"/>
      <c r="O254" s="305">
        <f>('نتائج الشهادة. المعدلات السنوية'!AF2*100)/C6</f>
        <v>12.76595744680851</v>
      </c>
      <c r="P254" s="2"/>
      <c r="Q254" s="144"/>
      <c r="R254" s="144"/>
      <c r="S254" s="144"/>
      <c r="T254" s="144"/>
      <c r="U254" s="144"/>
      <c r="V254" s="144"/>
      <c r="W254" s="144"/>
      <c r="X254" s="144"/>
    </row>
  </sheetData>
  <mergeCells count="103">
    <mergeCell ref="C245:C246"/>
    <mergeCell ref="F245:F246"/>
    <mergeCell ref="K245:K246"/>
    <mergeCell ref="N245:N246"/>
    <mergeCell ref="B241:D241"/>
    <mergeCell ref="M241:O241"/>
    <mergeCell ref="E241:G241"/>
    <mergeCell ref="J241:L241"/>
    <mergeCell ref="C49:D49"/>
    <mergeCell ref="B65:E65"/>
    <mergeCell ref="C226:F227"/>
    <mergeCell ref="D229:E230"/>
    <mergeCell ref="I226:J227"/>
    <mergeCell ref="I229:J230"/>
    <mergeCell ref="I82:J82"/>
    <mergeCell ref="I92:J92"/>
    <mergeCell ref="I102:J102"/>
    <mergeCell ref="I116:J116"/>
    <mergeCell ref="C116:D116"/>
    <mergeCell ref="C128:D128"/>
    <mergeCell ref="C92:D92"/>
    <mergeCell ref="C102:D102"/>
    <mergeCell ref="C113:D113"/>
    <mergeCell ref="B162:C162"/>
    <mergeCell ref="D1:L1"/>
    <mergeCell ref="L16:N16"/>
    <mergeCell ref="C6:D6"/>
    <mergeCell ref="A36:C37"/>
    <mergeCell ref="B3:D3"/>
    <mergeCell ref="B31:H31"/>
    <mergeCell ref="A30:C30"/>
    <mergeCell ref="M3:N3"/>
    <mergeCell ref="A33:C34"/>
    <mergeCell ref="E6:F6"/>
    <mergeCell ref="G6:H6"/>
    <mergeCell ref="I6:J6"/>
    <mergeCell ref="A9:B9"/>
    <mergeCell ref="A10:B10"/>
    <mergeCell ref="A35:H35"/>
    <mergeCell ref="B16:I16"/>
    <mergeCell ref="O3:P3"/>
    <mergeCell ref="A11:B11"/>
    <mergeCell ref="A12:B12"/>
    <mergeCell ref="A13:B13"/>
    <mergeCell ref="K150:L150"/>
    <mergeCell ref="N150:O150"/>
    <mergeCell ref="B148:I148"/>
    <mergeCell ref="B149:C149"/>
    <mergeCell ref="B150:C150"/>
    <mergeCell ref="E150:F150"/>
    <mergeCell ref="H150:I150"/>
    <mergeCell ref="C138:J138"/>
    <mergeCell ref="O16:P16"/>
    <mergeCell ref="G65:J65"/>
    <mergeCell ref="L65:O65"/>
    <mergeCell ref="B63:H63"/>
    <mergeCell ref="B53:F53"/>
    <mergeCell ref="A80:H80"/>
    <mergeCell ref="C82:D82"/>
    <mergeCell ref="A39:C40"/>
    <mergeCell ref="B43:H43"/>
    <mergeCell ref="C46:D46"/>
    <mergeCell ref="C47:D47"/>
    <mergeCell ref="C48:D48"/>
    <mergeCell ref="C186:N187"/>
    <mergeCell ref="N166:O166"/>
    <mergeCell ref="K166:L166"/>
    <mergeCell ref="H166:I166"/>
    <mergeCell ref="E166:F166"/>
    <mergeCell ref="B166:C166"/>
    <mergeCell ref="K162:L162"/>
    <mergeCell ref="N162:O162"/>
    <mergeCell ref="B154:C154"/>
    <mergeCell ref="E154:F154"/>
    <mergeCell ref="H154:I154"/>
    <mergeCell ref="K154:L154"/>
    <mergeCell ref="N154:O154"/>
    <mergeCell ref="E162:F162"/>
    <mergeCell ref="H162:I162"/>
    <mergeCell ref="E254:F254"/>
    <mergeCell ref="M254:N254"/>
    <mergeCell ref="N203:O203"/>
    <mergeCell ref="N204:O204"/>
    <mergeCell ref="L194:M194"/>
    <mergeCell ref="L195:M195"/>
    <mergeCell ref="L204:M204"/>
    <mergeCell ref="L203:M203"/>
    <mergeCell ref="L202:M202"/>
    <mergeCell ref="L201:M201"/>
    <mergeCell ref="L200:M200"/>
    <mergeCell ref="L199:M199"/>
    <mergeCell ref="L198:M198"/>
    <mergeCell ref="L197:M197"/>
    <mergeCell ref="L196:M196"/>
    <mergeCell ref="N194:O194"/>
    <mergeCell ref="N195:O195"/>
    <mergeCell ref="N198:O198"/>
    <mergeCell ref="N199:O199"/>
    <mergeCell ref="N200:O200"/>
    <mergeCell ref="N201:O201"/>
    <mergeCell ref="N202:O202"/>
    <mergeCell ref="N196:O196"/>
    <mergeCell ref="N197:O197"/>
  </mergeCells>
  <conditionalFormatting sqref="B164 E164 H164 K164 N164 B152 E152 H152 K152 N152">
    <cfRule type="cellIs" dxfId="0" priority="16" operator="lessThan">
      <formula>50</formula>
    </cfRule>
  </conditionalFormatting>
  <pageMargins left="0.39370078740157483" right="0.39370078740157483" top="0.39370078740157483" bottom="0.39370078740157483" header="0.39370078740157483" footer="0.31496062992125984"/>
  <pageSetup paperSize="9" orientation="landscape" r:id="rId1"/>
  <ignoredErrors>
    <ignoredError sqref="N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rightToLeft="1" workbookViewId="0">
      <selection activeCell="D18" sqref="D18"/>
    </sheetView>
  </sheetViews>
  <sheetFormatPr baseColWidth="10" defaultColWidth="11.42578125" defaultRowHeight="15"/>
  <cols>
    <col min="1" max="4" width="11.42578125" style="31"/>
    <col min="5" max="5" width="18" style="31" customWidth="1"/>
    <col min="6" max="6" width="0.85546875" style="31" customWidth="1"/>
    <col min="7" max="7" width="3.140625" style="31" customWidth="1"/>
    <col min="8" max="16" width="11.42578125" style="31"/>
  </cols>
  <sheetData>
    <row r="1" spans="1:16" s="1" customFormat="1" ht="15.95" customHeight="1" thickBot="1">
      <c r="A1" s="428" t="s">
        <v>167</v>
      </c>
      <c r="B1" s="428"/>
      <c r="C1" s="428"/>
      <c r="D1" s="428"/>
      <c r="E1" s="428"/>
      <c r="F1" s="71"/>
      <c r="G1" s="428" t="s">
        <v>167</v>
      </c>
      <c r="H1" s="428"/>
      <c r="I1" s="428"/>
      <c r="J1" s="428"/>
      <c r="K1" s="428"/>
      <c r="L1" s="428"/>
      <c r="M1" s="31"/>
      <c r="N1" s="31"/>
      <c r="O1" s="31"/>
      <c r="P1" s="31"/>
    </row>
    <row r="2" spans="1:16" s="1" customFormat="1" ht="5.0999999999999996" customHeight="1" thickBot="1">
      <c r="A2" s="65"/>
      <c r="B2" s="65"/>
      <c r="C2" s="65"/>
      <c r="D2" s="65"/>
      <c r="E2" s="65"/>
      <c r="F2" s="424"/>
      <c r="G2" s="65"/>
      <c r="H2" s="65"/>
      <c r="I2" s="65"/>
      <c r="J2" s="65"/>
      <c r="K2" s="65"/>
      <c r="L2" s="65"/>
      <c r="M2" s="31"/>
      <c r="N2" s="31"/>
      <c r="O2" s="31"/>
      <c r="P2" s="31"/>
    </row>
    <row r="3" spans="1:16" s="1" customFormat="1" ht="14.1" customHeight="1" thickBot="1">
      <c r="A3" s="413" t="s">
        <v>95</v>
      </c>
      <c r="B3" s="413"/>
      <c r="C3" s="414" t="s">
        <v>3</v>
      </c>
      <c r="D3" s="414"/>
      <c r="E3" s="66"/>
      <c r="F3" s="425"/>
      <c r="G3" s="415" t="s">
        <v>95</v>
      </c>
      <c r="H3" s="416"/>
      <c r="I3" s="414" t="s">
        <v>4</v>
      </c>
      <c r="J3" s="414"/>
      <c r="K3" s="66"/>
      <c r="L3" s="66"/>
      <c r="M3" s="31"/>
      <c r="N3" s="31"/>
      <c r="O3" s="31"/>
      <c r="P3" s="31"/>
    </row>
    <row r="4" spans="1:16" s="1" customFormat="1" ht="14.1" customHeight="1" thickBot="1">
      <c r="A4" s="419" t="s">
        <v>49</v>
      </c>
      <c r="B4" s="419"/>
      <c r="C4" s="419"/>
      <c r="D4" s="72">
        <f>'تحليل الشهادة + التقويم المستمر'!C9</f>
        <v>12.946808510638299</v>
      </c>
      <c r="E4" s="66"/>
      <c r="F4" s="425"/>
      <c r="G4" s="419" t="s">
        <v>49</v>
      </c>
      <c r="H4" s="419"/>
      <c r="I4" s="419"/>
      <c r="J4" s="72">
        <f>'تحليل الشهادة + التقويم المستمر'!D9</f>
        <v>9.4574468085106389</v>
      </c>
      <c r="K4" s="66"/>
      <c r="L4" s="66"/>
      <c r="M4" s="31"/>
      <c r="N4" s="31"/>
      <c r="O4" s="31"/>
      <c r="P4" s="31"/>
    </row>
    <row r="5" spans="1:16" s="1" customFormat="1" ht="14.1" customHeight="1" thickBot="1">
      <c r="A5" s="419" t="s">
        <v>96</v>
      </c>
      <c r="B5" s="419"/>
      <c r="C5" s="419"/>
      <c r="D5" s="72">
        <f>'تحليل الشهادة + التقويم المستمر'!C10</f>
        <v>2.0353100950656402</v>
      </c>
      <c r="E5" s="63"/>
      <c r="F5" s="425"/>
      <c r="G5" s="419" t="s">
        <v>96</v>
      </c>
      <c r="H5" s="419"/>
      <c r="I5" s="419"/>
      <c r="J5" s="72">
        <f>'تحليل الشهادة + التقويم المستمر'!D10</f>
        <v>3.2154821186057041</v>
      </c>
      <c r="K5" s="73"/>
      <c r="L5" s="73"/>
      <c r="M5" s="31"/>
      <c r="N5" s="31"/>
      <c r="O5" s="31"/>
      <c r="P5" s="31"/>
    </row>
    <row r="6" spans="1:16" s="1" customFormat="1" ht="14.1" customHeight="1" thickBot="1">
      <c r="A6" s="417" t="s">
        <v>97</v>
      </c>
      <c r="B6" s="417"/>
      <c r="C6" s="417"/>
      <c r="D6" s="72">
        <f>D5/D4*100</f>
        <v>15.720554555149564</v>
      </c>
      <c r="E6" s="73"/>
      <c r="F6" s="425"/>
      <c r="G6" s="417" t="s">
        <v>97</v>
      </c>
      <c r="H6" s="417"/>
      <c r="I6" s="417"/>
      <c r="J6" s="72">
        <f>J5/J4*100</f>
        <v>33.999473470071564</v>
      </c>
      <c r="K6" s="73"/>
      <c r="L6" s="73"/>
      <c r="M6" s="31"/>
      <c r="N6" s="31"/>
      <c r="O6" s="31"/>
      <c r="P6" s="31"/>
    </row>
    <row r="7" spans="1:16" s="1" customFormat="1" ht="9.9499999999999993" customHeight="1" thickBot="1">
      <c r="A7" s="63"/>
      <c r="B7" s="63"/>
      <c r="C7" s="63"/>
      <c r="D7" s="63"/>
      <c r="E7" s="63"/>
      <c r="F7" s="426"/>
      <c r="G7" s="66"/>
      <c r="H7" s="63"/>
      <c r="I7" s="63"/>
      <c r="J7" s="63"/>
      <c r="K7" s="63"/>
      <c r="L7" s="63"/>
      <c r="M7" s="31"/>
      <c r="N7" s="31"/>
      <c r="O7" s="31"/>
      <c r="P7" s="31"/>
    </row>
    <row r="8" spans="1:16" s="1" customFormat="1" ht="15" customHeight="1" thickBot="1">
      <c r="A8" s="74" t="s">
        <v>98</v>
      </c>
      <c r="B8" s="74" t="s">
        <v>99</v>
      </c>
      <c r="C8" s="74" t="s">
        <v>39</v>
      </c>
      <c r="D8" s="74" t="s">
        <v>100</v>
      </c>
      <c r="E8" s="74" t="s">
        <v>39</v>
      </c>
      <c r="F8" s="427"/>
      <c r="G8" s="60"/>
      <c r="H8" s="74" t="s">
        <v>98</v>
      </c>
      <c r="I8" s="74" t="s">
        <v>99</v>
      </c>
      <c r="J8" s="74" t="s">
        <v>39</v>
      </c>
      <c r="K8" s="74" t="s">
        <v>100</v>
      </c>
      <c r="L8" s="74" t="s">
        <v>39</v>
      </c>
      <c r="M8" s="31"/>
      <c r="N8" s="31"/>
      <c r="O8" s="31"/>
      <c r="P8" s="31"/>
    </row>
    <row r="9" spans="1:16" s="1" customFormat="1" ht="15" customHeight="1" thickBot="1">
      <c r="A9" s="75">
        <f>'تحليل الشهادة + التقويم المستمر'!C13</f>
        <v>47</v>
      </c>
      <c r="B9" s="75">
        <f>'تحليل الشهادة + التقويم المستمر'!C11</f>
        <v>41</v>
      </c>
      <c r="C9" s="76">
        <f>(B9*100)/A9</f>
        <v>87.234042553191486</v>
      </c>
      <c r="D9" s="77">
        <f>A9-B9</f>
        <v>6</v>
      </c>
      <c r="E9" s="78">
        <f>(D9*100)/A9</f>
        <v>12.76595744680851</v>
      </c>
      <c r="F9" s="427"/>
      <c r="G9" s="79"/>
      <c r="H9" s="75">
        <f>'تحليل الشهادة + التقويم المستمر'!D13</f>
        <v>47</v>
      </c>
      <c r="I9" s="75">
        <f>'تحليل الشهادة + التقويم المستمر'!D11</f>
        <v>25</v>
      </c>
      <c r="J9" s="76">
        <f>(I9*100)/H9</f>
        <v>53.191489361702125</v>
      </c>
      <c r="K9" s="77">
        <f>H9-I9</f>
        <v>22</v>
      </c>
      <c r="L9" s="78">
        <f>(K9*100)/H9</f>
        <v>46.808510638297875</v>
      </c>
      <c r="M9" s="31"/>
      <c r="N9" s="31"/>
      <c r="O9" s="31"/>
      <c r="P9" s="31"/>
    </row>
    <row r="10" spans="1:16" s="1" customFormat="1" ht="5.0999999999999996" customHeight="1" thickBot="1">
      <c r="A10" s="61"/>
      <c r="B10" s="61"/>
      <c r="C10" s="61"/>
      <c r="D10" s="61"/>
      <c r="E10" s="61"/>
      <c r="F10" s="426"/>
      <c r="G10" s="80"/>
      <c r="H10" s="81"/>
      <c r="I10" s="81"/>
      <c r="J10" s="81"/>
      <c r="K10" s="81"/>
      <c r="L10" s="63"/>
      <c r="M10" s="31"/>
      <c r="N10" s="31"/>
      <c r="O10" s="31"/>
      <c r="P10" s="31"/>
    </row>
    <row r="11" spans="1:16" s="1" customFormat="1" ht="18" customHeight="1" thickBot="1">
      <c r="A11" s="422" t="s">
        <v>101</v>
      </c>
      <c r="B11" s="82" t="s">
        <v>102</v>
      </c>
      <c r="C11" s="82" t="s">
        <v>103</v>
      </c>
      <c r="D11" s="82" t="s">
        <v>104</v>
      </c>
      <c r="E11" s="82" t="s">
        <v>105</v>
      </c>
      <c r="F11" s="427"/>
      <c r="G11" s="66"/>
      <c r="H11" s="423" t="s">
        <v>101</v>
      </c>
      <c r="I11" s="82" t="s">
        <v>102</v>
      </c>
      <c r="J11" s="82" t="s">
        <v>103</v>
      </c>
      <c r="K11" s="82" t="s">
        <v>104</v>
      </c>
      <c r="L11" s="82" t="s">
        <v>105</v>
      </c>
      <c r="M11" s="31"/>
      <c r="N11" s="31"/>
      <c r="O11" s="31"/>
      <c r="P11" s="31"/>
    </row>
    <row r="12" spans="1:16" s="1" customFormat="1" ht="12.95" customHeight="1" thickBot="1">
      <c r="A12" s="422"/>
      <c r="B12" s="83">
        <f>D5*3/2-D4</f>
        <v>-9.893843368039839</v>
      </c>
      <c r="C12" s="83">
        <f>(D5*1/2-D4)</f>
        <v>-11.929153463105479</v>
      </c>
      <c r="D12" s="84">
        <f>(D5*1/2+D4)</f>
        <v>13.964463558171119</v>
      </c>
      <c r="E12" s="84">
        <f>(D5*3/2+D4)</f>
        <v>15.999773653236758</v>
      </c>
      <c r="F12" s="427"/>
      <c r="G12" s="66"/>
      <c r="H12" s="423"/>
      <c r="I12" s="83">
        <f>(J5*3/2-J4)</f>
        <v>-4.634223630602083</v>
      </c>
      <c r="J12" s="83">
        <f>(J5*1/2-J4)</f>
        <v>-7.8497057492077866</v>
      </c>
      <c r="K12" s="84">
        <f>(J5*1/2+J4)</f>
        <v>11.06518786781349</v>
      </c>
      <c r="L12" s="84">
        <f>(J5*3/2+J4)</f>
        <v>14.280669986419195</v>
      </c>
      <c r="M12" s="31"/>
      <c r="N12" s="31"/>
      <c r="O12" s="31"/>
      <c r="P12" s="31"/>
    </row>
    <row r="13" spans="1:16" s="1" customFormat="1" ht="5.0999999999999996" customHeight="1">
      <c r="A13" s="85"/>
      <c r="B13" s="85"/>
      <c r="C13" s="85"/>
      <c r="D13" s="86"/>
      <c r="E13" s="86"/>
      <c r="F13" s="426"/>
      <c r="G13" s="66"/>
      <c r="H13" s="81"/>
      <c r="I13" s="81"/>
      <c r="J13" s="81"/>
      <c r="K13" s="81"/>
      <c r="L13" s="81"/>
      <c r="M13" s="31"/>
      <c r="N13" s="31"/>
      <c r="O13" s="31"/>
      <c r="P13" s="31"/>
    </row>
    <row r="14" spans="1:16" s="1" customFormat="1" ht="2.1" customHeight="1" thickBot="1">
      <c r="A14" s="85"/>
      <c r="B14" s="85"/>
      <c r="C14" s="85"/>
      <c r="D14" s="86"/>
      <c r="E14" s="86"/>
      <c r="F14" s="426"/>
      <c r="G14" s="66"/>
      <c r="H14" s="80"/>
      <c r="I14" s="80"/>
      <c r="J14" s="80"/>
      <c r="K14" s="80"/>
      <c r="L14" s="80"/>
      <c r="M14" s="31"/>
      <c r="N14" s="31"/>
      <c r="O14" s="31"/>
      <c r="P14" s="31"/>
    </row>
    <row r="15" spans="1:16" s="1" customFormat="1" ht="12" customHeight="1" thickBot="1">
      <c r="A15" s="87" t="s">
        <v>39</v>
      </c>
      <c r="B15" s="87" t="s">
        <v>39</v>
      </c>
      <c r="C15" s="87" t="s">
        <v>39</v>
      </c>
      <c r="D15" s="87" t="s">
        <v>39</v>
      </c>
      <c r="E15" s="87" t="s">
        <v>39</v>
      </c>
      <c r="F15" s="426"/>
      <c r="G15" s="66"/>
      <c r="H15" s="87" t="s">
        <v>39</v>
      </c>
      <c r="I15" s="87" t="s">
        <v>39</v>
      </c>
      <c r="J15" s="87" t="s">
        <v>39</v>
      </c>
      <c r="K15" s="87" t="s">
        <v>39</v>
      </c>
      <c r="L15" s="87" t="s">
        <v>39</v>
      </c>
      <c r="M15" s="31"/>
      <c r="N15" s="31"/>
      <c r="O15" s="31"/>
      <c r="P15" s="31"/>
    </row>
    <row r="16" spans="1:16" s="1" customFormat="1" ht="15" customHeight="1" thickBot="1">
      <c r="A16" s="88">
        <f>(A17*100)/A9</f>
        <v>12.76595744680851</v>
      </c>
      <c r="B16" s="88">
        <f>(B17*100/A9)</f>
        <v>17.021276595744681</v>
      </c>
      <c r="C16" s="88">
        <f>(C17*100/A9)</f>
        <v>21.276595744680851</v>
      </c>
      <c r="D16" s="88">
        <f>(D17*100/A9)</f>
        <v>34.042553191489361</v>
      </c>
      <c r="E16" s="88">
        <f>(E17*100/A9)</f>
        <v>14.893617021276595</v>
      </c>
      <c r="F16" s="426"/>
      <c r="G16" s="66"/>
      <c r="H16" s="88">
        <f>(H17*100/H9)</f>
        <v>8.5106382978723403</v>
      </c>
      <c r="I16" s="88">
        <f>(I17*100/H9)</f>
        <v>21.276595744680851</v>
      </c>
      <c r="J16" s="88">
        <f>(J17*100/H9)</f>
        <v>17.021276595744681</v>
      </c>
      <c r="K16" s="88">
        <f>(K17*100/H9)</f>
        <v>25.531914893617021</v>
      </c>
      <c r="L16" s="88">
        <f>(L17*100/H9)</f>
        <v>27.659574468085108</v>
      </c>
      <c r="M16" s="31"/>
      <c r="N16" s="31"/>
      <c r="O16" s="31"/>
      <c r="P16" s="31"/>
    </row>
    <row r="17" spans="1:16" s="1" customFormat="1" ht="15" customHeight="1" thickBot="1">
      <c r="A17" s="89">
        <f>((COUNTIF('نتائج الشهادة. المعدلات السنوية'!G5:G51,"&lt;9,55")))</f>
        <v>6</v>
      </c>
      <c r="B17" s="89">
        <f>((COUNTIF('نتائج الشهادة. المعدلات السنوية'!G5:G51,"&lt;11,52")))-A17</f>
        <v>8</v>
      </c>
      <c r="C17" s="89">
        <f>((COUNTIF('نتائج الشهادة. المعدلات السنوية'!G5:G51,"&lt;13,48")))-B17-A17</f>
        <v>10</v>
      </c>
      <c r="D17" s="89">
        <f>((COUNTIF('نتائج الشهادة. المعدلات السنوية'!G5:G51,"&lt;15,45")))-C17-B17-A17</f>
        <v>16</v>
      </c>
      <c r="E17" s="89">
        <f>A9-(A17+B17+C17+D17)</f>
        <v>7</v>
      </c>
      <c r="F17" s="426"/>
      <c r="G17" s="66"/>
      <c r="H17" s="89">
        <f>((COUNTIF('نتائج الشهادة. المعدلات السنوية'!H5:H51,"&lt;4,46")))</f>
        <v>4</v>
      </c>
      <c r="I17" s="89">
        <f>((COUNTIF('نتائج الشهادة. المعدلات السنوية'!H5:H51,"&lt;6,81")))-H17</f>
        <v>10</v>
      </c>
      <c r="J17" s="89">
        <f>((COUNTIF('نتائج الشهادة. المعدلات السنوية'!H5:H51,"&lt;9,16")))-I17-H17</f>
        <v>8</v>
      </c>
      <c r="K17" s="89">
        <f>((COUNTIF('نتائج الشهادة. المعدلات السنوية'!H5:H51,"&lt;11,51")))-J17-I17-H17</f>
        <v>12</v>
      </c>
      <c r="L17" s="89">
        <f>H9-(H17+I17+J17+K17)</f>
        <v>13</v>
      </c>
      <c r="M17" s="31"/>
      <c r="N17" s="31"/>
      <c r="O17" s="37"/>
      <c r="P17" s="31"/>
    </row>
    <row r="18" spans="1:16" s="1" customFormat="1" ht="15" customHeight="1" thickBot="1">
      <c r="A18" s="90" t="s">
        <v>106</v>
      </c>
      <c r="B18" s="90" t="s">
        <v>107</v>
      </c>
      <c r="C18" s="91" t="s">
        <v>108</v>
      </c>
      <c r="D18" s="92" t="s">
        <v>109</v>
      </c>
      <c r="E18" s="92" t="s">
        <v>110</v>
      </c>
      <c r="F18" s="426"/>
      <c r="G18" s="66"/>
      <c r="H18" s="90" t="s">
        <v>106</v>
      </c>
      <c r="I18" s="90" t="s">
        <v>107</v>
      </c>
      <c r="J18" s="91" t="s">
        <v>108</v>
      </c>
      <c r="K18" s="92" t="s">
        <v>109</v>
      </c>
      <c r="L18" s="92" t="s">
        <v>110</v>
      </c>
      <c r="M18" s="31"/>
      <c r="N18" s="31"/>
      <c r="O18" s="31"/>
      <c r="P18" s="31"/>
    </row>
    <row r="19" spans="1:16" s="1" customFormat="1" ht="9.9499999999999993" customHeight="1" thickBot="1">
      <c r="A19" s="93"/>
      <c r="B19" s="93"/>
      <c r="C19" s="94"/>
      <c r="D19" s="95"/>
      <c r="E19" s="95"/>
      <c r="F19" s="426"/>
      <c r="G19" s="66"/>
      <c r="H19" s="93"/>
      <c r="I19" s="93"/>
      <c r="J19" s="94"/>
      <c r="K19" s="95"/>
      <c r="L19" s="95"/>
      <c r="M19" s="31"/>
      <c r="N19" s="31"/>
      <c r="O19" s="31"/>
      <c r="P19" s="31"/>
    </row>
    <row r="20" spans="1:16" s="1" customFormat="1" ht="12" customHeight="1" thickBot="1">
      <c r="A20" s="418" t="s">
        <v>111</v>
      </c>
      <c r="B20" s="418"/>
      <c r="C20" s="96">
        <f>D6</f>
        <v>15.720554555149564</v>
      </c>
      <c r="D20" s="412" t="str">
        <f>IF(C20&gt;=30,"هناك  تشتت و إختلاف",IF(C20&gt;=15,"هناك  انسجام نسبي",IF(C20&lt;15,"هناك انسجام  تام",)))</f>
        <v>هناك  انسجام نسبي</v>
      </c>
      <c r="E20" s="412"/>
      <c r="F20" s="427"/>
      <c r="G20" s="66"/>
      <c r="H20" s="418" t="s">
        <v>111</v>
      </c>
      <c r="I20" s="418"/>
      <c r="J20" s="96">
        <f>J6</f>
        <v>33.999473470071564</v>
      </c>
      <c r="K20" s="412" t="str">
        <f>IF(J20&gt;=30,"هناك  تشتت و إختلاف",IF(J20&gt;=15,"هناك  انسجام نسبي",IF(J20&lt;15,"هناك انسجام  تام",)))</f>
        <v>هناك  تشتت و إختلاف</v>
      </c>
      <c r="L20" s="412"/>
      <c r="M20" s="31"/>
      <c r="N20" s="31"/>
      <c r="O20" s="31"/>
      <c r="P20" s="31"/>
    </row>
    <row r="21" spans="1:16" s="4" customFormat="1" ht="15" customHeight="1" thickBot="1">
      <c r="A21" s="97"/>
      <c r="B21" s="97"/>
      <c r="C21" s="98"/>
      <c r="D21" s="98"/>
      <c r="E21" s="60"/>
      <c r="F21" s="426"/>
      <c r="G21" s="99"/>
      <c r="H21" s="99"/>
      <c r="I21" s="98"/>
      <c r="J21" s="98"/>
      <c r="K21" s="99"/>
      <c r="L21" s="99"/>
      <c r="M21" s="32"/>
      <c r="N21" s="32"/>
      <c r="O21" s="32"/>
      <c r="P21" s="32"/>
    </row>
    <row r="22" spans="1:16" s="1" customFormat="1" ht="14.1" customHeight="1" thickBot="1">
      <c r="A22" s="413" t="s">
        <v>95</v>
      </c>
      <c r="B22" s="413"/>
      <c r="C22" s="414" t="s">
        <v>5</v>
      </c>
      <c r="D22" s="414"/>
      <c r="E22" s="66"/>
      <c r="F22" s="425"/>
      <c r="G22" s="415" t="s">
        <v>95</v>
      </c>
      <c r="H22" s="416"/>
      <c r="I22" s="414" t="s">
        <v>118</v>
      </c>
      <c r="J22" s="414"/>
      <c r="K22" s="66"/>
      <c r="L22" s="66"/>
      <c r="M22" s="31"/>
      <c r="N22" s="31"/>
      <c r="O22" s="31"/>
      <c r="P22" s="31"/>
    </row>
    <row r="23" spans="1:16" s="1" customFormat="1" ht="15.75" customHeight="1" thickBot="1">
      <c r="A23" s="419" t="s">
        <v>49</v>
      </c>
      <c r="B23" s="419"/>
      <c r="C23" s="419"/>
      <c r="D23" s="72">
        <f>'تحليل الشهادة + التقويم المستمر'!E9</f>
        <v>8.0957446808510642</v>
      </c>
      <c r="E23" s="66"/>
      <c r="F23" s="425"/>
      <c r="G23" s="419" t="s">
        <v>49</v>
      </c>
      <c r="H23" s="419"/>
      <c r="I23" s="419"/>
      <c r="J23" s="72">
        <f>'تحليل الشهادة + التقويم المستمر'!F9</f>
        <v>12.638297872340425</v>
      </c>
      <c r="K23" s="66"/>
      <c r="L23" s="66"/>
      <c r="M23" s="31"/>
      <c r="N23" s="31"/>
      <c r="O23" s="31"/>
      <c r="P23" s="31"/>
    </row>
    <row r="24" spans="1:16" s="1" customFormat="1" ht="15.75" customHeight="1" thickBot="1">
      <c r="A24" s="419" t="s">
        <v>96</v>
      </c>
      <c r="B24" s="419"/>
      <c r="C24" s="419"/>
      <c r="D24" s="72">
        <f>'تحليل الشهادة + التقويم المستمر'!E10</f>
        <v>2.8678134902670886</v>
      </c>
      <c r="E24" s="63"/>
      <c r="F24" s="425"/>
      <c r="G24" s="419" t="s">
        <v>96</v>
      </c>
      <c r="H24" s="419"/>
      <c r="I24" s="419"/>
      <c r="J24" s="72">
        <f>'تحليل الشهادة + التقويم المستمر'!F10</f>
        <v>3.0928021729289261</v>
      </c>
      <c r="K24" s="73"/>
      <c r="L24" s="73"/>
      <c r="M24" s="31"/>
      <c r="N24" s="31"/>
      <c r="O24" s="31"/>
      <c r="P24" s="31"/>
    </row>
    <row r="25" spans="1:16" s="1" customFormat="1" ht="15.75" customHeight="1" thickBot="1">
      <c r="A25" s="417" t="s">
        <v>97</v>
      </c>
      <c r="B25" s="417"/>
      <c r="C25" s="417"/>
      <c r="D25" s="72">
        <f>D24/D23*100</f>
        <v>35.423714597254445</v>
      </c>
      <c r="E25" s="73"/>
      <c r="F25" s="425"/>
      <c r="G25" s="417" t="s">
        <v>97</v>
      </c>
      <c r="H25" s="417"/>
      <c r="I25" s="417"/>
      <c r="J25" s="72">
        <f>J24/J23*100</f>
        <v>24.471667024858508</v>
      </c>
      <c r="K25" s="73"/>
      <c r="L25" s="73"/>
      <c r="M25" s="31"/>
      <c r="N25" s="31"/>
      <c r="O25" s="31"/>
      <c r="P25" s="31"/>
    </row>
    <row r="26" spans="1:16" s="1" customFormat="1" ht="9.9499999999999993" customHeight="1" thickBot="1">
      <c r="A26" s="63"/>
      <c r="B26" s="63"/>
      <c r="C26" s="63"/>
      <c r="D26" s="63"/>
      <c r="E26" s="63"/>
      <c r="F26" s="426"/>
      <c r="G26" s="66"/>
      <c r="H26" s="63"/>
      <c r="I26" s="63"/>
      <c r="J26" s="63"/>
      <c r="K26" s="63"/>
      <c r="L26" s="63"/>
      <c r="M26" s="31"/>
      <c r="N26" s="31"/>
      <c r="O26" s="31"/>
      <c r="P26" s="31"/>
    </row>
    <row r="27" spans="1:16" s="1" customFormat="1" ht="15" customHeight="1" thickBot="1">
      <c r="A27" s="100" t="s">
        <v>98</v>
      </c>
      <c r="B27" s="100" t="s">
        <v>99</v>
      </c>
      <c r="C27" s="100" t="s">
        <v>39</v>
      </c>
      <c r="D27" s="100" t="s">
        <v>100</v>
      </c>
      <c r="E27" s="100" t="s">
        <v>39</v>
      </c>
      <c r="F27" s="427"/>
      <c r="G27" s="60"/>
      <c r="H27" s="100" t="s">
        <v>98</v>
      </c>
      <c r="I27" s="100" t="s">
        <v>99</v>
      </c>
      <c r="J27" s="100" t="s">
        <v>39</v>
      </c>
      <c r="K27" s="100" t="s">
        <v>100</v>
      </c>
      <c r="L27" s="100" t="s">
        <v>39</v>
      </c>
      <c r="M27" s="31"/>
      <c r="N27" s="31"/>
      <c r="O27" s="31"/>
      <c r="P27" s="31"/>
    </row>
    <row r="28" spans="1:16" s="1" customFormat="1" ht="12.95" customHeight="1" thickBot="1">
      <c r="A28" s="75">
        <f>'تحليل الشهادة + التقويم المستمر'!E13</f>
        <v>47</v>
      </c>
      <c r="B28" s="101">
        <f>'تحليل الشهادة + التقويم المستمر'!E11</f>
        <v>12</v>
      </c>
      <c r="C28" s="102">
        <f>(B28*100)/A28</f>
        <v>25.531914893617021</v>
      </c>
      <c r="D28" s="103">
        <f>A28-B28</f>
        <v>35</v>
      </c>
      <c r="E28" s="104">
        <f>(D28*100)/A28</f>
        <v>74.468085106382972</v>
      </c>
      <c r="F28" s="427"/>
      <c r="G28" s="79"/>
      <c r="H28" s="101">
        <f>'تحليل الشهادة + التقويم المستمر'!F13</f>
        <v>47</v>
      </c>
      <c r="I28" s="101">
        <f>'تحليل الشهادة + التقويم المستمر'!F11</f>
        <v>35</v>
      </c>
      <c r="J28" s="102">
        <f>(I28*100)/H28</f>
        <v>74.468085106382972</v>
      </c>
      <c r="K28" s="103">
        <f>H28-I28</f>
        <v>12</v>
      </c>
      <c r="L28" s="104">
        <f>(K28*100)/H28</f>
        <v>25.531914893617021</v>
      </c>
      <c r="M28" s="31"/>
      <c r="N28" s="31"/>
      <c r="O28" s="31"/>
      <c r="P28" s="31"/>
    </row>
    <row r="29" spans="1:16" s="1" customFormat="1" ht="8.1" customHeight="1" thickBot="1">
      <c r="A29" s="61"/>
      <c r="B29" s="61"/>
      <c r="C29" s="61"/>
      <c r="D29" s="61"/>
      <c r="E29" s="61"/>
      <c r="F29" s="426"/>
      <c r="G29" s="80"/>
      <c r="H29" s="81"/>
      <c r="I29" s="81"/>
      <c r="J29" s="81"/>
      <c r="K29" s="81"/>
      <c r="L29" s="63"/>
      <c r="M29" s="31"/>
      <c r="N29" s="31"/>
      <c r="O29" s="31"/>
      <c r="P29" s="31"/>
    </row>
    <row r="30" spans="1:16" s="1" customFormat="1" ht="18" customHeight="1" thickBot="1">
      <c r="A30" s="420" t="s">
        <v>101</v>
      </c>
      <c r="B30" s="105" t="s">
        <v>102</v>
      </c>
      <c r="C30" s="105" t="s">
        <v>103</v>
      </c>
      <c r="D30" s="105" t="s">
        <v>104</v>
      </c>
      <c r="E30" s="105" t="s">
        <v>105</v>
      </c>
      <c r="F30" s="427"/>
      <c r="G30" s="66"/>
      <c r="H30" s="420" t="s">
        <v>101</v>
      </c>
      <c r="I30" s="105" t="s">
        <v>102</v>
      </c>
      <c r="J30" s="105" t="s">
        <v>103</v>
      </c>
      <c r="K30" s="105" t="s">
        <v>104</v>
      </c>
      <c r="L30" s="105" t="s">
        <v>105</v>
      </c>
      <c r="M30" s="31"/>
      <c r="N30" s="31"/>
      <c r="O30" s="31"/>
      <c r="P30" s="31"/>
    </row>
    <row r="31" spans="1:16" s="1" customFormat="1" ht="12.95" customHeight="1" thickBot="1">
      <c r="A31" s="421"/>
      <c r="B31" s="106">
        <f>(D24*3/2-D23)</f>
        <v>-3.7940244454504315</v>
      </c>
      <c r="C31" s="106">
        <f>(D24*1/2-D23)</f>
        <v>-6.6618379357175197</v>
      </c>
      <c r="D31" s="107">
        <f>(D24*1/2+D23)</f>
        <v>9.5296514259846088</v>
      </c>
      <c r="E31" s="107">
        <f>(D24*3/2+D23)</f>
        <v>12.397464916251696</v>
      </c>
      <c r="F31" s="427"/>
      <c r="G31" s="66"/>
      <c r="H31" s="421"/>
      <c r="I31" s="106">
        <f>(J24*3/2-J23)</f>
        <v>-7.9990946129470366</v>
      </c>
      <c r="J31" s="106">
        <f>(J24*1/2-J23)</f>
        <v>-11.091896785875962</v>
      </c>
      <c r="K31" s="107">
        <f>(J24*1/2+J23)</f>
        <v>14.184698958804889</v>
      </c>
      <c r="L31" s="107">
        <f>(J24*3/2+J23)</f>
        <v>17.277501131733814</v>
      </c>
      <c r="M31" s="31"/>
      <c r="N31" s="31"/>
      <c r="O31" s="31"/>
      <c r="P31" s="31"/>
    </row>
    <row r="32" spans="1:16" s="1" customFormat="1" ht="9.9499999999999993" customHeight="1" thickBot="1">
      <c r="A32" s="85"/>
      <c r="B32" s="85"/>
      <c r="C32" s="85"/>
      <c r="D32" s="86"/>
      <c r="E32" s="86"/>
      <c r="F32" s="426"/>
      <c r="G32" s="66"/>
      <c r="H32" s="80"/>
      <c r="I32" s="80"/>
      <c r="J32" s="80"/>
      <c r="K32" s="80"/>
      <c r="L32" s="80"/>
      <c r="M32" s="31"/>
      <c r="N32" s="31"/>
      <c r="O32" s="31"/>
      <c r="P32" s="31"/>
    </row>
    <row r="33" spans="1:16" s="19" customFormat="1" ht="12" customHeight="1" thickBot="1">
      <c r="A33" s="87" t="s">
        <v>39</v>
      </c>
      <c r="B33" s="87" t="s">
        <v>39</v>
      </c>
      <c r="C33" s="87" t="s">
        <v>39</v>
      </c>
      <c r="D33" s="87" t="s">
        <v>39</v>
      </c>
      <c r="E33" s="87" t="s">
        <v>39</v>
      </c>
      <c r="F33" s="426"/>
      <c r="G33" s="108"/>
      <c r="H33" s="87" t="s">
        <v>39</v>
      </c>
      <c r="I33" s="87" t="s">
        <v>39</v>
      </c>
      <c r="J33" s="87" t="s">
        <v>39</v>
      </c>
      <c r="K33" s="87" t="s">
        <v>39</v>
      </c>
      <c r="L33" s="87" t="s">
        <v>39</v>
      </c>
      <c r="M33" s="33"/>
      <c r="N33" s="33"/>
      <c r="O33" s="33"/>
      <c r="P33" s="33"/>
    </row>
    <row r="34" spans="1:16" s="1" customFormat="1" ht="15" customHeight="1" thickBot="1">
      <c r="A34" s="88">
        <f>(A35*100/A28)</f>
        <v>70.212765957446805</v>
      </c>
      <c r="B34" s="88">
        <f>(B35*100/A28)</f>
        <v>6.3829787234042552</v>
      </c>
      <c r="C34" s="88">
        <f>(C35*100/A28)</f>
        <v>10.638297872340425</v>
      </c>
      <c r="D34" s="88">
        <f>(D35*100/A28)</f>
        <v>0</v>
      </c>
      <c r="E34" s="88">
        <f>(E35*100/A28)</f>
        <v>12.76595744680851</v>
      </c>
      <c r="F34" s="426"/>
      <c r="G34" s="66"/>
      <c r="H34" s="88">
        <f>(H35*100/H28)</f>
        <v>21.276595744680851</v>
      </c>
      <c r="I34" s="88">
        <f>(I35*100/H28)</f>
        <v>12.76595744680851</v>
      </c>
      <c r="J34" s="88">
        <f>(J35*100/H28)</f>
        <v>14.893617021276595</v>
      </c>
      <c r="K34" s="88">
        <f>(K35*100/H28)</f>
        <v>6.3829787234042552</v>
      </c>
      <c r="L34" s="88">
        <f>(L35*100/H28)</f>
        <v>44.680851063829785</v>
      </c>
      <c r="M34" s="31"/>
      <c r="N34" s="31"/>
      <c r="O34" s="31"/>
      <c r="P34" s="31"/>
    </row>
    <row r="35" spans="1:16" s="1" customFormat="1" ht="15" customHeight="1" thickBot="1">
      <c r="A35" s="89">
        <f>((COUNTIF('نتائج الشهادة. المعدلات السنوية'!I5:I51,"&lt;9,45")))</f>
        <v>33</v>
      </c>
      <c r="B35" s="89">
        <f>((COUNTIF('نتائج الشهادة. المعدلات السنوية'!I5:I51,"&lt;10,95")))-A35</f>
        <v>3</v>
      </c>
      <c r="C35" s="89">
        <f>((COUNTIF('نتائج الشهادة. المعدلات السنوية'!I5:I51,"&lt;12,45")))-B35-A35</f>
        <v>5</v>
      </c>
      <c r="D35" s="89">
        <f>((COUNTIF('نتائج الشهادة. المعدلات السنوية'!I5:I51,"&lt;13,95")))-C35-B35-A35</f>
        <v>0</v>
      </c>
      <c r="E35" s="89">
        <f>A28-(A35+B35+C35+D35)</f>
        <v>6</v>
      </c>
      <c r="F35" s="426"/>
      <c r="G35" s="66"/>
      <c r="H35" s="89">
        <f>((COUNTIF('نتائج الشهادة. المعدلات السنوية'!J5:J51,"&lt;9,45")))</f>
        <v>10</v>
      </c>
      <c r="I35" s="89">
        <f>((COUNTIF('نتائج الشهادة. المعدلات السنوية'!J5:J51,"&lt;10,95")))-H35</f>
        <v>6</v>
      </c>
      <c r="J35" s="89">
        <f>((COUNTIF('نتائج الشهادة. المعدلات السنوية'!J5:J51,"&lt;12,45")))-I35-H35</f>
        <v>7</v>
      </c>
      <c r="K35" s="89">
        <f>((COUNTIF('نتائج الشهادة. المعدلات السنوية'!J5:J51,"&lt;13,95")))-J35-I35-H35</f>
        <v>3</v>
      </c>
      <c r="L35" s="89">
        <f>H28-(H35+I35+J35+K35)</f>
        <v>21</v>
      </c>
      <c r="M35" s="31"/>
      <c r="N35" s="31"/>
      <c r="O35" s="31"/>
      <c r="P35" s="31"/>
    </row>
    <row r="36" spans="1:16" s="1" customFormat="1" ht="15" customHeight="1" thickBot="1">
      <c r="A36" s="90" t="s">
        <v>106</v>
      </c>
      <c r="B36" s="90" t="s">
        <v>107</v>
      </c>
      <c r="C36" s="91" t="s">
        <v>108</v>
      </c>
      <c r="D36" s="92" t="s">
        <v>109</v>
      </c>
      <c r="E36" s="92" t="s">
        <v>110</v>
      </c>
      <c r="F36" s="426"/>
      <c r="G36" s="66"/>
      <c r="H36" s="90" t="s">
        <v>106</v>
      </c>
      <c r="I36" s="90" t="s">
        <v>107</v>
      </c>
      <c r="J36" s="91" t="s">
        <v>108</v>
      </c>
      <c r="K36" s="92" t="s">
        <v>109</v>
      </c>
      <c r="L36" s="92" t="s">
        <v>110</v>
      </c>
      <c r="M36" s="31"/>
      <c r="N36" s="31"/>
      <c r="O36" s="31"/>
      <c r="P36" s="31"/>
    </row>
    <row r="37" spans="1:16" s="1" customFormat="1" ht="9.9499999999999993" customHeight="1" thickBot="1">
      <c r="A37" s="93"/>
      <c r="B37" s="93"/>
      <c r="C37" s="94"/>
      <c r="D37" s="95"/>
      <c r="E37" s="95"/>
      <c r="F37" s="426"/>
      <c r="G37" s="66"/>
      <c r="H37" s="93"/>
      <c r="I37" s="93"/>
      <c r="J37" s="94"/>
      <c r="K37" s="95"/>
      <c r="L37" s="95"/>
      <c r="M37" s="31"/>
      <c r="N37" s="31"/>
      <c r="O37" s="31"/>
      <c r="P37" s="31"/>
    </row>
    <row r="38" spans="1:16" s="1" customFormat="1" ht="12" customHeight="1" thickBot="1">
      <c r="A38" s="418" t="s">
        <v>111</v>
      </c>
      <c r="B38" s="418"/>
      <c r="C38" s="96">
        <f>+D25</f>
        <v>35.423714597254445</v>
      </c>
      <c r="D38" s="412" t="str">
        <f>IF(C38&gt;=30,"هناك  تشتت و إختلاف",IF(C38&gt;=15,"هناك  انسجام نسبي",IF(C38&lt;15,"هناك انسجام  تام",)))</f>
        <v>هناك  تشتت و إختلاف</v>
      </c>
      <c r="E38" s="412"/>
      <c r="F38" s="427"/>
      <c r="G38" s="66"/>
      <c r="H38" s="418" t="s">
        <v>111</v>
      </c>
      <c r="I38" s="418"/>
      <c r="J38" s="96">
        <f>J25</f>
        <v>24.471667024858508</v>
      </c>
      <c r="K38" s="412" t="str">
        <f>IF(J38&gt;=30,"هناك  تشتت و إختلاف",IF(J38&gt;=15,"هناك  انسجام نسبي",IF(J38&lt;15,"هناك انسجام  تام",)))</f>
        <v>هناك  انسجام نسبي</v>
      </c>
      <c r="L38" s="412"/>
      <c r="M38" s="31"/>
      <c r="N38" s="31"/>
      <c r="O38" s="31"/>
      <c r="P38" s="31"/>
    </row>
    <row r="39" spans="1:16" s="1" customFormat="1" ht="12" customHeight="1" thickBot="1">
      <c r="A39" s="62"/>
      <c r="B39" s="62"/>
      <c r="C39" s="109"/>
      <c r="D39" s="64"/>
      <c r="E39" s="64"/>
      <c r="F39" s="110"/>
      <c r="G39" s="66"/>
      <c r="H39" s="62"/>
      <c r="I39" s="62"/>
      <c r="J39" s="109"/>
      <c r="K39" s="64"/>
      <c r="L39" s="64"/>
      <c r="M39" s="31"/>
      <c r="N39" s="31"/>
      <c r="O39" s="31"/>
      <c r="P39" s="31"/>
    </row>
    <row r="40" spans="1:16" s="1" customFormat="1" ht="15.95" customHeight="1" thickBot="1">
      <c r="A40" s="428" t="s">
        <v>167</v>
      </c>
      <c r="B40" s="428"/>
      <c r="C40" s="428"/>
      <c r="D40" s="428"/>
      <c r="E40" s="428"/>
      <c r="F40" s="111"/>
      <c r="G40" s="428" t="s">
        <v>167</v>
      </c>
      <c r="H40" s="428"/>
      <c r="I40" s="428"/>
      <c r="J40" s="428"/>
      <c r="K40" s="428"/>
      <c r="L40" s="428"/>
      <c r="M40" s="31"/>
      <c r="N40" s="31"/>
      <c r="O40" s="31"/>
      <c r="P40" s="31"/>
    </row>
    <row r="41" spans="1:16" s="1" customFormat="1" ht="5.0999999999999996" customHeight="1" thickBot="1">
      <c r="A41" s="65"/>
      <c r="B41" s="65"/>
      <c r="C41" s="65"/>
      <c r="D41" s="65"/>
      <c r="E41" s="65"/>
      <c r="F41" s="424"/>
      <c r="G41" s="65"/>
      <c r="H41" s="65"/>
      <c r="I41" s="65"/>
      <c r="J41" s="65"/>
      <c r="K41" s="65"/>
      <c r="L41" s="65"/>
      <c r="M41" s="31"/>
      <c r="N41" s="31"/>
      <c r="O41" s="31"/>
      <c r="P41" s="31"/>
    </row>
    <row r="42" spans="1:16" s="1" customFormat="1" ht="14.1" customHeight="1" thickBot="1">
      <c r="A42" s="413" t="s">
        <v>95</v>
      </c>
      <c r="B42" s="413"/>
      <c r="C42" s="414" t="s">
        <v>119</v>
      </c>
      <c r="D42" s="414"/>
      <c r="E42" s="66"/>
      <c r="F42" s="425"/>
      <c r="G42" s="415" t="s">
        <v>95</v>
      </c>
      <c r="H42" s="416"/>
      <c r="I42" s="414" t="s">
        <v>7</v>
      </c>
      <c r="J42" s="414"/>
      <c r="K42" s="66"/>
      <c r="L42" s="66"/>
      <c r="M42" s="31"/>
      <c r="N42" s="31"/>
      <c r="O42" s="31"/>
      <c r="P42" s="31"/>
    </row>
    <row r="43" spans="1:16" s="1" customFormat="1" ht="14.1" customHeight="1" thickBot="1">
      <c r="A43" s="419" t="s">
        <v>49</v>
      </c>
      <c r="B43" s="419"/>
      <c r="C43" s="419"/>
      <c r="D43" s="72">
        <f>'تحليل الشهادة + التقويم المستمر'!G9</f>
        <v>11.606382978723405</v>
      </c>
      <c r="E43" s="66"/>
      <c r="F43" s="425"/>
      <c r="G43" s="419" t="s">
        <v>49</v>
      </c>
      <c r="H43" s="419"/>
      <c r="I43" s="419"/>
      <c r="J43" s="72">
        <f>'تحليل الشهادة + التقويم المستمر'!H9</f>
        <v>9.0744680851063837</v>
      </c>
      <c r="K43" s="66"/>
      <c r="L43" s="66"/>
      <c r="M43" s="31"/>
      <c r="N43" s="31"/>
      <c r="O43" s="31"/>
      <c r="P43" s="31"/>
    </row>
    <row r="44" spans="1:16" s="1" customFormat="1" ht="14.1" customHeight="1" thickBot="1">
      <c r="A44" s="419" t="s">
        <v>96</v>
      </c>
      <c r="B44" s="419"/>
      <c r="C44" s="419"/>
      <c r="D44" s="72">
        <f>'تحليل الشهادة + التقويم المستمر'!G10</f>
        <v>2.1054775916704389</v>
      </c>
      <c r="E44" s="63"/>
      <c r="F44" s="425"/>
      <c r="G44" s="419" t="s">
        <v>96</v>
      </c>
      <c r="H44" s="419"/>
      <c r="I44" s="419"/>
      <c r="J44" s="72">
        <f>'تحليل الشهادة + التقويم المستمر'!H10</f>
        <v>2.0004526935264821</v>
      </c>
      <c r="K44" s="73"/>
      <c r="L44" s="73"/>
      <c r="M44" s="31"/>
      <c r="N44" s="31"/>
      <c r="O44" s="31"/>
      <c r="P44" s="31"/>
    </row>
    <row r="45" spans="1:16" s="1" customFormat="1" ht="14.1" customHeight="1" thickBot="1">
      <c r="A45" s="417" t="s">
        <v>97</v>
      </c>
      <c r="B45" s="417"/>
      <c r="C45" s="417"/>
      <c r="D45" s="72">
        <f>D44/D43*100</f>
        <v>18.140686857655478</v>
      </c>
      <c r="E45" s="73"/>
      <c r="F45" s="425"/>
      <c r="G45" s="417" t="s">
        <v>97</v>
      </c>
      <c r="H45" s="417"/>
      <c r="I45" s="417"/>
      <c r="J45" s="72">
        <f>J44/J43*100</f>
        <v>22.044847970866272</v>
      </c>
      <c r="K45" s="73"/>
      <c r="L45" s="73"/>
      <c r="M45" s="31"/>
      <c r="N45" s="31"/>
      <c r="O45" s="31"/>
      <c r="P45" s="31"/>
    </row>
    <row r="46" spans="1:16" s="1" customFormat="1" ht="9.9499999999999993" customHeight="1" thickBot="1">
      <c r="A46" s="63"/>
      <c r="B46" s="63"/>
      <c r="C46" s="63"/>
      <c r="D46" s="63"/>
      <c r="E46" s="63"/>
      <c r="F46" s="426"/>
      <c r="G46" s="66"/>
      <c r="H46" s="63"/>
      <c r="I46" s="63"/>
      <c r="J46" s="63"/>
      <c r="K46" s="63"/>
      <c r="L46" s="63"/>
      <c r="M46" s="31"/>
      <c r="N46" s="31"/>
      <c r="O46" s="31"/>
      <c r="P46" s="31"/>
    </row>
    <row r="47" spans="1:16" s="1" customFormat="1" ht="15" customHeight="1" thickBot="1">
      <c r="A47" s="74" t="s">
        <v>98</v>
      </c>
      <c r="B47" s="74" t="s">
        <v>99</v>
      </c>
      <c r="C47" s="74" t="s">
        <v>39</v>
      </c>
      <c r="D47" s="74" t="s">
        <v>100</v>
      </c>
      <c r="E47" s="74" t="s">
        <v>39</v>
      </c>
      <c r="F47" s="427"/>
      <c r="G47" s="60"/>
      <c r="H47" s="74" t="s">
        <v>98</v>
      </c>
      <c r="I47" s="74" t="s">
        <v>99</v>
      </c>
      <c r="J47" s="74" t="s">
        <v>39</v>
      </c>
      <c r="K47" s="74" t="s">
        <v>100</v>
      </c>
      <c r="L47" s="74" t="s">
        <v>39</v>
      </c>
      <c r="M47" s="31"/>
      <c r="N47" s="31"/>
      <c r="O47" s="31"/>
      <c r="P47" s="31"/>
    </row>
    <row r="48" spans="1:16" s="1" customFormat="1" ht="15" customHeight="1" thickBot="1">
      <c r="A48" s="75">
        <f>'تحليل الشهادة + التقويم المستمر'!G13</f>
        <v>47</v>
      </c>
      <c r="B48" s="75">
        <f>'تحليل الشهادة + التقويم المستمر'!G11</f>
        <v>39</v>
      </c>
      <c r="C48" s="76">
        <f>(B48*100)/A48</f>
        <v>82.978723404255319</v>
      </c>
      <c r="D48" s="77">
        <f>A48-B48</f>
        <v>8</v>
      </c>
      <c r="E48" s="78">
        <f>(D48*100)/A48</f>
        <v>17.021276595744681</v>
      </c>
      <c r="F48" s="427"/>
      <c r="G48" s="79"/>
      <c r="H48" s="75">
        <f>'تحليل الشهادة + التقويم المستمر'!H13</f>
        <v>47</v>
      </c>
      <c r="I48" s="75">
        <f>'تحليل الشهادة + التقويم المستمر'!H11</f>
        <v>18</v>
      </c>
      <c r="J48" s="76">
        <f>(I48*100)/H48</f>
        <v>38.297872340425535</v>
      </c>
      <c r="K48" s="77">
        <f>H48-I48</f>
        <v>29</v>
      </c>
      <c r="L48" s="78">
        <f>(K48*100)/H48</f>
        <v>61.702127659574465</v>
      </c>
      <c r="M48" s="31"/>
      <c r="N48" s="31"/>
      <c r="O48" s="31"/>
      <c r="P48" s="31"/>
    </row>
    <row r="49" spans="1:16" s="1" customFormat="1" ht="5.0999999999999996" customHeight="1" thickBot="1">
      <c r="A49" s="61"/>
      <c r="B49" s="61"/>
      <c r="C49" s="61"/>
      <c r="D49" s="61"/>
      <c r="E49" s="61"/>
      <c r="F49" s="426"/>
      <c r="G49" s="80"/>
      <c r="H49" s="81"/>
      <c r="I49" s="81"/>
      <c r="J49" s="81"/>
      <c r="K49" s="81"/>
      <c r="L49" s="63"/>
      <c r="M49" s="31"/>
      <c r="N49" s="31"/>
      <c r="O49" s="31"/>
      <c r="P49" s="31"/>
    </row>
    <row r="50" spans="1:16" s="1" customFormat="1" ht="18" customHeight="1" thickBot="1">
      <c r="A50" s="422" t="s">
        <v>101</v>
      </c>
      <c r="B50" s="82" t="s">
        <v>102</v>
      </c>
      <c r="C50" s="82" t="s">
        <v>103</v>
      </c>
      <c r="D50" s="82" t="s">
        <v>104</v>
      </c>
      <c r="E50" s="82" t="s">
        <v>105</v>
      </c>
      <c r="F50" s="427"/>
      <c r="G50" s="66"/>
      <c r="H50" s="423" t="s">
        <v>101</v>
      </c>
      <c r="I50" s="82" t="s">
        <v>102</v>
      </c>
      <c r="J50" s="82" t="s">
        <v>103</v>
      </c>
      <c r="K50" s="82" t="s">
        <v>104</v>
      </c>
      <c r="L50" s="82" t="s">
        <v>105</v>
      </c>
      <c r="M50" s="31"/>
      <c r="N50" s="31"/>
      <c r="O50" s="31"/>
      <c r="P50" s="31"/>
    </row>
    <row r="51" spans="1:16" s="1" customFormat="1" ht="12.95" customHeight="1" thickBot="1">
      <c r="A51" s="422"/>
      <c r="B51" s="83">
        <f>D44*3/2-D43</f>
        <v>-8.4481665912177455</v>
      </c>
      <c r="C51" s="83">
        <f>(D44*1/2-D43)</f>
        <v>-10.553644182888185</v>
      </c>
      <c r="D51" s="84">
        <f>(D44*1/2+D43)</f>
        <v>12.659121774558624</v>
      </c>
      <c r="E51" s="84">
        <f>(D44*3/2+D43)</f>
        <v>14.764599366229064</v>
      </c>
      <c r="F51" s="427"/>
      <c r="G51" s="66"/>
      <c r="H51" s="423"/>
      <c r="I51" s="83">
        <f>(J44*3/2-J43)</f>
        <v>-6.0737890448166603</v>
      </c>
      <c r="J51" s="83">
        <f>(J44*1/2-J43)</f>
        <v>-8.074241738343142</v>
      </c>
      <c r="K51" s="84">
        <f>(J44*1/2+J43)</f>
        <v>10.074694431869625</v>
      </c>
      <c r="L51" s="84">
        <f>(J44*3/2+J43)</f>
        <v>12.075147125396107</v>
      </c>
      <c r="M51" s="31"/>
      <c r="N51" s="31"/>
      <c r="O51" s="31"/>
      <c r="P51" s="31"/>
    </row>
    <row r="52" spans="1:16" s="1" customFormat="1" ht="5.0999999999999996" customHeight="1">
      <c r="A52" s="85"/>
      <c r="B52" s="85"/>
      <c r="C52" s="85"/>
      <c r="D52" s="86"/>
      <c r="E52" s="86"/>
      <c r="F52" s="426"/>
      <c r="G52" s="66"/>
      <c r="H52" s="81"/>
      <c r="I52" s="81"/>
      <c r="J52" s="81"/>
      <c r="K52" s="81"/>
      <c r="L52" s="81"/>
      <c r="M52" s="31"/>
      <c r="N52" s="31"/>
      <c r="O52" s="31"/>
      <c r="P52" s="31"/>
    </row>
    <row r="53" spans="1:16" s="1" customFormat="1" ht="2.1" customHeight="1" thickBot="1">
      <c r="A53" s="85"/>
      <c r="B53" s="85"/>
      <c r="C53" s="85"/>
      <c r="D53" s="86"/>
      <c r="E53" s="86"/>
      <c r="F53" s="426"/>
      <c r="G53" s="66"/>
      <c r="H53" s="80"/>
      <c r="I53" s="80"/>
      <c r="J53" s="80"/>
      <c r="K53" s="80"/>
      <c r="L53" s="80"/>
      <c r="M53" s="31"/>
      <c r="N53" s="31"/>
      <c r="O53" s="31"/>
      <c r="P53" s="31"/>
    </row>
    <row r="54" spans="1:16" s="1" customFormat="1" ht="12" customHeight="1" thickBot="1">
      <c r="A54" s="87" t="s">
        <v>39</v>
      </c>
      <c r="B54" s="87" t="s">
        <v>39</v>
      </c>
      <c r="C54" s="87" t="s">
        <v>39</v>
      </c>
      <c r="D54" s="87" t="s">
        <v>39</v>
      </c>
      <c r="E54" s="87" t="s">
        <v>39</v>
      </c>
      <c r="F54" s="426"/>
      <c r="G54" s="66"/>
      <c r="H54" s="87" t="s">
        <v>39</v>
      </c>
      <c r="I54" s="87" t="s">
        <v>39</v>
      </c>
      <c r="J54" s="87" t="s">
        <v>39</v>
      </c>
      <c r="K54" s="87" t="s">
        <v>39</v>
      </c>
      <c r="L54" s="87" t="s">
        <v>39</v>
      </c>
      <c r="M54" s="31"/>
      <c r="N54" s="31"/>
      <c r="O54" s="31"/>
      <c r="P54" s="31"/>
    </row>
    <row r="55" spans="1:16" s="1" customFormat="1" ht="15" customHeight="1" thickBot="1">
      <c r="A55" s="88">
        <f>(A56*100)/A48</f>
        <v>14.893617021276595</v>
      </c>
      <c r="B55" s="88">
        <f>(B56*100/A48)</f>
        <v>19.148936170212767</v>
      </c>
      <c r="C55" s="88">
        <f>(C56*100/A48)</f>
        <v>27.659574468085108</v>
      </c>
      <c r="D55" s="88">
        <f>(D56*100/A48)</f>
        <v>14.893617021276595</v>
      </c>
      <c r="E55" s="88">
        <f>(E56*100/A48)</f>
        <v>23.404255319148938</v>
      </c>
      <c r="F55" s="426"/>
      <c r="G55" s="66"/>
      <c r="H55" s="88">
        <f>(H56*100/H48)</f>
        <v>57.446808510638299</v>
      </c>
      <c r="I55" s="88">
        <f>(I56*100/H48)</f>
        <v>12.76595744680851</v>
      </c>
      <c r="J55" s="88">
        <f>(J56*100/H48)</f>
        <v>19.148936170212767</v>
      </c>
      <c r="K55" s="88">
        <f>(K56*100/H48)</f>
        <v>8.5106382978723403</v>
      </c>
      <c r="L55" s="88">
        <f>(L56*100/H48)</f>
        <v>2.1276595744680851</v>
      </c>
      <c r="M55" s="31"/>
      <c r="N55" s="31"/>
      <c r="O55" s="31"/>
      <c r="P55" s="31"/>
    </row>
    <row r="56" spans="1:16" s="1" customFormat="1" ht="15" customHeight="1" thickBot="1">
      <c r="A56" s="89">
        <f>((COUNTIF('نتائج الشهادة. المعدلات السنوية'!K5:K51,"&lt;9,45")))</f>
        <v>7</v>
      </c>
      <c r="B56" s="89">
        <f>((COUNTIF('نتائج الشهادة. المعدلات السنوية'!K5:K51,"&lt;10,95")))-A56</f>
        <v>9</v>
      </c>
      <c r="C56" s="89">
        <f>((COUNTIF('نتائج الشهادة. المعدلات السنوية'!K5:K51,"&lt;12,45")))-B56-A56</f>
        <v>13</v>
      </c>
      <c r="D56" s="89">
        <f>((COUNTIF('نتائج الشهادة. المعدلات السنوية'!K5:K51,"&lt;13,95")))-C56-B56-A56</f>
        <v>7</v>
      </c>
      <c r="E56" s="89">
        <f>A48-(A56+B56+C56+D56)</f>
        <v>11</v>
      </c>
      <c r="F56" s="426"/>
      <c r="G56" s="66"/>
      <c r="H56" s="89">
        <f>((COUNTIF('نتائج الشهادة. المعدلات السنوية'!L5:L51,"&lt;9,45")))</f>
        <v>27</v>
      </c>
      <c r="I56" s="89">
        <f>((COUNTIF('نتائج الشهادة. المعدلات السنوية'!L5:L51,"&lt;10,95")))-H56</f>
        <v>6</v>
      </c>
      <c r="J56" s="89">
        <f>((COUNTIF('نتائج الشهادة. المعدلات السنوية'!L5:L51,"&lt;12,45")))-I56-H56</f>
        <v>9</v>
      </c>
      <c r="K56" s="89">
        <f>((COUNTIF('نتائج الشهادة. المعدلات السنوية'!L5:L51,"&lt;13,95")))-J56-I56-H56</f>
        <v>4</v>
      </c>
      <c r="L56" s="89">
        <f>H48-(H56+I56+J56+K56)</f>
        <v>1</v>
      </c>
      <c r="M56" s="31"/>
      <c r="N56" s="31"/>
      <c r="O56" s="31"/>
      <c r="P56" s="31"/>
    </row>
    <row r="57" spans="1:16" s="1" customFormat="1" ht="15" customHeight="1" thickBot="1">
      <c r="A57" s="90" t="s">
        <v>106</v>
      </c>
      <c r="B57" s="90" t="s">
        <v>107</v>
      </c>
      <c r="C57" s="91" t="s">
        <v>108</v>
      </c>
      <c r="D57" s="92" t="s">
        <v>109</v>
      </c>
      <c r="E57" s="92" t="s">
        <v>110</v>
      </c>
      <c r="F57" s="426"/>
      <c r="G57" s="66"/>
      <c r="H57" s="90" t="s">
        <v>106</v>
      </c>
      <c r="I57" s="90" t="s">
        <v>107</v>
      </c>
      <c r="J57" s="91" t="s">
        <v>108</v>
      </c>
      <c r="K57" s="92" t="s">
        <v>109</v>
      </c>
      <c r="L57" s="92" t="s">
        <v>110</v>
      </c>
      <c r="M57" s="31"/>
      <c r="N57" s="31"/>
      <c r="O57" s="31"/>
      <c r="P57" s="31"/>
    </row>
    <row r="58" spans="1:16" s="1" customFormat="1" ht="9.9499999999999993" customHeight="1" thickBot="1">
      <c r="A58" s="93"/>
      <c r="B58" s="93"/>
      <c r="C58" s="94"/>
      <c r="D58" s="95"/>
      <c r="E58" s="95"/>
      <c r="F58" s="426"/>
      <c r="G58" s="66"/>
      <c r="H58" s="93"/>
      <c r="I58" s="93"/>
      <c r="J58" s="94"/>
      <c r="K58" s="95"/>
      <c r="L58" s="95"/>
      <c r="M58" s="31"/>
      <c r="N58" s="31"/>
      <c r="O58" s="31"/>
      <c r="P58" s="31"/>
    </row>
    <row r="59" spans="1:16" s="1" customFormat="1" ht="12" customHeight="1" thickBot="1">
      <c r="A59" s="418" t="s">
        <v>111</v>
      </c>
      <c r="B59" s="418"/>
      <c r="C59" s="96">
        <f>D45</f>
        <v>18.140686857655478</v>
      </c>
      <c r="D59" s="412" t="str">
        <f>IF(C59&gt;=30,"هناك  تشتت و إختلاف",IF(C59&gt;=15,"هناك  انسجام نسبي",IF(C59&lt;15,"هناك انسجام  تام",)))</f>
        <v>هناك  انسجام نسبي</v>
      </c>
      <c r="E59" s="412"/>
      <c r="F59" s="427"/>
      <c r="G59" s="66"/>
      <c r="H59" s="418" t="s">
        <v>111</v>
      </c>
      <c r="I59" s="418"/>
      <c r="J59" s="96">
        <f>J45</f>
        <v>22.044847970866272</v>
      </c>
      <c r="K59" s="412" t="str">
        <f>IF(J59&gt;=30,"هناك  تشتت و إختلاف",IF(J59&gt;=15,"هناك  انسجام نسبي",IF(J59&lt;15,"هناك انسجام  تام",)))</f>
        <v>هناك  انسجام نسبي</v>
      </c>
      <c r="L59" s="412"/>
      <c r="M59" s="31"/>
      <c r="N59" s="31"/>
      <c r="O59" s="31"/>
      <c r="P59" s="31"/>
    </row>
    <row r="60" spans="1:16" s="4" customFormat="1" ht="15" customHeight="1" thickBot="1">
      <c r="A60" s="97"/>
      <c r="B60" s="97"/>
      <c r="C60" s="98"/>
      <c r="D60" s="98"/>
      <c r="E60" s="60"/>
      <c r="F60" s="426"/>
      <c r="G60" s="99"/>
      <c r="H60" s="99"/>
      <c r="I60" s="98"/>
      <c r="J60" s="98"/>
      <c r="K60" s="99"/>
      <c r="L60" s="99"/>
      <c r="M60" s="32"/>
      <c r="N60" s="32"/>
      <c r="O60" s="32"/>
      <c r="P60" s="32"/>
    </row>
    <row r="61" spans="1:16" s="1" customFormat="1" ht="14.1" customHeight="1" thickBot="1">
      <c r="A61" s="413" t="s">
        <v>95</v>
      </c>
      <c r="B61" s="413"/>
      <c r="C61" s="414" t="s">
        <v>8</v>
      </c>
      <c r="D61" s="414"/>
      <c r="E61" s="66"/>
      <c r="F61" s="425"/>
      <c r="G61" s="415" t="s">
        <v>95</v>
      </c>
      <c r="H61" s="416"/>
      <c r="I61" s="414" t="s">
        <v>77</v>
      </c>
      <c r="J61" s="414"/>
      <c r="K61" s="66"/>
      <c r="L61" s="66"/>
      <c r="M61" s="31"/>
      <c r="N61" s="31"/>
      <c r="O61" s="31"/>
      <c r="P61" s="31"/>
    </row>
    <row r="62" spans="1:16" s="1" customFormat="1" ht="15.75" customHeight="1" thickBot="1">
      <c r="A62" s="419" t="s">
        <v>49</v>
      </c>
      <c r="B62" s="419"/>
      <c r="C62" s="419"/>
      <c r="D62" s="72">
        <f>'تحليل الشهادة + التقويم المستمر'!I9</f>
        <v>6.3617021276595747</v>
      </c>
      <c r="E62" s="66"/>
      <c r="F62" s="425"/>
      <c r="G62" s="419" t="s">
        <v>49</v>
      </c>
      <c r="H62" s="419"/>
      <c r="I62" s="419"/>
      <c r="J62" s="72">
        <f>'تحليل الشهادة + التقويم المستمر'!J9</f>
        <v>8.9574468085106389</v>
      </c>
      <c r="K62" s="66"/>
      <c r="L62" s="66"/>
      <c r="M62" s="31"/>
      <c r="N62" s="31"/>
      <c r="O62" s="31"/>
      <c r="P62" s="31"/>
    </row>
    <row r="63" spans="1:16" s="1" customFormat="1" ht="15.75" customHeight="1" thickBot="1">
      <c r="A63" s="419" t="s">
        <v>96</v>
      </c>
      <c r="B63" s="419"/>
      <c r="C63" s="419"/>
      <c r="D63" s="72">
        <f>'تحليل الشهادة + التقويم المستمر'!I10</f>
        <v>3.1851516523313723</v>
      </c>
      <c r="E63" s="63"/>
      <c r="F63" s="425"/>
      <c r="G63" s="419" t="s">
        <v>96</v>
      </c>
      <c r="H63" s="419"/>
      <c r="I63" s="419"/>
      <c r="J63" s="72">
        <f>'تحليل الشهادة + التقويم المستمر'!J10</f>
        <v>2.8076052512449072</v>
      </c>
      <c r="K63" s="73"/>
      <c r="L63" s="73"/>
      <c r="M63" s="31"/>
      <c r="N63" s="31"/>
      <c r="O63" s="31"/>
      <c r="P63" s="31"/>
    </row>
    <row r="64" spans="1:16" s="1" customFormat="1" ht="15.75" customHeight="1" thickBot="1">
      <c r="A64" s="417" t="s">
        <v>97</v>
      </c>
      <c r="B64" s="417"/>
      <c r="C64" s="417"/>
      <c r="D64" s="72">
        <f>D63/D62*100</f>
        <v>50.067601223937963</v>
      </c>
      <c r="E64" s="73"/>
      <c r="F64" s="425"/>
      <c r="G64" s="417" t="s">
        <v>97</v>
      </c>
      <c r="H64" s="417"/>
      <c r="I64" s="417"/>
      <c r="J64" s="72">
        <f>J63/J62*100</f>
        <v>31.343811593470463</v>
      </c>
      <c r="K64" s="73"/>
      <c r="L64" s="73"/>
      <c r="M64" s="31"/>
      <c r="N64" s="31"/>
      <c r="O64" s="31"/>
      <c r="P64" s="31"/>
    </row>
    <row r="65" spans="1:16" s="1" customFormat="1" ht="9.9499999999999993" customHeight="1" thickBot="1">
      <c r="A65" s="63"/>
      <c r="B65" s="63"/>
      <c r="C65" s="63"/>
      <c r="D65" s="63"/>
      <c r="E65" s="63"/>
      <c r="F65" s="426"/>
      <c r="G65" s="66"/>
      <c r="H65" s="63"/>
      <c r="I65" s="63"/>
      <c r="J65" s="63"/>
      <c r="K65" s="63"/>
      <c r="L65" s="63"/>
      <c r="M65" s="31"/>
      <c r="N65" s="31"/>
      <c r="O65" s="31"/>
      <c r="P65" s="31"/>
    </row>
    <row r="66" spans="1:16" s="1" customFormat="1" ht="15" customHeight="1" thickBot="1">
      <c r="A66" s="100" t="s">
        <v>98</v>
      </c>
      <c r="B66" s="100" t="s">
        <v>99</v>
      </c>
      <c r="C66" s="100" t="s">
        <v>39</v>
      </c>
      <c r="D66" s="100" t="s">
        <v>100</v>
      </c>
      <c r="E66" s="100" t="s">
        <v>39</v>
      </c>
      <c r="F66" s="427"/>
      <c r="G66" s="60"/>
      <c r="H66" s="100" t="s">
        <v>98</v>
      </c>
      <c r="I66" s="100" t="s">
        <v>99</v>
      </c>
      <c r="J66" s="100" t="s">
        <v>39</v>
      </c>
      <c r="K66" s="100" t="s">
        <v>100</v>
      </c>
      <c r="L66" s="100" t="s">
        <v>39</v>
      </c>
      <c r="M66" s="31"/>
      <c r="N66" s="31"/>
      <c r="O66" s="31"/>
      <c r="P66" s="31"/>
    </row>
    <row r="67" spans="1:16" s="1" customFormat="1" ht="12.95" customHeight="1" thickBot="1">
      <c r="A67" s="101">
        <f>'تحليل الشهادة + التقويم المستمر'!I13</f>
        <v>47</v>
      </c>
      <c r="B67" s="101">
        <f>'تحليل الشهادة + التقويم المستمر'!I11</f>
        <v>12</v>
      </c>
      <c r="C67" s="102">
        <f>(B67*100)/A67</f>
        <v>25.531914893617021</v>
      </c>
      <c r="D67" s="103">
        <f>A67-B67</f>
        <v>35</v>
      </c>
      <c r="E67" s="104">
        <f>(D67*100)/A67</f>
        <v>74.468085106382972</v>
      </c>
      <c r="F67" s="427"/>
      <c r="G67" s="79"/>
      <c r="H67" s="101">
        <f>'تحليل الشهادة + التقويم المستمر'!J13</f>
        <v>47</v>
      </c>
      <c r="I67" s="101">
        <f>'تحليل الشهادة + التقويم المستمر'!J11</f>
        <v>15</v>
      </c>
      <c r="J67" s="102">
        <f>(I67*100)/H67</f>
        <v>31.914893617021278</v>
      </c>
      <c r="K67" s="103">
        <f>H67-I67</f>
        <v>32</v>
      </c>
      <c r="L67" s="104">
        <f>(K67*100)/H67</f>
        <v>68.085106382978722</v>
      </c>
      <c r="M67" s="31"/>
      <c r="N67" s="31"/>
      <c r="O67" s="31"/>
      <c r="P67" s="31"/>
    </row>
    <row r="68" spans="1:16" s="1" customFormat="1" ht="8.1" customHeight="1" thickBot="1">
      <c r="A68" s="61"/>
      <c r="B68" s="61"/>
      <c r="C68" s="61"/>
      <c r="D68" s="61"/>
      <c r="E68" s="61"/>
      <c r="F68" s="426"/>
      <c r="G68" s="80"/>
      <c r="H68" s="81"/>
      <c r="I68" s="81"/>
      <c r="J68" s="81"/>
      <c r="K68" s="81"/>
      <c r="L68" s="63"/>
      <c r="M68" s="31"/>
      <c r="N68" s="31"/>
      <c r="O68" s="31"/>
      <c r="P68" s="31"/>
    </row>
    <row r="69" spans="1:16" s="1" customFormat="1" ht="18" customHeight="1" thickBot="1">
      <c r="A69" s="420" t="s">
        <v>101</v>
      </c>
      <c r="B69" s="105" t="s">
        <v>102</v>
      </c>
      <c r="C69" s="105" t="s">
        <v>103</v>
      </c>
      <c r="D69" s="105" t="s">
        <v>104</v>
      </c>
      <c r="E69" s="105" t="s">
        <v>105</v>
      </c>
      <c r="F69" s="427"/>
      <c r="G69" s="66"/>
      <c r="H69" s="420" t="s">
        <v>101</v>
      </c>
      <c r="I69" s="105" t="s">
        <v>102</v>
      </c>
      <c r="J69" s="105" t="s">
        <v>103</v>
      </c>
      <c r="K69" s="105" t="s">
        <v>104</v>
      </c>
      <c r="L69" s="105" t="s">
        <v>105</v>
      </c>
      <c r="M69" s="31"/>
      <c r="N69" s="31"/>
      <c r="O69" s="31"/>
      <c r="P69" s="31"/>
    </row>
    <row r="70" spans="1:16" s="1" customFormat="1" ht="12.95" customHeight="1" thickBot="1">
      <c r="A70" s="421"/>
      <c r="B70" s="106">
        <f>(D63*3/2-D62)</f>
        <v>-1.5839746491625162</v>
      </c>
      <c r="C70" s="106">
        <f>(D63*1/2-D62)</f>
        <v>-4.7691263014938885</v>
      </c>
      <c r="D70" s="107">
        <f>(D63*1/2+D62)</f>
        <v>7.9542779538252608</v>
      </c>
      <c r="E70" s="107">
        <f>(D63*3/2+D62)</f>
        <v>11.139429606156632</v>
      </c>
      <c r="F70" s="427"/>
      <c r="G70" s="66"/>
      <c r="H70" s="421"/>
      <c r="I70" s="106">
        <f>(J63*3/2-J62)</f>
        <v>-4.7460389316432785</v>
      </c>
      <c r="J70" s="106">
        <f>(J63*1/2-J62)</f>
        <v>-7.5536441828881848</v>
      </c>
      <c r="K70" s="107">
        <f>(J63*1/2+J62)</f>
        <v>10.361249434133093</v>
      </c>
      <c r="L70" s="107">
        <f>(J63*3/2+J62)</f>
        <v>13.168854685377999</v>
      </c>
      <c r="M70" s="31"/>
      <c r="N70" s="31"/>
      <c r="O70" s="31"/>
      <c r="P70" s="31"/>
    </row>
    <row r="71" spans="1:16" s="1" customFormat="1" ht="9.9499999999999993" customHeight="1" thickBot="1">
      <c r="A71" s="85"/>
      <c r="B71" s="85"/>
      <c r="C71" s="85"/>
      <c r="D71" s="86"/>
      <c r="E71" s="86"/>
      <c r="F71" s="426"/>
      <c r="G71" s="66"/>
      <c r="H71" s="80"/>
      <c r="I71" s="80"/>
      <c r="J71" s="80"/>
      <c r="K71" s="80"/>
      <c r="L71" s="80"/>
      <c r="M71" s="31"/>
      <c r="N71" s="31"/>
      <c r="O71" s="31"/>
      <c r="P71" s="31"/>
    </row>
    <row r="72" spans="1:16" s="1" customFormat="1" ht="18" customHeight="1" thickBot="1">
      <c r="A72" s="112" t="s">
        <v>39</v>
      </c>
      <c r="B72" s="112" t="s">
        <v>39</v>
      </c>
      <c r="C72" s="112" t="s">
        <v>39</v>
      </c>
      <c r="D72" s="112" t="s">
        <v>39</v>
      </c>
      <c r="E72" s="112" t="s">
        <v>39</v>
      </c>
      <c r="F72" s="426"/>
      <c r="G72" s="66"/>
      <c r="H72" s="112" t="s">
        <v>39</v>
      </c>
      <c r="I72" s="112" t="s">
        <v>39</v>
      </c>
      <c r="J72" s="112" t="s">
        <v>39</v>
      </c>
      <c r="K72" s="112" t="s">
        <v>39</v>
      </c>
      <c r="L72" s="112" t="s">
        <v>39</v>
      </c>
      <c r="M72" s="31"/>
      <c r="N72" s="31"/>
      <c r="O72" s="31"/>
      <c r="P72" s="31"/>
    </row>
    <row r="73" spans="1:16" s="1" customFormat="1" ht="15" customHeight="1" thickBot="1">
      <c r="A73" s="88">
        <f>(A74*100/A67)</f>
        <v>72.340425531914889</v>
      </c>
      <c r="B73" s="88">
        <f>(B74*100/A67)</f>
        <v>6.3829787234042552</v>
      </c>
      <c r="C73" s="88">
        <f>(C74*100/A67)</f>
        <v>17.021276595744681</v>
      </c>
      <c r="D73" s="88">
        <f>(D74*100/A67)</f>
        <v>0</v>
      </c>
      <c r="E73" s="88">
        <f>(E74*100/A67)</f>
        <v>4.2553191489361701</v>
      </c>
      <c r="F73" s="426"/>
      <c r="G73" s="66"/>
      <c r="H73" s="88">
        <f>(H74*100/H67)</f>
        <v>63.829787234042556</v>
      </c>
      <c r="I73" s="88">
        <f>(I74*100/H67)</f>
        <v>12.76595744680851</v>
      </c>
      <c r="J73" s="88">
        <f>(J74*100/H67)</f>
        <v>2.1276595744680851</v>
      </c>
      <c r="K73" s="88">
        <f>(K74*100/H67)</f>
        <v>8.5106382978723403</v>
      </c>
      <c r="L73" s="88">
        <f>(L74*100/H67)</f>
        <v>12.76595744680851</v>
      </c>
      <c r="M73" s="31"/>
      <c r="N73" s="31"/>
      <c r="O73" s="31"/>
      <c r="P73" s="31"/>
    </row>
    <row r="74" spans="1:16" s="1" customFormat="1" ht="15" customHeight="1" thickBot="1">
      <c r="A74" s="89">
        <f>((COUNTIF('نتائج الشهادة. المعدلات السنوية'!M5:M51,"&lt;9,45")))</f>
        <v>34</v>
      </c>
      <c r="B74" s="89">
        <f>((COUNTIF('نتائج الشهادة. المعدلات السنوية'!M5:M51,"&lt;10,95")))-A74</f>
        <v>3</v>
      </c>
      <c r="C74" s="89">
        <f>((COUNTIF('نتائج الشهادة. المعدلات السنوية'!M5:M51,"&lt;12,45")))-B74-A74</f>
        <v>8</v>
      </c>
      <c r="D74" s="89">
        <f>((COUNTIF('نتائج الشهادة. المعدلات السنوية'!M5:M51,"&lt;13,95")))-C74-B74-A74</f>
        <v>0</v>
      </c>
      <c r="E74" s="89">
        <f>A67-(A74+B74+C74+D74)</f>
        <v>2</v>
      </c>
      <c r="F74" s="426"/>
      <c r="G74" s="66"/>
      <c r="H74" s="89">
        <f>((COUNTIF('نتائج الشهادة. المعدلات السنوية'!N5:N51,"&lt;9,45")))</f>
        <v>30</v>
      </c>
      <c r="I74" s="89">
        <f>((COUNTIF('نتائج الشهادة. المعدلات السنوية'!N5:N51,"&lt;10,95")))-H74</f>
        <v>6</v>
      </c>
      <c r="J74" s="89">
        <f>((COUNTIF('نتائج الشهادة. المعدلات السنوية'!N5:N51,"&lt;12,45")))-I74-H74</f>
        <v>1</v>
      </c>
      <c r="K74" s="89">
        <f>((COUNTIF('نتائج الشهادة. المعدلات السنوية'!N5:N51,"&lt;13,95")))-J74-I74-H74</f>
        <v>4</v>
      </c>
      <c r="L74" s="89">
        <f>H67-(H74+I74+J74+K74)</f>
        <v>6</v>
      </c>
      <c r="M74" s="31"/>
      <c r="N74" s="31"/>
      <c r="O74" s="31"/>
      <c r="P74" s="31"/>
    </row>
    <row r="75" spans="1:16" s="1" customFormat="1" ht="15" customHeight="1" thickBot="1">
      <c r="A75" s="90" t="s">
        <v>106</v>
      </c>
      <c r="B75" s="90" t="s">
        <v>107</v>
      </c>
      <c r="C75" s="91" t="s">
        <v>108</v>
      </c>
      <c r="D75" s="92" t="s">
        <v>109</v>
      </c>
      <c r="E75" s="92" t="s">
        <v>110</v>
      </c>
      <c r="F75" s="426"/>
      <c r="G75" s="66"/>
      <c r="H75" s="90" t="s">
        <v>106</v>
      </c>
      <c r="I75" s="90" t="s">
        <v>107</v>
      </c>
      <c r="J75" s="91" t="s">
        <v>108</v>
      </c>
      <c r="K75" s="92" t="s">
        <v>109</v>
      </c>
      <c r="L75" s="92" t="s">
        <v>110</v>
      </c>
      <c r="M75" s="31"/>
      <c r="N75" s="31"/>
      <c r="O75" s="31"/>
      <c r="P75" s="31"/>
    </row>
    <row r="76" spans="1:16" s="1" customFormat="1" ht="9.9499999999999993" customHeight="1" thickBot="1">
      <c r="A76" s="93"/>
      <c r="B76" s="93"/>
      <c r="C76" s="94"/>
      <c r="D76" s="95"/>
      <c r="E76" s="95"/>
      <c r="F76" s="426"/>
      <c r="G76" s="66"/>
      <c r="H76" s="93"/>
      <c r="I76" s="93"/>
      <c r="J76" s="94"/>
      <c r="K76" s="95"/>
      <c r="L76" s="95"/>
      <c r="M76" s="31"/>
      <c r="N76" s="31"/>
      <c r="O76" s="31"/>
      <c r="P76" s="31"/>
    </row>
    <row r="77" spans="1:16" s="1" customFormat="1" ht="12" customHeight="1" thickBot="1">
      <c r="A77" s="418" t="s">
        <v>111</v>
      </c>
      <c r="B77" s="418"/>
      <c r="C77" s="96">
        <f>+D64</f>
        <v>50.067601223937963</v>
      </c>
      <c r="D77" s="412" t="str">
        <f>IF(C77&gt;=30,"هناك  تشتت و إختلاف",IF(C77&gt;=15,"هناك  انسجام نسبي",IF(C77&lt;15,"هناك انسجام  تام",)))</f>
        <v>هناك  تشتت و إختلاف</v>
      </c>
      <c r="E77" s="412"/>
      <c r="F77" s="427"/>
      <c r="G77" s="66"/>
      <c r="H77" s="418" t="s">
        <v>111</v>
      </c>
      <c r="I77" s="418"/>
      <c r="J77" s="96">
        <f>J64</f>
        <v>31.343811593470463</v>
      </c>
      <c r="K77" s="412" t="str">
        <f>IF(J77&gt;=30,"هناك  تشتت و إختلاف",IF(J77&gt;=15,"هناك  انسجام نسبي",IF(J77&lt;15,"هناك انسجام  تام",)))</f>
        <v>هناك  تشتت و إختلاف</v>
      </c>
      <c r="L77" s="412"/>
      <c r="M77" s="31"/>
      <c r="N77" s="31"/>
      <c r="O77" s="31"/>
      <c r="P77" s="31"/>
    </row>
    <row r="78" spans="1:16" s="1" customFormat="1" ht="12" customHeight="1">
      <c r="A78" s="62"/>
      <c r="B78" s="62"/>
      <c r="C78" s="109"/>
      <c r="D78" s="64"/>
      <c r="E78" s="64"/>
      <c r="F78" s="65"/>
      <c r="G78" s="66"/>
      <c r="H78" s="62"/>
      <c r="I78" s="62"/>
      <c r="J78" s="109"/>
      <c r="K78" s="64"/>
      <c r="L78" s="64"/>
      <c r="M78" s="31"/>
      <c r="N78" s="31"/>
      <c r="O78" s="31"/>
      <c r="P78" s="31"/>
    </row>
    <row r="79" spans="1:16" s="1" customFormat="1" ht="12" customHeight="1" thickBot="1">
      <c r="A79" s="62"/>
      <c r="B79" s="62"/>
      <c r="C79" s="109"/>
      <c r="D79" s="64"/>
      <c r="E79" s="64"/>
      <c r="F79" s="65"/>
      <c r="G79" s="66"/>
      <c r="H79" s="62"/>
      <c r="I79" s="62"/>
      <c r="J79" s="109"/>
      <c r="K79" s="64"/>
      <c r="L79" s="64"/>
      <c r="M79" s="31"/>
      <c r="N79" s="31"/>
      <c r="O79" s="31"/>
      <c r="P79" s="31"/>
    </row>
    <row r="80" spans="1:16" s="1" customFormat="1" ht="15.95" customHeight="1" thickBot="1">
      <c r="A80" s="428" t="s">
        <v>167</v>
      </c>
      <c r="B80" s="428"/>
      <c r="C80" s="428"/>
      <c r="D80" s="428"/>
      <c r="E80" s="428"/>
      <c r="F80" s="111"/>
      <c r="G80" s="428" t="s">
        <v>167</v>
      </c>
      <c r="H80" s="428"/>
      <c r="I80" s="428"/>
      <c r="J80" s="428"/>
      <c r="K80" s="428"/>
      <c r="L80" s="428"/>
      <c r="M80" s="31"/>
      <c r="N80" s="31"/>
      <c r="O80" s="31"/>
      <c r="P80" s="31"/>
    </row>
    <row r="81" spans="1:16" s="1" customFormat="1" ht="5.0999999999999996" customHeight="1" thickBot="1">
      <c r="A81" s="65"/>
      <c r="B81" s="65"/>
      <c r="C81" s="65"/>
      <c r="D81" s="65"/>
      <c r="E81" s="65"/>
      <c r="F81" s="424"/>
      <c r="G81" s="65"/>
      <c r="H81" s="65"/>
      <c r="I81" s="65"/>
      <c r="J81" s="65"/>
      <c r="K81" s="65"/>
      <c r="L81" s="65"/>
      <c r="M81" s="31"/>
      <c r="N81" s="31"/>
      <c r="O81" s="31"/>
      <c r="P81" s="31"/>
    </row>
    <row r="82" spans="1:16" s="1" customFormat="1" ht="14.1" customHeight="1" thickBot="1">
      <c r="A82" s="413" t="s">
        <v>95</v>
      </c>
      <c r="B82" s="413"/>
      <c r="C82" s="414" t="s">
        <v>78</v>
      </c>
      <c r="D82" s="414"/>
      <c r="E82" s="66"/>
      <c r="F82" s="425"/>
      <c r="G82" s="415" t="s">
        <v>95</v>
      </c>
      <c r="H82" s="416"/>
      <c r="I82" s="414" t="s">
        <v>90</v>
      </c>
      <c r="J82" s="414"/>
      <c r="K82" s="66"/>
      <c r="L82" s="66"/>
      <c r="M82" s="31"/>
      <c r="N82" s="31"/>
      <c r="O82" s="31"/>
      <c r="P82" s="31"/>
    </row>
    <row r="83" spans="1:16" s="1" customFormat="1" ht="14.1" customHeight="1" thickBot="1">
      <c r="A83" s="419" t="s">
        <v>49</v>
      </c>
      <c r="B83" s="419"/>
      <c r="C83" s="419"/>
      <c r="D83" s="72">
        <f>'تحليل الشهادة + التقويم المستمر'!K9</f>
        <v>12.446808510638299</v>
      </c>
      <c r="E83" s="66"/>
      <c r="F83" s="425"/>
      <c r="G83" s="419" t="s">
        <v>49</v>
      </c>
      <c r="H83" s="419"/>
      <c r="I83" s="419"/>
      <c r="J83" s="72">
        <f>'تحليل الشهادة + التقويم المستمر'!N9</f>
        <v>10.545744680851062</v>
      </c>
      <c r="K83" s="66"/>
      <c r="L83" s="66"/>
      <c r="M83" s="31"/>
      <c r="N83" s="31"/>
      <c r="O83" s="31"/>
      <c r="P83" s="31"/>
    </row>
    <row r="84" spans="1:16" s="1" customFormat="1" ht="14.1" customHeight="1" thickBot="1">
      <c r="A84" s="419" t="s">
        <v>96</v>
      </c>
      <c r="B84" s="419"/>
      <c r="C84" s="419"/>
      <c r="D84" s="72">
        <f>'تحليل الشهادة + التقويم المستمر'!K10</f>
        <v>2.6948845631507465</v>
      </c>
      <c r="E84" s="63"/>
      <c r="F84" s="425"/>
      <c r="G84" s="419" t="s">
        <v>96</v>
      </c>
      <c r="H84" s="419"/>
      <c r="I84" s="419"/>
      <c r="J84" s="72">
        <f>'تحليل الشهادة + التقويم المستمر'!N10</f>
        <v>2.0087279311905837</v>
      </c>
      <c r="K84" s="73"/>
      <c r="L84" s="73"/>
      <c r="M84" s="31"/>
      <c r="N84" s="31"/>
      <c r="O84" s="31"/>
      <c r="P84" s="31"/>
    </row>
    <row r="85" spans="1:16" s="1" customFormat="1" ht="14.1" customHeight="1" thickBot="1">
      <c r="A85" s="417" t="s">
        <v>97</v>
      </c>
      <c r="B85" s="417"/>
      <c r="C85" s="417"/>
      <c r="D85" s="72">
        <f>D84/D83*100</f>
        <v>21.651209310783777</v>
      </c>
      <c r="E85" s="73"/>
      <c r="F85" s="425"/>
      <c r="G85" s="417" t="s">
        <v>97</v>
      </c>
      <c r="H85" s="417"/>
      <c r="I85" s="417"/>
      <c r="J85" s="72">
        <f>J84/J83*100</f>
        <v>19.047758048210923</v>
      </c>
      <c r="K85" s="73"/>
      <c r="L85" s="73"/>
      <c r="M85" s="31"/>
      <c r="N85" s="31"/>
      <c r="O85" s="31"/>
      <c r="P85" s="31"/>
    </row>
    <row r="86" spans="1:16" s="1" customFormat="1" ht="9.9499999999999993" customHeight="1" thickBot="1">
      <c r="A86" s="63"/>
      <c r="B86" s="63"/>
      <c r="C86" s="63"/>
      <c r="D86" s="63"/>
      <c r="E86" s="63"/>
      <c r="F86" s="426"/>
      <c r="G86" s="66"/>
      <c r="H86" s="63"/>
      <c r="I86" s="63"/>
      <c r="J86" s="63"/>
      <c r="K86" s="63"/>
      <c r="L86" s="63"/>
      <c r="M86" s="31"/>
      <c r="N86" s="31"/>
      <c r="O86" s="31"/>
      <c r="P86" s="31"/>
    </row>
    <row r="87" spans="1:16" s="1" customFormat="1" ht="15" customHeight="1" thickBot="1">
      <c r="A87" s="74" t="s">
        <v>98</v>
      </c>
      <c r="B87" s="74" t="s">
        <v>99</v>
      </c>
      <c r="C87" s="74" t="s">
        <v>39</v>
      </c>
      <c r="D87" s="74" t="s">
        <v>100</v>
      </c>
      <c r="E87" s="74" t="s">
        <v>39</v>
      </c>
      <c r="F87" s="427"/>
      <c r="G87" s="60"/>
      <c r="H87" s="74" t="s">
        <v>98</v>
      </c>
      <c r="I87" s="74" t="s">
        <v>99</v>
      </c>
      <c r="J87" s="74" t="s">
        <v>39</v>
      </c>
      <c r="K87" s="74" t="s">
        <v>100</v>
      </c>
      <c r="L87" s="74" t="s">
        <v>39</v>
      </c>
      <c r="M87" s="31"/>
      <c r="N87" s="31"/>
      <c r="O87" s="31"/>
      <c r="P87" s="31"/>
    </row>
    <row r="88" spans="1:16" s="1" customFormat="1" ht="15" customHeight="1" thickBot="1">
      <c r="A88" s="75">
        <f>'تحليل الشهادة + التقويم المستمر'!K13</f>
        <v>47</v>
      </c>
      <c r="B88" s="75">
        <f>'تحليل الشهادة + التقويم المستمر'!K11</f>
        <v>37</v>
      </c>
      <c r="C88" s="76">
        <f>(B88*100)/A88</f>
        <v>78.723404255319153</v>
      </c>
      <c r="D88" s="77">
        <f>A88-B88</f>
        <v>10</v>
      </c>
      <c r="E88" s="78">
        <f>(D88*100)/A88</f>
        <v>21.276595744680851</v>
      </c>
      <c r="F88" s="427"/>
      <c r="G88" s="79"/>
      <c r="H88" s="75">
        <f>'تحليل الشهادة + التقويم المستمر'!N13</f>
        <v>47</v>
      </c>
      <c r="I88" s="75">
        <f>'تحليل الشهادة + التقويم المستمر'!N11</f>
        <v>23</v>
      </c>
      <c r="J88" s="76">
        <f>(I88*100)/H88</f>
        <v>48.936170212765958</v>
      </c>
      <c r="K88" s="77">
        <f>H88-I88</f>
        <v>24</v>
      </c>
      <c r="L88" s="78">
        <f>(K88*100)/H88</f>
        <v>51.063829787234042</v>
      </c>
      <c r="M88" s="31"/>
      <c r="N88" s="31"/>
      <c r="O88" s="31"/>
      <c r="P88" s="31"/>
    </row>
    <row r="89" spans="1:16" s="1" customFormat="1" ht="5.0999999999999996" customHeight="1" thickBot="1">
      <c r="A89" s="61"/>
      <c r="B89" s="61"/>
      <c r="C89" s="61"/>
      <c r="D89" s="61"/>
      <c r="E89" s="61"/>
      <c r="F89" s="426"/>
      <c r="G89" s="80"/>
      <c r="H89" s="81"/>
      <c r="I89" s="81"/>
      <c r="J89" s="81"/>
      <c r="K89" s="81"/>
      <c r="L89" s="63"/>
      <c r="M89" s="31"/>
      <c r="N89" s="31"/>
      <c r="O89" s="31"/>
      <c r="P89" s="31"/>
    </row>
    <row r="90" spans="1:16" s="1" customFormat="1" ht="18" customHeight="1" thickBot="1">
      <c r="A90" s="422" t="s">
        <v>101</v>
      </c>
      <c r="B90" s="82" t="s">
        <v>102</v>
      </c>
      <c r="C90" s="82" t="s">
        <v>103</v>
      </c>
      <c r="D90" s="82" t="s">
        <v>104</v>
      </c>
      <c r="E90" s="82" t="s">
        <v>105</v>
      </c>
      <c r="F90" s="427"/>
      <c r="G90" s="66"/>
      <c r="H90" s="423" t="s">
        <v>101</v>
      </c>
      <c r="I90" s="82" t="s">
        <v>102</v>
      </c>
      <c r="J90" s="82" t="s">
        <v>103</v>
      </c>
      <c r="K90" s="82" t="s">
        <v>104</v>
      </c>
      <c r="L90" s="82" t="s">
        <v>105</v>
      </c>
      <c r="M90" s="31"/>
      <c r="N90" s="31"/>
      <c r="O90" s="31"/>
      <c r="P90" s="31"/>
    </row>
    <row r="91" spans="1:16" s="1" customFormat="1" ht="12.95" customHeight="1" thickBot="1">
      <c r="A91" s="422"/>
      <c r="B91" s="83">
        <f>D84*3/2-D83</f>
        <v>-8.4044816659121793</v>
      </c>
      <c r="C91" s="83">
        <f>(D84*1/2-D83)</f>
        <v>-11.099366229062925</v>
      </c>
      <c r="D91" s="84">
        <f>(D84*1/2+D83)</f>
        <v>13.794250792213672</v>
      </c>
      <c r="E91" s="84">
        <f>(D84*3/2+D83)</f>
        <v>16.489135355364418</v>
      </c>
      <c r="F91" s="427"/>
      <c r="G91" s="66"/>
      <c r="H91" s="423"/>
      <c r="I91" s="83">
        <f>(J84*3/2-J83)</f>
        <v>-7.5326527840651867</v>
      </c>
      <c r="J91" s="83">
        <f>(J84*1/2-J83)</f>
        <v>-9.5413807152557695</v>
      </c>
      <c r="K91" s="84">
        <f>(J84*1/2+J83)</f>
        <v>11.550108646446354</v>
      </c>
      <c r="L91" s="84">
        <f>(J84*3/2+J83)</f>
        <v>13.558836577636937</v>
      </c>
      <c r="M91" s="31"/>
      <c r="N91" s="31"/>
      <c r="O91" s="31"/>
      <c r="P91" s="31"/>
    </row>
    <row r="92" spans="1:16" s="1" customFormat="1" ht="5.0999999999999996" customHeight="1">
      <c r="A92" s="85"/>
      <c r="B92" s="85"/>
      <c r="C92" s="85"/>
      <c r="D92" s="86"/>
      <c r="E92" s="86"/>
      <c r="F92" s="426"/>
      <c r="G92" s="66"/>
      <c r="H92" s="81"/>
      <c r="I92" s="81"/>
      <c r="J92" s="81"/>
      <c r="K92" s="81"/>
      <c r="L92" s="81"/>
      <c r="M92" s="31"/>
      <c r="N92" s="31"/>
      <c r="O92" s="31"/>
      <c r="P92" s="31"/>
    </row>
    <row r="93" spans="1:16" s="1" customFormat="1" ht="2.1" customHeight="1" thickBot="1">
      <c r="A93" s="85"/>
      <c r="B93" s="85"/>
      <c r="C93" s="85"/>
      <c r="D93" s="86"/>
      <c r="E93" s="86"/>
      <c r="F93" s="426"/>
      <c r="G93" s="66"/>
      <c r="H93" s="80"/>
      <c r="I93" s="80"/>
      <c r="J93" s="80"/>
      <c r="K93" s="80"/>
      <c r="L93" s="80"/>
      <c r="M93" s="31"/>
      <c r="N93" s="31"/>
      <c r="O93" s="31"/>
      <c r="P93" s="31"/>
    </row>
    <row r="94" spans="1:16" s="1" customFormat="1" ht="12" customHeight="1" thickBot="1">
      <c r="A94" s="87" t="s">
        <v>39</v>
      </c>
      <c r="B94" s="87" t="s">
        <v>39</v>
      </c>
      <c r="C94" s="87" t="s">
        <v>39</v>
      </c>
      <c r="D94" s="87" t="s">
        <v>39</v>
      </c>
      <c r="E94" s="87" t="s">
        <v>39</v>
      </c>
      <c r="F94" s="426"/>
      <c r="G94" s="66"/>
      <c r="H94" s="87" t="s">
        <v>39</v>
      </c>
      <c r="I94" s="87" t="s">
        <v>39</v>
      </c>
      <c r="J94" s="87" t="s">
        <v>39</v>
      </c>
      <c r="K94" s="87" t="s">
        <v>39</v>
      </c>
      <c r="L94" s="87" t="s">
        <v>39</v>
      </c>
      <c r="M94" s="31"/>
      <c r="N94" s="31"/>
      <c r="O94" s="31"/>
      <c r="P94" s="31"/>
    </row>
    <row r="95" spans="1:16" s="1" customFormat="1" ht="15" customHeight="1" thickBot="1">
      <c r="A95" s="88">
        <f>(A96*100)/A88</f>
        <v>17.021276595744681</v>
      </c>
      <c r="B95" s="88">
        <f>(B96*100/A88)</f>
        <v>12.76595744680851</v>
      </c>
      <c r="C95" s="88">
        <f>(C96*100/A88)</f>
        <v>17.021276595744681</v>
      </c>
      <c r="D95" s="88">
        <f>(D96*100/A88)</f>
        <v>19.148936170212767</v>
      </c>
      <c r="E95" s="88">
        <f>(E96*100/A88)</f>
        <v>34.042553191489361</v>
      </c>
      <c r="F95" s="426"/>
      <c r="G95" s="66"/>
      <c r="H95" s="88">
        <f>(H96*100/H88)</f>
        <v>34.042553191489361</v>
      </c>
      <c r="I95" s="88">
        <f>(I96*100/H88)</f>
        <v>25.531914893617021</v>
      </c>
      <c r="J95" s="88">
        <f>(J96*100/H88)</f>
        <v>17.021276595744681</v>
      </c>
      <c r="K95" s="88">
        <f>(K96*100/H88)</f>
        <v>12.76595744680851</v>
      </c>
      <c r="L95" s="88">
        <f>(L96*100/H88)</f>
        <v>10.638297872340425</v>
      </c>
      <c r="M95" s="31"/>
      <c r="N95" s="31"/>
      <c r="O95" s="31"/>
      <c r="P95" s="31"/>
    </row>
    <row r="96" spans="1:16" s="1" customFormat="1" ht="15" customHeight="1" thickBot="1">
      <c r="A96" s="89">
        <f>((COUNTIF('نتائج الشهادة. المعدلات السنوية'!O5:O51,"&lt;9,45")))</f>
        <v>8</v>
      </c>
      <c r="B96" s="89">
        <f>((COUNTIF('نتائج الشهادة. المعدلات السنوية'!O5:O51,"&lt;10,95")))-A96</f>
        <v>6</v>
      </c>
      <c r="C96" s="89">
        <f>((COUNTIF('نتائج الشهادة. المعدلات السنوية'!O5:O51,"&lt;12,45")))-B96-A96</f>
        <v>8</v>
      </c>
      <c r="D96" s="89">
        <f>((COUNTIF('نتائج الشهادة. المعدلات السنوية'!O5:O51,"&lt;13,95")))-C96-B96-A96</f>
        <v>9</v>
      </c>
      <c r="E96" s="89">
        <f>A88-(A96+B96+C96+D96)</f>
        <v>16</v>
      </c>
      <c r="F96" s="426"/>
      <c r="G96" s="66"/>
      <c r="H96" s="89">
        <f>((COUNTIF('نتائج الشهادة. المعدلات السنوية'!P5:P51,"&lt;9,45")))</f>
        <v>16</v>
      </c>
      <c r="I96" s="89">
        <f>((COUNTIF('نتائج الشهادة. المعدلات السنوية'!P5:P51,"&lt;10,95")))-H96</f>
        <v>12</v>
      </c>
      <c r="J96" s="89">
        <f>((COUNTIF('نتائج الشهادة. المعدلات السنوية'!P5:P51,"&lt;12,45")))-I96-H96</f>
        <v>8</v>
      </c>
      <c r="K96" s="89">
        <f>((COUNTIF('نتائج الشهادة. المعدلات السنوية'!P5:P51,"&lt;13,95")))-J96-I96-H96</f>
        <v>6</v>
      </c>
      <c r="L96" s="89">
        <f>H88-(H96+I96+J96+K96)</f>
        <v>5</v>
      </c>
      <c r="M96" s="31"/>
      <c r="N96" s="31"/>
      <c r="O96" s="31"/>
      <c r="P96" s="31"/>
    </row>
    <row r="97" spans="1:16" s="1" customFormat="1" ht="15" customHeight="1" thickBot="1">
      <c r="A97" s="90" t="s">
        <v>106</v>
      </c>
      <c r="B97" s="90" t="s">
        <v>107</v>
      </c>
      <c r="C97" s="91" t="s">
        <v>108</v>
      </c>
      <c r="D97" s="92" t="s">
        <v>109</v>
      </c>
      <c r="E97" s="92" t="s">
        <v>110</v>
      </c>
      <c r="F97" s="426"/>
      <c r="G97" s="66"/>
      <c r="H97" s="90" t="s">
        <v>106</v>
      </c>
      <c r="I97" s="90" t="s">
        <v>107</v>
      </c>
      <c r="J97" s="91" t="s">
        <v>108</v>
      </c>
      <c r="K97" s="92" t="s">
        <v>109</v>
      </c>
      <c r="L97" s="92" t="s">
        <v>110</v>
      </c>
      <c r="M97" s="31"/>
      <c r="N97" s="31"/>
      <c r="O97" s="31"/>
      <c r="P97" s="31"/>
    </row>
    <row r="98" spans="1:16" s="1" customFormat="1" ht="9.9499999999999993" customHeight="1" thickBot="1">
      <c r="A98" s="93"/>
      <c r="B98" s="93"/>
      <c r="C98" s="94"/>
      <c r="D98" s="95"/>
      <c r="E98" s="95"/>
      <c r="F98" s="426"/>
      <c r="G98" s="66"/>
      <c r="H98" s="93"/>
      <c r="I98" s="93"/>
      <c r="J98" s="94"/>
      <c r="K98" s="95"/>
      <c r="L98" s="95"/>
      <c r="M98" s="31"/>
      <c r="N98" s="31"/>
      <c r="O98" s="31"/>
      <c r="P98" s="31"/>
    </row>
    <row r="99" spans="1:16" s="1" customFormat="1" ht="12" customHeight="1" thickBot="1">
      <c r="A99" s="418" t="s">
        <v>111</v>
      </c>
      <c r="B99" s="418"/>
      <c r="C99" s="96">
        <f>D85</f>
        <v>21.651209310783777</v>
      </c>
      <c r="D99" s="412" t="str">
        <f>IF(C99&gt;=30,"هناك  تشتت و إختلاف",IF(C99&gt;=15,"هناك  انسجام نسبي",IF(C99&lt;15,"هناك انسجام  تام",)))</f>
        <v>هناك  انسجام نسبي</v>
      </c>
      <c r="E99" s="412"/>
      <c r="F99" s="427"/>
      <c r="G99" s="66"/>
      <c r="H99" s="418" t="s">
        <v>111</v>
      </c>
      <c r="I99" s="418"/>
      <c r="J99" s="96">
        <f>J85</f>
        <v>19.047758048210923</v>
      </c>
      <c r="K99" s="412" t="str">
        <f>IF(J99&gt;=30,"هناك  تشتت و إختلاف",IF(J99&gt;=15,"هناك  انسجام نسبي",IF(J99&lt;15,"هناك انسجام  تام",)))</f>
        <v>هناك  انسجام نسبي</v>
      </c>
      <c r="L99" s="412"/>
      <c r="M99" s="31"/>
      <c r="N99" s="31"/>
      <c r="O99" s="31"/>
      <c r="P99" s="31"/>
    </row>
  </sheetData>
  <mergeCells count="89">
    <mergeCell ref="K99:L99"/>
    <mergeCell ref="I82:J82"/>
    <mergeCell ref="A83:C83"/>
    <mergeCell ref="G80:L80"/>
    <mergeCell ref="A80:E80"/>
    <mergeCell ref="A85:C85"/>
    <mergeCell ref="G85:I85"/>
    <mergeCell ref="A1:E1"/>
    <mergeCell ref="G1:L1"/>
    <mergeCell ref="A40:E40"/>
    <mergeCell ref="G40:L40"/>
    <mergeCell ref="A90:A91"/>
    <mergeCell ref="H90:H91"/>
    <mergeCell ref="F81:F99"/>
    <mergeCell ref="A82:B82"/>
    <mergeCell ref="C82:D82"/>
    <mergeCell ref="G82:H82"/>
    <mergeCell ref="A99:B99"/>
    <mergeCell ref="D99:E99"/>
    <mergeCell ref="H99:I99"/>
    <mergeCell ref="G83:I83"/>
    <mergeCell ref="A84:C84"/>
    <mergeCell ref="G84:I84"/>
    <mergeCell ref="K77:L77"/>
    <mergeCell ref="A62:C62"/>
    <mergeCell ref="G62:I62"/>
    <mergeCell ref="A63:C63"/>
    <mergeCell ref="G63:I63"/>
    <mergeCell ref="A64:C64"/>
    <mergeCell ref="G64:I64"/>
    <mergeCell ref="I42:J42"/>
    <mergeCell ref="A43:C43"/>
    <mergeCell ref="A69:A70"/>
    <mergeCell ref="H69:H70"/>
    <mergeCell ref="A77:B77"/>
    <mergeCell ref="D77:E77"/>
    <mergeCell ref="H77:I77"/>
    <mergeCell ref="A50:A51"/>
    <mergeCell ref="H50:H51"/>
    <mergeCell ref="F41:F77"/>
    <mergeCell ref="A42:B42"/>
    <mergeCell ref="C42:D42"/>
    <mergeCell ref="G42:H42"/>
    <mergeCell ref="G43:I43"/>
    <mergeCell ref="A44:C44"/>
    <mergeCell ref="G44:I44"/>
    <mergeCell ref="A45:C45"/>
    <mergeCell ref="G45:I45"/>
    <mergeCell ref="A59:B59"/>
    <mergeCell ref="D59:E59"/>
    <mergeCell ref="H59:I59"/>
    <mergeCell ref="K59:L59"/>
    <mergeCell ref="A61:B61"/>
    <mergeCell ref="C61:D61"/>
    <mergeCell ref="G61:H61"/>
    <mergeCell ref="I61:J61"/>
    <mergeCell ref="K38:L38"/>
    <mergeCell ref="A23:C23"/>
    <mergeCell ref="G23:I23"/>
    <mergeCell ref="A24:C24"/>
    <mergeCell ref="G24:I24"/>
    <mergeCell ref="A25:C25"/>
    <mergeCell ref="G25:I25"/>
    <mergeCell ref="I3:J3"/>
    <mergeCell ref="A4:C4"/>
    <mergeCell ref="A30:A31"/>
    <mergeCell ref="H30:H31"/>
    <mergeCell ref="A38:B38"/>
    <mergeCell ref="D38:E38"/>
    <mergeCell ref="H38:I38"/>
    <mergeCell ref="A11:A12"/>
    <mergeCell ref="H11:H12"/>
    <mergeCell ref="F2:F38"/>
    <mergeCell ref="A3:B3"/>
    <mergeCell ref="C3:D3"/>
    <mergeCell ref="G3:H3"/>
    <mergeCell ref="G4:I4"/>
    <mergeCell ref="A5:C5"/>
    <mergeCell ref="G5:I5"/>
    <mergeCell ref="A6:C6"/>
    <mergeCell ref="G6:I6"/>
    <mergeCell ref="A20:B20"/>
    <mergeCell ref="D20:E20"/>
    <mergeCell ref="H20:I20"/>
    <mergeCell ref="K20:L20"/>
    <mergeCell ref="A22:B22"/>
    <mergeCell ref="C22:D22"/>
    <mergeCell ref="G22:H22"/>
    <mergeCell ref="I22:J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نتائج الشهادة من الرقمنة</vt:lpstr>
      <vt:lpstr>نتائج الشهادة. المعدلات السنوية</vt:lpstr>
      <vt:lpstr>تحليل الشهادة + التقويم المستمر</vt:lpstr>
      <vt:lpstr>المعايرة الاحصائية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USER</cp:lastModifiedBy>
  <cp:lastPrinted>2025-06-30T10:25:07Z</cp:lastPrinted>
  <dcterms:created xsi:type="dcterms:W3CDTF">2022-12-02T08:38:58Z</dcterms:created>
  <dcterms:modified xsi:type="dcterms:W3CDTF">2025-07-01T09:48:42Z</dcterms:modified>
</cp:coreProperties>
</file>