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aman\Downloads\"/>
    </mc:Choice>
  </mc:AlternateContent>
  <xr:revisionPtr revIDLastSave="0" documentId="13_ncr:1_{28CD5B09-28E2-4C45-B806-F5EC300C9C8F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DCF Valuation" sheetId="1" r:id="rId1"/>
    <sheet name="Option Pricing Model" sheetId="2" r:id="rId2"/>
    <sheet name="Financial Statements(From Annua" sheetId="3" r:id="rId3"/>
    <sheet name="Estimated Default Spread(From D" sheetId="4" r:id="rId4"/>
    <sheet name="Growth Rates for Contingencys" sheetId="5" r:id="rId5"/>
    <sheet name="Adjustments to FS&amp; Calculation " sheetId="6" r:id="rId6"/>
    <sheet name="Adjusted and Pro Forma F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6" i="7" l="1"/>
  <c r="K146" i="7"/>
  <c r="J146" i="7"/>
  <c r="I146" i="7"/>
  <c r="H146" i="7"/>
  <c r="G146" i="7"/>
  <c r="F146" i="7"/>
  <c r="E146" i="7"/>
  <c r="D146" i="7"/>
  <c r="C146" i="7"/>
  <c r="B146" i="7"/>
  <c r="B123" i="7"/>
  <c r="B89" i="7"/>
  <c r="B85" i="7"/>
  <c r="L75" i="7"/>
  <c r="K75" i="7"/>
  <c r="J75" i="7"/>
  <c r="L61" i="7"/>
  <c r="K61" i="7"/>
  <c r="J61" i="7"/>
  <c r="I61" i="7"/>
  <c r="H61" i="7"/>
  <c r="D58" i="7"/>
  <c r="B55" i="7"/>
  <c r="B43" i="7"/>
  <c r="B27" i="7"/>
  <c r="L16" i="7"/>
  <c r="K16" i="7"/>
  <c r="J16" i="7"/>
  <c r="I16" i="7"/>
  <c r="H16" i="7"/>
  <c r="G16" i="7"/>
  <c r="C16" i="7"/>
  <c r="B16" i="7"/>
  <c r="H13" i="7"/>
  <c r="G13" i="7"/>
  <c r="F13" i="7"/>
  <c r="F16" i="7" s="1"/>
  <c r="E13" i="7"/>
  <c r="E16" i="7" s="1"/>
  <c r="D13" i="7"/>
  <c r="D16" i="7" s="1"/>
  <c r="C13" i="7"/>
  <c r="B13" i="7"/>
  <c r="C8" i="7"/>
  <c r="B6" i="7"/>
  <c r="B4" i="7"/>
  <c r="C2" i="7"/>
  <c r="C41" i="7" s="1"/>
  <c r="I25" i="6"/>
  <c r="C25" i="6"/>
  <c r="B25" i="6"/>
  <c r="B26" i="6" s="1"/>
  <c r="K24" i="6"/>
  <c r="J24" i="6"/>
  <c r="D24" i="6"/>
  <c r="C24" i="6"/>
  <c r="B24" i="6"/>
  <c r="K23" i="6"/>
  <c r="J23" i="6"/>
  <c r="J22" i="6"/>
  <c r="K22" i="6" s="1"/>
  <c r="C15" i="6"/>
  <c r="C16" i="6" s="1"/>
  <c r="C14" i="6"/>
  <c r="D14" i="6" s="1"/>
  <c r="E14" i="6" s="1"/>
  <c r="D13" i="6"/>
  <c r="E13" i="6" s="1"/>
  <c r="C13" i="6"/>
  <c r="C7" i="6"/>
  <c r="G60" i="7" s="1"/>
  <c r="G61" i="7" s="1"/>
  <c r="B70" i="5"/>
  <c r="B76" i="5" s="1"/>
  <c r="C29" i="5"/>
  <c r="B29" i="5"/>
  <c r="D29" i="5" s="1"/>
  <c r="C28" i="5"/>
  <c r="B28" i="5"/>
  <c r="D28" i="5" s="1"/>
  <c r="C27" i="5"/>
  <c r="B27" i="5"/>
  <c r="D27" i="5" s="1"/>
  <c r="C26" i="5"/>
  <c r="D26" i="5" s="1"/>
  <c r="B26" i="5"/>
  <c r="C23" i="5"/>
  <c r="D23" i="5" s="1"/>
  <c r="B23" i="5"/>
  <c r="C20" i="5"/>
  <c r="B20" i="5"/>
  <c r="D20" i="5" s="1"/>
  <c r="C19" i="5"/>
  <c r="D19" i="5" s="1"/>
  <c r="B19" i="5"/>
  <c r="C18" i="5"/>
  <c r="D18" i="5" s="1"/>
  <c r="B18" i="5"/>
  <c r="D17" i="5"/>
  <c r="C17" i="5"/>
  <c r="B17" i="5"/>
  <c r="E9" i="5"/>
  <c r="D9" i="5"/>
  <c r="C9" i="5"/>
  <c r="B9" i="5"/>
  <c r="B7" i="5"/>
  <c r="B4" i="5"/>
  <c r="H21" i="6" s="1"/>
  <c r="B3" i="5"/>
  <c r="H72" i="3"/>
  <c r="H73" i="3" s="1"/>
  <c r="G72" i="3"/>
  <c r="G74" i="3" s="1"/>
  <c r="C24" i="3"/>
  <c r="B24" i="3"/>
  <c r="S13" i="3"/>
  <c r="C66" i="5" s="1"/>
  <c r="R13" i="3"/>
  <c r="B66" i="5" s="1"/>
  <c r="I3" i="3"/>
  <c r="B4" i="2"/>
  <c r="B53" i="1"/>
  <c r="B37" i="1"/>
  <c r="C35" i="1"/>
  <c r="B35" i="1"/>
  <c r="B34" i="1"/>
  <c r="C33" i="1"/>
  <c r="B33" i="1"/>
  <c r="D32" i="1"/>
  <c r="D123" i="7" s="1"/>
  <c r="C32" i="1"/>
  <c r="C123" i="7" s="1"/>
  <c r="B32" i="1"/>
  <c r="B36" i="1" s="1"/>
  <c r="L16" i="1"/>
  <c r="K16" i="1"/>
  <c r="J16" i="1"/>
  <c r="I16" i="1"/>
  <c r="H16" i="1"/>
  <c r="G16" i="1"/>
  <c r="F16" i="1"/>
  <c r="E16" i="1"/>
  <c r="D16" i="1"/>
  <c r="C16" i="1"/>
  <c r="B16" i="1"/>
  <c r="L13" i="1"/>
  <c r="F13" i="1"/>
  <c r="E13" i="1"/>
  <c r="D13" i="1"/>
  <c r="L12" i="1"/>
  <c r="K12" i="1"/>
  <c r="K13" i="1" s="1"/>
  <c r="J12" i="1"/>
  <c r="J13" i="1" s="1"/>
  <c r="I12" i="1"/>
  <c r="I13" i="1" s="1"/>
  <c r="H12" i="1"/>
  <c r="H13" i="1" s="1"/>
  <c r="G12" i="1"/>
  <c r="G13" i="1" s="1"/>
  <c r="F12" i="1"/>
  <c r="E12" i="1"/>
  <c r="D12" i="1"/>
  <c r="C12" i="1"/>
  <c r="C13" i="1" s="1"/>
  <c r="B12" i="1"/>
  <c r="B10" i="1"/>
  <c r="C51" i="7" l="1"/>
  <c r="C113" i="7" s="1"/>
  <c r="E32" i="1"/>
  <c r="M12" i="6"/>
  <c r="C75" i="7" s="1"/>
  <c r="H20" i="6"/>
  <c r="K21" i="6"/>
  <c r="I21" i="6"/>
  <c r="D35" i="1" s="1"/>
  <c r="C5" i="6" a="1"/>
  <c r="C5" i="6" s="1"/>
  <c r="E60" i="7" s="1"/>
  <c r="E61" i="7" s="1"/>
  <c r="C4" i="6" a="1"/>
  <c r="C4" i="6" s="1"/>
  <c r="D60" i="7" s="1"/>
  <c r="D61" i="7" s="1"/>
  <c r="C6" i="6" a="1"/>
  <c r="C6" i="6" s="1"/>
  <c r="F60" i="7" s="1"/>
  <c r="F61" i="7" s="1"/>
  <c r="C3" i="6" a="1"/>
  <c r="C3" i="6" s="1"/>
  <c r="C60" i="7" s="1"/>
  <c r="C61" i="7" s="1"/>
  <c r="C2" i="6" a="1"/>
  <c r="C2" i="6" s="1"/>
  <c r="D66" i="5"/>
  <c r="C40" i="7"/>
  <c r="D40" i="7"/>
  <c r="D48" i="7"/>
  <c r="C48" i="7"/>
  <c r="C110" i="7"/>
  <c r="B13" i="1"/>
  <c r="E17" i="6"/>
  <c r="B75" i="7" s="1"/>
  <c r="B77" i="7" s="1"/>
  <c r="D15" i="6"/>
  <c r="E15" i="6" s="1"/>
  <c r="D2" i="7"/>
  <c r="D51" i="7" s="1"/>
  <c r="D113" i="7" s="1"/>
  <c r="C3" i="7"/>
  <c r="C4" i="7" s="1"/>
  <c r="C31" i="7"/>
  <c r="C32" i="7" s="1"/>
  <c r="C70" i="5"/>
  <c r="G73" i="3"/>
  <c r="B31" i="7" s="1"/>
  <c r="B72" i="5"/>
  <c r="B38" i="6" l="1"/>
  <c r="C7" i="7"/>
  <c r="C9" i="7" s="1"/>
  <c r="B7" i="7"/>
  <c r="B9" i="7" s="1"/>
  <c r="B10" i="7" s="1"/>
  <c r="B60" i="7"/>
  <c r="B61" i="7" s="1"/>
  <c r="B45" i="7"/>
  <c r="B46" i="7" s="1"/>
  <c r="I20" i="6"/>
  <c r="E35" i="1" s="1"/>
  <c r="H19" i="6"/>
  <c r="D33" i="1"/>
  <c r="E123" i="7"/>
  <c r="F32" i="1"/>
  <c r="C72" i="5"/>
  <c r="D70" i="5"/>
  <c r="D109" i="7"/>
  <c r="C109" i="7"/>
  <c r="C10" i="7"/>
  <c r="C50" i="7"/>
  <c r="C42" i="7"/>
  <c r="D112" i="7"/>
  <c r="C49" i="7"/>
  <c r="C55" i="7" s="1"/>
  <c r="B78" i="7"/>
  <c r="D8" i="7"/>
  <c r="D7" i="7"/>
  <c r="D9" i="7" s="1"/>
  <c r="D31" i="7"/>
  <c r="D32" i="7" s="1"/>
  <c r="D3" i="7"/>
  <c r="D4" i="7" s="1"/>
  <c r="D10" i="7" s="1"/>
  <c r="E2" i="7"/>
  <c r="D41" i="7"/>
  <c r="C112" i="7"/>
  <c r="D18" i="7" l="1"/>
  <c r="D20" i="7" s="1"/>
  <c r="D28" i="7"/>
  <c r="D24" i="7"/>
  <c r="D29" i="1"/>
  <c r="D31" i="1" s="1"/>
  <c r="C81" i="7"/>
  <c r="C17" i="1" s="1"/>
  <c r="C18" i="1" s="1"/>
  <c r="C19" i="1" s="1"/>
  <c r="F123" i="7"/>
  <c r="G32" i="1"/>
  <c r="C24" i="7"/>
  <c r="C18" i="7"/>
  <c r="C20" i="7" s="1"/>
  <c r="C28" i="7"/>
  <c r="B61" i="1" s="1"/>
  <c r="C29" i="1"/>
  <c r="C31" i="1" s="1"/>
  <c r="E110" i="7"/>
  <c r="D110" i="7"/>
  <c r="C89" i="7"/>
  <c r="C90" i="7" s="1"/>
  <c r="C37" i="1" s="1"/>
  <c r="B82" i="7"/>
  <c r="B6" i="1" s="1"/>
  <c r="B8" i="1" s="1"/>
  <c r="B81" i="7"/>
  <c r="B24" i="7"/>
  <c r="B84" i="7"/>
  <c r="B18" i="7"/>
  <c r="B20" i="7" s="1"/>
  <c r="B28" i="7"/>
  <c r="B29" i="1"/>
  <c r="B31" i="1" s="1"/>
  <c r="E31" i="7"/>
  <c r="E32" i="7" s="1"/>
  <c r="E3" i="7"/>
  <c r="E4" i="7" s="1"/>
  <c r="E10" i="7" s="1"/>
  <c r="F2" i="7"/>
  <c r="E41" i="7"/>
  <c r="E8" i="7"/>
  <c r="E7" i="7"/>
  <c r="E9" i="7" s="1"/>
  <c r="E51" i="7"/>
  <c r="E113" i="7" s="1"/>
  <c r="E48" i="7"/>
  <c r="E40" i="7"/>
  <c r="D72" i="5"/>
  <c r="D34" i="1" s="1"/>
  <c r="D100" i="7" s="1"/>
  <c r="E70" i="5"/>
  <c r="D50" i="7"/>
  <c r="D49" i="7"/>
  <c r="D55" i="7" s="1"/>
  <c r="D42" i="7"/>
  <c r="C74" i="5"/>
  <c r="C34" i="1"/>
  <c r="B156" i="7"/>
  <c r="B62" i="1"/>
  <c r="M11" i="6"/>
  <c r="D75" i="7" s="1"/>
  <c r="D36" i="1"/>
  <c r="D111" i="7"/>
  <c r="C111" i="7"/>
  <c r="I19" i="6"/>
  <c r="F35" i="1" s="1"/>
  <c r="H18" i="6"/>
  <c r="M10" i="6"/>
  <c r="E75" i="7" s="1"/>
  <c r="E33" i="1"/>
  <c r="E18" i="7" l="1"/>
  <c r="E20" i="7" s="1"/>
  <c r="E28" i="7"/>
  <c r="E24" i="7"/>
  <c r="E29" i="1"/>
  <c r="E31" i="1" s="1"/>
  <c r="B98" i="7"/>
  <c r="B115" i="7" s="1"/>
  <c r="B147" i="7" s="1"/>
  <c r="B149" i="7" s="1"/>
  <c r="C148" i="7" s="1"/>
  <c r="B21" i="7"/>
  <c r="B29" i="7"/>
  <c r="F7" i="7"/>
  <c r="F9" i="7" s="1"/>
  <c r="G2" i="7"/>
  <c r="F4" i="7"/>
  <c r="F10" i="7" s="1"/>
  <c r="F31" i="7"/>
  <c r="F32" i="7" s="1"/>
  <c r="F3" i="7"/>
  <c r="F41" i="7"/>
  <c r="F8" i="7"/>
  <c r="F51" i="7"/>
  <c r="F113" i="7" s="1"/>
  <c r="F48" i="7"/>
  <c r="F40" i="7"/>
  <c r="C98" i="7"/>
  <c r="C115" i="7" s="1"/>
  <c r="C147" i="7" s="1"/>
  <c r="C21" i="7"/>
  <c r="C76" i="7"/>
  <c r="C29" i="7"/>
  <c r="D81" i="7"/>
  <c r="D17" i="1" s="1"/>
  <c r="D18" i="1" s="1"/>
  <c r="D19" i="1" s="1"/>
  <c r="E72" i="5"/>
  <c r="E34" i="1" s="1"/>
  <c r="E100" i="7" s="1"/>
  <c r="F70" i="5"/>
  <c r="E42" i="7"/>
  <c r="E50" i="7"/>
  <c r="E49" i="7"/>
  <c r="B17" i="1"/>
  <c r="D2" i="6"/>
  <c r="C38" i="1"/>
  <c r="M9" i="6"/>
  <c r="F75" i="7" s="1"/>
  <c r="I18" i="6"/>
  <c r="G35" i="1" s="1"/>
  <c r="H17" i="6"/>
  <c r="F33" i="1"/>
  <c r="C100" i="7"/>
  <c r="C36" i="1"/>
  <c r="C40" i="1" s="1"/>
  <c r="G8" i="1"/>
  <c r="F8" i="1"/>
  <c r="E8" i="1"/>
  <c r="L8" i="1"/>
  <c r="D8" i="1"/>
  <c r="K8" i="1"/>
  <c r="C8" i="1"/>
  <c r="H8" i="1"/>
  <c r="J8" i="1"/>
  <c r="I8" i="1"/>
  <c r="D40" i="1"/>
  <c r="B41" i="1"/>
  <c r="B83" i="7"/>
  <c r="B86" i="7" s="1"/>
  <c r="B63" i="1"/>
  <c r="B87" i="7"/>
  <c r="E89" i="7"/>
  <c r="E90" i="7" s="1"/>
  <c r="E37" i="1" s="1"/>
  <c r="F109" i="7"/>
  <c r="E109" i="7"/>
  <c r="D74" i="5"/>
  <c r="C76" i="5"/>
  <c r="C44" i="7" s="1"/>
  <c r="C45" i="7" s="1"/>
  <c r="E112" i="7"/>
  <c r="E55" i="7"/>
  <c r="G123" i="7"/>
  <c r="H32" i="1"/>
  <c r="E111" i="7"/>
  <c r="D89" i="7"/>
  <c r="D90" i="7" s="1"/>
  <c r="D37" i="1" s="1"/>
  <c r="D38" i="1" s="1"/>
  <c r="B38" i="1"/>
  <c r="B40" i="1"/>
  <c r="D21" i="7"/>
  <c r="D29" i="7"/>
  <c r="D98" i="7"/>
  <c r="D115" i="7" s="1"/>
  <c r="D147" i="7" s="1"/>
  <c r="H123" i="7" l="1"/>
  <c r="I32" i="1"/>
  <c r="F111" i="7"/>
  <c r="D76" i="7"/>
  <c r="C77" i="7"/>
  <c r="F28" i="7"/>
  <c r="F24" i="7"/>
  <c r="F18" i="7"/>
  <c r="F20" i="7" s="1"/>
  <c r="F29" i="1"/>
  <c r="F31" i="1" s="1"/>
  <c r="E81" i="7"/>
  <c r="E17" i="1" s="1"/>
  <c r="E18" i="1" s="1"/>
  <c r="E19" i="1" s="1"/>
  <c r="E36" i="1"/>
  <c r="E40" i="1" s="1"/>
  <c r="G70" i="5"/>
  <c r="F72" i="5"/>
  <c r="F34" i="1" s="1"/>
  <c r="F100" i="7" s="1"/>
  <c r="F42" i="7"/>
  <c r="F50" i="7"/>
  <c r="F49" i="7"/>
  <c r="F89" i="7"/>
  <c r="F90" i="7" s="1"/>
  <c r="F37" i="1" s="1"/>
  <c r="B51" i="1"/>
  <c r="B5" i="2"/>
  <c r="B6" i="2" s="1"/>
  <c r="B18" i="1"/>
  <c r="F112" i="7"/>
  <c r="F55" i="7"/>
  <c r="C149" i="7"/>
  <c r="G31" i="7"/>
  <c r="G32" i="7" s="1"/>
  <c r="G3" i="7"/>
  <c r="G4" i="7" s="1"/>
  <c r="G10" i="7" s="1"/>
  <c r="H2" i="7"/>
  <c r="G41" i="7"/>
  <c r="G8" i="7"/>
  <c r="G7" i="7"/>
  <c r="G9" i="7" s="1"/>
  <c r="G48" i="7"/>
  <c r="G40" i="7"/>
  <c r="G109" i="7" s="1"/>
  <c r="G51" i="7"/>
  <c r="G113" i="7" s="1"/>
  <c r="B42" i="1"/>
  <c r="E38" i="1"/>
  <c r="E74" i="5"/>
  <c r="D76" i="5"/>
  <c r="D44" i="7" s="1"/>
  <c r="D45" i="7" s="1"/>
  <c r="H16" i="6"/>
  <c r="I17" i="6"/>
  <c r="H35" i="1" s="1"/>
  <c r="G33" i="1"/>
  <c r="G110" i="7"/>
  <c r="F110" i="7"/>
  <c r="E98" i="7"/>
  <c r="E115" i="7" s="1"/>
  <c r="E147" i="7" s="1"/>
  <c r="E21" i="7"/>
  <c r="E29" i="7"/>
  <c r="G28" i="7" l="1"/>
  <c r="G24" i="7"/>
  <c r="G18" i="7"/>
  <c r="G29" i="1"/>
  <c r="G31" i="1" s="1"/>
  <c r="C78" i="7"/>
  <c r="C84" i="7"/>
  <c r="C82" i="7"/>
  <c r="C6" i="1" s="1"/>
  <c r="C9" i="1" s="1"/>
  <c r="C10" i="1" s="1"/>
  <c r="C20" i="1" s="1"/>
  <c r="I16" i="6"/>
  <c r="I35" i="1" s="1"/>
  <c r="H15" i="6"/>
  <c r="H33" i="1"/>
  <c r="E76" i="7"/>
  <c r="D77" i="7"/>
  <c r="H70" i="5"/>
  <c r="G72" i="5"/>
  <c r="G34" i="1" s="1"/>
  <c r="G100" i="7" s="1"/>
  <c r="G49" i="7"/>
  <c r="G50" i="7"/>
  <c r="G55" i="7" s="1"/>
  <c r="G42" i="7"/>
  <c r="G89" i="7" s="1"/>
  <c r="G90" i="7" s="1"/>
  <c r="G37" i="1" s="1"/>
  <c r="F36" i="1"/>
  <c r="F40" i="1" s="1"/>
  <c r="C39" i="7"/>
  <c r="C43" i="7" s="1"/>
  <c r="C46" i="7" s="1"/>
  <c r="D148" i="7"/>
  <c r="D149" i="7" s="1"/>
  <c r="F81" i="7"/>
  <c r="F17" i="1" s="1"/>
  <c r="F18" i="1" s="1"/>
  <c r="F19" i="1" s="1"/>
  <c r="I123" i="7"/>
  <c r="J32" i="1"/>
  <c r="F38" i="1"/>
  <c r="G112" i="7"/>
  <c r="H110" i="7"/>
  <c r="F29" i="7"/>
  <c r="F98" i="7"/>
  <c r="F115" i="7" s="1"/>
  <c r="F147" i="7" s="1"/>
  <c r="F21" i="7"/>
  <c r="M8" i="6"/>
  <c r="G75" i="7" s="1"/>
  <c r="F74" i="5"/>
  <c r="E76" i="5"/>
  <c r="E44" i="7" s="1"/>
  <c r="E45" i="7" s="1"/>
  <c r="H31" i="7"/>
  <c r="H32" i="7" s="1"/>
  <c r="H3" i="7"/>
  <c r="H4" i="7" s="1"/>
  <c r="H10" i="7" s="1"/>
  <c r="I2" i="7"/>
  <c r="H41" i="7"/>
  <c r="H8" i="7"/>
  <c r="H7" i="7"/>
  <c r="H9" i="7" s="1"/>
  <c r="H40" i="7"/>
  <c r="H48" i="7"/>
  <c r="H51" i="7"/>
  <c r="H113" i="7" s="1"/>
  <c r="B19" i="1"/>
  <c r="B20" i="1" s="1"/>
  <c r="G111" i="7"/>
  <c r="G81" i="7" l="1"/>
  <c r="G17" i="1" s="1"/>
  <c r="G18" i="1" s="1"/>
  <c r="G19" i="1" s="1"/>
  <c r="H28" i="7"/>
  <c r="H24" i="7"/>
  <c r="H18" i="7"/>
  <c r="H29" i="1"/>
  <c r="H31" i="1" s="1"/>
  <c r="I41" i="7"/>
  <c r="I31" i="7"/>
  <c r="I32" i="7" s="1"/>
  <c r="I3" i="7"/>
  <c r="J2" i="7"/>
  <c r="I8" i="7"/>
  <c r="I7" i="7"/>
  <c r="I9" i="7" s="1"/>
  <c r="I4" i="7"/>
  <c r="I10" i="7" s="1"/>
  <c r="I40" i="7"/>
  <c r="I48" i="7"/>
  <c r="I51" i="7"/>
  <c r="I113" i="7" s="1"/>
  <c r="D78" i="7"/>
  <c r="D82" i="7"/>
  <c r="D6" i="1" s="1"/>
  <c r="D9" i="1" s="1"/>
  <c r="D10" i="1" s="1"/>
  <c r="D20" i="1" s="1"/>
  <c r="D44" i="1" s="1"/>
  <c r="D84" i="7"/>
  <c r="F76" i="7"/>
  <c r="E77" i="7"/>
  <c r="H112" i="7"/>
  <c r="C83" i="7"/>
  <c r="C41" i="1"/>
  <c r="C42" i="1" s="1"/>
  <c r="I109" i="7"/>
  <c r="D39" i="7"/>
  <c r="D43" i="7" s="1"/>
  <c r="D46" i="7" s="1"/>
  <c r="D156" i="7" s="1"/>
  <c r="E148" i="7"/>
  <c r="E149" i="7" s="1"/>
  <c r="H72" i="5"/>
  <c r="H34" i="1" s="1"/>
  <c r="H100" i="7" s="1"/>
  <c r="I70" i="5"/>
  <c r="H49" i="7"/>
  <c r="H55" i="7" s="1"/>
  <c r="H42" i="7"/>
  <c r="H89" i="7" s="1"/>
  <c r="H90" i="7" s="1"/>
  <c r="H37" i="1" s="1"/>
  <c r="H50" i="7"/>
  <c r="G19" i="7"/>
  <c r="G20" i="7" s="1"/>
  <c r="C156" i="7"/>
  <c r="H14" i="6"/>
  <c r="I15" i="6"/>
  <c r="J35" i="1" s="1"/>
  <c r="M6" i="6"/>
  <c r="I75" i="7" s="1"/>
  <c r="I33" i="1"/>
  <c r="G74" i="5"/>
  <c r="F76" i="5"/>
  <c r="F44" i="7" s="1"/>
  <c r="F45" i="7" s="1"/>
  <c r="H36" i="1"/>
  <c r="I110" i="7"/>
  <c r="G36" i="1"/>
  <c r="G40" i="1" s="1"/>
  <c r="M7" i="6"/>
  <c r="H75" i="7" s="1"/>
  <c r="J123" i="7"/>
  <c r="K32" i="1"/>
  <c r="H109" i="7"/>
  <c r="C44" i="1"/>
  <c r="C45" i="1" s="1"/>
  <c r="B65" i="1"/>
  <c r="G29" i="7" l="1"/>
  <c r="G98" i="7"/>
  <c r="G115" i="7" s="1"/>
  <c r="G147" i="7" s="1"/>
  <c r="G21" i="7"/>
  <c r="H81" i="7"/>
  <c r="H17" i="1" s="1"/>
  <c r="H18" i="1" s="1"/>
  <c r="H19" i="1" s="1"/>
  <c r="D45" i="1"/>
  <c r="C47" i="1"/>
  <c r="H19" i="7"/>
  <c r="H20" i="7" s="1"/>
  <c r="J31" i="7"/>
  <c r="J32" i="7" s="1"/>
  <c r="J3" i="7"/>
  <c r="J4" i="7" s="1"/>
  <c r="K2" i="7"/>
  <c r="J41" i="7"/>
  <c r="J8" i="7"/>
  <c r="J7" i="7"/>
  <c r="J40" i="7"/>
  <c r="J48" i="7"/>
  <c r="J51" i="7"/>
  <c r="J113" i="7" s="1"/>
  <c r="G76" i="7"/>
  <c r="F77" i="7"/>
  <c r="D83" i="7"/>
  <c r="D41" i="1"/>
  <c r="D42" i="1" s="1"/>
  <c r="I14" i="6"/>
  <c r="K35" i="1" s="1"/>
  <c r="H13" i="6"/>
  <c r="M5" i="6"/>
  <c r="J33" i="1"/>
  <c r="I72" i="5"/>
  <c r="I34" i="1" s="1"/>
  <c r="I100" i="7" s="1"/>
  <c r="J70" i="5"/>
  <c r="I49" i="7"/>
  <c r="I42" i="7"/>
  <c r="I50" i="7"/>
  <c r="G38" i="1"/>
  <c r="K123" i="7"/>
  <c r="L32" i="1"/>
  <c r="E39" i="7"/>
  <c r="E43" i="7" s="1"/>
  <c r="E46" i="7" s="1"/>
  <c r="E156" i="7" s="1"/>
  <c r="F148" i="7"/>
  <c r="F149" i="7" s="1"/>
  <c r="I111" i="7"/>
  <c r="I18" i="7"/>
  <c r="I28" i="7"/>
  <c r="C61" i="1" s="1"/>
  <c r="I24" i="7"/>
  <c r="I29" i="1"/>
  <c r="I31" i="1" s="1"/>
  <c r="H111" i="7"/>
  <c r="H38" i="1"/>
  <c r="H40" i="1"/>
  <c r="H74" i="5"/>
  <c r="G76" i="5"/>
  <c r="G44" i="7" s="1"/>
  <c r="G45" i="7" s="1"/>
  <c r="I55" i="7"/>
  <c r="I112" i="7"/>
  <c r="E78" i="7"/>
  <c r="E82" i="7"/>
  <c r="E6" i="1" s="1"/>
  <c r="E9" i="1" s="1"/>
  <c r="E10" i="1" s="1"/>
  <c r="E20" i="1" s="1"/>
  <c r="E44" i="1" s="1"/>
  <c r="E84" i="7"/>
  <c r="J109" i="7"/>
  <c r="I89" i="7"/>
  <c r="I90" i="7" s="1"/>
  <c r="I37" i="1" s="1"/>
  <c r="J110" i="7"/>
  <c r="H29" i="7" l="1"/>
  <c r="H98" i="7"/>
  <c r="H115" i="7" s="1"/>
  <c r="H147" i="7" s="1"/>
  <c r="H21" i="7"/>
  <c r="J10" i="7"/>
  <c r="L123" i="7"/>
  <c r="E45" i="1"/>
  <c r="D47" i="1"/>
  <c r="K41" i="7"/>
  <c r="K8" i="7"/>
  <c r="K7" i="7"/>
  <c r="K9" i="7" s="1"/>
  <c r="K31" i="7"/>
  <c r="K32" i="7" s="1"/>
  <c r="K3" i="7"/>
  <c r="K4" i="7" s="1"/>
  <c r="K10" i="7" s="1"/>
  <c r="L2" i="7"/>
  <c r="K48" i="7"/>
  <c r="K40" i="7"/>
  <c r="K51" i="7"/>
  <c r="K113" i="7" s="1"/>
  <c r="H76" i="7"/>
  <c r="G77" i="7"/>
  <c r="E83" i="7"/>
  <c r="E41" i="1"/>
  <c r="E42" i="1" s="1"/>
  <c r="I74" i="5"/>
  <c r="H76" i="5"/>
  <c r="H44" i="7" s="1"/>
  <c r="H45" i="7" s="1"/>
  <c r="I19" i="7"/>
  <c r="I20" i="7" s="1"/>
  <c r="H12" i="6"/>
  <c r="I13" i="6"/>
  <c r="L35" i="1" s="1"/>
  <c r="K33" i="1"/>
  <c r="J111" i="7"/>
  <c r="J112" i="7"/>
  <c r="F78" i="7"/>
  <c r="F82" i="7"/>
  <c r="F6" i="1" s="1"/>
  <c r="F9" i="1" s="1"/>
  <c r="F10" i="1" s="1"/>
  <c r="F20" i="1" s="1"/>
  <c r="F44" i="1" s="1"/>
  <c r="I36" i="1"/>
  <c r="I40" i="1" s="1"/>
  <c r="G148" i="7"/>
  <c r="G149" i="7" s="1"/>
  <c r="F39" i="7"/>
  <c r="I81" i="7"/>
  <c r="I17" i="1" s="1"/>
  <c r="I18" i="1" s="1"/>
  <c r="J72" i="5"/>
  <c r="J34" i="1" s="1"/>
  <c r="J100" i="7" s="1"/>
  <c r="K70" i="5"/>
  <c r="J49" i="7"/>
  <c r="J55" i="7" s="1"/>
  <c r="J42" i="7"/>
  <c r="J50" i="7"/>
  <c r="J9" i="7"/>
  <c r="J81" i="7" l="1"/>
  <c r="J17" i="1" s="1"/>
  <c r="J18" i="1" s="1"/>
  <c r="J19" i="1" s="1"/>
  <c r="K24" i="7"/>
  <c r="K18" i="7"/>
  <c r="K29" i="1"/>
  <c r="K31" i="1" s="1"/>
  <c r="I29" i="7"/>
  <c r="I98" i="7"/>
  <c r="I115" i="7" s="1"/>
  <c r="I147" i="7" s="1"/>
  <c r="I21" i="7"/>
  <c r="F45" i="1"/>
  <c r="E47" i="1"/>
  <c r="K72" i="5"/>
  <c r="K34" i="1" s="1"/>
  <c r="K100" i="7" s="1"/>
  <c r="L70" i="5"/>
  <c r="K42" i="7"/>
  <c r="K49" i="7"/>
  <c r="K50" i="7"/>
  <c r="F43" i="7"/>
  <c r="F46" i="7" s="1"/>
  <c r="F156" i="7" s="1"/>
  <c r="F35" i="7"/>
  <c r="J24" i="7"/>
  <c r="J18" i="7"/>
  <c r="J29" i="1"/>
  <c r="J31" i="1" s="1"/>
  <c r="J89" i="7"/>
  <c r="J90" i="7" s="1"/>
  <c r="J37" i="1" s="1"/>
  <c r="J74" i="5"/>
  <c r="I76" i="5"/>
  <c r="I44" i="7" s="1"/>
  <c r="I45" i="7" s="1"/>
  <c r="C60" i="1"/>
  <c r="B60" i="1"/>
  <c r="L8" i="7"/>
  <c r="L41" i="7"/>
  <c r="L110" i="7" s="1"/>
  <c r="L7" i="7"/>
  <c r="L9" i="7" s="1"/>
  <c r="L31" i="7"/>
  <c r="L32" i="7" s="1"/>
  <c r="L3" i="7"/>
  <c r="L4" i="7" s="1"/>
  <c r="L10" i="7" s="1"/>
  <c r="L48" i="7"/>
  <c r="L51" i="7"/>
  <c r="L113" i="7" s="1"/>
  <c r="L40" i="7"/>
  <c r="K110" i="7"/>
  <c r="G39" i="7"/>
  <c r="G84" i="7" s="1"/>
  <c r="H148" i="7"/>
  <c r="H149" i="7" s="1"/>
  <c r="K89" i="7"/>
  <c r="L109" i="7"/>
  <c r="J22" i="1"/>
  <c r="I19" i="1"/>
  <c r="I38" i="1"/>
  <c r="I12" i="6"/>
  <c r="M3" i="6"/>
  <c r="H11" i="6"/>
  <c r="I11" i="6" s="1"/>
  <c r="L33" i="1"/>
  <c r="J36" i="1"/>
  <c r="J40" i="1" s="1"/>
  <c r="K112" i="7"/>
  <c r="K55" i="7"/>
  <c r="F84" i="7"/>
  <c r="G78" i="7"/>
  <c r="G82" i="7"/>
  <c r="G6" i="1" s="1"/>
  <c r="G9" i="1" s="1"/>
  <c r="G10" i="1" s="1"/>
  <c r="G20" i="1" s="1"/>
  <c r="G44" i="1" s="1"/>
  <c r="K111" i="7"/>
  <c r="K109" i="7"/>
  <c r="M4" i="6"/>
  <c r="I76" i="7"/>
  <c r="H77" i="7"/>
  <c r="L24" i="7" l="1"/>
  <c r="L18" i="7"/>
  <c r="L29" i="1"/>
  <c r="L31" i="1" s="1"/>
  <c r="G41" i="1"/>
  <c r="G42" i="1" s="1"/>
  <c r="G83" i="7"/>
  <c r="I77" i="7"/>
  <c r="K81" i="7"/>
  <c r="K17" i="1" s="1"/>
  <c r="K18" i="1" s="1"/>
  <c r="K19" i="1" s="1"/>
  <c r="L89" i="7"/>
  <c r="L90" i="7" s="1"/>
  <c r="L37" i="1" s="1"/>
  <c r="L112" i="7"/>
  <c r="L55" i="7"/>
  <c r="K36" i="1"/>
  <c r="K40" i="1" s="1"/>
  <c r="J38" i="1"/>
  <c r="K19" i="7"/>
  <c r="K20" i="7"/>
  <c r="K90" i="7"/>
  <c r="K37" i="1" s="1"/>
  <c r="L72" i="5"/>
  <c r="L34" i="1" s="1"/>
  <c r="L100" i="7" s="1"/>
  <c r="L42" i="7"/>
  <c r="L111" i="7" s="1"/>
  <c r="L50" i="7"/>
  <c r="L49" i="7"/>
  <c r="H39" i="7"/>
  <c r="I148" i="7"/>
  <c r="I149" i="7" s="1"/>
  <c r="K74" i="5"/>
  <c r="J76" i="5"/>
  <c r="J44" i="7" s="1"/>
  <c r="J45" i="7" s="1"/>
  <c r="G45" i="1"/>
  <c r="F47" i="1"/>
  <c r="J19" i="7"/>
  <c r="J20" i="7" s="1"/>
  <c r="G43" i="7"/>
  <c r="G46" i="7" s="1"/>
  <c r="G156" i="7" s="1"/>
  <c r="G35" i="7"/>
  <c r="H78" i="7"/>
  <c r="H82" i="7"/>
  <c r="H6" i="1" s="1"/>
  <c r="H9" i="1" s="1"/>
  <c r="H10" i="1" s="1"/>
  <c r="H20" i="1" s="1"/>
  <c r="H44" i="1" s="1"/>
  <c r="F41" i="1"/>
  <c r="F42" i="1" s="1"/>
  <c r="F83" i="7"/>
  <c r="J29" i="7" l="1"/>
  <c r="J98" i="7"/>
  <c r="J115" i="7" s="1"/>
  <c r="J147" i="7" s="1"/>
  <c r="J21" i="7"/>
  <c r="J76" i="7"/>
  <c r="L81" i="7"/>
  <c r="L17" i="1" s="1"/>
  <c r="L18" i="1" s="1"/>
  <c r="L19" i="1" s="1"/>
  <c r="K38" i="1"/>
  <c r="H43" i="7"/>
  <c r="H46" i="7" s="1"/>
  <c r="H156" i="7" s="1"/>
  <c r="H35" i="7"/>
  <c r="I39" i="7"/>
  <c r="J148" i="7"/>
  <c r="H84" i="7"/>
  <c r="H45" i="1"/>
  <c r="G47" i="1"/>
  <c r="K98" i="7"/>
  <c r="K115" i="7" s="1"/>
  <c r="K147" i="7" s="1"/>
  <c r="K21" i="7"/>
  <c r="L19" i="7"/>
  <c r="L20" i="7" s="1"/>
  <c r="L74" i="5"/>
  <c r="L76" i="5" s="1"/>
  <c r="L44" i="7" s="1"/>
  <c r="L45" i="7" s="1"/>
  <c r="K76" i="5"/>
  <c r="K44" i="7" s="1"/>
  <c r="K45" i="7" s="1"/>
  <c r="L36" i="1"/>
  <c r="L40" i="1" s="1"/>
  <c r="I78" i="7"/>
  <c r="I82" i="7"/>
  <c r="I6" i="1" s="1"/>
  <c r="I9" i="1" s="1"/>
  <c r="I10" i="1" s="1"/>
  <c r="I20" i="1" s="1"/>
  <c r="I84" i="7"/>
  <c r="L98" i="7" l="1"/>
  <c r="L115" i="7" s="1"/>
  <c r="L147" i="7" s="1"/>
  <c r="L21" i="7"/>
  <c r="L38" i="1"/>
  <c r="H41" i="1"/>
  <c r="H42" i="1" s="1"/>
  <c r="H83" i="7"/>
  <c r="K76" i="7"/>
  <c r="J77" i="7"/>
  <c r="C63" i="1"/>
  <c r="I41" i="1"/>
  <c r="I42" i="1" s="1"/>
  <c r="B64" i="1" s="1"/>
  <c r="B67" i="1" s="1"/>
  <c r="I83" i="7"/>
  <c r="J149" i="7"/>
  <c r="I45" i="1"/>
  <c r="H47" i="1"/>
  <c r="I44" i="1"/>
  <c r="C65" i="1"/>
  <c r="I43" i="7"/>
  <c r="I46" i="7" s="1"/>
  <c r="I35" i="7"/>
  <c r="J78" i="7" l="1"/>
  <c r="J82" i="7"/>
  <c r="J6" i="1" s="1"/>
  <c r="J9" i="1" s="1"/>
  <c r="J10" i="1" s="1"/>
  <c r="J20" i="1" s="1"/>
  <c r="J44" i="1" s="1"/>
  <c r="J45" i="1" s="1"/>
  <c r="K148" i="7"/>
  <c r="K149" i="7" s="1"/>
  <c r="J39" i="7"/>
  <c r="J43" i="7" s="1"/>
  <c r="J46" i="7" s="1"/>
  <c r="J156" i="7" s="1"/>
  <c r="M38" i="1"/>
  <c r="I156" i="7"/>
  <c r="C62" i="1"/>
  <c r="I47" i="1"/>
  <c r="L76" i="7"/>
  <c r="L77" i="7" s="1"/>
  <c r="K77" i="7"/>
  <c r="J47" i="1" l="1"/>
  <c r="B49" i="1"/>
  <c r="K39" i="7"/>
  <c r="K43" i="7" s="1"/>
  <c r="K46" i="7" s="1"/>
  <c r="L148" i="7"/>
  <c r="L149" i="7" s="1"/>
  <c r="L39" i="7" s="1"/>
  <c r="L43" i="7" s="1"/>
  <c r="L46" i="7" s="1"/>
  <c r="L156" i="7" s="1"/>
  <c r="K78" i="7"/>
  <c r="K84" i="7"/>
  <c r="K82" i="7"/>
  <c r="K6" i="1" s="1"/>
  <c r="K9" i="1" s="1"/>
  <c r="K10" i="1" s="1"/>
  <c r="K20" i="1" s="1"/>
  <c r="K44" i="1" s="1"/>
  <c r="K45" i="1" s="1"/>
  <c r="L78" i="7"/>
  <c r="L82" i="7"/>
  <c r="L6" i="1" s="1"/>
  <c r="L9" i="1" s="1"/>
  <c r="L10" i="1" s="1"/>
  <c r="L20" i="1" s="1"/>
  <c r="L44" i="1" s="1"/>
  <c r="J84" i="7"/>
  <c r="L45" i="1" l="1"/>
  <c r="K47" i="1"/>
  <c r="K83" i="7"/>
  <c r="K41" i="1"/>
  <c r="K42" i="1" s="1"/>
  <c r="K156" i="7"/>
  <c r="L84" i="7"/>
  <c r="J41" i="1"/>
  <c r="J42" i="1" s="1"/>
  <c r="J83" i="7"/>
  <c r="L83" i="7" l="1"/>
  <c r="L41" i="1"/>
  <c r="L42" i="1" s="1"/>
  <c r="L47" i="1"/>
  <c r="B50" i="1" s="1"/>
  <c r="L48" i="1"/>
  <c r="E50" i="1" l="1"/>
  <c r="B52" i="1"/>
  <c r="B54" i="1" s="1"/>
</calcChain>
</file>

<file path=xl/sharedStrings.xml><?xml version="1.0" encoding="utf-8"?>
<sst xmlns="http://schemas.openxmlformats.org/spreadsheetml/2006/main" count="489" uniqueCount="281">
  <si>
    <t>Cost of Capital Calculations</t>
  </si>
  <si>
    <t>Base</t>
  </si>
  <si>
    <t>Tax Rate</t>
  </si>
  <si>
    <t>Risk Free Rate</t>
  </si>
  <si>
    <t>ERP</t>
  </si>
  <si>
    <t>D/E Ratio</t>
  </si>
  <si>
    <t>Stated Beta</t>
  </si>
  <si>
    <t>Unlevered Beta</t>
  </si>
  <si>
    <t>Levered Beta</t>
  </si>
  <si>
    <t>Cost of Equity</t>
  </si>
  <si>
    <t>Default Spread</t>
  </si>
  <si>
    <t>Cost of Debt</t>
  </si>
  <si>
    <t>After-tax cost of debt</t>
  </si>
  <si>
    <t>Trading Share Price</t>
  </si>
  <si>
    <t>Shares Outstanding</t>
  </si>
  <si>
    <t>MV of Equity</t>
  </si>
  <si>
    <t>MV of Debt</t>
  </si>
  <si>
    <t>Equity Weight</t>
  </si>
  <si>
    <t>Debt Weight</t>
  </si>
  <si>
    <t>Cost of Capital</t>
  </si>
  <si>
    <t>random growth rate</t>
  </si>
  <si>
    <t>FCFF(In thousands)</t>
  </si>
  <si>
    <t>EBIT</t>
  </si>
  <si>
    <t>EBIT*(1-t)</t>
  </si>
  <si>
    <t>Capital Expenditures(From SCF)</t>
  </si>
  <si>
    <t>R&amp;D Expense</t>
  </si>
  <si>
    <t>Depreciation(From SCF)</t>
  </si>
  <si>
    <t>Depreciation from R&amp;D</t>
  </si>
  <si>
    <t>Net Capital Expenditures</t>
  </si>
  <si>
    <t>Change in Working Capital</t>
  </si>
  <si>
    <t>FCFF</t>
  </si>
  <si>
    <t>Reinvestment Rate</t>
  </si>
  <si>
    <t>ROC</t>
  </si>
  <si>
    <t>Growth Rate</t>
  </si>
  <si>
    <t>1+WACC</t>
  </si>
  <si>
    <t>Cumulative Factor</t>
  </si>
  <si>
    <t>PV</t>
  </si>
  <si>
    <t>Terminal Value</t>
  </si>
  <si>
    <t>Value of Assets less Cash</t>
  </si>
  <si>
    <t>EV</t>
  </si>
  <si>
    <t>Value Per Share</t>
  </si>
  <si>
    <t>Revinestment Rate</t>
  </si>
  <si>
    <t>After Tax Operating Margin</t>
  </si>
  <si>
    <t>Sales/Capital</t>
  </si>
  <si>
    <t>Expected Growth Rate</t>
  </si>
  <si>
    <t>WACC</t>
  </si>
  <si>
    <t>EV/Sales</t>
  </si>
  <si>
    <t>Life of Option</t>
  </si>
  <si>
    <t>years</t>
  </si>
  <si>
    <t>Exercise Price</t>
  </si>
  <si>
    <t>Value of Outstanding Debt</t>
  </si>
  <si>
    <t>Current Price</t>
  </si>
  <si>
    <t>MV of Assets</t>
  </si>
  <si>
    <t>Standard Deviation of the Stock</t>
  </si>
  <si>
    <t xml:space="preserve">RiskFree Rate </t>
  </si>
  <si>
    <t>2 Year treasury</t>
  </si>
  <si>
    <t>INCOME STATEMENT(in thousands)</t>
  </si>
  <si>
    <t>BALANCE SHEET(in thousands)</t>
  </si>
  <si>
    <t>CASH FLOW STATEMENT(in thousands)</t>
  </si>
  <si>
    <t>(NEEDS ADJUSTMENTS )</t>
  </si>
  <si>
    <t>Net Revenue</t>
  </si>
  <si>
    <t>Current Assets:</t>
  </si>
  <si>
    <t>Cash Flow from Operating Activities</t>
  </si>
  <si>
    <t>COGS</t>
  </si>
  <si>
    <t>Cash and Cash Equivalents</t>
  </si>
  <si>
    <t>Net Loss</t>
  </si>
  <si>
    <t>GP(Loss)</t>
  </si>
  <si>
    <t>Accounts Recievable</t>
  </si>
  <si>
    <t>Adjustment to Net Loss</t>
  </si>
  <si>
    <t>PPE</t>
  </si>
  <si>
    <t>Amortizable life</t>
  </si>
  <si>
    <t>low</t>
  </si>
  <si>
    <t>high</t>
  </si>
  <si>
    <t>Inventory</t>
  </si>
  <si>
    <t>Depreciation and Amortization</t>
  </si>
  <si>
    <t>Manufacturing Equipment</t>
  </si>
  <si>
    <t>Prepaid Expenses and Other Current Assets</t>
  </si>
  <si>
    <t>Non Cash Expenses related to convertible note</t>
  </si>
  <si>
    <t>R&amp;D Equipment</t>
  </si>
  <si>
    <t>SG&amp;A</t>
  </si>
  <si>
    <t>Total Current Assets</t>
  </si>
  <si>
    <t>Share-Based Compensation Expense</t>
  </si>
  <si>
    <t>Leasehold Improvments</t>
  </si>
  <si>
    <t>Restructuring Expense</t>
  </si>
  <si>
    <t>Property Plant and Equipment Net</t>
  </si>
  <si>
    <t>Loss on Sale of Fixed Assets</t>
  </si>
  <si>
    <t>Capital Leases</t>
  </si>
  <si>
    <t>Total Operating Expense</t>
  </si>
  <si>
    <t>Other Non Current Assets Net</t>
  </si>
  <si>
    <t>Amortization of Debt Issuace Costs</t>
  </si>
  <si>
    <t>Software</t>
  </si>
  <si>
    <t xml:space="preserve">Loss from Operations </t>
  </si>
  <si>
    <t>Total Assets</t>
  </si>
  <si>
    <t>Change in Preferred and Common Stock Warrant Liabilities</t>
  </si>
  <si>
    <t>Furniture and Fixtures</t>
  </si>
  <si>
    <t>L and SE</t>
  </si>
  <si>
    <t>Restructuring Loss on Write-off of Fixed Assets</t>
  </si>
  <si>
    <t>Vehicles</t>
  </si>
  <si>
    <t>Other Expenses(Net):</t>
  </si>
  <si>
    <t>Accounts Payable</t>
  </si>
  <si>
    <t>Other Assets</t>
  </si>
  <si>
    <t>Interest Expense</t>
  </si>
  <si>
    <t>Wages Payable</t>
  </si>
  <si>
    <t>Net Change in Operating Assets and Liabilities</t>
  </si>
  <si>
    <t>Total PPE</t>
  </si>
  <si>
    <t>Remeasurement of Warrant Liability</t>
  </si>
  <si>
    <t>Accrued Bonus</t>
  </si>
  <si>
    <t>Accounts Recieveable</t>
  </si>
  <si>
    <t>Accumulated Amort + Depr</t>
  </si>
  <si>
    <t>Other, Net</t>
  </si>
  <si>
    <t>Accrued Expenses and Other Current Liabilities</t>
  </si>
  <si>
    <t>Inventories</t>
  </si>
  <si>
    <t>Total Other Expense</t>
  </si>
  <si>
    <t xml:space="preserve">Short Term Borrowings under Revolving Credit Line and Bank Term Loan </t>
  </si>
  <si>
    <t>Prepaid Expenses and Other Assets</t>
  </si>
  <si>
    <t>Short Term Capital Lease Capabilities</t>
  </si>
  <si>
    <t xml:space="preserve">Loss before Taxes </t>
  </si>
  <si>
    <t>Stock Warrant Liability</t>
  </si>
  <si>
    <t>Income Tax Expense</t>
  </si>
  <si>
    <t>Total Current Liabilities</t>
  </si>
  <si>
    <t>Long Term Liabilities</t>
  </si>
  <si>
    <t>Net Cash Used in Operating Activities</t>
  </si>
  <si>
    <t>Net Loss/Share Available to common stockholders-basic and diluted</t>
  </si>
  <si>
    <t>Revolving Credit Line</t>
  </si>
  <si>
    <t>WA Common Shares Outstanding--Basic and Diluted</t>
  </si>
  <si>
    <t>Long Term Portion of Bank Loan, net</t>
  </si>
  <si>
    <t>Cash Flows used in Investing Activities</t>
  </si>
  <si>
    <t>Equipment Loan,Net</t>
  </si>
  <si>
    <t>Purchases of Property Plant and Equipment</t>
  </si>
  <si>
    <t>Historical g in Revenue</t>
  </si>
  <si>
    <t>Capital Lease Obligations and other Long-Term Liabilities</t>
  </si>
  <si>
    <t>Proceeds from Sale of Fixed Assets</t>
  </si>
  <si>
    <t>Total Long Term Liablitiies</t>
  </si>
  <si>
    <t>Purchases of Property Plant and Equipment held for Sale</t>
  </si>
  <si>
    <t>Commitments and Contingencies</t>
  </si>
  <si>
    <t>Proceeds from Sale of Assets Held for sale</t>
  </si>
  <si>
    <t>Convertible Preferred Stock:</t>
  </si>
  <si>
    <t>Payment of Security Deposits</t>
  </si>
  <si>
    <t>Series A Convertible Preferred Stock, par value $0,0001 per share-no shares and 3,333,500 shares authorized, issues and outstanding as of Dec 31 2019 &amp; 2018</t>
  </si>
  <si>
    <t>Net Cash Used in Investing Activities</t>
  </si>
  <si>
    <t>Series B Convertible Preferred Stock, par value $0.0001 per share, no shares and 4,802,260 shares authorized no shares and 4,680,565 shares issued and outstanding as of December 31, 2019 and 2018 respectively</t>
  </si>
  <si>
    <t>Series C Convertible Preferred Stock, par value $0.0001 per share-no shares and 8,076,643 shares authorized, no shares and</t>
  </si>
  <si>
    <t>Cash Flows From Financing Activities</t>
  </si>
  <si>
    <t>Series D</t>
  </si>
  <si>
    <t>Proceeds from Issuing Common Stock, IPO</t>
  </si>
  <si>
    <t>Series E</t>
  </si>
  <si>
    <t>Proceeds from Issuance of Common Stock, secondary</t>
  </si>
  <si>
    <t>Series F</t>
  </si>
  <si>
    <t>Proceeds from Series H PO</t>
  </si>
  <si>
    <t>Series G</t>
  </si>
  <si>
    <t>Proceeds from Series G</t>
  </si>
  <si>
    <t>Series H</t>
  </si>
  <si>
    <t>Proceeds from Series F</t>
  </si>
  <si>
    <t>Stock Holders Equity:</t>
  </si>
  <si>
    <t>Proceeds from Convertible Note</t>
  </si>
  <si>
    <t>Preferred Stock</t>
  </si>
  <si>
    <t>Proceeds from Revolving Credit Line</t>
  </si>
  <si>
    <t xml:space="preserve">Common Stock </t>
  </si>
  <si>
    <t>Proceeds from term loan borrowing</t>
  </si>
  <si>
    <t>Additional Paid in Capital</t>
  </si>
  <si>
    <t>Proceeds from Equipment Loan Borrowing</t>
  </si>
  <si>
    <t>Accumulated Deficit</t>
  </si>
  <si>
    <t>Proceeds from Payoff of N/R for restricted stock purchase</t>
  </si>
  <si>
    <t>Total StockHolders Equity</t>
  </si>
  <si>
    <t>Repayments on Revolving Credit Line</t>
  </si>
  <si>
    <t>Total L &amp; SE</t>
  </si>
  <si>
    <t>Repayments on Term Loan</t>
  </si>
  <si>
    <t>Repayment of Missouri Note</t>
  </si>
  <si>
    <t>Payments of Capital Lease Obligation</t>
  </si>
  <si>
    <t>Proceeds from Restricted Stock Exercise</t>
  </si>
  <si>
    <t>Paymetns of deferred offering costs</t>
  </si>
  <si>
    <t>Debt Issuance Costs</t>
  </si>
  <si>
    <t>Payment for Repurchase of Common Stock</t>
  </si>
  <si>
    <t>Net Cash Provided by Financing Activities</t>
  </si>
  <si>
    <t>Cash at Beginning</t>
  </si>
  <si>
    <t>Cash at End</t>
  </si>
  <si>
    <t>Supplemental Disclosures</t>
  </si>
  <si>
    <t xml:space="preserve">Cash Paid for </t>
  </si>
  <si>
    <t xml:space="preserve">Interest </t>
  </si>
  <si>
    <t>Taxes</t>
  </si>
  <si>
    <t>Non-Cash Investing and Financing Activities</t>
  </si>
  <si>
    <t>Capital Lease Obligations for purchaseof PPE</t>
  </si>
  <si>
    <t>Issueance of Convertible Preferred SW</t>
  </si>
  <si>
    <t>Non Cash Additions to PPE</t>
  </si>
  <si>
    <t>Offering Costs</t>
  </si>
  <si>
    <t>Reclassification of Warrant Liabilitiy</t>
  </si>
  <si>
    <t>Conversaion of Convertible Preferred Stock</t>
  </si>
  <si>
    <t>Working Capital(from annual report)</t>
  </si>
  <si>
    <t xml:space="preserve">Less Cash Plus Short Term Borrowings </t>
  </si>
  <si>
    <t>% of rev</t>
  </si>
  <si>
    <t xml:space="preserve">Change in </t>
  </si>
  <si>
    <t>If you want to update the spreads listed below, please visit http://www.bondsonline.com</t>
  </si>
  <si>
    <t>For large manufacturing firms</t>
  </si>
  <si>
    <t>For financial service firms (default spreads are slighty different)</t>
  </si>
  <si>
    <t>If interest coverage ratio is</t>
  </si>
  <si>
    <t>If long term interest coverage ratio is</t>
  </si>
  <si>
    <t>&gt;</t>
  </si>
  <si>
    <t>≤ to</t>
  </si>
  <si>
    <t>Rating is</t>
  </si>
  <si>
    <t>Spread is</t>
  </si>
  <si>
    <t>greater than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</si>
  <si>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</si>
  <si>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</si>
  <si>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</si>
  <si>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</si>
  <si>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</si>
  <si>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</si>
  <si>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</si>
  <si>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</si>
  <si>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</si>
  <si>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</si>
  <si>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</si>
  <si>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</si>
  <si>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</si>
  <si>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</si>
  <si>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</si>
  <si>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For smaller and riskier firms</t>
  </si>
  <si>
    <t>growth rates</t>
  </si>
  <si>
    <t xml:space="preserve">Revenue </t>
  </si>
  <si>
    <t xml:space="preserve">Capital Expenditures(CF from Investing) </t>
  </si>
  <si>
    <t>R&amp;D Expense(%of Revenue)</t>
  </si>
  <si>
    <t>Other, net is a function of investment from proceeds</t>
  </si>
  <si>
    <t>rate</t>
  </si>
  <si>
    <t>Depreciation &amp; Amortization(Growth Rate)</t>
  </si>
  <si>
    <t>ESTIMATE BETTER TOMORROW</t>
  </si>
  <si>
    <t>Used in Calculation</t>
  </si>
  <si>
    <t>Accounts Recievable(% of sales)</t>
  </si>
  <si>
    <t>Inventory(% of sales)</t>
  </si>
  <si>
    <t>Prepaid Expenses and Other Current Assets(% of Gross PPE)</t>
  </si>
  <si>
    <t>Property Plant and Equipment Net(grows with net capital expenditures growth</t>
  </si>
  <si>
    <t>Other Non Current Assets Net(% of net PPE)</t>
  </si>
  <si>
    <t>Accounts Payable(% of sales)</t>
  </si>
  <si>
    <t>Wages Payable(grows with gross capital capital expenditures)</t>
  </si>
  <si>
    <t>Accrued Bonus(Grows with gross capital expenditures</t>
  </si>
  <si>
    <t>net</t>
  </si>
  <si>
    <t>Depreciation</t>
  </si>
  <si>
    <t>Total PPE Gross</t>
  </si>
  <si>
    <t>Depreciation Expense</t>
  </si>
  <si>
    <t>Accumulated Depreciation</t>
  </si>
  <si>
    <t>Net PPE</t>
  </si>
  <si>
    <t>Operating Lease Obligations</t>
  </si>
  <si>
    <t>Amount(in thousands)</t>
  </si>
  <si>
    <t>PV of Operating Lease Obligaitions</t>
  </si>
  <si>
    <t>Market Value of Debt(2019ONLY)(IN THOUSANDS)</t>
  </si>
  <si>
    <t>Operating Lease Exp 2019</t>
  </si>
  <si>
    <t>Thereafter</t>
  </si>
  <si>
    <t>Amortizable Life</t>
  </si>
  <si>
    <t>Research and Development</t>
  </si>
  <si>
    <t>Amount(In thousands)</t>
  </si>
  <si>
    <t>Amortization</t>
  </si>
  <si>
    <t>Acc Amort</t>
  </si>
  <si>
    <t>CV</t>
  </si>
  <si>
    <t>Current Year Amortization</t>
  </si>
  <si>
    <t>Research Asset</t>
  </si>
  <si>
    <t>Working Capital</t>
  </si>
  <si>
    <t>as % in rev</t>
  </si>
  <si>
    <t>change in working capital</t>
  </si>
  <si>
    <t xml:space="preserve">Average of this </t>
  </si>
  <si>
    <t>R&amp;D Expense(ALL CAPITALIZED)</t>
  </si>
  <si>
    <t>SG&amp;A(DEPRECIATION OF LEASED ASSET/LESS OPERATING LEASE EXPENSE/ADDD R&amp;D AMORTIZATION</t>
  </si>
  <si>
    <t>Profit(Loss) from Operations(EBIT)</t>
  </si>
  <si>
    <t>Interest Expense(PLUS OPERATING LEASE EXPENSE)</t>
  </si>
  <si>
    <t>Net Income(loss)</t>
  </si>
  <si>
    <t>Modifed Interest Coverage Ratio</t>
  </si>
  <si>
    <t>Gross Margin</t>
  </si>
  <si>
    <t>Operating Margin</t>
  </si>
  <si>
    <t>Net Profit Margin</t>
  </si>
  <si>
    <t>Ratio of A/R to Cash</t>
  </si>
  <si>
    <t>Other Non Current Assets Net(LEASED ASSET + RESEARCH ASSET)</t>
  </si>
  <si>
    <t>Capital Lease Obligations and other Long-Term Liabilities(PLUS PV OF OPERATING LEASE)</t>
  </si>
  <si>
    <t>Additional Paid in Capital(PLUS RESEARCH ASSET)</t>
  </si>
  <si>
    <t xml:space="preserve">Total Debt </t>
  </si>
  <si>
    <t>ROE</t>
  </si>
  <si>
    <t>Earnings Retention Ratio</t>
  </si>
  <si>
    <t>Expected Fundemental g in Net Income</t>
  </si>
  <si>
    <t>Expected Historical g in EBIT</t>
  </si>
  <si>
    <t>Net Income(Loss)</t>
  </si>
  <si>
    <t>Interest Free Loan</t>
  </si>
  <si>
    <t>Payments from Restricted Stock Options</t>
  </si>
  <si>
    <t>Net Increase/Decrease in Cash and Cash Equivalents</t>
  </si>
  <si>
    <t>A/(L+SE)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</si>
</sst>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b/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0" fontId="1" fillId="0" borderId="0" xfId="0" applyNumberFormat="1" applyFont="1" applyAlignment="1">
      <alignment horizontal="right"/>
    </xf>
    <xf numFmtId="10" fontId="2" fillId="0" borderId="0" xfId="0" applyNumberFormat="1" applyFont="1" applyAlignment="1"/>
    <xf numFmtId="9" fontId="2" fillId="0" borderId="0" xfId="0" applyNumberFormat="1" applyFont="1" applyAlignment="1"/>
    <xf numFmtId="4" fontId="1" fillId="0" borderId="0" xfId="0" applyNumberFormat="1" applyFont="1" applyAlignment="1">
      <alignment horizontal="right"/>
    </xf>
    <xf numFmtId="4" fontId="2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0" fontId="2" fillId="0" borderId="0" xfId="0" applyNumberFormat="1" applyFont="1"/>
    <xf numFmtId="164" fontId="2" fillId="0" borderId="0" xfId="0" applyNumberFormat="1" applyFont="1" applyAlignment="1"/>
    <xf numFmtId="165" fontId="2" fillId="0" borderId="0" xfId="0" applyNumberFormat="1" applyFont="1"/>
    <xf numFmtId="0" fontId="2" fillId="0" borderId="0" xfId="0" applyFont="1"/>
    <xf numFmtId="165" fontId="3" fillId="2" borderId="0" xfId="0" applyNumberFormat="1" applyFont="1" applyFill="1"/>
    <xf numFmtId="165" fontId="3" fillId="0" borderId="0" xfId="0" applyNumberFormat="1" applyFont="1"/>
    <xf numFmtId="0" fontId="2" fillId="0" borderId="1" xfId="0" applyFont="1" applyBorder="1" applyAlignment="1"/>
    <xf numFmtId="165" fontId="2" fillId="0" borderId="1" xfId="0" applyNumberFormat="1" applyFont="1" applyBorder="1"/>
    <xf numFmtId="0" fontId="2" fillId="0" borderId="1" xfId="0" applyFont="1" applyBorder="1"/>
    <xf numFmtId="9" fontId="2" fillId="0" borderId="0" xfId="0" applyNumberFormat="1" applyFont="1"/>
    <xf numFmtId="4" fontId="2" fillId="0" borderId="0" xfId="0" applyNumberFormat="1" applyFont="1"/>
    <xf numFmtId="0" fontId="4" fillId="3" borderId="0" xfId="0" applyFont="1" applyFill="1" applyAlignment="1"/>
    <xf numFmtId="2" fontId="4" fillId="3" borderId="0" xfId="0" applyNumberFormat="1" applyFont="1" applyFill="1"/>
    <xf numFmtId="3" fontId="2" fillId="0" borderId="0" xfId="0" applyNumberFormat="1" applyFont="1" applyAlignment="1"/>
    <xf numFmtId="0" fontId="4" fillId="0" borderId="0" xfId="0" applyFont="1" applyAlignment="1"/>
    <xf numFmtId="3" fontId="2" fillId="0" borderId="1" xfId="0" applyNumberFormat="1" applyFont="1" applyBorder="1" applyAlignment="1"/>
    <xf numFmtId="3" fontId="2" fillId="0" borderId="1" xfId="0" applyNumberFormat="1" applyFont="1" applyBorder="1"/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/>
    <xf numFmtId="165" fontId="2" fillId="0" borderId="0" xfId="0" applyNumberFormat="1" applyFont="1" applyAlignment="1"/>
    <xf numFmtId="165" fontId="2" fillId="0" borderId="1" xfId="0" applyNumberFormat="1" applyFont="1" applyBorder="1" applyAlignment="1"/>
    <xf numFmtId="0" fontId="2" fillId="4" borderId="0" xfId="0" applyFont="1" applyFill="1" applyAlignment="1"/>
    <xf numFmtId="165" fontId="2" fillId="4" borderId="0" xfId="0" applyNumberFormat="1" applyFont="1" applyFill="1" applyAlignment="1"/>
    <xf numFmtId="165" fontId="2" fillId="4" borderId="0" xfId="0" applyNumberFormat="1" applyFont="1" applyFill="1"/>
    <xf numFmtId="0" fontId="2" fillId="4" borderId="0" xfId="0" applyFont="1" applyFill="1"/>
    <xf numFmtId="0" fontId="2" fillId="5" borderId="0" xfId="0" applyFont="1" applyFill="1" applyAlignment="1"/>
    <xf numFmtId="165" fontId="2" fillId="5" borderId="0" xfId="0" applyNumberFormat="1" applyFont="1" applyFill="1" applyAlignment="1"/>
    <xf numFmtId="165" fontId="2" fillId="5" borderId="0" xfId="0" applyNumberFormat="1" applyFont="1" applyFill="1"/>
    <xf numFmtId="0" fontId="2" fillId="5" borderId="0" xfId="0" applyFont="1" applyFill="1"/>
    <xf numFmtId="2" fontId="2" fillId="0" borderId="0" xfId="0" applyNumberFormat="1" applyFont="1" applyAlignment="1"/>
    <xf numFmtId="0" fontId="2" fillId="6" borderId="0" xfId="0" applyFont="1" applyFill="1" applyAlignment="1"/>
    <xf numFmtId="165" fontId="2" fillId="6" borderId="0" xfId="0" applyNumberFormat="1" applyFont="1" applyFill="1"/>
    <xf numFmtId="0" fontId="2" fillId="6" borderId="0" xfId="0" applyFont="1" applyFill="1"/>
    <xf numFmtId="165" fontId="2" fillId="4" borderId="0" xfId="0" applyNumberFormat="1" applyFont="1" applyFill="1" applyAlignment="1"/>
    <xf numFmtId="165" fontId="2" fillId="4" borderId="0" xfId="0" applyNumberFormat="1" applyFont="1" applyFill="1"/>
    <xf numFmtId="3" fontId="2" fillId="4" borderId="0" xfId="0" applyNumberFormat="1" applyFont="1" applyFill="1"/>
    <xf numFmtId="0" fontId="2" fillId="7" borderId="0" xfId="0" applyFont="1" applyFill="1" applyAlignment="1"/>
    <xf numFmtId="3" fontId="2" fillId="7" borderId="0" xfId="0" applyNumberFormat="1" applyFont="1" applyFill="1" applyAlignment="1"/>
    <xf numFmtId="165" fontId="2" fillId="7" borderId="0" xfId="0" applyNumberFormat="1" applyFont="1" applyFill="1"/>
    <xf numFmtId="0" fontId="2" fillId="7" borderId="0" xfId="0" applyFont="1" applyFill="1"/>
    <xf numFmtId="3" fontId="2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67"/>
  <sheetViews>
    <sheetView topLeftCell="A42" workbookViewId="0">
      <selection activeCell="G11" sqref="G11"/>
    </sheetView>
  </sheetViews>
  <sheetFormatPr defaultColWidth="12.5703125" defaultRowHeight="15.75" customHeight="1" x14ac:dyDescent="0.2"/>
  <cols>
    <col min="1" max="1" width="25.140625" customWidth="1"/>
    <col min="2" max="3" width="15.42578125" bestFit="1" customWidth="1"/>
    <col min="4" max="4" width="17" bestFit="1" customWidth="1"/>
    <col min="5" max="9" width="15.42578125" bestFit="1" customWidth="1"/>
  </cols>
  <sheetData>
    <row r="2" spans="1:12" ht="12.75" x14ac:dyDescent="0.2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ht="12.75" x14ac:dyDescent="0.2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0.21</v>
      </c>
      <c r="H3" s="4">
        <v>0.21</v>
      </c>
      <c r="I3" s="4">
        <v>0.21</v>
      </c>
      <c r="J3" s="5">
        <v>0.21</v>
      </c>
      <c r="K3" s="5">
        <v>0.21</v>
      </c>
      <c r="L3" s="5">
        <v>0.21</v>
      </c>
    </row>
    <row r="4" spans="1:12" ht="12.75" x14ac:dyDescent="0.2">
      <c r="A4" s="1" t="s">
        <v>3</v>
      </c>
      <c r="B4" s="3">
        <v>7.1999999999999998E-3</v>
      </c>
      <c r="C4" s="3">
        <v>7.1999999999999998E-3</v>
      </c>
      <c r="D4" s="3">
        <v>7.1999999999999998E-3</v>
      </c>
      <c r="E4" s="3">
        <v>2.3900000000000001E-2</v>
      </c>
      <c r="F4" s="3">
        <v>2.3900000000000001E-2</v>
      </c>
      <c r="G4" s="3">
        <v>2.3900000000000001E-2</v>
      </c>
      <c r="H4" s="3">
        <v>2.3900000000000001E-2</v>
      </c>
      <c r="I4" s="3">
        <v>2.3900000000000001E-2</v>
      </c>
      <c r="J4" s="3">
        <v>2.3900000000000001E-2</v>
      </c>
      <c r="K4" s="3">
        <v>2.3900000000000001E-2</v>
      </c>
      <c r="L4" s="3">
        <v>2.3900000000000001E-2</v>
      </c>
    </row>
    <row r="5" spans="1:12" ht="12.75" x14ac:dyDescent="0.2">
      <c r="A5" s="1" t="s">
        <v>4</v>
      </c>
      <c r="B5" s="3">
        <v>4.82E-2</v>
      </c>
      <c r="C5" s="3">
        <v>4.82E-2</v>
      </c>
      <c r="D5" s="3">
        <v>4.82E-2</v>
      </c>
      <c r="E5" s="3">
        <v>4.82E-2</v>
      </c>
      <c r="F5" s="3">
        <v>4.82E-2</v>
      </c>
      <c r="G5" s="3">
        <v>4.82E-2</v>
      </c>
      <c r="H5" s="3">
        <v>4.82E-2</v>
      </c>
      <c r="I5" s="3">
        <v>4.82E-2</v>
      </c>
      <c r="J5" s="3">
        <v>4.82E-2</v>
      </c>
      <c r="K5" s="3">
        <v>4.82E-2</v>
      </c>
      <c r="L5" s="3">
        <v>4.82E-2</v>
      </c>
    </row>
    <row r="6" spans="1:12" ht="12.75" x14ac:dyDescent="0.2">
      <c r="A6" s="1" t="s">
        <v>5</v>
      </c>
      <c r="B6" s="3">
        <f>'Adjusted and Pro Forma FS'!B82</f>
        <v>0.19168417989908942</v>
      </c>
      <c r="C6" s="3">
        <f>'Adjusted and Pro Forma FS'!C82</f>
        <v>0.22337772983439425</v>
      </c>
      <c r="D6" s="3">
        <f>'Adjusted and Pro Forma FS'!D82</f>
        <v>0.26557038009121403</v>
      </c>
      <c r="E6" s="3">
        <f>'Adjusted and Pro Forma FS'!E82</f>
        <v>0.43853665097587663</v>
      </c>
      <c r="F6" s="3">
        <f>'Adjusted and Pro Forma FS'!F82</f>
        <v>0.40810799876649273</v>
      </c>
      <c r="G6" s="3">
        <f>'Adjusted and Pro Forma FS'!G82</f>
        <v>0.37158548557116344</v>
      </c>
      <c r="H6" s="3">
        <f>'Adjusted and Pro Forma FS'!H82</f>
        <v>0.23122339297139641</v>
      </c>
      <c r="I6" s="3">
        <f>'Adjusted and Pro Forma FS'!I82</f>
        <v>0.20592386750300629</v>
      </c>
      <c r="J6" s="3">
        <f>'Adjusted and Pro Forma FS'!J82</f>
        <v>0.18674319073481435</v>
      </c>
      <c r="K6" s="3">
        <f>'Adjusted and Pro Forma FS'!K82</f>
        <v>0.16784932394617949</v>
      </c>
      <c r="L6" s="3">
        <f>'Adjusted and Pro Forma FS'!L82</f>
        <v>0.15166970296777743</v>
      </c>
    </row>
    <row r="7" spans="1:12" ht="12.75" x14ac:dyDescent="0.2">
      <c r="A7" s="1" t="s">
        <v>6</v>
      </c>
      <c r="B7" s="6">
        <v>2.2599999999999998</v>
      </c>
      <c r="C7" s="6">
        <v>2.2599999999999998</v>
      </c>
      <c r="D7" s="6">
        <v>2.2599999999999998</v>
      </c>
      <c r="E7" s="6">
        <v>2.2599999999999998</v>
      </c>
      <c r="F7" s="6">
        <v>2.2599999999999998</v>
      </c>
      <c r="G7" s="6">
        <v>2.2599999999999998</v>
      </c>
      <c r="H7" s="7">
        <v>2.2599999999999998</v>
      </c>
      <c r="I7" s="7">
        <v>2.2599999999999998</v>
      </c>
      <c r="J7" s="2">
        <v>2.2599999999999998</v>
      </c>
      <c r="K7" s="2">
        <v>2.2599999999999998</v>
      </c>
      <c r="L7" s="2">
        <v>2.2599999999999998</v>
      </c>
    </row>
    <row r="8" spans="1:12" ht="12.75" x14ac:dyDescent="0.2">
      <c r="A8" s="1" t="s">
        <v>7</v>
      </c>
      <c r="B8" s="6">
        <f>B7/(1+(1-B3)*B6)</f>
        <v>1.8964756251034349</v>
      </c>
      <c r="C8" s="6">
        <f t="shared" ref="C8:L8" si="0">$B$8</f>
        <v>1.8964756251034349</v>
      </c>
      <c r="D8" s="6">
        <f t="shared" si="0"/>
        <v>1.8964756251034349</v>
      </c>
      <c r="E8" s="6">
        <f t="shared" si="0"/>
        <v>1.8964756251034349</v>
      </c>
      <c r="F8" s="6">
        <f t="shared" si="0"/>
        <v>1.8964756251034349</v>
      </c>
      <c r="G8" s="6">
        <f t="shared" si="0"/>
        <v>1.8964756251034349</v>
      </c>
      <c r="H8" s="6">
        <f t="shared" si="0"/>
        <v>1.8964756251034349</v>
      </c>
      <c r="I8" s="6">
        <f t="shared" si="0"/>
        <v>1.8964756251034349</v>
      </c>
      <c r="J8" s="6">
        <f t="shared" si="0"/>
        <v>1.8964756251034349</v>
      </c>
      <c r="K8" s="6">
        <f t="shared" si="0"/>
        <v>1.8964756251034349</v>
      </c>
      <c r="L8" s="6">
        <f t="shared" si="0"/>
        <v>1.8964756251034349</v>
      </c>
    </row>
    <row r="9" spans="1:12" ht="12.75" x14ac:dyDescent="0.2">
      <c r="A9" s="1" t="s">
        <v>8</v>
      </c>
      <c r="B9" s="6">
        <v>2.2599999999999998</v>
      </c>
      <c r="C9" s="6">
        <f t="shared" ref="C9:L9" si="1">C8*(1+(1-C3)*C6)</f>
        <v>2.3201060449253039</v>
      </c>
      <c r="D9" s="6">
        <f t="shared" si="1"/>
        <v>2.4001233776958766</v>
      </c>
      <c r="E9" s="6">
        <f t="shared" si="1"/>
        <v>2.7281496943936774</v>
      </c>
      <c r="F9" s="6">
        <f t="shared" si="1"/>
        <v>2.6704424971738314</v>
      </c>
      <c r="G9" s="6">
        <f t="shared" si="1"/>
        <v>2.4531908497655044</v>
      </c>
      <c r="H9" s="6">
        <f t="shared" si="1"/>
        <v>2.2428981527953682</v>
      </c>
      <c r="I9" s="6">
        <f t="shared" si="1"/>
        <v>2.2049940054271548</v>
      </c>
      <c r="J9" s="6">
        <f t="shared" si="1"/>
        <v>2.1762572135157026</v>
      </c>
      <c r="K9" s="6">
        <f t="shared" si="1"/>
        <v>2.1479501248311106</v>
      </c>
      <c r="L9" s="6">
        <f t="shared" si="1"/>
        <v>2.1237095619520385</v>
      </c>
    </row>
    <row r="10" spans="1:12" ht="12.75" x14ac:dyDescent="0.2">
      <c r="A10" s="1" t="s">
        <v>9</v>
      </c>
      <c r="B10" s="3">
        <f t="shared" ref="B10:L10" si="2">B4+B5*B9</f>
        <v>0.11613199999999999</v>
      </c>
      <c r="C10" s="3">
        <f t="shared" si="2"/>
        <v>0.11902911136539965</v>
      </c>
      <c r="D10" s="3">
        <f t="shared" si="2"/>
        <v>0.12288594680494125</v>
      </c>
      <c r="E10" s="3">
        <f t="shared" si="2"/>
        <v>0.15539681526977525</v>
      </c>
      <c r="F10" s="3">
        <f t="shared" si="2"/>
        <v>0.15261532836377867</v>
      </c>
      <c r="G10" s="3">
        <f t="shared" si="2"/>
        <v>0.1421437989586973</v>
      </c>
      <c r="H10" s="3">
        <f t="shared" si="2"/>
        <v>0.13200769096473675</v>
      </c>
      <c r="I10" s="3">
        <f t="shared" si="2"/>
        <v>0.13018071106158885</v>
      </c>
      <c r="J10" s="3">
        <f t="shared" si="2"/>
        <v>0.12879559769145685</v>
      </c>
      <c r="K10" s="3">
        <f t="shared" si="2"/>
        <v>0.12743119601685954</v>
      </c>
      <c r="L10" s="3">
        <f t="shared" si="2"/>
        <v>0.12626280088608827</v>
      </c>
    </row>
    <row r="11" spans="1:12" ht="12.75" x14ac:dyDescent="0.2">
      <c r="A11" s="1" t="s">
        <v>10</v>
      </c>
      <c r="B11" s="3">
        <v>4.4999999999999998E-2</v>
      </c>
      <c r="C11" s="3">
        <v>2.4400000000000002E-2</v>
      </c>
      <c r="D11" s="3">
        <v>1.9599999999999999E-2</v>
      </c>
      <c r="E11" s="3">
        <v>1.26E-2</v>
      </c>
      <c r="F11" s="3">
        <v>1.26E-2</v>
      </c>
      <c r="G11" s="3">
        <v>1.26E-2</v>
      </c>
      <c r="H11" s="3">
        <v>1.26E-2</v>
      </c>
      <c r="I11" s="3">
        <v>1.26E-2</v>
      </c>
      <c r="J11" s="3">
        <v>1.26E-2</v>
      </c>
      <c r="K11" s="3">
        <v>1.26E-2</v>
      </c>
      <c r="L11" s="3">
        <v>1.26E-2</v>
      </c>
    </row>
    <row r="12" spans="1:12" ht="12.75" x14ac:dyDescent="0.2">
      <c r="A12" s="1" t="s">
        <v>11</v>
      </c>
      <c r="B12" s="3">
        <f t="shared" ref="B12:L12" si="3">B4+B11</f>
        <v>5.2199999999999996E-2</v>
      </c>
      <c r="C12" s="3">
        <f t="shared" si="3"/>
        <v>3.1600000000000003E-2</v>
      </c>
      <c r="D12" s="3">
        <f t="shared" si="3"/>
        <v>2.6799999999999997E-2</v>
      </c>
      <c r="E12" s="3">
        <f t="shared" si="3"/>
        <v>3.6500000000000005E-2</v>
      </c>
      <c r="F12" s="3">
        <f t="shared" si="3"/>
        <v>3.6500000000000005E-2</v>
      </c>
      <c r="G12" s="3">
        <f t="shared" si="3"/>
        <v>3.6500000000000005E-2</v>
      </c>
      <c r="H12" s="3">
        <f t="shared" si="3"/>
        <v>3.6500000000000005E-2</v>
      </c>
      <c r="I12" s="3">
        <f t="shared" si="3"/>
        <v>3.6500000000000005E-2</v>
      </c>
      <c r="J12" s="3">
        <f t="shared" si="3"/>
        <v>3.6500000000000005E-2</v>
      </c>
      <c r="K12" s="3">
        <f t="shared" si="3"/>
        <v>3.6500000000000005E-2</v>
      </c>
      <c r="L12" s="3">
        <f t="shared" si="3"/>
        <v>3.6500000000000005E-2</v>
      </c>
    </row>
    <row r="13" spans="1:12" ht="12.75" x14ac:dyDescent="0.2">
      <c r="A13" s="1" t="s">
        <v>12</v>
      </c>
      <c r="B13" s="3">
        <f t="shared" ref="B13:L13" si="4">B12*(1-B3)</f>
        <v>5.2199999999999996E-2</v>
      </c>
      <c r="C13" s="3">
        <f t="shared" si="4"/>
        <v>3.1600000000000003E-2</v>
      </c>
      <c r="D13" s="3">
        <f t="shared" si="4"/>
        <v>2.6799999999999997E-2</v>
      </c>
      <c r="E13" s="3">
        <f t="shared" si="4"/>
        <v>3.6500000000000005E-2</v>
      </c>
      <c r="F13" s="3">
        <f t="shared" si="4"/>
        <v>3.6500000000000005E-2</v>
      </c>
      <c r="G13" s="3">
        <f t="shared" si="4"/>
        <v>2.8835000000000006E-2</v>
      </c>
      <c r="H13" s="3">
        <f t="shared" si="4"/>
        <v>2.8835000000000006E-2</v>
      </c>
      <c r="I13" s="3">
        <f t="shared" si="4"/>
        <v>2.8835000000000006E-2</v>
      </c>
      <c r="J13" s="3">
        <f t="shared" si="4"/>
        <v>2.8835000000000006E-2</v>
      </c>
      <c r="K13" s="3">
        <f t="shared" si="4"/>
        <v>2.8835000000000006E-2</v>
      </c>
      <c r="L13" s="3">
        <f t="shared" si="4"/>
        <v>2.8835000000000006E-2</v>
      </c>
    </row>
    <row r="14" spans="1:12" ht="17.25" customHeight="1" x14ac:dyDescent="0.2">
      <c r="A14" s="1" t="s">
        <v>13</v>
      </c>
      <c r="B14" s="6">
        <v>66.09</v>
      </c>
      <c r="C14" s="6">
        <v>66.09</v>
      </c>
      <c r="D14" s="6">
        <v>66.09</v>
      </c>
      <c r="E14" s="6">
        <v>66.09</v>
      </c>
      <c r="F14" s="6">
        <v>66.09</v>
      </c>
      <c r="G14" s="6">
        <v>66.09</v>
      </c>
      <c r="H14" s="6">
        <v>66.09</v>
      </c>
      <c r="I14" s="6">
        <v>66.09</v>
      </c>
      <c r="J14" s="8">
        <v>66.09</v>
      </c>
      <c r="K14" s="8">
        <v>66.09</v>
      </c>
      <c r="L14" s="8">
        <v>66.09</v>
      </c>
    </row>
    <row r="15" spans="1:12" ht="17.25" customHeight="1" x14ac:dyDescent="0.2">
      <c r="A15" s="1" t="s">
        <v>14</v>
      </c>
      <c r="B15" s="6">
        <v>61580000</v>
      </c>
      <c r="C15" s="6">
        <v>61580000</v>
      </c>
      <c r="D15" s="6">
        <v>61580000</v>
      </c>
      <c r="E15" s="6">
        <v>61580000</v>
      </c>
      <c r="F15" s="6">
        <v>61580000</v>
      </c>
      <c r="G15" s="6">
        <v>61580000</v>
      </c>
      <c r="H15" s="6">
        <v>61580000</v>
      </c>
      <c r="I15" s="6">
        <v>61580000</v>
      </c>
      <c r="J15" s="9">
        <v>61580000</v>
      </c>
      <c r="K15" s="9">
        <v>61580000</v>
      </c>
      <c r="L15" s="9">
        <v>61580000</v>
      </c>
    </row>
    <row r="16" spans="1:12" ht="17.25" customHeight="1" x14ac:dyDescent="0.2">
      <c r="A16" s="1" t="s">
        <v>15</v>
      </c>
      <c r="B16" s="6">
        <f t="shared" ref="B16:L16" si="5">B14*B15</f>
        <v>4069822200</v>
      </c>
      <c r="C16" s="6">
        <f t="shared" si="5"/>
        <v>4069822200</v>
      </c>
      <c r="D16" s="6">
        <f t="shared" si="5"/>
        <v>4069822200</v>
      </c>
      <c r="E16" s="6">
        <f t="shared" si="5"/>
        <v>4069822200</v>
      </c>
      <c r="F16" s="6">
        <f t="shared" si="5"/>
        <v>4069822200</v>
      </c>
      <c r="G16" s="6">
        <f t="shared" si="5"/>
        <v>4069822200</v>
      </c>
      <c r="H16" s="6">
        <f t="shared" si="5"/>
        <v>4069822200</v>
      </c>
      <c r="I16" s="6">
        <f t="shared" si="5"/>
        <v>4069822200</v>
      </c>
      <c r="J16" s="9">
        <f t="shared" si="5"/>
        <v>4069822200</v>
      </c>
      <c r="K16" s="9">
        <f t="shared" si="5"/>
        <v>4069822200</v>
      </c>
      <c r="L16" s="9">
        <f t="shared" si="5"/>
        <v>4069822200</v>
      </c>
    </row>
    <row r="17" spans="1:12" ht="17.25" customHeight="1" x14ac:dyDescent="0.2">
      <c r="A17" s="1" t="s">
        <v>16</v>
      </c>
      <c r="B17" s="6">
        <f>PV('DCF Valuation'!B13,3,'Adjusted and Pro Forma FS'!B13,-'Adjusted and Pro Forma FS'!B81,0)*1000</f>
        <v>48281262.113399543</v>
      </c>
      <c r="C17" s="6">
        <f>PV('DCF Valuation'!C13,2,'Adjusted and Pro Forma FS'!C13,-'Adjusted and Pro Forma FS'!C81,0)*1000</f>
        <v>37816545.572787255</v>
      </c>
      <c r="D17" s="6">
        <f>PV('DCF Valuation'!D13,2,'Adjusted and Pro Forma FS'!D13,-'Adjusted and Pro Forma FS'!D81,0)*1000</f>
        <v>36720061.890179679</v>
      </c>
      <c r="E17" s="6">
        <f>PV('DCF Valuation'!E13,2,'Adjusted and Pro Forma FS'!E13,-'Adjusted and Pro Forma FS'!E81,0)*1000</f>
        <v>103792501.75501762</v>
      </c>
      <c r="F17" s="6">
        <f>PV('DCF Valuation'!F13,1,'Adjusted and Pro Forma FS'!F13,-'Adjusted and Pro Forma FS'!F81,0)*1000</f>
        <v>104315408.49103022</v>
      </c>
      <c r="G17" s="6">
        <f>PV('DCF Valuation'!G13,1,'Adjusted and Pro Forma FS'!G13,-'Adjusted and Pro Forma FS'!G81,0)*1000</f>
        <v>103798957.07280569</v>
      </c>
      <c r="H17" s="6">
        <f>PV('DCF Valuation'!H13,1,'Adjusted and Pro Forma FS'!H13,-'Adjusted and Pro Forma FS'!H81,0)*1000</f>
        <v>5022185.2872423548</v>
      </c>
      <c r="I17" s="6">
        <f>PV('DCF Valuation'!I13,1,'Adjusted and Pro Forma FS'!I13,-'Adjusted and Pro Forma FS'!I81,0)*1000</f>
        <v>-2.8288141885466283E-8</v>
      </c>
      <c r="J17" s="9">
        <f>PV('DCF Valuation'!J13,1,'Adjusted and Pro Forma FS'!J13,-'Adjusted and Pro Forma FS'!J81,0)*1000</f>
        <v>0</v>
      </c>
      <c r="K17" s="9">
        <f>PV('DCF Valuation'!K13,1,'Adjusted and Pro Forma FS'!K13,-'Adjusted and Pro Forma FS'!K81,0)*1000</f>
        <v>0</v>
      </c>
      <c r="L17" s="9">
        <f>PV('DCF Valuation'!L13,1,'Adjusted and Pro Forma FS'!L13,-'Adjusted and Pro Forma FS'!L81,0)*1000</f>
        <v>0</v>
      </c>
    </row>
    <row r="18" spans="1:12" ht="12.75" x14ac:dyDescent="0.2">
      <c r="A18" s="1" t="s">
        <v>17</v>
      </c>
      <c r="B18" s="3">
        <f t="shared" ref="B18:L18" si="6">B16/(B16+B17)</f>
        <v>0.98827585014374031</v>
      </c>
      <c r="C18" s="3">
        <f t="shared" si="6"/>
        <v>0.99079360481406842</v>
      </c>
      <c r="D18" s="3">
        <f t="shared" si="6"/>
        <v>0.99105815560917232</v>
      </c>
      <c r="E18" s="3">
        <f t="shared" si="6"/>
        <v>0.97513126889471313</v>
      </c>
      <c r="F18" s="3">
        <f t="shared" si="6"/>
        <v>0.97500911127634315</v>
      </c>
      <c r="G18" s="3">
        <f t="shared" si="6"/>
        <v>0.97512976066433255</v>
      </c>
      <c r="H18" s="3">
        <f t="shared" si="6"/>
        <v>0.99876751482697701</v>
      </c>
      <c r="I18" s="3">
        <f t="shared" si="6"/>
        <v>1</v>
      </c>
      <c r="J18" s="3">
        <f t="shared" si="6"/>
        <v>1</v>
      </c>
      <c r="K18" s="3">
        <f t="shared" si="6"/>
        <v>1</v>
      </c>
      <c r="L18" s="3">
        <f t="shared" si="6"/>
        <v>1</v>
      </c>
    </row>
    <row r="19" spans="1:12" ht="12.75" x14ac:dyDescent="0.2">
      <c r="A19" s="1" t="s">
        <v>18</v>
      </c>
      <c r="B19" s="3">
        <f t="shared" ref="B19:L19" si="7">1-B18</f>
        <v>1.1724149856259691E-2</v>
      </c>
      <c r="C19" s="3">
        <f t="shared" si="7"/>
        <v>9.2063951859315818E-3</v>
      </c>
      <c r="D19" s="3">
        <f t="shared" si="7"/>
        <v>8.9418443908276801E-3</v>
      </c>
      <c r="E19" s="3">
        <f t="shared" si="7"/>
        <v>2.4868731105286868E-2</v>
      </c>
      <c r="F19" s="3">
        <f t="shared" si="7"/>
        <v>2.4990888723656846E-2</v>
      </c>
      <c r="G19" s="3">
        <f t="shared" si="7"/>
        <v>2.4870239335667454E-2</v>
      </c>
      <c r="H19" s="3">
        <f t="shared" si="7"/>
        <v>1.2324851730229902E-3</v>
      </c>
      <c r="I19" s="3">
        <f t="shared" si="7"/>
        <v>0</v>
      </c>
      <c r="J19" s="3">
        <f t="shared" si="7"/>
        <v>0</v>
      </c>
      <c r="K19" s="3">
        <f t="shared" si="7"/>
        <v>0</v>
      </c>
      <c r="L19" s="3">
        <f t="shared" si="7"/>
        <v>0</v>
      </c>
    </row>
    <row r="20" spans="1:12" ht="12.75" x14ac:dyDescent="0.2">
      <c r="A20" s="1" t="s">
        <v>19</v>
      </c>
      <c r="B20" s="3">
        <f t="shared" ref="B20:L20" si="8">B10*B18+B13*B19</f>
        <v>0.11538245165138958</v>
      </c>
      <c r="C20" s="3">
        <f t="shared" si="8"/>
        <v>0.11822420441541497</v>
      </c>
      <c r="D20" s="3">
        <f t="shared" si="8"/>
        <v>0.12202676122046612</v>
      </c>
      <c r="E20" s="3">
        <f t="shared" si="8"/>
        <v>0.15244000234155625</v>
      </c>
      <c r="F20" s="3">
        <f t="shared" si="8"/>
        <v>0.1497135031135286</v>
      </c>
      <c r="G20" s="3">
        <f t="shared" si="8"/>
        <v>0.13932578200975745</v>
      </c>
      <c r="H20" s="3">
        <f t="shared" si="8"/>
        <v>0.13188053215286183</v>
      </c>
      <c r="I20" s="3">
        <f t="shared" si="8"/>
        <v>0.13018071106158885</v>
      </c>
      <c r="J20" s="3">
        <f t="shared" si="8"/>
        <v>0.12879559769145685</v>
      </c>
      <c r="K20" s="3">
        <f t="shared" si="8"/>
        <v>0.12743119601685954</v>
      </c>
      <c r="L20" s="3">
        <f t="shared" si="8"/>
        <v>0.12626280088608827</v>
      </c>
    </row>
    <row r="22" spans="1:12" ht="12.75" x14ac:dyDescent="0.2">
      <c r="J22" s="10">
        <f>(I4+1.2*I5)*I18</f>
        <v>8.1739999999999993E-2</v>
      </c>
    </row>
    <row r="23" spans="1:12" ht="12.75" x14ac:dyDescent="0.2">
      <c r="B23" s="11">
        <v>48281262.113399543</v>
      </c>
      <c r="C23" s="11">
        <v>37816545.572787255</v>
      </c>
      <c r="D23" s="11">
        <v>36720061.890179679</v>
      </c>
      <c r="E23" s="11">
        <v>10711427.441182204</v>
      </c>
      <c r="F23" s="11">
        <v>7836874.9647397771</v>
      </c>
      <c r="G23" s="11">
        <v>6601641.6626572758</v>
      </c>
      <c r="H23" s="11">
        <v>5022185.2872423548</v>
      </c>
    </row>
    <row r="25" spans="1:12" ht="12.75" x14ac:dyDescent="0.2">
      <c r="D25" s="2" t="s">
        <v>20</v>
      </c>
      <c r="E25" s="5">
        <v>0.03</v>
      </c>
    </row>
    <row r="27" spans="1:12" ht="12.75" x14ac:dyDescent="0.2">
      <c r="B27" s="2" t="s">
        <v>1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</row>
    <row r="28" spans="1:12" ht="12.75" x14ac:dyDescent="0.2">
      <c r="A28" s="2" t="s">
        <v>21</v>
      </c>
    </row>
    <row r="29" spans="1:12" ht="12.75" x14ac:dyDescent="0.2">
      <c r="A29" s="2" t="s">
        <v>22</v>
      </c>
      <c r="B29" s="12">
        <f>'Adjusted and Pro Forma FS'!B10</f>
        <v>14432.003652231113</v>
      </c>
      <c r="C29" s="12">
        <f>'Adjusted and Pro Forma FS'!C10</f>
        <v>13322.91531889778</v>
      </c>
      <c r="D29" s="12">
        <f>'Adjusted and Pro Forma FS'!D10</f>
        <v>16729.207902231079</v>
      </c>
      <c r="E29" s="12">
        <f>'Adjusted and Pro Forma FS'!E10</f>
        <v>120305.26871889771</v>
      </c>
      <c r="F29" s="12">
        <f>'Adjusted and Pro Forma FS'!F10</f>
        <v>173466.06924223102</v>
      </c>
      <c r="G29" s="12">
        <f>'Adjusted and Pro Forma FS'!G10</f>
        <v>208239.05185323104</v>
      </c>
      <c r="H29" s="12">
        <f>'Adjusted and Pro Forma FS'!H10</f>
        <v>239856.60180609999</v>
      </c>
      <c r="I29" s="12">
        <f>'Adjusted and Pro Forma FS'!I10</f>
        <v>249143.49424030495</v>
      </c>
      <c r="J29" s="12">
        <f>'Adjusted and Pro Forma FS'!J10</f>
        <v>263232.31635866017</v>
      </c>
      <c r="K29" s="12">
        <f>'Adjusted and Pro Forma FS'!K10</f>
        <v>272064.76369572163</v>
      </c>
      <c r="L29" s="12">
        <f>'Adjusted and Pro Forma FS'!L10</f>
        <v>278054.29249816627</v>
      </c>
    </row>
    <row r="30" spans="1:12" ht="12.75" x14ac:dyDescent="0.2">
      <c r="A30" s="2" t="s">
        <v>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0.21</v>
      </c>
      <c r="H30" s="5">
        <v>0.21</v>
      </c>
      <c r="I30" s="5">
        <v>0.21</v>
      </c>
      <c r="J30" s="5">
        <v>0.21</v>
      </c>
      <c r="K30" s="5">
        <v>0.21</v>
      </c>
      <c r="L30" s="5">
        <v>0.21</v>
      </c>
    </row>
    <row r="31" spans="1:12" ht="12.75" x14ac:dyDescent="0.2">
      <c r="A31" s="2" t="s">
        <v>23</v>
      </c>
      <c r="B31" s="12">
        <f t="shared" ref="B31:L31" si="9">B29*(1-B30)</f>
        <v>14432.003652231113</v>
      </c>
      <c r="C31" s="12">
        <f t="shared" si="9"/>
        <v>13322.91531889778</v>
      </c>
      <c r="D31" s="12">
        <f t="shared" si="9"/>
        <v>16729.207902231079</v>
      </c>
      <c r="E31" s="12">
        <f t="shared" si="9"/>
        <v>120305.26871889771</v>
      </c>
      <c r="F31" s="12">
        <f t="shared" si="9"/>
        <v>173466.06924223102</v>
      </c>
      <c r="G31" s="12">
        <f t="shared" si="9"/>
        <v>164508.85096405252</v>
      </c>
      <c r="H31" s="12">
        <f t="shared" si="9"/>
        <v>189486.71542681899</v>
      </c>
      <c r="I31" s="12">
        <f t="shared" si="9"/>
        <v>196823.36044984093</v>
      </c>
      <c r="J31" s="12">
        <f t="shared" si="9"/>
        <v>207953.52992334156</v>
      </c>
      <c r="K31" s="12">
        <f t="shared" si="9"/>
        <v>214931.1633196201</v>
      </c>
      <c r="L31" s="12">
        <f t="shared" si="9"/>
        <v>219662.89107355135</v>
      </c>
    </row>
    <row r="32" spans="1:12" ht="12.75" x14ac:dyDescent="0.2">
      <c r="A32" s="2" t="s">
        <v>24</v>
      </c>
      <c r="B32" s="12">
        <f>-1*'Adjusted and Pro Forma FS'!B123</f>
        <v>26164</v>
      </c>
      <c r="C32" s="12">
        <f>B32*(1+'Growth Rates for Contingencys'!B3)</f>
        <v>28008.474896526903</v>
      </c>
      <c r="D32" s="12">
        <f>C32*(1+'Growth Rates for Contingencys'!C3)</f>
        <v>5601.6949793053791</v>
      </c>
      <c r="E32" s="12">
        <f>D32*(1+'Growth Rates for Contingencys'!D3)</f>
        <v>6161.8644772359175</v>
      </c>
      <c r="F32" s="12">
        <f>E32*(1+'Growth Rates for Contingencys'!E3)</f>
        <v>6778.0509249595098</v>
      </c>
      <c r="G32" s="12">
        <f>F32*(1+'Growth Rates for Contingencys'!F3)</f>
        <v>7455.8560174554614</v>
      </c>
      <c r="H32" s="12">
        <f>G32*(1+'Growth Rates for Contingencys'!G3)</f>
        <v>8201.4416192010085</v>
      </c>
      <c r="I32" s="12">
        <f>H32*(1+'Growth Rates for Contingencys'!H3)</f>
        <v>9021.5857811211099</v>
      </c>
      <c r="J32" s="12">
        <f>I32*(1+'Growth Rates for Contingencys'!I3)</f>
        <v>9923.744359233222</v>
      </c>
      <c r="K32" s="12">
        <f>J32*(1+'Growth Rates for Contingencys'!J3)</f>
        <v>10916.118795156544</v>
      </c>
      <c r="L32" s="12">
        <f>K32*(1+'Growth Rates for Contingencys'!K3)</f>
        <v>12007.730674672201</v>
      </c>
    </row>
    <row r="33" spans="1:26" ht="12.75" x14ac:dyDescent="0.2">
      <c r="A33" s="2" t="s">
        <v>25</v>
      </c>
      <c r="B33" s="12">
        <f>'Adjustments to FS&amp; Calculation '!B13</f>
        <v>20650</v>
      </c>
      <c r="C33" s="12">
        <f>'Adjustments to FS&amp; Calculation '!H21</f>
        <v>25693.616250000003</v>
      </c>
      <c r="D33" s="12">
        <f>'Adjustments to FS&amp; Calculation '!H20</f>
        <v>15416.169750000001</v>
      </c>
      <c r="E33" s="12">
        <f>'Adjustments to FS&amp; Calculation '!H19</f>
        <v>9249.7018499999995</v>
      </c>
      <c r="F33" s="12">
        <f>'Adjustments to FS&amp; Calculation '!H18</f>
        <v>5549.8211099999999</v>
      </c>
      <c r="G33" s="12">
        <f>'Adjustments to FS&amp; Calculation '!H17</f>
        <v>3329.8926659999997</v>
      </c>
      <c r="H33" s="12">
        <f>'Adjustments to FS&amp; Calculation '!H16</f>
        <v>1997.9355995999997</v>
      </c>
      <c r="I33" s="12">
        <f>'Adjustments to FS&amp; Calculation '!H15</f>
        <v>1198.7613597599998</v>
      </c>
      <c r="J33" s="12">
        <f>'Adjustments to FS&amp; Calculation '!H14</f>
        <v>719.25681585599989</v>
      </c>
      <c r="K33" s="12">
        <f>'Adjustments to FS&amp; Calculation '!H13</f>
        <v>431.55408951359993</v>
      </c>
      <c r="L33" s="12">
        <f>'Adjustments to FS&amp; Calculation '!H12</f>
        <v>258.93245370815993</v>
      </c>
    </row>
    <row r="34" spans="1:26" ht="12.75" x14ac:dyDescent="0.2">
      <c r="A34" s="2" t="s">
        <v>26</v>
      </c>
      <c r="B34" s="12">
        <f>'Adjusted and Pro Forma FS'!B100</f>
        <v>8106</v>
      </c>
      <c r="C34" s="12">
        <f>'Growth Rates for Contingencys'!C72</f>
        <v>11196.20991118518</v>
      </c>
      <c r="D34" s="12">
        <f>'Growth Rates for Contingencys'!D72</f>
        <v>11848.219384105734</v>
      </c>
      <c r="E34" s="12">
        <f>'Growth Rates for Contingencys'!E72</f>
        <v>12565.429804318343</v>
      </c>
      <c r="F34" s="12">
        <f>'Growth Rates for Contingencys'!F72</f>
        <v>13354.361266552211</v>
      </c>
      <c r="G34" s="12">
        <f>'Growth Rates for Contingencys'!G72</f>
        <v>14222.185875009467</v>
      </c>
      <c r="H34" s="12">
        <f>'Growth Rates for Contingencys'!H72</f>
        <v>15176.79294431245</v>
      </c>
      <c r="I34" s="13">
        <f>'Growth Rates for Contingencys'!I72</f>
        <v>16226.86072054573</v>
      </c>
      <c r="J34" s="13">
        <f>'Growth Rates for Contingencys'!J72</f>
        <v>17381.935274402338</v>
      </c>
      <c r="K34" s="13">
        <f>'Growth Rates for Contingencys'!K72</f>
        <v>18652.517283644607</v>
      </c>
      <c r="L34" s="13">
        <f>'Growth Rates for Contingencys'!L72</f>
        <v>20050.157493811104</v>
      </c>
    </row>
    <row r="35" spans="1:26" ht="17.25" x14ac:dyDescent="0.4">
      <c r="A35" s="2" t="s">
        <v>27</v>
      </c>
      <c r="B35" s="12">
        <f>'Adjustments to FS&amp; Calculation '!C16</f>
        <v>5103</v>
      </c>
      <c r="C35" s="12">
        <f>SUM('Adjustments to FS&amp; Calculation '!I22:I24)</f>
        <v>11986.333333333334</v>
      </c>
      <c r="D35" s="12">
        <f>SUM('Adjustments to FS&amp; Calculation '!I21:I23)</f>
        <v>18643.538750000003</v>
      </c>
      <c r="E35" s="14">
        <f>SUM('Adjustments to FS&amp; Calculation '!I20:I22)</f>
        <v>20586.595333333335</v>
      </c>
      <c r="F35" s="12">
        <f>SUM('Adjustments to FS&amp; Calculation '!I19:I21)</f>
        <v>16786.495950000004</v>
      </c>
      <c r="G35" s="14">
        <f>SUM('Adjustments to FS&amp; Calculation '!I18:I20)</f>
        <v>10071.897570000001</v>
      </c>
      <c r="H35" s="14">
        <f>SUM('Adjustments to FS&amp; Calculation '!I17:I19)</f>
        <v>6043.1385419999997</v>
      </c>
      <c r="I35" s="15">
        <f>SUM('Adjustments to FS&amp; Calculation '!I16:I18)</f>
        <v>3625.8831252</v>
      </c>
      <c r="J35" s="15">
        <f>SUM('Adjustments to FS&amp; Calculation '!I15:I17)</f>
        <v>2175.5298751199998</v>
      </c>
      <c r="K35" s="15">
        <f>SUM('Adjustments to FS&amp; Calculation '!I14:I16)</f>
        <v>1305.3179250719998</v>
      </c>
      <c r="L35" s="15">
        <f>SUM('Adjustments to FS&amp; Calculation '!I13:I15)</f>
        <v>783.19075504319994</v>
      </c>
    </row>
    <row r="36" spans="1:26" ht="12.75" x14ac:dyDescent="0.2">
      <c r="A36" s="16" t="s">
        <v>28</v>
      </c>
      <c r="B36" s="17">
        <f t="shared" ref="B36:L36" si="10">B32+B33-B34-B35</f>
        <v>33605</v>
      </c>
      <c r="C36" s="17">
        <f t="shared" si="10"/>
        <v>30519.547902008388</v>
      </c>
      <c r="D36" s="17">
        <f t="shared" si="10"/>
        <v>-9473.8934048003575</v>
      </c>
      <c r="E36" s="17">
        <f t="shared" si="10"/>
        <v>-17740.458810415759</v>
      </c>
      <c r="F36" s="17">
        <f t="shared" si="10"/>
        <v>-17812.985181592703</v>
      </c>
      <c r="G36" s="17">
        <f t="shared" si="10"/>
        <v>-13508.334761554006</v>
      </c>
      <c r="H36" s="17">
        <f t="shared" si="10"/>
        <v>-11020.554267511441</v>
      </c>
      <c r="I36" s="17">
        <f t="shared" si="10"/>
        <v>-9632.3967048646209</v>
      </c>
      <c r="J36" s="17">
        <f t="shared" si="10"/>
        <v>-8914.4639744331143</v>
      </c>
      <c r="K36" s="17">
        <f t="shared" si="10"/>
        <v>-8610.1623240464633</v>
      </c>
      <c r="L36" s="17">
        <f t="shared" si="10"/>
        <v>-8566.6851204739451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x14ac:dyDescent="0.2">
      <c r="A37" s="2" t="s">
        <v>29</v>
      </c>
      <c r="B37" s="12">
        <f>'Financial Statements(From Annua'!G74</f>
        <v>67549</v>
      </c>
      <c r="C37" s="12">
        <f>'Adjusted and Pro Forma FS'!C90</f>
        <v>14396.963792200768</v>
      </c>
      <c r="D37" s="12">
        <f>'Adjusted and Pro Forma FS'!D90</f>
        <v>42384.255334405476</v>
      </c>
      <c r="E37" s="12">
        <f>'Adjusted and Pro Forma FS'!E90</f>
        <v>89046.649972515501</v>
      </c>
      <c r="F37" s="12">
        <f>'Adjusted and Pro Forma FS'!F90</f>
        <v>83102.925783132756</v>
      </c>
      <c r="G37" s="12">
        <f>'Adjusted and Pro Forma FS'!G90</f>
        <v>48055.921936473751</v>
      </c>
      <c r="H37" s="12">
        <f>'Adjusted and Pro Forma FS'!H90</f>
        <v>36825.253808556241</v>
      </c>
      <c r="I37" s="12">
        <f>'Adjusted and Pro Forma FS'!I90</f>
        <v>20221.909882632026</v>
      </c>
      <c r="J37" s="12">
        <f>'Adjusted and Pro Forma FS'!J90</f>
        <v>21229.807405556261</v>
      </c>
      <c r="K37" s="12">
        <f>'Adjusted and Pro Forma FS'!K90</f>
        <v>13341.711643216084</v>
      </c>
      <c r="L37" s="12">
        <f>'Adjusted and Pro Forma FS'!L90</f>
        <v>9129.3204216779559</v>
      </c>
    </row>
    <row r="38" spans="1:26" ht="12.75" x14ac:dyDescent="0.2">
      <c r="A38" s="16" t="s">
        <v>30</v>
      </c>
      <c r="B38" s="17">
        <f t="shared" ref="B38:L38" si="11">B31-B36-B37</f>
        <v>-86721.996347768887</v>
      </c>
      <c r="C38" s="17">
        <f t="shared" si="11"/>
        <v>-31593.596375311376</v>
      </c>
      <c r="D38" s="17">
        <f t="shared" si="11"/>
        <v>-16181.154027374039</v>
      </c>
      <c r="E38" s="17">
        <f t="shared" si="11"/>
        <v>48999.077556797973</v>
      </c>
      <c r="F38" s="17">
        <f t="shared" si="11"/>
        <v>108176.12864069096</v>
      </c>
      <c r="G38" s="17">
        <f t="shared" si="11"/>
        <v>129961.26378913276</v>
      </c>
      <c r="H38" s="17">
        <f t="shared" si="11"/>
        <v>163682.01588577419</v>
      </c>
      <c r="I38" s="17">
        <f t="shared" si="11"/>
        <v>186233.84727207353</v>
      </c>
      <c r="J38" s="17">
        <f t="shared" si="11"/>
        <v>195638.1864922184</v>
      </c>
      <c r="K38" s="17">
        <f t="shared" si="11"/>
        <v>210199.61400045047</v>
      </c>
      <c r="L38" s="17">
        <f t="shared" si="11"/>
        <v>219100.25577234733</v>
      </c>
      <c r="M38" s="17">
        <f>L38*(1+L4)</f>
        <v>224336.75188530644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40" spans="1:26" ht="12.75" x14ac:dyDescent="0.2">
      <c r="A40" s="2" t="s">
        <v>31</v>
      </c>
      <c r="B40" s="10">
        <f t="shared" ref="B40:L40" si="12">(B36+B37)/B31</f>
        <v>7.009005986799492</v>
      </c>
      <c r="C40" s="10">
        <f t="shared" si="12"/>
        <v>3.3713726026988775</v>
      </c>
      <c r="D40" s="10">
        <f t="shared" si="12"/>
        <v>1.9672396996881156</v>
      </c>
      <c r="E40" s="10">
        <f t="shared" si="12"/>
        <v>0.59271045999416705</v>
      </c>
      <c r="F40" s="10">
        <f t="shared" si="12"/>
        <v>0.37638450497409986</v>
      </c>
      <c r="G40" s="10">
        <f t="shared" si="12"/>
        <v>0.21000442816580658</v>
      </c>
      <c r="H40" s="10">
        <f t="shared" si="12"/>
        <v>0.1361821037581431</v>
      </c>
      <c r="I40" s="10">
        <f t="shared" si="12"/>
        <v>5.3802115529198426E-2</v>
      </c>
      <c r="J40" s="10">
        <f t="shared" si="12"/>
        <v>5.9221612807741152E-2</v>
      </c>
      <c r="K40" s="10">
        <f t="shared" si="12"/>
        <v>2.2014254452870672E-2</v>
      </c>
      <c r="L40" s="10">
        <f t="shared" si="12"/>
        <v>2.5613579902106429E-3</v>
      </c>
    </row>
    <row r="41" spans="1:26" ht="12.75" x14ac:dyDescent="0.2">
      <c r="A41" s="2" t="s">
        <v>32</v>
      </c>
      <c r="B41" s="10">
        <f>'Adjusted and Pro Forma FS'!B84:L84</f>
        <v>6.6745723709812674E-2</v>
      </c>
      <c r="C41" s="10">
        <f>'Adjusted and Pro Forma FS'!C84:M84</f>
        <v>4.5917565099550139E-2</v>
      </c>
      <c r="D41" s="10">
        <f>'Adjusted and Pro Forma FS'!D84:N84</f>
        <v>6.543358796139627E-2</v>
      </c>
      <c r="E41" s="10">
        <f>'Adjusted and Pro Forma FS'!E84:O84</f>
        <v>0.24526239844824427</v>
      </c>
      <c r="F41" s="10">
        <f>'Adjusted and Pro Forma FS'!F84:P84</f>
        <v>0.28880343180795509</v>
      </c>
      <c r="G41" s="10">
        <f>'Adjusted and Pro Forma FS'!G84:Q84</f>
        <v>0.25196595099506197</v>
      </c>
      <c r="H41" s="10">
        <f>'Adjusted and Pro Forma FS'!H84:R84</f>
        <v>0.27473801116897667</v>
      </c>
      <c r="I41" s="10">
        <f>'Adjusted and Pro Forma FS'!I84:S84</f>
        <v>0.27726934570557654</v>
      </c>
      <c r="J41" s="10">
        <f>'Adjusted and Pro Forma FS'!J84:T84</f>
        <v>0.28547596190741348</v>
      </c>
      <c r="K41" s="10">
        <f>'Adjusted and Pro Forma FS'!K84:U84</f>
        <v>0.28896573572830497</v>
      </c>
      <c r="L41" s="10">
        <f>'Adjusted and Pro Forma FS'!L84:V84</f>
        <v>0.2919412920528322</v>
      </c>
    </row>
    <row r="42" spans="1:26" ht="12.75" x14ac:dyDescent="0.2">
      <c r="A42" s="2" t="s">
        <v>33</v>
      </c>
      <c r="B42" s="19">
        <f t="shared" ref="B42:L42" si="13">B40*B41</f>
        <v>0.46782117707534182</v>
      </c>
      <c r="C42" s="19">
        <f t="shared" si="13"/>
        <v>0.15480522095926549</v>
      </c>
      <c r="D42" s="19">
        <f t="shared" si="13"/>
        <v>0.1287235519306931</v>
      </c>
      <c r="E42" s="19">
        <f t="shared" si="13"/>
        <v>0.14536958900353153</v>
      </c>
      <c r="F42" s="19">
        <f t="shared" si="13"/>
        <v>0.10870113671585839</v>
      </c>
      <c r="G42" s="19">
        <f t="shared" si="13"/>
        <v>5.2913965455971636E-2</v>
      </c>
      <c r="H42" s="19">
        <f t="shared" si="13"/>
        <v>3.7414400343319457E-2</v>
      </c>
      <c r="I42" s="19">
        <f t="shared" si="13"/>
        <v>1.4917677370356687E-2</v>
      </c>
      <c r="J42" s="19">
        <f t="shared" si="13"/>
        <v>1.6906346881998303E-2</v>
      </c>
      <c r="K42" s="19">
        <f t="shared" si="13"/>
        <v>6.3613652344838879E-3</v>
      </c>
      <c r="L42" s="19">
        <f t="shared" si="13"/>
        <v>7.4776616107194058E-4</v>
      </c>
    </row>
    <row r="44" spans="1:26" ht="12.75" x14ac:dyDescent="0.2">
      <c r="A44" s="2" t="s">
        <v>34</v>
      </c>
      <c r="C44" s="10">
        <f t="shared" ref="C44:L44" si="14">1+C20</f>
        <v>1.1182242044154149</v>
      </c>
      <c r="D44" s="10">
        <f t="shared" si="14"/>
        <v>1.1220267612204662</v>
      </c>
      <c r="E44" s="10">
        <f t="shared" si="14"/>
        <v>1.1524400023415562</v>
      </c>
      <c r="F44" s="10">
        <f t="shared" si="14"/>
        <v>1.1497135031135286</v>
      </c>
      <c r="G44" s="10">
        <f t="shared" si="14"/>
        <v>1.1393257820097575</v>
      </c>
      <c r="H44" s="10">
        <f t="shared" si="14"/>
        <v>1.1318805321528618</v>
      </c>
      <c r="I44" s="10">
        <f t="shared" si="14"/>
        <v>1.1301807110615889</v>
      </c>
      <c r="J44" s="10">
        <f t="shared" si="14"/>
        <v>1.1287955976914568</v>
      </c>
      <c r="K44" s="10">
        <f t="shared" si="14"/>
        <v>1.1274311960168595</v>
      </c>
      <c r="L44" s="10">
        <f t="shared" si="14"/>
        <v>1.1262628008860882</v>
      </c>
    </row>
    <row r="45" spans="1:26" ht="12.75" x14ac:dyDescent="0.2">
      <c r="A45" s="2" t="s">
        <v>35</v>
      </c>
      <c r="C45" s="10">
        <f>C44</f>
        <v>1.1182242044154149</v>
      </c>
      <c r="D45" s="19">
        <f t="shared" ref="D45:L45" si="15">C45*D44</f>
        <v>1.2546774823985605</v>
      </c>
      <c r="E45" s="19">
        <f t="shared" si="15"/>
        <v>1.4459405207532949</v>
      </c>
      <c r="F45" s="19">
        <f t="shared" si="15"/>
        <v>1.6624173414090706</v>
      </c>
      <c r="G45" s="19">
        <f t="shared" si="15"/>
        <v>1.8940349375274714</v>
      </c>
      <c r="H45" s="19">
        <f t="shared" si="15"/>
        <v>2.1438212730047068</v>
      </c>
      <c r="I45" s="19">
        <f t="shared" si="15"/>
        <v>2.4229054507134204</v>
      </c>
      <c r="J45" s="19">
        <f t="shared" si="15"/>
        <v>2.7349650063879438</v>
      </c>
      <c r="K45" s="19">
        <f t="shared" si="15"/>
        <v>3.083484868216217</v>
      </c>
      <c r="L45" s="19">
        <f t="shared" si="15"/>
        <v>3.4728143041670672</v>
      </c>
    </row>
    <row r="47" spans="1:26" ht="12.75" x14ac:dyDescent="0.2">
      <c r="A47" s="2" t="s">
        <v>36</v>
      </c>
      <c r="C47" s="12">
        <f t="shared" ref="C47:L47" si="16">C38/C45</f>
        <v>-28253.364799796898</v>
      </c>
      <c r="D47" s="12">
        <f t="shared" si="16"/>
        <v>-12896.664086487477</v>
      </c>
      <c r="E47" s="12">
        <f t="shared" si="16"/>
        <v>33887.339661295897</v>
      </c>
      <c r="F47" s="12">
        <f t="shared" si="16"/>
        <v>65071.583378094765</v>
      </c>
      <c r="G47" s="12">
        <f t="shared" si="16"/>
        <v>68616.08580398628</v>
      </c>
      <c r="H47" s="12">
        <f t="shared" si="16"/>
        <v>76350.588524743507</v>
      </c>
      <c r="I47" s="12">
        <f t="shared" si="16"/>
        <v>76863.852535903658</v>
      </c>
      <c r="J47" s="12">
        <f t="shared" si="16"/>
        <v>71532.244849668801</v>
      </c>
      <c r="K47" s="12">
        <f t="shared" si="16"/>
        <v>68169.497495231772</v>
      </c>
      <c r="L47" s="12">
        <f t="shared" si="16"/>
        <v>63090.115561159313</v>
      </c>
    </row>
    <row r="48" spans="1:26" ht="12.75" x14ac:dyDescent="0.2">
      <c r="L48" s="12">
        <f>(M38/(J22-L4))/L45</f>
        <v>1116839.0270240495</v>
      </c>
    </row>
    <row r="49" spans="1:5" ht="12.75" x14ac:dyDescent="0.2">
      <c r="A49" s="2" t="s">
        <v>37</v>
      </c>
      <c r="B49" s="12">
        <f>M38/(J22-L4)</f>
        <v>3878574.5485011493</v>
      </c>
    </row>
    <row r="50" spans="1:5" ht="12.75" x14ac:dyDescent="0.2">
      <c r="A50" s="2" t="s">
        <v>38</v>
      </c>
      <c r="B50" s="20">
        <f>SUM(C47:L47,L48)*1000-'Financial Statements(From Annua'!G3*1000</f>
        <v>1323282305.947849</v>
      </c>
      <c r="D50" s="2" t="s">
        <v>39</v>
      </c>
      <c r="E50" s="20">
        <f>B50-275988</f>
        <v>1323006317.947849</v>
      </c>
    </row>
    <row r="51" spans="1:5" ht="12.75" x14ac:dyDescent="0.2">
      <c r="A51" s="2" t="s">
        <v>16</v>
      </c>
      <c r="B51" s="20">
        <f>B17</f>
        <v>48281262.113399543</v>
      </c>
    </row>
    <row r="52" spans="1:5" ht="12.75" x14ac:dyDescent="0.2">
      <c r="A52" s="2" t="s">
        <v>15</v>
      </c>
      <c r="B52" s="20">
        <f>B50-B51</f>
        <v>1275001043.8344495</v>
      </c>
    </row>
    <row r="53" spans="1:5" ht="12.75" x14ac:dyDescent="0.2">
      <c r="A53" s="2" t="s">
        <v>14</v>
      </c>
      <c r="B53" s="13">
        <f>61580000</f>
        <v>61580000</v>
      </c>
    </row>
    <row r="54" spans="1:5" ht="12.75" x14ac:dyDescent="0.2">
      <c r="A54" s="21" t="s">
        <v>40</v>
      </c>
      <c r="B54" s="22">
        <f>B52/B53</f>
        <v>20.70479122823075</v>
      </c>
    </row>
    <row r="60" spans="1:5" ht="12.75" x14ac:dyDescent="0.2">
      <c r="A60" s="2" t="s">
        <v>41</v>
      </c>
      <c r="B60" s="10">
        <f>(B40/I40)^(1/7)-1</f>
        <v>1.0050372237005383</v>
      </c>
      <c r="C60" s="10">
        <f>I40</f>
        <v>5.3802115529198426E-2</v>
      </c>
    </row>
    <row r="61" spans="1:5" ht="12.75" x14ac:dyDescent="0.2">
      <c r="A61" s="2" t="s">
        <v>42</v>
      </c>
      <c r="B61" s="13">
        <f>'Adjusted and Pro Forma FS'!C28</f>
        <v>3.5778582043854833E-2</v>
      </c>
      <c r="C61" s="13">
        <f>'Adjusted and Pro Forma FS'!I28</f>
        <v>0.16657575757575752</v>
      </c>
    </row>
    <row r="62" spans="1:5" ht="12.75" x14ac:dyDescent="0.2">
      <c r="A62" s="2" t="s">
        <v>43</v>
      </c>
      <c r="B62" s="20">
        <f>'Adjusted and Pro Forma FS'!B2/('Adjusted and Pro Forma FS'!B46-'Adjusted and Pro Forma FS'!B39)</f>
        <v>1.3777262904799916</v>
      </c>
      <c r="C62" s="20">
        <f>'Adjusted and Pro Forma FS'!I2/('Adjusted and Pro Forma FS'!I46-'Adjusted and Pro Forma FS'!I39)</f>
        <v>2.0888446509547949</v>
      </c>
    </row>
    <row r="63" spans="1:5" ht="12.75" x14ac:dyDescent="0.2">
      <c r="A63" s="2" t="s">
        <v>32</v>
      </c>
      <c r="B63" s="10">
        <f>'Adjusted and Pro Forma FS'!B84</f>
        <v>6.6745723709812674E-2</v>
      </c>
      <c r="C63" s="10">
        <f>'Adjusted and Pro Forma FS'!I84</f>
        <v>0.27726934570557654</v>
      </c>
      <c r="E63" s="20"/>
    </row>
    <row r="64" spans="1:5" ht="12.75" x14ac:dyDescent="0.2">
      <c r="A64" s="2" t="s">
        <v>44</v>
      </c>
      <c r="B64" s="13">
        <f>(B42/I42)^(1/7)-1</f>
        <v>0.63594380318241472</v>
      </c>
      <c r="C64" s="5">
        <v>0.02</v>
      </c>
    </row>
    <row r="65" spans="1:3" ht="12.75" x14ac:dyDescent="0.2">
      <c r="A65" s="2" t="s">
        <v>45</v>
      </c>
      <c r="B65" s="10">
        <f>C20</f>
        <v>0.11822420441541497</v>
      </c>
      <c r="C65" s="10">
        <f>I20</f>
        <v>0.13018071106158885</v>
      </c>
    </row>
    <row r="67" spans="1:3" ht="12.75" x14ac:dyDescent="0.2">
      <c r="A67" s="2" t="s">
        <v>46</v>
      </c>
      <c r="B67" s="13">
        <f>B61*(((1-B60)*(1+B64)*(1-(1+B64)^7/(1+B65)^7))/(B65-B64)+((1-C60)*(1+B64)^7*(1+C64))/((C65-C64)*(1+B65)^7))</f>
        <v>4.4878813622261626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/>
  </sheetViews>
  <sheetFormatPr defaultColWidth="12.5703125" defaultRowHeight="15.75" customHeight="1" x14ac:dyDescent="0.2"/>
  <cols>
    <col min="1" max="1" width="23.85546875" customWidth="1"/>
    <col min="2" max="2" width="20" customWidth="1"/>
  </cols>
  <sheetData>
    <row r="1" spans="1:4" x14ac:dyDescent="0.2">
      <c r="A1" s="2" t="s">
        <v>47</v>
      </c>
      <c r="B1" s="2">
        <v>3</v>
      </c>
      <c r="C1" s="2" t="s">
        <v>48</v>
      </c>
      <c r="D1" s="2">
        <v>1</v>
      </c>
    </row>
    <row r="2" spans="1:4" x14ac:dyDescent="0.2">
      <c r="A2" s="2" t="s">
        <v>49</v>
      </c>
      <c r="B2" s="2" t="s">
        <v>50</v>
      </c>
      <c r="C2" s="23">
        <v>42548000</v>
      </c>
      <c r="D2" s="2">
        <v>1</v>
      </c>
    </row>
    <row r="3" spans="1:4" x14ac:dyDescent="0.2">
      <c r="A3" s="2" t="s">
        <v>51</v>
      </c>
      <c r="B3" s="2">
        <v>59.91</v>
      </c>
    </row>
    <row r="4" spans="1:4" x14ac:dyDescent="0.2">
      <c r="A4" s="2" t="s">
        <v>15</v>
      </c>
      <c r="B4" s="20">
        <f>B3*61580000</f>
        <v>3689257800</v>
      </c>
    </row>
    <row r="5" spans="1:4" x14ac:dyDescent="0.2">
      <c r="A5" s="2" t="s">
        <v>16</v>
      </c>
      <c r="B5" s="20">
        <f>'DCF Valuation'!B17</f>
        <v>48281262.113399543</v>
      </c>
    </row>
    <row r="6" spans="1:4" x14ac:dyDescent="0.2">
      <c r="A6" s="2" t="s">
        <v>52</v>
      </c>
      <c r="B6" s="20">
        <f>B4+B5</f>
        <v>3737539062.1133995</v>
      </c>
      <c r="D6" s="2">
        <v>1</v>
      </c>
    </row>
    <row r="7" spans="1:4" x14ac:dyDescent="0.2">
      <c r="A7" s="2" t="s">
        <v>53</v>
      </c>
      <c r="B7" s="2">
        <v>22.828510000000001</v>
      </c>
    </row>
    <row r="8" spans="1:4" x14ac:dyDescent="0.2">
      <c r="A8" s="2" t="s">
        <v>54</v>
      </c>
      <c r="B8" s="4">
        <v>2.3E-3</v>
      </c>
      <c r="C8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74"/>
  <sheetViews>
    <sheetView workbookViewId="0"/>
  </sheetViews>
  <sheetFormatPr defaultColWidth="12.5703125" defaultRowHeight="15.75" customHeight="1" x14ac:dyDescent="0.2"/>
  <cols>
    <col min="1" max="1" width="27.42578125" customWidth="1"/>
    <col min="6" max="6" width="34.140625" customWidth="1"/>
    <col min="10" max="10" width="42.28515625" customWidth="1"/>
    <col min="17" max="17" width="20.85546875" customWidth="1"/>
    <col min="21" max="21" width="19.42578125" customWidth="1"/>
  </cols>
  <sheetData>
    <row r="1" spans="1:23" x14ac:dyDescent="0.2">
      <c r="A1" s="2" t="s">
        <v>56</v>
      </c>
      <c r="B1" s="2">
        <v>2019</v>
      </c>
      <c r="C1" s="2">
        <v>2018</v>
      </c>
      <c r="D1" s="2">
        <v>2017</v>
      </c>
      <c r="F1" s="2" t="s">
        <v>57</v>
      </c>
      <c r="G1" s="2">
        <v>2019</v>
      </c>
      <c r="H1" s="2">
        <v>2018</v>
      </c>
      <c r="I1" s="2">
        <v>2017</v>
      </c>
      <c r="J1" s="2" t="s">
        <v>58</v>
      </c>
      <c r="K1" s="2">
        <v>2019</v>
      </c>
      <c r="L1" s="2">
        <v>2018</v>
      </c>
      <c r="M1" s="2">
        <v>2017</v>
      </c>
      <c r="N1" s="2" t="s">
        <v>59</v>
      </c>
    </row>
    <row r="2" spans="1:23" x14ac:dyDescent="0.2">
      <c r="A2" s="2" t="s">
        <v>60</v>
      </c>
      <c r="B2" s="23">
        <v>297897</v>
      </c>
      <c r="C2" s="23">
        <v>87934</v>
      </c>
      <c r="D2" s="23">
        <v>32581</v>
      </c>
      <c r="F2" s="24" t="s">
        <v>61</v>
      </c>
      <c r="J2" s="24" t="s">
        <v>62</v>
      </c>
    </row>
    <row r="3" spans="1:23" x14ac:dyDescent="0.2">
      <c r="A3" s="2" t="s">
        <v>63</v>
      </c>
      <c r="B3" s="23">
        <v>198141</v>
      </c>
      <c r="C3" s="23">
        <v>70360</v>
      </c>
      <c r="D3" s="23">
        <v>34772</v>
      </c>
      <c r="F3" s="2" t="s">
        <v>64</v>
      </c>
      <c r="G3" s="23">
        <v>275988</v>
      </c>
      <c r="H3" s="23">
        <v>54271</v>
      </c>
      <c r="I3" s="13">
        <f>39035</f>
        <v>39035</v>
      </c>
      <c r="J3" s="2" t="s">
        <v>65</v>
      </c>
      <c r="K3" s="23">
        <v>-12443</v>
      </c>
      <c r="L3" s="23">
        <v>-29886</v>
      </c>
      <c r="M3" s="23">
        <v>-30384</v>
      </c>
    </row>
    <row r="4" spans="1:23" x14ac:dyDescent="0.2">
      <c r="A4" s="16" t="s">
        <v>66</v>
      </c>
      <c r="B4" s="25">
        <v>99756</v>
      </c>
      <c r="C4" s="25">
        <v>17574</v>
      </c>
      <c r="D4" s="25">
        <v>-2191</v>
      </c>
      <c r="F4" s="2" t="s">
        <v>67</v>
      </c>
      <c r="G4" s="23">
        <v>40080</v>
      </c>
      <c r="H4" s="23">
        <v>12626</v>
      </c>
      <c r="J4" s="2" t="s">
        <v>68</v>
      </c>
      <c r="Q4" s="24" t="s">
        <v>69</v>
      </c>
      <c r="R4" s="2">
        <v>2019</v>
      </c>
      <c r="S4" s="2">
        <v>2018</v>
      </c>
      <c r="U4" s="2" t="s">
        <v>70</v>
      </c>
      <c r="V4" s="2" t="s">
        <v>71</v>
      </c>
      <c r="W4" s="2" t="s">
        <v>72</v>
      </c>
    </row>
    <row r="5" spans="1:23" x14ac:dyDescent="0.2">
      <c r="F5" s="2" t="s">
        <v>73</v>
      </c>
      <c r="G5" s="23">
        <v>81596</v>
      </c>
      <c r="H5" s="23">
        <v>30257</v>
      </c>
      <c r="J5" s="2" t="s">
        <v>74</v>
      </c>
      <c r="K5" s="23">
        <v>8106</v>
      </c>
      <c r="L5" s="23">
        <v>4921</v>
      </c>
      <c r="M5" s="23">
        <v>3181</v>
      </c>
      <c r="Q5" s="2" t="s">
        <v>75</v>
      </c>
      <c r="R5" s="23">
        <v>37939</v>
      </c>
      <c r="S5" s="23">
        <v>25314</v>
      </c>
      <c r="U5" s="2" t="s">
        <v>75</v>
      </c>
      <c r="V5" s="2">
        <v>5</v>
      </c>
      <c r="W5" s="2">
        <v>10</v>
      </c>
    </row>
    <row r="6" spans="1:23" x14ac:dyDescent="0.2">
      <c r="A6" s="2" t="s">
        <v>25</v>
      </c>
      <c r="B6" s="23">
        <v>20650</v>
      </c>
      <c r="C6" s="23">
        <v>9587</v>
      </c>
      <c r="D6" s="23">
        <v>5722</v>
      </c>
      <c r="F6" s="2" t="s">
        <v>76</v>
      </c>
      <c r="G6" s="23">
        <v>5930</v>
      </c>
      <c r="H6" s="23">
        <v>5672</v>
      </c>
      <c r="J6" s="2" t="s">
        <v>77</v>
      </c>
      <c r="K6" s="2">
        <v>0</v>
      </c>
      <c r="L6" s="2">
        <v>0</v>
      </c>
      <c r="M6" s="23">
        <v>1123</v>
      </c>
      <c r="Q6" s="2" t="s">
        <v>78</v>
      </c>
      <c r="R6" s="23">
        <v>8933</v>
      </c>
      <c r="S6" s="23">
        <v>6088</v>
      </c>
      <c r="U6" s="2" t="s">
        <v>78</v>
      </c>
      <c r="V6" s="2">
        <v>5</v>
      </c>
      <c r="W6" s="2">
        <v>10</v>
      </c>
    </row>
    <row r="7" spans="1:23" x14ac:dyDescent="0.2">
      <c r="A7" s="2" t="s">
        <v>79</v>
      </c>
      <c r="B7" s="23">
        <v>74726</v>
      </c>
      <c r="C7" s="23">
        <v>34461</v>
      </c>
      <c r="D7" s="23">
        <v>17143</v>
      </c>
      <c r="F7" s="16" t="s">
        <v>80</v>
      </c>
      <c r="G7" s="25">
        <v>403594</v>
      </c>
      <c r="H7" s="25">
        <v>102826</v>
      </c>
      <c r="J7" s="2" t="s">
        <v>81</v>
      </c>
      <c r="K7" s="23">
        <v>12807</v>
      </c>
      <c r="L7" s="23">
        <v>2241</v>
      </c>
      <c r="M7" s="2">
        <v>665</v>
      </c>
      <c r="Q7" s="2" t="s">
        <v>82</v>
      </c>
      <c r="R7" s="23">
        <v>7620</v>
      </c>
      <c r="S7" s="23">
        <v>7080</v>
      </c>
      <c r="U7" s="2" t="s">
        <v>82</v>
      </c>
    </row>
    <row r="8" spans="1:23" x14ac:dyDescent="0.2">
      <c r="A8" s="2" t="s">
        <v>83</v>
      </c>
      <c r="B8" s="23">
        <v>4869</v>
      </c>
      <c r="C8" s="23">
        <v>1515</v>
      </c>
      <c r="D8" s="23">
        <v>3509</v>
      </c>
      <c r="F8" s="2" t="s">
        <v>84</v>
      </c>
      <c r="G8" s="23">
        <v>47474</v>
      </c>
      <c r="H8" s="23">
        <v>30527</v>
      </c>
      <c r="J8" s="2" t="s">
        <v>85</v>
      </c>
      <c r="K8" s="2">
        <v>93</v>
      </c>
      <c r="L8" s="2">
        <v>76</v>
      </c>
      <c r="M8" s="2">
        <v>0</v>
      </c>
      <c r="Q8" s="2" t="s">
        <v>86</v>
      </c>
      <c r="R8" s="23">
        <v>1108</v>
      </c>
      <c r="S8" s="2">
        <v>882</v>
      </c>
      <c r="U8" s="2" t="s">
        <v>86</v>
      </c>
    </row>
    <row r="9" spans="1:23" x14ac:dyDescent="0.2">
      <c r="A9" s="16" t="s">
        <v>87</v>
      </c>
      <c r="B9" s="25">
        <v>100245</v>
      </c>
      <c r="C9" s="25">
        <v>45563</v>
      </c>
      <c r="D9" s="16">
        <v>26.373999999999999</v>
      </c>
      <c r="F9" s="2" t="s">
        <v>88</v>
      </c>
      <c r="G9" s="2">
        <v>855</v>
      </c>
      <c r="H9" s="2">
        <v>396</v>
      </c>
      <c r="J9" s="2" t="s">
        <v>89</v>
      </c>
      <c r="K9" s="2">
        <v>181</v>
      </c>
      <c r="L9" s="2">
        <v>109</v>
      </c>
      <c r="M9" s="2">
        <v>37</v>
      </c>
      <c r="Q9" s="2" t="s">
        <v>90</v>
      </c>
      <c r="R9" s="2">
        <v>274</v>
      </c>
      <c r="S9" s="2">
        <v>60</v>
      </c>
      <c r="U9" s="2" t="s">
        <v>90</v>
      </c>
      <c r="V9" s="2">
        <v>3</v>
      </c>
    </row>
    <row r="10" spans="1:23" x14ac:dyDescent="0.2">
      <c r="A10" s="16" t="s">
        <v>91</v>
      </c>
      <c r="B10" s="16">
        <v>-489</v>
      </c>
      <c r="C10" s="25">
        <v>-27989</v>
      </c>
      <c r="D10" s="25">
        <v>-28565</v>
      </c>
      <c r="F10" s="16" t="s">
        <v>92</v>
      </c>
      <c r="G10" s="25">
        <v>451923</v>
      </c>
      <c r="H10" s="25">
        <v>133749</v>
      </c>
      <c r="J10" s="2" t="s">
        <v>93</v>
      </c>
      <c r="K10" s="23">
        <v>12503</v>
      </c>
      <c r="L10" s="23">
        <v>1120</v>
      </c>
      <c r="M10" s="2">
        <v>385</v>
      </c>
      <c r="Q10" s="2" t="s">
        <v>94</v>
      </c>
      <c r="R10" s="2">
        <v>433</v>
      </c>
      <c r="S10" s="2">
        <v>195</v>
      </c>
      <c r="U10" s="2" t="s">
        <v>94</v>
      </c>
      <c r="V10" s="2">
        <v>3</v>
      </c>
    </row>
    <row r="11" spans="1:23" x14ac:dyDescent="0.2">
      <c r="F11" s="24" t="s">
        <v>95</v>
      </c>
      <c r="J11" s="2" t="s">
        <v>96</v>
      </c>
      <c r="K11" s="2">
        <v>0</v>
      </c>
      <c r="L11" s="2">
        <v>0</v>
      </c>
      <c r="M11" s="23">
        <v>2302</v>
      </c>
      <c r="Q11" s="2" t="s">
        <v>97</v>
      </c>
      <c r="R11" s="2">
        <v>210</v>
      </c>
      <c r="S11" s="2">
        <v>210</v>
      </c>
      <c r="U11" s="2" t="s">
        <v>97</v>
      </c>
      <c r="V11" s="2">
        <v>5</v>
      </c>
    </row>
    <row r="12" spans="1:23" x14ac:dyDescent="0.2">
      <c r="A12" s="24" t="s">
        <v>98</v>
      </c>
      <c r="F12" s="2" t="s">
        <v>99</v>
      </c>
      <c r="G12" s="23">
        <v>26923</v>
      </c>
      <c r="H12" s="23">
        <v>17247</v>
      </c>
      <c r="Q12" s="2" t="s">
        <v>100</v>
      </c>
      <c r="R12" s="23">
        <v>11666</v>
      </c>
      <c r="S12" s="23">
        <v>3374</v>
      </c>
      <c r="U12" s="2" t="s">
        <v>100</v>
      </c>
    </row>
    <row r="13" spans="1:23" x14ac:dyDescent="0.2">
      <c r="A13" s="2" t="s">
        <v>101</v>
      </c>
      <c r="B13" s="23">
        <v>-3071</v>
      </c>
      <c r="C13" s="23">
        <v>-1128</v>
      </c>
      <c r="D13" s="23">
        <v>-1002</v>
      </c>
      <c r="F13" s="2" t="s">
        <v>102</v>
      </c>
      <c r="G13" s="23">
        <v>1768</v>
      </c>
      <c r="H13" s="23">
        <v>1255</v>
      </c>
      <c r="J13" s="2" t="s">
        <v>103</v>
      </c>
      <c r="Q13" s="16" t="s">
        <v>104</v>
      </c>
      <c r="R13" s="26">
        <f t="shared" ref="R13:S13" si="0">SUM(R5:R12)</f>
        <v>68183</v>
      </c>
      <c r="S13" s="26">
        <f t="shared" si="0"/>
        <v>43203</v>
      </c>
    </row>
    <row r="14" spans="1:23" x14ac:dyDescent="0.2">
      <c r="A14" s="2" t="s">
        <v>105</v>
      </c>
      <c r="B14" s="23">
        <v>-12503</v>
      </c>
      <c r="C14" s="23">
        <v>-1120</v>
      </c>
      <c r="D14" s="2">
        <v>-385</v>
      </c>
      <c r="F14" s="2" t="s">
        <v>106</v>
      </c>
      <c r="G14" s="23">
        <v>4129</v>
      </c>
      <c r="H14" s="23">
        <v>2312</v>
      </c>
      <c r="J14" s="2" t="s">
        <v>107</v>
      </c>
      <c r="K14" s="23">
        <v>-27454</v>
      </c>
      <c r="L14" s="23">
        <v>-9045</v>
      </c>
      <c r="M14" s="23">
        <v>-2702</v>
      </c>
      <c r="Q14" s="2" t="s">
        <v>108</v>
      </c>
      <c r="R14" s="23">
        <v>20709</v>
      </c>
      <c r="S14" s="2">
        <v>12.676</v>
      </c>
    </row>
    <row r="15" spans="1:23" x14ac:dyDescent="0.2">
      <c r="A15" s="2" t="s">
        <v>109</v>
      </c>
      <c r="B15" s="2">
        <v>3629</v>
      </c>
      <c r="C15" s="2">
        <v>352</v>
      </c>
      <c r="D15" s="2">
        <v>-427</v>
      </c>
      <c r="F15" s="2" t="s">
        <v>110</v>
      </c>
      <c r="G15" s="23">
        <v>3805</v>
      </c>
      <c r="H15" s="23">
        <v>2391</v>
      </c>
      <c r="J15" s="2" t="s">
        <v>111</v>
      </c>
      <c r="K15" s="23">
        <v>-51339</v>
      </c>
      <c r="L15" s="23">
        <v>-22113</v>
      </c>
      <c r="M15" s="23">
        <v>-1959</v>
      </c>
    </row>
    <row r="16" spans="1:23" x14ac:dyDescent="0.2">
      <c r="A16" s="16" t="s">
        <v>112</v>
      </c>
      <c r="B16" s="25">
        <v>-11945</v>
      </c>
      <c r="C16" s="25">
        <v>-1896</v>
      </c>
      <c r="D16" s="25">
        <v>-1814</v>
      </c>
      <c r="F16" s="2" t="s">
        <v>113</v>
      </c>
      <c r="G16" s="23">
        <v>11000</v>
      </c>
      <c r="H16" s="2">
        <v>0</v>
      </c>
      <c r="J16" s="2" t="s">
        <v>114</v>
      </c>
      <c r="K16" s="23">
        <v>-2362</v>
      </c>
      <c r="L16" s="2">
        <v>325</v>
      </c>
      <c r="M16" s="2">
        <v>-795</v>
      </c>
    </row>
    <row r="17" spans="1:13" x14ac:dyDescent="0.2">
      <c r="F17" s="2" t="s">
        <v>115</v>
      </c>
      <c r="G17" s="2">
        <v>72</v>
      </c>
      <c r="H17" s="2">
        <v>44</v>
      </c>
      <c r="J17" s="2" t="s">
        <v>99</v>
      </c>
      <c r="K17" s="23">
        <v>10149</v>
      </c>
      <c r="L17" s="23">
        <v>10455</v>
      </c>
      <c r="M17" s="23">
        <v>2361</v>
      </c>
    </row>
    <row r="18" spans="1:13" x14ac:dyDescent="0.2">
      <c r="A18" s="2" t="s">
        <v>116</v>
      </c>
      <c r="B18" s="23">
        <v>-12434</v>
      </c>
      <c r="C18" s="23">
        <v>-29885</v>
      </c>
      <c r="D18" s="23">
        <v>-30379</v>
      </c>
      <c r="F18" s="2" t="s">
        <v>117</v>
      </c>
      <c r="G18" s="2">
        <v>0</v>
      </c>
      <c r="H18" s="23">
        <v>1918</v>
      </c>
      <c r="J18" s="2" t="s">
        <v>110</v>
      </c>
      <c r="K18" s="23">
        <v>2743</v>
      </c>
      <c r="L18" s="23">
        <v>3798</v>
      </c>
      <c r="M18" s="2">
        <v>464</v>
      </c>
    </row>
    <row r="19" spans="1:13" x14ac:dyDescent="0.2">
      <c r="A19" s="2" t="s">
        <v>118</v>
      </c>
      <c r="B19" s="2">
        <v>9</v>
      </c>
      <c r="C19" s="2">
        <v>1</v>
      </c>
      <c r="D19" s="2">
        <v>5</v>
      </c>
      <c r="F19" s="16" t="s">
        <v>119</v>
      </c>
      <c r="G19" s="25">
        <v>47697</v>
      </c>
      <c r="H19" s="25">
        <v>25167</v>
      </c>
      <c r="J19" s="2" t="s">
        <v>120</v>
      </c>
      <c r="K19" s="2">
        <v>21</v>
      </c>
      <c r="L19" s="2">
        <v>278</v>
      </c>
      <c r="M19" s="2">
        <v>49</v>
      </c>
    </row>
    <row r="20" spans="1:13" x14ac:dyDescent="0.2">
      <c r="A20" s="16" t="s">
        <v>65</v>
      </c>
      <c r="B20" s="25">
        <v>-12443</v>
      </c>
      <c r="C20" s="25">
        <v>-29886</v>
      </c>
      <c r="D20" s="25">
        <v>-30384</v>
      </c>
      <c r="F20" s="24" t="s">
        <v>120</v>
      </c>
      <c r="J20" s="16" t="s">
        <v>121</v>
      </c>
      <c r="K20" s="25">
        <v>-46995</v>
      </c>
      <c r="L20" s="25">
        <v>-37721</v>
      </c>
      <c r="M20" s="25">
        <v>-25273</v>
      </c>
    </row>
    <row r="21" spans="1:13" x14ac:dyDescent="0.2">
      <c r="A21" s="2" t="s">
        <v>122</v>
      </c>
      <c r="B21" s="2">
        <v>-0.28999999999999998</v>
      </c>
      <c r="C21" s="2">
        <v>-4.75</v>
      </c>
      <c r="D21" s="2">
        <v>-5.57</v>
      </c>
      <c r="F21" s="2" t="s">
        <v>123</v>
      </c>
      <c r="G21" s="2">
        <v>0</v>
      </c>
      <c r="H21" s="23">
        <v>6000</v>
      </c>
    </row>
    <row r="22" spans="1:13" x14ac:dyDescent="0.2">
      <c r="A22" s="2" t="s">
        <v>124</v>
      </c>
      <c r="B22" s="23">
        <v>42274777</v>
      </c>
      <c r="C22" s="23">
        <v>6287172</v>
      </c>
      <c r="D22" s="23">
        <v>5457629</v>
      </c>
      <c r="F22" s="2" t="s">
        <v>125</v>
      </c>
      <c r="G22" s="23">
        <v>14637</v>
      </c>
      <c r="H22" s="23">
        <v>19388</v>
      </c>
      <c r="J22" s="24" t="s">
        <v>126</v>
      </c>
    </row>
    <row r="23" spans="1:13" x14ac:dyDescent="0.2">
      <c r="F23" s="2" t="s">
        <v>127</v>
      </c>
      <c r="G23" s="23">
        <v>4932</v>
      </c>
      <c r="H23" s="23">
        <v>5000</v>
      </c>
      <c r="J23" s="2" t="s">
        <v>128</v>
      </c>
      <c r="K23" s="23">
        <v>-23795</v>
      </c>
      <c r="L23" s="23">
        <v>-22228</v>
      </c>
      <c r="M23" s="23">
        <v>-7908</v>
      </c>
    </row>
    <row r="24" spans="1:13" x14ac:dyDescent="0.2">
      <c r="A24" s="2" t="s">
        <v>129</v>
      </c>
      <c r="B24" s="10">
        <f t="shared" ref="B24:C24" si="1">(B2-C2)/C2</f>
        <v>2.3877339823049106</v>
      </c>
      <c r="C24" s="10">
        <f t="shared" si="1"/>
        <v>1.6989349620944723</v>
      </c>
      <c r="F24" s="2" t="s">
        <v>130</v>
      </c>
      <c r="G24" s="2">
        <v>567</v>
      </c>
      <c r="H24" s="2">
        <v>404</v>
      </c>
      <c r="J24" s="2" t="s">
        <v>131</v>
      </c>
      <c r="K24" s="2">
        <v>0</v>
      </c>
      <c r="L24" s="2">
        <v>67</v>
      </c>
      <c r="M24" s="2">
        <v>0</v>
      </c>
    </row>
    <row r="25" spans="1:13" x14ac:dyDescent="0.2">
      <c r="F25" s="16" t="s">
        <v>132</v>
      </c>
      <c r="G25" s="25">
        <v>20136</v>
      </c>
      <c r="H25" s="25">
        <v>30792</v>
      </c>
      <c r="J25" s="2" t="s">
        <v>133</v>
      </c>
      <c r="K25" s="23">
        <v>-2123</v>
      </c>
      <c r="L25" s="2">
        <v>-1022</v>
      </c>
      <c r="M25" s="2">
        <v>0</v>
      </c>
    </row>
    <row r="26" spans="1:13" x14ac:dyDescent="0.2">
      <c r="F26" s="24" t="s">
        <v>134</v>
      </c>
      <c r="J26" s="2" t="s">
        <v>135</v>
      </c>
      <c r="K26" s="2">
        <v>299</v>
      </c>
      <c r="L26" s="2">
        <v>0</v>
      </c>
      <c r="M26" s="2">
        <v>0</v>
      </c>
    </row>
    <row r="27" spans="1:13" x14ac:dyDescent="0.2">
      <c r="F27" s="24" t="s">
        <v>136</v>
      </c>
      <c r="J27" s="2" t="s">
        <v>137</v>
      </c>
      <c r="K27" s="2">
        <v>-545</v>
      </c>
      <c r="L27" s="2">
        <v>-59</v>
      </c>
      <c r="M27" s="2">
        <v>-207</v>
      </c>
    </row>
    <row r="28" spans="1:13" x14ac:dyDescent="0.2">
      <c r="F28" s="2" t="s">
        <v>138</v>
      </c>
      <c r="G28" s="2">
        <v>0</v>
      </c>
      <c r="H28" s="23">
        <v>2000</v>
      </c>
      <c r="J28" s="16" t="s">
        <v>139</v>
      </c>
      <c r="K28" s="25">
        <v>-26164</v>
      </c>
      <c r="L28" s="25">
        <v>-23242</v>
      </c>
      <c r="M28" s="25">
        <v>-8115</v>
      </c>
    </row>
    <row r="29" spans="1:13" x14ac:dyDescent="0.2">
      <c r="F29" s="2" t="s">
        <v>140</v>
      </c>
      <c r="G29" s="2">
        <v>0</v>
      </c>
      <c r="H29" s="23">
        <v>4999</v>
      </c>
    </row>
    <row r="30" spans="1:13" x14ac:dyDescent="0.2">
      <c r="F30" s="2" t="s">
        <v>141</v>
      </c>
      <c r="G30" s="2">
        <v>0</v>
      </c>
      <c r="H30" s="23">
        <v>14882</v>
      </c>
      <c r="J30" s="24" t="s">
        <v>142</v>
      </c>
    </row>
    <row r="31" spans="1:13" x14ac:dyDescent="0.2">
      <c r="F31" s="2" t="s">
        <v>143</v>
      </c>
      <c r="G31" s="2">
        <v>0</v>
      </c>
      <c r="H31" s="23">
        <v>24948</v>
      </c>
      <c r="J31" s="2" t="s">
        <v>144</v>
      </c>
      <c r="K31" s="23">
        <v>254868</v>
      </c>
      <c r="L31" s="2">
        <v>0</v>
      </c>
      <c r="M31" s="2">
        <v>0</v>
      </c>
    </row>
    <row r="32" spans="1:13" x14ac:dyDescent="0.2">
      <c r="F32" s="2" t="s">
        <v>145</v>
      </c>
      <c r="G32" s="2">
        <v>0</v>
      </c>
      <c r="H32" s="23">
        <v>17214</v>
      </c>
      <c r="J32" s="2" t="s">
        <v>146</v>
      </c>
      <c r="K32" s="23">
        <v>37394</v>
      </c>
      <c r="L32" s="2">
        <v>0</v>
      </c>
      <c r="M32" s="2">
        <v>0</v>
      </c>
    </row>
    <row r="33" spans="6:13" x14ac:dyDescent="0.2">
      <c r="F33" s="2" t="s">
        <v>147</v>
      </c>
      <c r="G33" s="2">
        <v>0</v>
      </c>
      <c r="H33" s="23">
        <v>29840</v>
      </c>
      <c r="J33" s="2" t="s">
        <v>148</v>
      </c>
      <c r="L33" s="23">
        <v>49999</v>
      </c>
    </row>
    <row r="34" spans="6:13" x14ac:dyDescent="0.2">
      <c r="F34" s="2" t="s">
        <v>149</v>
      </c>
      <c r="G34" s="2">
        <v>0</v>
      </c>
      <c r="H34" s="23">
        <v>55658</v>
      </c>
      <c r="J34" s="2" t="s">
        <v>150</v>
      </c>
      <c r="L34" s="23">
        <v>1347</v>
      </c>
      <c r="M34" s="23">
        <v>43188</v>
      </c>
    </row>
    <row r="35" spans="6:13" x14ac:dyDescent="0.2">
      <c r="F35" s="2" t="s">
        <v>151</v>
      </c>
      <c r="G35" s="2">
        <v>0</v>
      </c>
      <c r="H35" s="23">
        <v>49999</v>
      </c>
      <c r="J35" s="2" t="s">
        <v>152</v>
      </c>
      <c r="M35" s="2">
        <v>79</v>
      </c>
    </row>
    <row r="36" spans="6:13" x14ac:dyDescent="0.2">
      <c r="F36" s="24" t="s">
        <v>153</v>
      </c>
      <c r="J36" s="2" t="s">
        <v>154</v>
      </c>
      <c r="M36" s="23">
        <v>10000</v>
      </c>
    </row>
    <row r="37" spans="6:13" x14ac:dyDescent="0.2">
      <c r="F37" s="2" t="s">
        <v>155</v>
      </c>
      <c r="G37" s="2">
        <v>0</v>
      </c>
      <c r="H37" s="2">
        <v>0</v>
      </c>
      <c r="J37" s="2" t="s">
        <v>156</v>
      </c>
      <c r="L37" s="23">
        <v>6000</v>
      </c>
      <c r="M37" s="23">
        <v>2500</v>
      </c>
    </row>
    <row r="38" spans="6:13" x14ac:dyDescent="0.2">
      <c r="F38" s="2" t="s">
        <v>157</v>
      </c>
      <c r="G38" s="2">
        <v>6</v>
      </c>
      <c r="H38" s="2">
        <v>1</v>
      </c>
      <c r="J38" s="2" t="s">
        <v>158</v>
      </c>
      <c r="L38" s="23">
        <v>20000</v>
      </c>
    </row>
    <row r="39" spans="6:13" x14ac:dyDescent="0.2">
      <c r="F39" s="2" t="s">
        <v>159</v>
      </c>
      <c r="G39" s="23">
        <v>526199</v>
      </c>
      <c r="H39" s="23">
        <v>7921</v>
      </c>
      <c r="J39" s="2" t="s">
        <v>160</v>
      </c>
      <c r="L39" s="23">
        <v>5000</v>
      </c>
    </row>
    <row r="40" spans="6:13" x14ac:dyDescent="0.2">
      <c r="F40" s="2" t="s">
        <v>161</v>
      </c>
      <c r="G40" s="23">
        <v>-142115</v>
      </c>
      <c r="H40" s="23">
        <v>-129672</v>
      </c>
      <c r="J40" s="2" t="s">
        <v>162</v>
      </c>
      <c r="L40" s="2">
        <v>951</v>
      </c>
    </row>
    <row r="41" spans="6:13" x14ac:dyDescent="0.2">
      <c r="F41" s="16" t="s">
        <v>163</v>
      </c>
      <c r="G41" s="25">
        <v>384090</v>
      </c>
      <c r="H41" s="25">
        <v>-121750</v>
      </c>
      <c r="J41" s="2" t="s">
        <v>164</v>
      </c>
      <c r="L41" s="23">
        <v>-2500</v>
      </c>
    </row>
    <row r="42" spans="6:13" x14ac:dyDescent="0.2">
      <c r="F42" s="16" t="s">
        <v>165</v>
      </c>
      <c r="G42" s="25">
        <v>451923</v>
      </c>
      <c r="H42" s="25">
        <v>133749</v>
      </c>
      <c r="J42" s="2" t="s">
        <v>166</v>
      </c>
      <c r="L42" s="23">
        <v>-1000</v>
      </c>
      <c r="M42" s="2">
        <v>-500</v>
      </c>
    </row>
    <row r="43" spans="6:13" x14ac:dyDescent="0.2">
      <c r="J43" s="2" t="s">
        <v>167</v>
      </c>
      <c r="L43" s="23">
        <v>-1450</v>
      </c>
    </row>
    <row r="44" spans="6:13" x14ac:dyDescent="0.2">
      <c r="J44" s="2" t="s">
        <v>168</v>
      </c>
      <c r="K44" s="2">
        <v>-55</v>
      </c>
      <c r="L44" s="2">
        <v>-153</v>
      </c>
      <c r="M44" s="2">
        <v>-221</v>
      </c>
    </row>
    <row r="45" spans="6:13" x14ac:dyDescent="0.2">
      <c r="J45" s="2" t="s">
        <v>169</v>
      </c>
      <c r="L45" s="2">
        <v>2</v>
      </c>
    </row>
    <row r="46" spans="6:13" x14ac:dyDescent="0.2">
      <c r="J46" s="2" t="s">
        <v>170</v>
      </c>
      <c r="L46" s="2">
        <v>-2415</v>
      </c>
    </row>
    <row r="47" spans="6:13" x14ac:dyDescent="0.2">
      <c r="J47" s="2" t="s">
        <v>171</v>
      </c>
      <c r="L47" s="2">
        <v>-437</v>
      </c>
    </row>
    <row r="48" spans="6:13" x14ac:dyDescent="0.2">
      <c r="J48" s="2" t="s">
        <v>172</v>
      </c>
      <c r="L48" s="2">
        <v>-514</v>
      </c>
    </row>
    <row r="49" spans="10:13" x14ac:dyDescent="0.2">
      <c r="J49" s="16" t="s">
        <v>173</v>
      </c>
      <c r="K49" s="25">
        <v>294876</v>
      </c>
      <c r="L49" s="25">
        <v>76199</v>
      </c>
      <c r="M49" s="25">
        <v>55425</v>
      </c>
    </row>
    <row r="50" spans="10:13" x14ac:dyDescent="0.2">
      <c r="J50" s="16" t="s">
        <v>174</v>
      </c>
      <c r="K50" s="25">
        <v>54271</v>
      </c>
      <c r="L50" s="25">
        <v>39035</v>
      </c>
      <c r="M50" s="25">
        <v>16998</v>
      </c>
    </row>
    <row r="51" spans="10:13" x14ac:dyDescent="0.2">
      <c r="J51" s="16" t="s">
        <v>175</v>
      </c>
      <c r="K51" s="25">
        <v>275988</v>
      </c>
      <c r="L51" s="25">
        <v>54271</v>
      </c>
      <c r="M51" s="25">
        <v>39035</v>
      </c>
    </row>
    <row r="53" spans="10:13" x14ac:dyDescent="0.2">
      <c r="J53" s="2" t="s">
        <v>176</v>
      </c>
    </row>
    <row r="54" spans="10:13" x14ac:dyDescent="0.2">
      <c r="J54" s="2" t="s">
        <v>177</v>
      </c>
    </row>
    <row r="55" spans="10:13" x14ac:dyDescent="0.2">
      <c r="J55" s="2" t="s">
        <v>178</v>
      </c>
      <c r="K55" s="23">
        <v>3019</v>
      </c>
      <c r="L55" s="2">
        <v>924</v>
      </c>
      <c r="M55" s="2">
        <v>269</v>
      </c>
    </row>
    <row r="56" spans="10:13" x14ac:dyDescent="0.2">
      <c r="J56" s="2" t="s">
        <v>179</v>
      </c>
      <c r="K56" s="2">
        <v>9</v>
      </c>
      <c r="L56" s="2">
        <v>4</v>
      </c>
      <c r="M56" s="2">
        <v>3</v>
      </c>
    </row>
    <row r="57" spans="10:13" x14ac:dyDescent="0.2">
      <c r="J57" s="2" t="s">
        <v>180</v>
      </c>
    </row>
    <row r="58" spans="10:13" x14ac:dyDescent="0.2">
      <c r="J58" s="2" t="s">
        <v>181</v>
      </c>
      <c r="K58" s="2">
        <v>225</v>
      </c>
      <c r="L58" s="2">
        <v>85</v>
      </c>
      <c r="M58" s="2">
        <v>35</v>
      </c>
    </row>
    <row r="59" spans="10:13" x14ac:dyDescent="0.2">
      <c r="J59" s="2" t="s">
        <v>182</v>
      </c>
      <c r="L59" s="2">
        <v>248</v>
      </c>
    </row>
    <row r="60" spans="10:13" x14ac:dyDescent="0.2">
      <c r="J60" s="2" t="s">
        <v>183</v>
      </c>
      <c r="K60" s="23">
        <v>1418</v>
      </c>
      <c r="L60" s="23">
        <v>1146</v>
      </c>
      <c r="M60" s="23">
        <v>1376</v>
      </c>
    </row>
    <row r="61" spans="10:13" x14ac:dyDescent="0.2">
      <c r="J61" s="2" t="s">
        <v>184</v>
      </c>
      <c r="L61" s="2">
        <v>745</v>
      </c>
    </row>
    <row r="62" spans="10:13" x14ac:dyDescent="0.2">
      <c r="J62" s="2" t="s">
        <v>185</v>
      </c>
      <c r="K62" s="23">
        <v>14421</v>
      </c>
    </row>
    <row r="63" spans="10:13" x14ac:dyDescent="0.2">
      <c r="J63" s="2" t="s">
        <v>186</v>
      </c>
      <c r="K63" s="23">
        <v>199540</v>
      </c>
    </row>
    <row r="70" spans="6:9" x14ac:dyDescent="0.2">
      <c r="G70" s="2">
        <v>2019</v>
      </c>
      <c r="H70" s="2">
        <v>2018</v>
      </c>
      <c r="I70" s="2">
        <v>2017</v>
      </c>
    </row>
    <row r="71" spans="6:9" x14ac:dyDescent="0.2">
      <c r="F71" s="2" t="s">
        <v>187</v>
      </c>
      <c r="G71" s="23">
        <v>355897</v>
      </c>
      <c r="H71" s="23">
        <v>77659</v>
      </c>
      <c r="I71" s="23">
        <v>39819</v>
      </c>
    </row>
    <row r="72" spans="6:9" x14ac:dyDescent="0.2">
      <c r="F72" s="2" t="s">
        <v>188</v>
      </c>
      <c r="G72" s="27">
        <f t="shared" ref="G72:H72" si="2">G71-G3+G16+G17</f>
        <v>90981</v>
      </c>
      <c r="H72" s="27">
        <f t="shared" si="2"/>
        <v>23432</v>
      </c>
    </row>
    <row r="73" spans="6:9" x14ac:dyDescent="0.2">
      <c r="F73" s="2" t="s">
        <v>189</v>
      </c>
      <c r="G73" s="10">
        <f t="shared" ref="G73:H73" si="3">G72/B2</f>
        <v>0.30541093062367192</v>
      </c>
      <c r="H73" s="10">
        <f t="shared" si="3"/>
        <v>0.266472581709009</v>
      </c>
    </row>
    <row r="74" spans="6:9" x14ac:dyDescent="0.2">
      <c r="F74" s="2" t="s">
        <v>190</v>
      </c>
      <c r="G74" s="27">
        <f>G72-H72</f>
        <v>67549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8"/>
  <sheetViews>
    <sheetView workbookViewId="0"/>
  </sheetViews>
  <sheetFormatPr defaultColWidth="12.5703125" defaultRowHeight="15.75" customHeight="1" x14ac:dyDescent="0.2"/>
  <sheetData>
    <row r="1" spans="1:9" x14ac:dyDescent="0.2">
      <c r="A1" s="2" t="s">
        <v>191</v>
      </c>
    </row>
    <row r="2" spans="1:9" x14ac:dyDescent="0.2">
      <c r="A2" s="2" t="s">
        <v>192</v>
      </c>
      <c r="F2" s="2" t="s">
        <v>193</v>
      </c>
    </row>
    <row r="3" spans="1:9" x14ac:dyDescent="0.2">
      <c r="A3" s="2" t="s">
        <v>194</v>
      </c>
      <c r="F3" s="2" t="s">
        <v>195</v>
      </c>
    </row>
    <row r="4" spans="1:9" x14ac:dyDescent="0.2">
      <c r="A4" s="2" t="s">
        <v>196</v>
      </c>
      <c r="B4" s="2" t="s">
        <v>197</v>
      </c>
      <c r="C4" s="2" t="s">
        <v>198</v>
      </c>
      <c r="D4" s="2" t="s">
        <v>199</v>
      </c>
      <c r="F4" s="2" t="s">
        <v>200</v>
      </c>
      <c r="G4" s="2" t="s">
        <v>197</v>
      </c>
      <c r="H4" s="2" t="s">
        <v>198</v>
      </c>
      <c r="I4" s="2" t="s">
        <v>199</v>
      </c>
    </row>
    <row r="5" spans="1:9" x14ac:dyDescent="0.2">
      <c r="A5" s="2">
        <v>-100000</v>
      </c>
      <c r="B5" s="2">
        <v>0.19999900000000001</v>
      </c>
      <c r="C5" s="2" t="s">
        <v>201</v>
      </c>
      <c r="D5" s="4">
        <v>0.28339999999999999</v>
      </c>
      <c r="F5" s="2">
        <v>-100000</v>
      </c>
      <c r="G5" s="2">
        <v>4.9999000000000002E-2</v>
      </c>
      <c r="H5" s="2" t="s">
        <v>201</v>
      </c>
      <c r="I5" s="4">
        <v>0.28339999999999999</v>
      </c>
    </row>
    <row r="6" spans="1:9" x14ac:dyDescent="0.2">
      <c r="A6" s="2">
        <v>0.2</v>
      </c>
      <c r="B6" s="2">
        <v>0.64999899999999999</v>
      </c>
      <c r="C6" s="2" t="s">
        <v>202</v>
      </c>
      <c r="D6" s="4">
        <v>0.21260000000000001</v>
      </c>
      <c r="F6" s="2">
        <v>0.05</v>
      </c>
      <c r="G6" s="2">
        <v>9.9999000000000005E-2</v>
      </c>
      <c r="H6" s="2" t="s">
        <v>202</v>
      </c>
      <c r="I6" s="4">
        <v>0.21260000000000001</v>
      </c>
    </row>
    <row r="7" spans="1:9" x14ac:dyDescent="0.2">
      <c r="A7" s="2">
        <v>0.65</v>
      </c>
      <c r="B7" s="2">
        <v>0.79999900000000002</v>
      </c>
      <c r="C7" s="2" t="s">
        <v>203</v>
      </c>
      <c r="D7" s="4">
        <v>0.16200000000000001</v>
      </c>
      <c r="F7" s="2">
        <v>0.1</v>
      </c>
      <c r="G7" s="2">
        <v>0.19999900000000001</v>
      </c>
      <c r="H7" s="2" t="s">
        <v>203</v>
      </c>
      <c r="I7" s="4">
        <v>0.16200000000000001</v>
      </c>
    </row>
    <row r="8" spans="1:9" x14ac:dyDescent="0.2">
      <c r="A8" s="2">
        <v>0.8</v>
      </c>
      <c r="B8" s="2">
        <v>1.2499990000000001</v>
      </c>
      <c r="C8" s="2" t="s">
        <v>204</v>
      </c>
      <c r="D8" s="4">
        <v>0.1537</v>
      </c>
      <c r="F8" s="2">
        <v>0.2</v>
      </c>
      <c r="G8" s="2">
        <v>0.29999900000000002</v>
      </c>
      <c r="H8" s="2" t="s">
        <v>204</v>
      </c>
      <c r="I8" s="4">
        <v>0.1537</v>
      </c>
    </row>
    <row r="9" spans="1:9" x14ac:dyDescent="0.2">
      <c r="A9" s="2">
        <v>1.25</v>
      </c>
      <c r="B9" s="2">
        <v>1.4999990000000001</v>
      </c>
      <c r="C9" s="2" t="s">
        <v>205</v>
      </c>
      <c r="D9" s="4">
        <v>9.6500000000000002E-2</v>
      </c>
      <c r="F9" s="2">
        <v>0.3</v>
      </c>
      <c r="G9" s="2">
        <v>0.39999899999999999</v>
      </c>
      <c r="H9" s="2" t="s">
        <v>205</v>
      </c>
      <c r="I9" s="4">
        <v>9.6500000000000002E-2</v>
      </c>
    </row>
    <row r="10" spans="1:9" x14ac:dyDescent="0.2">
      <c r="A10" s="2">
        <v>1.5</v>
      </c>
      <c r="B10" s="2">
        <v>1.7499990000000001</v>
      </c>
      <c r="C10" s="2" t="s">
        <v>206</v>
      </c>
      <c r="D10" s="4">
        <v>7.9000000000000001E-2</v>
      </c>
      <c r="F10" s="2">
        <v>0.4</v>
      </c>
      <c r="G10" s="2">
        <v>0.49999900000000003</v>
      </c>
      <c r="H10" s="2" t="s">
        <v>206</v>
      </c>
      <c r="I10" s="4">
        <v>7.9000000000000001E-2</v>
      </c>
    </row>
    <row r="11" spans="1:9" x14ac:dyDescent="0.2">
      <c r="A11" s="2">
        <v>1.75</v>
      </c>
      <c r="B11" s="2">
        <v>1.9999990000000001</v>
      </c>
      <c r="C11" s="2" t="s">
        <v>207</v>
      </c>
      <c r="D11" s="4">
        <v>6.5799999999999997E-2</v>
      </c>
      <c r="F11" s="2">
        <v>0.5</v>
      </c>
      <c r="G11" s="2">
        <v>0.59999899999999995</v>
      </c>
      <c r="H11" s="2" t="s">
        <v>207</v>
      </c>
      <c r="I11" s="4">
        <v>6.5799999999999997E-2</v>
      </c>
    </row>
    <row r="12" spans="1:9" x14ac:dyDescent="0.2">
      <c r="A12" s="2">
        <v>2</v>
      </c>
      <c r="B12" s="2">
        <v>2.2499999000000002</v>
      </c>
      <c r="C12" s="2" t="s">
        <v>208</v>
      </c>
      <c r="D12" s="4">
        <v>4.4999999999999998E-2</v>
      </c>
      <c r="F12" s="2">
        <v>0.6</v>
      </c>
      <c r="G12" s="2">
        <v>0.74999899999999997</v>
      </c>
      <c r="H12" s="2" t="s">
        <v>208</v>
      </c>
      <c r="I12" s="4">
        <v>4.4999999999999998E-2</v>
      </c>
    </row>
    <row r="13" spans="1:9" x14ac:dyDescent="0.2">
      <c r="A13" s="2">
        <v>2.25</v>
      </c>
      <c r="B13" s="2">
        <v>2.4999899999999999</v>
      </c>
      <c r="C13" s="2" t="s">
        <v>209</v>
      </c>
      <c r="D13" s="4">
        <v>3.7499999999999999E-2</v>
      </c>
      <c r="F13" s="2">
        <v>0.75</v>
      </c>
      <c r="G13" s="2">
        <v>0.89999899999999999</v>
      </c>
      <c r="H13" s="2" t="s">
        <v>209</v>
      </c>
      <c r="I13" s="4">
        <v>3.7499999999999999E-2</v>
      </c>
    </row>
    <row r="14" spans="1:9" x14ac:dyDescent="0.2">
      <c r="A14" s="2">
        <v>2.5</v>
      </c>
      <c r="B14" s="2">
        <v>2.9999989999999999</v>
      </c>
      <c r="C14" s="2" t="s">
        <v>210</v>
      </c>
      <c r="D14" s="4">
        <v>3.1300000000000001E-2</v>
      </c>
      <c r="F14" s="2">
        <v>0.9</v>
      </c>
      <c r="G14" s="2">
        <v>1.199999</v>
      </c>
      <c r="H14" s="2" t="s">
        <v>210</v>
      </c>
      <c r="I14" s="4">
        <v>3.1300000000000001E-2</v>
      </c>
    </row>
    <row r="15" spans="1:9" x14ac:dyDescent="0.2">
      <c r="A15" s="2">
        <v>3</v>
      </c>
      <c r="B15" s="2">
        <v>4.2499989999999999</v>
      </c>
      <c r="C15" s="2" t="s">
        <v>211</v>
      </c>
      <c r="D15" s="4">
        <v>2.4400000000000002E-2</v>
      </c>
      <c r="F15" s="2">
        <v>1.2</v>
      </c>
      <c r="G15" s="2">
        <v>1.4999899999999999</v>
      </c>
      <c r="H15" s="2" t="s">
        <v>211</v>
      </c>
      <c r="I15" s="4">
        <v>2.4400000000000002E-2</v>
      </c>
    </row>
    <row r="16" spans="1:9" x14ac:dyDescent="0.2">
      <c r="A16" s="2">
        <v>4.25</v>
      </c>
      <c r="B16" s="2">
        <v>5.4999989999999999</v>
      </c>
      <c r="C16" s="2" t="s">
        <v>212</v>
      </c>
      <c r="D16" s="4">
        <v>2.1600000000000001E-2</v>
      </c>
      <c r="F16" s="2">
        <v>1.5</v>
      </c>
      <c r="G16" s="2">
        <v>1.9999899999999999</v>
      </c>
      <c r="H16" s="2" t="s">
        <v>212</v>
      </c>
      <c r="I16" s="4">
        <v>2.1600000000000001E-2</v>
      </c>
    </row>
    <row r="17" spans="1:9" x14ac:dyDescent="0.2">
      <c r="A17" s="2">
        <v>5.5</v>
      </c>
      <c r="B17" s="2">
        <v>6.4999989999999999</v>
      </c>
      <c r="C17" s="2" t="s">
        <v>213</v>
      </c>
      <c r="D17" s="4">
        <v>1.9599999999999999E-2</v>
      </c>
      <c r="F17" s="2">
        <v>2</v>
      </c>
      <c r="G17" s="2">
        <v>2.4999899999999999</v>
      </c>
      <c r="H17" s="2" t="s">
        <v>213</v>
      </c>
      <c r="I17" s="4">
        <v>1.9599999999999999E-2</v>
      </c>
    </row>
    <row r="18" spans="1:9" x14ac:dyDescent="0.2">
      <c r="A18" s="2">
        <v>6.5</v>
      </c>
      <c r="B18" s="2">
        <v>8.4999990000000007</v>
      </c>
      <c r="C18" s="2" t="s">
        <v>214</v>
      </c>
      <c r="D18" s="4">
        <v>1.5699999999999999E-2</v>
      </c>
      <c r="F18" s="2">
        <v>2.5</v>
      </c>
      <c r="G18" s="2">
        <v>2.9999899999999999</v>
      </c>
      <c r="H18" s="2" t="s">
        <v>214</v>
      </c>
      <c r="I18" s="4">
        <v>1.5699999999999999E-2</v>
      </c>
    </row>
    <row r="19" spans="1:9" x14ac:dyDescent="0.2">
      <c r="A19" s="2">
        <v>8.5</v>
      </c>
      <c r="B19" s="2">
        <v>100000</v>
      </c>
      <c r="C19" s="2" t="s">
        <v>215</v>
      </c>
      <c r="D19" s="4">
        <v>1.26E-2</v>
      </c>
      <c r="F19" s="2">
        <v>3</v>
      </c>
      <c r="G19" s="2">
        <v>100000</v>
      </c>
      <c r="H19" s="2" t="s">
        <v>215</v>
      </c>
      <c r="I19" s="4">
        <v>1.26E-2</v>
      </c>
    </row>
    <row r="21" spans="1:9" x14ac:dyDescent="0.2">
      <c r="A21" s="2" t="s">
        <v>216</v>
      </c>
    </row>
    <row r="22" spans="1:9" x14ac:dyDescent="0.2">
      <c r="A22" s="2" t="s">
        <v>194</v>
      </c>
    </row>
    <row r="23" spans="1:9" x14ac:dyDescent="0.2">
      <c r="A23" s="2" t="s">
        <v>200</v>
      </c>
      <c r="B23" s="2" t="s">
        <v>197</v>
      </c>
      <c r="C23" s="2" t="s">
        <v>198</v>
      </c>
      <c r="D23" s="2" t="s">
        <v>199</v>
      </c>
    </row>
    <row r="24" spans="1:9" x14ac:dyDescent="0.2">
      <c r="A24" s="2">
        <v>-100000</v>
      </c>
      <c r="B24" s="2">
        <v>0.49999900000000003</v>
      </c>
      <c r="C24" s="2" t="s">
        <v>201</v>
      </c>
      <c r="D24" s="4">
        <v>0.28339999999999999</v>
      </c>
    </row>
    <row r="25" spans="1:9" x14ac:dyDescent="0.2">
      <c r="A25" s="2">
        <v>0.5</v>
      </c>
      <c r="B25" s="2">
        <v>0.79999900000000002</v>
      </c>
      <c r="C25" s="2" t="s">
        <v>202</v>
      </c>
      <c r="D25" s="4">
        <v>0.21260000000000001</v>
      </c>
    </row>
    <row r="26" spans="1:9" x14ac:dyDescent="0.2">
      <c r="A26" s="2">
        <v>0.8</v>
      </c>
      <c r="B26" s="2">
        <v>1.2499990000000001</v>
      </c>
      <c r="C26" s="2" t="s">
        <v>203</v>
      </c>
      <c r="D26" s="4">
        <v>0.16200000000000001</v>
      </c>
    </row>
    <row r="27" spans="1:9" x14ac:dyDescent="0.2">
      <c r="A27" s="2">
        <v>1.25</v>
      </c>
      <c r="B27" s="2">
        <v>1.4999990000000001</v>
      </c>
      <c r="C27" s="2" t="s">
        <v>204</v>
      </c>
      <c r="D27" s="4">
        <v>0.1537</v>
      </c>
    </row>
    <row r="28" spans="1:9" x14ac:dyDescent="0.2">
      <c r="A28" s="2">
        <v>1.5</v>
      </c>
      <c r="B28" s="2">
        <v>1.9999990000000001</v>
      </c>
      <c r="C28" s="2" t="s">
        <v>205</v>
      </c>
      <c r="D28" s="4">
        <v>9.6500000000000002E-2</v>
      </c>
    </row>
    <row r="29" spans="1:9" x14ac:dyDescent="0.2">
      <c r="A29" s="2">
        <v>2</v>
      </c>
      <c r="B29" s="2">
        <v>2.4999989999999999</v>
      </c>
      <c r="C29" s="2" t="s">
        <v>206</v>
      </c>
      <c r="D29" s="4">
        <v>7.9000000000000001E-2</v>
      </c>
    </row>
    <row r="30" spans="1:9" x14ac:dyDescent="0.2">
      <c r="A30" s="2">
        <v>2.5</v>
      </c>
      <c r="B30" s="2">
        <v>2.9999989999999999</v>
      </c>
      <c r="C30" s="2" t="s">
        <v>207</v>
      </c>
      <c r="D30" s="4">
        <v>6.5799999999999997E-2</v>
      </c>
    </row>
    <row r="31" spans="1:9" x14ac:dyDescent="0.2">
      <c r="A31" s="2">
        <v>3</v>
      </c>
      <c r="B31" s="2">
        <v>3.4999989999999999</v>
      </c>
      <c r="C31" s="2" t="s">
        <v>208</v>
      </c>
      <c r="D31" s="4">
        <v>4.4999999999999998E-2</v>
      </c>
    </row>
    <row r="32" spans="1:9" x14ac:dyDescent="0.2">
      <c r="A32" s="2">
        <v>3.5</v>
      </c>
      <c r="B32" s="2">
        <v>3.9999999000000002</v>
      </c>
      <c r="C32" s="2" t="s">
        <v>209</v>
      </c>
      <c r="D32" s="4">
        <v>3.7499999999999999E-2</v>
      </c>
    </row>
    <row r="33" spans="1:4" x14ac:dyDescent="0.2">
      <c r="A33" s="2">
        <v>4</v>
      </c>
      <c r="B33" s="2">
        <v>4.4999989999999999</v>
      </c>
      <c r="C33" s="2" t="s">
        <v>210</v>
      </c>
      <c r="D33" s="4">
        <v>3.1300000000000001E-2</v>
      </c>
    </row>
    <row r="34" spans="1:4" x14ac:dyDescent="0.2">
      <c r="A34" s="2">
        <v>4.5</v>
      </c>
      <c r="B34" s="2">
        <v>5.9999989999999999</v>
      </c>
      <c r="C34" s="2" t="s">
        <v>211</v>
      </c>
      <c r="D34" s="4">
        <v>2.4400000000000002E-2</v>
      </c>
    </row>
    <row r="35" spans="1:4" x14ac:dyDescent="0.2">
      <c r="A35" s="2">
        <v>6</v>
      </c>
      <c r="B35" s="2">
        <v>7.4999989999999999</v>
      </c>
      <c r="C35" s="2" t="s">
        <v>212</v>
      </c>
      <c r="D35" s="4">
        <v>2.1600000000000001E-2</v>
      </c>
    </row>
    <row r="36" spans="1:4" x14ac:dyDescent="0.2">
      <c r="A36" s="2">
        <v>7.5</v>
      </c>
      <c r="B36" s="2">
        <v>9.4999990000000007</v>
      </c>
      <c r="C36" s="2" t="s">
        <v>213</v>
      </c>
      <c r="D36" s="4">
        <v>1.9599999999999999E-2</v>
      </c>
    </row>
    <row r="37" spans="1:4" x14ac:dyDescent="0.2">
      <c r="A37" s="2">
        <v>9.5</v>
      </c>
      <c r="B37" s="2">
        <v>12.499999000000001</v>
      </c>
      <c r="C37" s="2" t="s">
        <v>214</v>
      </c>
      <c r="D37" s="4">
        <v>1.5699999999999999E-2</v>
      </c>
    </row>
    <row r="38" spans="1:4" x14ac:dyDescent="0.2">
      <c r="A38" s="2">
        <v>12.5</v>
      </c>
      <c r="B38" s="2">
        <v>100000</v>
      </c>
      <c r="C38" s="2" t="s">
        <v>215</v>
      </c>
      <c r="D38" s="4">
        <v>1.26E-2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76"/>
  <sheetViews>
    <sheetView topLeftCell="A13" workbookViewId="0"/>
  </sheetViews>
  <sheetFormatPr defaultColWidth="12.5703125" defaultRowHeight="15.75" customHeight="1" x14ac:dyDescent="0.2"/>
  <cols>
    <col min="1" max="1" width="56.28515625" customWidth="1"/>
  </cols>
  <sheetData>
    <row r="1" spans="1:11" x14ac:dyDescent="0.2">
      <c r="A1" s="2" t="s">
        <v>217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2" t="s">
        <v>218</v>
      </c>
      <c r="B2" s="5">
        <v>0.25</v>
      </c>
      <c r="C2" s="5">
        <v>0.4</v>
      </c>
      <c r="D2" s="5">
        <v>0.6</v>
      </c>
      <c r="E2" s="5">
        <v>0.35</v>
      </c>
      <c r="F2" s="5">
        <v>0.15</v>
      </c>
      <c r="G2" s="5">
        <v>0.1</v>
      </c>
      <c r="H2" s="5">
        <v>0.05</v>
      </c>
      <c r="I2" s="5">
        <v>0.05</v>
      </c>
      <c r="J2" s="5">
        <v>0.03</v>
      </c>
      <c r="K2" s="5">
        <v>0.02</v>
      </c>
    </row>
    <row r="3" spans="1:11" x14ac:dyDescent="0.2">
      <c r="A3" s="2" t="s">
        <v>219</v>
      </c>
      <c r="B3" s="13">
        <f>(ABS('Financial Statements(From Annua'!$K$23)-ABS('Financial Statements(From Annua'!$L$23))/(ABS('Financial Statements(From Annua'!$L$23))</f>
        <v>7.0496670865574956E-2</v>
      </c>
      <c r="C3" s="5">
        <v>-0.8</v>
      </c>
      <c r="D3" s="5">
        <v>0.1</v>
      </c>
      <c r="E3" s="5">
        <v>0.1</v>
      </c>
      <c r="F3" s="5">
        <v>0.1</v>
      </c>
      <c r="G3" s="5">
        <v>0.1</v>
      </c>
      <c r="H3" s="5">
        <v>0.1</v>
      </c>
      <c r="I3" s="5">
        <v>0.1</v>
      </c>
      <c r="J3" s="5">
        <v>0.1</v>
      </c>
      <c r="K3" s="5">
        <v>0.1</v>
      </c>
    </row>
    <row r="4" spans="1:11" x14ac:dyDescent="0.2">
      <c r="A4" s="2" t="s">
        <v>220</v>
      </c>
      <c r="B4" s="10">
        <f>6.9%</f>
        <v>6.9000000000000006E-2</v>
      </c>
      <c r="C4" s="5">
        <v>-0.4</v>
      </c>
      <c r="D4" s="5">
        <v>-0.4</v>
      </c>
      <c r="E4" s="5">
        <v>-0.4</v>
      </c>
      <c r="F4" s="5">
        <v>-0.4</v>
      </c>
      <c r="G4" s="5">
        <v>-0.4</v>
      </c>
      <c r="H4" s="5">
        <v>-0.4</v>
      </c>
      <c r="I4" s="5">
        <v>-0.4</v>
      </c>
      <c r="J4" s="5">
        <v>-0.4</v>
      </c>
      <c r="K4" s="5">
        <v>-0.4</v>
      </c>
    </row>
    <row r="6" spans="1:11" x14ac:dyDescent="0.2">
      <c r="A6" s="2" t="s">
        <v>221</v>
      </c>
    </row>
    <row r="7" spans="1:11" x14ac:dyDescent="0.2">
      <c r="A7" s="2" t="s">
        <v>222</v>
      </c>
      <c r="B7" s="12">
        <f>'Adjusted and Pro Forma FS'!B15/('Financial Statements(From Annua'!K31+'Financial Statements(From Annua'!K32)</f>
        <v>1.2416940963929625E-2</v>
      </c>
    </row>
    <row r="9" spans="1:11" x14ac:dyDescent="0.2">
      <c r="A9" s="2" t="s">
        <v>223</v>
      </c>
      <c r="B9" s="10">
        <f>('Financial Statements(From Annua'!$K$5-'Financial Statements(From Annua'!$L$5)/'Financial Statements(From Annua'!$L$5</f>
        <v>0.64722617354196299</v>
      </c>
      <c r="C9" s="10">
        <f>('Financial Statements(From Annua'!$K$5-'Financial Statements(From Annua'!$L$5)/'Financial Statements(From Annua'!$L$5</f>
        <v>0.64722617354196299</v>
      </c>
      <c r="D9" s="10">
        <f t="shared" ref="D9:E9" si="0">5%</f>
        <v>0.05</v>
      </c>
      <c r="E9" s="10">
        <f t="shared" si="0"/>
        <v>0.05</v>
      </c>
      <c r="F9" s="5">
        <v>0.1</v>
      </c>
      <c r="G9" s="5">
        <v>0.1</v>
      </c>
      <c r="H9" s="5">
        <v>0.1</v>
      </c>
      <c r="I9" s="5">
        <v>0.1</v>
      </c>
    </row>
    <row r="10" spans="1:11" x14ac:dyDescent="0.2">
      <c r="A10" s="2" t="s">
        <v>224</v>
      </c>
    </row>
    <row r="14" spans="1:11" x14ac:dyDescent="0.2">
      <c r="B14" s="2">
        <v>2019</v>
      </c>
      <c r="C14" s="2">
        <v>2018</v>
      </c>
      <c r="D14" s="2" t="s">
        <v>225</v>
      </c>
    </row>
    <row r="15" spans="1:11" x14ac:dyDescent="0.2">
      <c r="A15" s="2" t="s">
        <v>57</v>
      </c>
    </row>
    <row r="16" spans="1:11" x14ac:dyDescent="0.2">
      <c r="A16" s="24" t="s">
        <v>61</v>
      </c>
    </row>
    <row r="17" spans="1:4" x14ac:dyDescent="0.2">
      <c r="A17" s="2" t="s">
        <v>64</v>
      </c>
      <c r="B17" s="13">
        <f>'Financial Statements(From Annua'!G3/'Financial Statements(From Annua'!B2</f>
        <v>0.9264544456641054</v>
      </c>
      <c r="C17" s="13">
        <f>'Financial Statements(From Annua'!H3/'Financial Statements(From Annua'!C2</f>
        <v>0.61717879318579849</v>
      </c>
      <c r="D17" s="13">
        <f t="shared" ref="D17:D19" si="1">(B17+C17)/2</f>
        <v>0.77181661942495194</v>
      </c>
    </row>
    <row r="18" spans="1:4" x14ac:dyDescent="0.2">
      <c r="A18" s="2" t="s">
        <v>226</v>
      </c>
      <c r="B18" s="13">
        <f>'Financial Statements(From Annua'!G4/'Financial Statements(From Annua'!$B$2</f>
        <v>0.13454314746372067</v>
      </c>
      <c r="C18" s="13">
        <f>'Financial Statements(From Annua'!H4/'Financial Statements(From Annua'!$C$2</f>
        <v>0.143584961448359</v>
      </c>
      <c r="D18" s="13">
        <f t="shared" si="1"/>
        <v>0.13906405445603984</v>
      </c>
    </row>
    <row r="19" spans="1:4" x14ac:dyDescent="0.2">
      <c r="A19" s="2" t="s">
        <v>227</v>
      </c>
      <c r="B19" s="13">
        <f>'Financial Statements(From Annua'!G5/'Financial Statements(From Annua'!$B$2</f>
        <v>0.27390675300523337</v>
      </c>
      <c r="C19" s="13">
        <f>'Financial Statements(From Annua'!H5/'Financial Statements(From Annua'!$C$2</f>
        <v>0.34408761116291764</v>
      </c>
      <c r="D19" s="13">
        <f t="shared" si="1"/>
        <v>0.30899718208407551</v>
      </c>
    </row>
    <row r="20" spans="1:4" x14ac:dyDescent="0.2">
      <c r="A20" s="2" t="s">
        <v>228</v>
      </c>
      <c r="B20" s="13">
        <f>'Financial Statements(From Annua'!G6/('Financial Statements(From Annua'!G8+'Financial Statements(From Annua'!R14)</f>
        <v>8.6971825821685764E-2</v>
      </c>
      <c r="C20" s="13">
        <f>'Financial Statements(From Annua'!H6/('Financial Statements(From Annua'!H8+'Financial Statements(From Annua'!S14)</f>
        <v>0.18572561149633676</v>
      </c>
      <c r="D20" s="13">
        <f>B20</f>
        <v>8.6971825821685764E-2</v>
      </c>
    </row>
    <row r="21" spans="1:4" x14ac:dyDescent="0.2">
      <c r="A21" s="16" t="s">
        <v>80</v>
      </c>
    </row>
    <row r="22" spans="1:4" x14ac:dyDescent="0.2">
      <c r="A22" s="2" t="s">
        <v>229</v>
      </c>
    </row>
    <row r="23" spans="1:4" x14ac:dyDescent="0.2">
      <c r="A23" s="2" t="s">
        <v>230</v>
      </c>
      <c r="B23" s="13">
        <f>'Financial Statements(From Annua'!G9/'Financial Statements(From Annua'!G8</f>
        <v>1.8009858027551923E-2</v>
      </c>
      <c r="C23" s="13">
        <f>'Financial Statements(From Annua'!H9/'Financial Statements(From Annua'!H8</f>
        <v>1.2972123038621549E-2</v>
      </c>
      <c r="D23" s="13">
        <f>(B23+C23)/2</f>
        <v>1.5490990533086736E-2</v>
      </c>
    </row>
    <row r="24" spans="1:4" x14ac:dyDescent="0.2">
      <c r="A24" s="16" t="s">
        <v>92</v>
      </c>
    </row>
    <row r="25" spans="1:4" x14ac:dyDescent="0.2">
      <c r="A25" s="24" t="s">
        <v>95</v>
      </c>
    </row>
    <row r="26" spans="1:4" x14ac:dyDescent="0.2">
      <c r="A26" s="2" t="s">
        <v>231</v>
      </c>
      <c r="B26" s="13">
        <f>'Financial Statements(From Annua'!G12/'Financial Statements(From Annua'!B2</f>
        <v>9.0376875228686426E-2</v>
      </c>
      <c r="C26" s="13">
        <f>'Financial Statements(From Annua'!H12/'Financial Statements(From Annua'!C2</f>
        <v>0.19613573816726182</v>
      </c>
      <c r="D26" s="13">
        <f>(B26+C26)/2</f>
        <v>0.14325630669797412</v>
      </c>
    </row>
    <row r="27" spans="1:4" x14ac:dyDescent="0.2">
      <c r="A27" s="2" t="s">
        <v>232</v>
      </c>
      <c r="B27" s="13">
        <f>'Financial Statements(From Annua'!G13/('Financial Statements(From Annua'!G8+'Financial Statements(From Annua'!R14)</f>
        <v>2.5930217209568368E-2</v>
      </c>
      <c r="C27" s="13">
        <f>'Financial Statements(From Annua'!H13/('Financial Statements(From Annua'!H8+'Financial Statements(From Annua'!S14)</f>
        <v>4.1094083643847437E-2</v>
      </c>
      <c r="D27" s="13">
        <f>B27</f>
        <v>2.5930217209568368E-2</v>
      </c>
    </row>
    <row r="28" spans="1:4" x14ac:dyDescent="0.2">
      <c r="A28" s="2" t="s">
        <v>233</v>
      </c>
      <c r="B28" s="13">
        <f>'Financial Statements(From Annua'!G14/('Financial Statements(From Annua'!G8+'Financial Statements(From Annua'!R14)</f>
        <v>6.0557617001305311E-2</v>
      </c>
      <c r="C28" s="13">
        <f>'Financial Statements(From Annua'!H14/('Financial Statements(From Annua'!H8+'Financial Statements(From Annua'!S14)</f>
        <v>7.5704797915996228E-2</v>
      </c>
      <c r="D28" s="13">
        <f t="shared" ref="D28:D29" si="2">(B28+C28)/2</f>
        <v>6.8131207458650769E-2</v>
      </c>
    </row>
    <row r="29" spans="1:4" x14ac:dyDescent="0.2">
      <c r="A29" s="2" t="s">
        <v>110</v>
      </c>
      <c r="B29" s="13">
        <f>'Financial Statements(From Annua'!G15/'Financial Statements(From Annua'!B2</f>
        <v>1.2772871160166097E-2</v>
      </c>
      <c r="C29" s="13">
        <f>'Financial Statements(From Annua'!H15/'Financial Statements(From Annua'!C2</f>
        <v>2.7190847681215456E-2</v>
      </c>
      <c r="D29" s="13">
        <f t="shared" si="2"/>
        <v>1.9981859420690778E-2</v>
      </c>
    </row>
    <row r="30" spans="1:4" x14ac:dyDescent="0.2">
      <c r="A30" s="2" t="s">
        <v>113</v>
      </c>
    </row>
    <row r="31" spans="1:4" x14ac:dyDescent="0.2">
      <c r="A31" s="2" t="s">
        <v>115</v>
      </c>
    </row>
    <row r="32" spans="1:4" x14ac:dyDescent="0.2">
      <c r="A32" s="2" t="s">
        <v>117</v>
      </c>
    </row>
    <row r="33" spans="1:1" x14ac:dyDescent="0.2">
      <c r="A33" s="16" t="s">
        <v>119</v>
      </c>
    </row>
    <row r="34" spans="1:1" x14ac:dyDescent="0.2">
      <c r="A34" s="24" t="s">
        <v>120</v>
      </c>
    </row>
    <row r="35" spans="1:1" x14ac:dyDescent="0.2">
      <c r="A35" s="2" t="s">
        <v>123</v>
      </c>
    </row>
    <row r="36" spans="1:1" x14ac:dyDescent="0.2">
      <c r="A36" s="2" t="s">
        <v>125</v>
      </c>
    </row>
    <row r="37" spans="1:1" x14ac:dyDescent="0.2">
      <c r="A37" s="2" t="s">
        <v>127</v>
      </c>
    </row>
    <row r="38" spans="1:1" x14ac:dyDescent="0.2">
      <c r="A38" s="2" t="s">
        <v>130</v>
      </c>
    </row>
    <row r="39" spans="1:1" x14ac:dyDescent="0.2">
      <c r="A39" s="16" t="s">
        <v>132</v>
      </c>
    </row>
    <row r="40" spans="1:1" x14ac:dyDescent="0.2">
      <c r="A40" s="24" t="s">
        <v>134</v>
      </c>
    </row>
    <row r="41" spans="1:1" x14ac:dyDescent="0.2">
      <c r="A41" s="24" t="s">
        <v>136</v>
      </c>
    </row>
    <row r="42" spans="1:1" x14ac:dyDescent="0.2">
      <c r="A42" s="2" t="s">
        <v>138</v>
      </c>
    </row>
    <row r="43" spans="1:1" x14ac:dyDescent="0.2">
      <c r="A43" s="2" t="s">
        <v>140</v>
      </c>
    </row>
    <row r="44" spans="1:1" x14ac:dyDescent="0.2">
      <c r="A44" s="2" t="s">
        <v>141</v>
      </c>
    </row>
    <row r="45" spans="1:1" x14ac:dyDescent="0.2">
      <c r="A45" s="2" t="s">
        <v>143</v>
      </c>
    </row>
    <row r="46" spans="1:1" x14ac:dyDescent="0.2">
      <c r="A46" s="2" t="s">
        <v>145</v>
      </c>
    </row>
    <row r="47" spans="1:1" x14ac:dyDescent="0.2">
      <c r="A47" s="2" t="s">
        <v>147</v>
      </c>
    </row>
    <row r="48" spans="1:1" x14ac:dyDescent="0.2">
      <c r="A48" s="2" t="s">
        <v>149</v>
      </c>
    </row>
    <row r="49" spans="1:1" x14ac:dyDescent="0.2">
      <c r="A49" s="2" t="s">
        <v>151</v>
      </c>
    </row>
    <row r="50" spans="1:1" x14ac:dyDescent="0.2">
      <c r="A50" s="24" t="s">
        <v>153</v>
      </c>
    </row>
    <row r="51" spans="1:1" x14ac:dyDescent="0.2">
      <c r="A51" s="2" t="s">
        <v>155</v>
      </c>
    </row>
    <row r="52" spans="1:1" x14ac:dyDescent="0.2">
      <c r="A52" s="2" t="s">
        <v>157</v>
      </c>
    </row>
    <row r="53" spans="1:1" x14ac:dyDescent="0.2">
      <c r="A53" s="2" t="s">
        <v>159</v>
      </c>
    </row>
    <row r="54" spans="1:1" x14ac:dyDescent="0.2">
      <c r="A54" s="2" t="s">
        <v>161</v>
      </c>
    </row>
    <row r="55" spans="1:1" x14ac:dyDescent="0.2">
      <c r="A55" s="16" t="s">
        <v>163</v>
      </c>
    </row>
    <row r="56" spans="1:1" x14ac:dyDescent="0.2">
      <c r="A56" s="16" t="s">
        <v>165</v>
      </c>
    </row>
    <row r="65" spans="1:12" x14ac:dyDescent="0.2">
      <c r="B65" s="2">
        <v>2019</v>
      </c>
      <c r="C65" s="2">
        <v>2018</v>
      </c>
      <c r="D65" s="2" t="s">
        <v>234</v>
      </c>
    </row>
    <row r="66" spans="1:12" x14ac:dyDescent="0.2">
      <c r="A66" s="2" t="s">
        <v>235</v>
      </c>
      <c r="B66" s="13">
        <f>'Financial Statements(From Annua'!K5/('Financial Statements(From Annua'!R13)</f>
        <v>0.11888593931038528</v>
      </c>
      <c r="C66" s="13">
        <f>'Financial Statements(From Annua'!L5/('Financial Statements(From Annua'!S13)</f>
        <v>0.11390412702821563</v>
      </c>
      <c r="D66" s="13">
        <f>(B66+C66)/2</f>
        <v>0.11639503316930046</v>
      </c>
    </row>
    <row r="69" spans="1:12" x14ac:dyDescent="0.2">
      <c r="B69" s="2">
        <v>2019</v>
      </c>
      <c r="C69" s="2">
        <v>2020</v>
      </c>
      <c r="D69" s="2">
        <v>2021</v>
      </c>
      <c r="E69" s="2">
        <v>2022</v>
      </c>
      <c r="F69" s="2">
        <v>2023</v>
      </c>
      <c r="G69" s="2">
        <v>2024</v>
      </c>
      <c r="H69" s="2">
        <v>2025</v>
      </c>
      <c r="I69" s="2">
        <v>2026</v>
      </c>
      <c r="J69" s="2">
        <v>2027</v>
      </c>
      <c r="K69" s="2">
        <v>2028</v>
      </c>
      <c r="L69" s="2">
        <v>2029</v>
      </c>
    </row>
    <row r="70" spans="1:12" x14ac:dyDescent="0.2">
      <c r="A70" s="2" t="s">
        <v>236</v>
      </c>
      <c r="B70" s="27">
        <f>'Financial Statements(From Annua'!R13</f>
        <v>68183</v>
      </c>
      <c r="C70" s="27">
        <f>B70+'DCF Valuation'!C32</f>
        <v>96191.474896526895</v>
      </c>
      <c r="D70" s="27">
        <f>C70+'DCF Valuation'!D32</f>
        <v>101793.16987583227</v>
      </c>
      <c r="E70" s="27">
        <f>D70+'DCF Valuation'!E32</f>
        <v>107955.03435306819</v>
      </c>
      <c r="F70" s="27">
        <f>E70+'DCF Valuation'!F32</f>
        <v>114733.08527802769</v>
      </c>
      <c r="G70" s="27">
        <f>F70+'DCF Valuation'!G32</f>
        <v>122188.94129548315</v>
      </c>
      <c r="H70" s="27">
        <f>G70+'DCF Valuation'!H32</f>
        <v>130390.38291468416</v>
      </c>
      <c r="I70" s="27">
        <f>H70+'DCF Valuation'!I32</f>
        <v>139411.96869580526</v>
      </c>
      <c r="J70" s="27">
        <f>I70+'DCF Valuation'!J32</f>
        <v>149335.71305503848</v>
      </c>
      <c r="K70" s="27">
        <f>J70+'DCF Valuation'!K32</f>
        <v>160251.83185019501</v>
      </c>
      <c r="L70" s="27">
        <f>K70+'DCF Valuation'!L32</f>
        <v>172259.56252486721</v>
      </c>
    </row>
    <row r="72" spans="1:12" x14ac:dyDescent="0.2">
      <c r="A72" s="2" t="s">
        <v>237</v>
      </c>
      <c r="B72" s="13">
        <f t="shared" ref="B72:L72" si="3">B70*$D$66</f>
        <v>7936.1625465824127</v>
      </c>
      <c r="C72" s="13">
        <f t="shared" si="3"/>
        <v>11196.20991118518</v>
      </c>
      <c r="D72" s="13">
        <f t="shared" si="3"/>
        <v>11848.219384105734</v>
      </c>
      <c r="E72" s="13">
        <f t="shared" si="3"/>
        <v>12565.429804318343</v>
      </c>
      <c r="F72" s="13">
        <f t="shared" si="3"/>
        <v>13354.361266552211</v>
      </c>
      <c r="G72" s="13">
        <f t="shared" si="3"/>
        <v>14222.185875009467</v>
      </c>
      <c r="H72" s="13">
        <f t="shared" si="3"/>
        <v>15176.79294431245</v>
      </c>
      <c r="I72" s="13">
        <f t="shared" si="3"/>
        <v>16226.86072054573</v>
      </c>
      <c r="J72" s="13">
        <f t="shared" si="3"/>
        <v>17381.935274402338</v>
      </c>
      <c r="K72" s="13">
        <f t="shared" si="3"/>
        <v>18652.517283644607</v>
      </c>
      <c r="L72" s="13">
        <f t="shared" si="3"/>
        <v>20050.157493811104</v>
      </c>
    </row>
    <row r="74" spans="1:12" x14ac:dyDescent="0.2">
      <c r="A74" s="2" t="s">
        <v>238</v>
      </c>
      <c r="B74" s="23">
        <v>20709</v>
      </c>
      <c r="C74" s="27">
        <f t="shared" ref="C74:L74" si="4">B74+C72</f>
        <v>31905.209911185178</v>
      </c>
      <c r="D74" s="27">
        <f t="shared" si="4"/>
        <v>43753.429295290916</v>
      </c>
      <c r="E74" s="27">
        <f t="shared" si="4"/>
        <v>56318.859099609261</v>
      </c>
      <c r="F74" s="27">
        <f t="shared" si="4"/>
        <v>69673.220366161477</v>
      </c>
      <c r="G74" s="27">
        <f t="shared" si="4"/>
        <v>83895.406241170946</v>
      </c>
      <c r="H74" s="27">
        <f t="shared" si="4"/>
        <v>99072.19918548339</v>
      </c>
      <c r="I74" s="27">
        <f t="shared" si="4"/>
        <v>115299.05990602911</v>
      </c>
      <c r="J74" s="27">
        <f t="shared" si="4"/>
        <v>132680.99518043146</v>
      </c>
      <c r="K74" s="27">
        <f t="shared" si="4"/>
        <v>151333.51246407608</v>
      </c>
      <c r="L74" s="27">
        <f t="shared" si="4"/>
        <v>171383.66995788718</v>
      </c>
    </row>
    <row r="76" spans="1:12" x14ac:dyDescent="0.2">
      <c r="A76" s="2" t="s">
        <v>239</v>
      </c>
      <c r="B76" s="27">
        <f t="shared" ref="B76:L76" si="5">B70-B74</f>
        <v>47474</v>
      </c>
      <c r="C76" s="27">
        <f t="shared" si="5"/>
        <v>64286.264985341717</v>
      </c>
      <c r="D76" s="27">
        <f t="shared" si="5"/>
        <v>58039.740580541358</v>
      </c>
      <c r="E76" s="27">
        <f t="shared" si="5"/>
        <v>51636.175253458925</v>
      </c>
      <c r="F76" s="27">
        <f t="shared" si="5"/>
        <v>45059.864911866214</v>
      </c>
      <c r="G76" s="27">
        <f t="shared" si="5"/>
        <v>38293.535054312204</v>
      </c>
      <c r="H76" s="27">
        <f t="shared" si="5"/>
        <v>31318.183729200769</v>
      </c>
      <c r="I76" s="27">
        <f t="shared" si="5"/>
        <v>24112.908789776149</v>
      </c>
      <c r="J76" s="27">
        <f t="shared" si="5"/>
        <v>16654.717874607013</v>
      </c>
      <c r="K76" s="27">
        <f t="shared" si="5"/>
        <v>8918.3193861189357</v>
      </c>
      <c r="L76" s="27">
        <f t="shared" si="5"/>
        <v>875.89256698003737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38"/>
  <sheetViews>
    <sheetView workbookViewId="0"/>
  </sheetViews>
  <sheetFormatPr defaultColWidth="12.5703125" defaultRowHeight="15.75" customHeight="1" x14ac:dyDescent="0.2"/>
  <cols>
    <col min="1" max="1" width="21.5703125" customWidth="1"/>
    <col min="2" max="2" width="18.5703125" customWidth="1"/>
    <col min="7" max="7" width="23.5703125" customWidth="1"/>
    <col min="8" max="8" width="20.42578125" customWidth="1"/>
  </cols>
  <sheetData>
    <row r="1" spans="1:13" x14ac:dyDescent="0.2">
      <c r="A1" s="2" t="s">
        <v>240</v>
      </c>
      <c r="B1" s="2" t="s">
        <v>241</v>
      </c>
      <c r="C1" s="2" t="s">
        <v>242</v>
      </c>
      <c r="D1" s="2" t="s">
        <v>243</v>
      </c>
    </row>
    <row r="2" spans="1:13" x14ac:dyDescent="0.2">
      <c r="A2" s="2">
        <v>2020</v>
      </c>
      <c r="B2" s="23">
        <v>1878</v>
      </c>
      <c r="C2" s="28">
        <f t="array" ref="C2">NPV('DCF Valuation'!B12,B2:B7)</f>
        <v>11339.978086613346</v>
      </c>
      <c r="D2" s="28">
        <f>PV('DCF Valuation'!B13,3,'Adjusted and Pro Forma FS'!B13,-'Adjusted and Pro Forma FS'!B81,0)</f>
        <v>48281.262113399542</v>
      </c>
      <c r="H2" s="2" t="s">
        <v>244</v>
      </c>
      <c r="I2" s="2">
        <v>1264</v>
      </c>
    </row>
    <row r="3" spans="1:13" x14ac:dyDescent="0.2">
      <c r="A3" s="2">
        <v>2021</v>
      </c>
      <c r="B3" s="23">
        <v>1813</v>
      </c>
      <c r="C3" s="28">
        <f t="array" ref="C3">NPV('DCF Valuation'!B12,B3:B7)</f>
        <v>10053.924942734564</v>
      </c>
      <c r="L3" s="2">
        <v>2029</v>
      </c>
      <c r="M3" s="12">
        <f t="shared" ref="M3:M12" si="0">H12+H13+H14+H15-I15*(3/3)-I14*(2/3)-I13*(1/3)+I12*(0/3)</f>
        <v>2001.1322965593595</v>
      </c>
    </row>
    <row r="4" spans="1:13" x14ac:dyDescent="0.2">
      <c r="A4" s="2">
        <v>2022</v>
      </c>
      <c r="B4" s="23">
        <v>1817</v>
      </c>
      <c r="C4" s="28">
        <f t="array" ref="C4">NPV('DCF Valuation'!B12,B4:B7)</f>
        <v>8765.7398247453075</v>
      </c>
      <c r="L4" s="2">
        <v>2028</v>
      </c>
      <c r="M4" s="12">
        <f t="shared" si="0"/>
        <v>3335.2204942655994</v>
      </c>
    </row>
    <row r="5" spans="1:13" x14ac:dyDescent="0.2">
      <c r="A5" s="2">
        <v>2023</v>
      </c>
      <c r="B5" s="23">
        <v>1840</v>
      </c>
      <c r="C5" s="28">
        <f t="array" ref="C5">NPV('DCF Valuation'!B12,B5:B7)</f>
        <v>7406.3114435970137</v>
      </c>
      <c r="L5" s="2">
        <v>2027</v>
      </c>
      <c r="M5" s="12">
        <f t="shared" si="0"/>
        <v>5558.7008237759992</v>
      </c>
    </row>
    <row r="6" spans="1:13" x14ac:dyDescent="0.2">
      <c r="A6" s="2">
        <v>2024</v>
      </c>
      <c r="B6" s="23">
        <v>1353</v>
      </c>
      <c r="C6" s="28">
        <f t="array" ref="C6">NPV('DCF Valuation'!B12,B6:B7)</f>
        <v>5952.9209009527776</v>
      </c>
      <c r="L6" s="2">
        <v>2026</v>
      </c>
      <c r="M6" s="12">
        <f t="shared" si="0"/>
        <v>9264.5013729599996</v>
      </c>
    </row>
    <row r="7" spans="1:13" x14ac:dyDescent="0.2">
      <c r="A7" s="2" t="s">
        <v>245</v>
      </c>
      <c r="B7" s="23">
        <v>5167</v>
      </c>
      <c r="C7" s="27">
        <f>B7</f>
        <v>5167</v>
      </c>
      <c r="L7" s="2">
        <v>2025</v>
      </c>
      <c r="M7" s="12">
        <f t="shared" si="0"/>
        <v>15440.835621599994</v>
      </c>
    </row>
    <row r="8" spans="1:13" x14ac:dyDescent="0.2">
      <c r="L8" s="2">
        <v>2024</v>
      </c>
      <c r="M8" s="12">
        <f t="shared" si="0"/>
        <v>25734.726036000004</v>
      </c>
    </row>
    <row r="9" spans="1:13" x14ac:dyDescent="0.2">
      <c r="G9" s="29" t="s">
        <v>246</v>
      </c>
      <c r="H9" s="29">
        <v>3</v>
      </c>
      <c r="L9" s="2">
        <v>2023</v>
      </c>
      <c r="M9" s="12">
        <f t="shared" si="0"/>
        <v>42891.210060000005</v>
      </c>
    </row>
    <row r="10" spans="1:13" x14ac:dyDescent="0.2">
      <c r="G10" s="29" t="s">
        <v>247</v>
      </c>
      <c r="H10" s="29" t="s">
        <v>248</v>
      </c>
      <c r="I10" s="29" t="s">
        <v>249</v>
      </c>
      <c r="J10" s="29" t="s">
        <v>250</v>
      </c>
      <c r="L10" s="2">
        <v>2022</v>
      </c>
      <c r="M10" s="12">
        <f t="shared" si="0"/>
        <v>56703.554266666673</v>
      </c>
    </row>
    <row r="11" spans="1:13" x14ac:dyDescent="0.2">
      <c r="A11" s="2" t="s">
        <v>246</v>
      </c>
      <c r="B11" s="2">
        <v>3</v>
      </c>
      <c r="G11" s="2">
        <v>2030</v>
      </c>
      <c r="H11" s="12">
        <f>H12*(1+'Growth Rates for Contingencys'!L4)</f>
        <v>258.93245370815993</v>
      </c>
      <c r="I11" s="12">
        <f t="shared" ref="I11:I21" si="1">H11/$H$9</f>
        <v>86.310817902719975</v>
      </c>
      <c r="L11" s="2">
        <v>2021</v>
      </c>
      <c r="M11" s="12">
        <f t="shared" si="0"/>
        <v>60707.384194444443</v>
      </c>
    </row>
    <row r="12" spans="1:13" x14ac:dyDescent="0.2">
      <c r="A12" s="2" t="s">
        <v>247</v>
      </c>
      <c r="B12" s="2" t="s">
        <v>248</v>
      </c>
      <c r="C12" s="2" t="s">
        <v>249</v>
      </c>
      <c r="D12" s="2" t="s">
        <v>250</v>
      </c>
      <c r="E12" s="2" t="s">
        <v>251</v>
      </c>
      <c r="G12" s="2">
        <v>2029</v>
      </c>
      <c r="H12" s="12">
        <f>H13*(1+'Growth Rates for Contingencys'!K4)</f>
        <v>258.93245370815993</v>
      </c>
      <c r="I12" s="12">
        <f t="shared" si="1"/>
        <v>86.310817902719975</v>
      </c>
      <c r="K12" s="29" t="s">
        <v>251</v>
      </c>
      <c r="L12" s="2">
        <v>2020</v>
      </c>
      <c r="M12" s="12">
        <f t="shared" si="0"/>
        <v>55320.39402777778</v>
      </c>
    </row>
    <row r="13" spans="1:13" x14ac:dyDescent="0.2">
      <c r="A13" s="2">
        <v>2019</v>
      </c>
      <c r="B13" s="23">
        <v>20650</v>
      </c>
      <c r="C13" s="13">
        <f>B13/B11</f>
        <v>6883.333333333333</v>
      </c>
      <c r="D13" s="13">
        <f>C13*0</f>
        <v>0</v>
      </c>
      <c r="E13" s="27">
        <f t="shared" ref="E13:E15" si="2">B13-D13</f>
        <v>20650</v>
      </c>
      <c r="G13" s="29">
        <v>2028</v>
      </c>
      <c r="H13" s="12">
        <f>H14*(1+'Growth Rates for Contingencys'!J4)</f>
        <v>431.55408951359993</v>
      </c>
      <c r="I13" s="12">
        <f t="shared" si="1"/>
        <v>143.85136317119998</v>
      </c>
    </row>
    <row r="14" spans="1:13" x14ac:dyDescent="0.2">
      <c r="A14" s="2">
        <v>2018</v>
      </c>
      <c r="B14" s="23">
        <v>9587</v>
      </c>
      <c r="C14" s="13">
        <f>B14/B11</f>
        <v>3195.6666666666665</v>
      </c>
      <c r="D14" s="13">
        <f>C14*1</f>
        <v>3195.6666666666665</v>
      </c>
      <c r="E14" s="27">
        <f t="shared" si="2"/>
        <v>6391.3333333333339</v>
      </c>
      <c r="G14" s="29">
        <v>2027</v>
      </c>
      <c r="H14" s="12">
        <f>H15*(1+'Growth Rates for Contingencys'!I4)</f>
        <v>719.25681585599989</v>
      </c>
      <c r="I14" s="12">
        <f t="shared" si="1"/>
        <v>239.75227195199997</v>
      </c>
    </row>
    <row r="15" spans="1:13" x14ac:dyDescent="0.2">
      <c r="A15" s="2">
        <v>2017</v>
      </c>
      <c r="B15" s="23">
        <v>5722</v>
      </c>
      <c r="C15" s="13">
        <f>B15/B11</f>
        <v>1907.3333333333333</v>
      </c>
      <c r="D15" s="13">
        <f>C15*2</f>
        <v>3814.6666666666665</v>
      </c>
      <c r="E15" s="27">
        <f t="shared" si="2"/>
        <v>1907.3333333333335</v>
      </c>
      <c r="G15" s="29">
        <v>2026</v>
      </c>
      <c r="H15" s="12">
        <f>H16*(1+'Growth Rates for Contingencys'!H4)</f>
        <v>1198.7613597599998</v>
      </c>
      <c r="I15" s="12">
        <f t="shared" si="1"/>
        <v>399.58711991999991</v>
      </c>
    </row>
    <row r="16" spans="1:13" x14ac:dyDescent="0.2">
      <c r="A16" s="2" t="s">
        <v>252</v>
      </c>
      <c r="C16" s="13">
        <f>C15+C14</f>
        <v>5103</v>
      </c>
      <c r="G16" s="29">
        <v>2025</v>
      </c>
      <c r="H16" s="12">
        <f>H17*(1+'Growth Rates for Contingencys'!G4)</f>
        <v>1997.9355995999997</v>
      </c>
      <c r="I16" s="12">
        <f t="shared" si="1"/>
        <v>665.9785331999999</v>
      </c>
    </row>
    <row r="17" spans="1:11" x14ac:dyDescent="0.2">
      <c r="A17" s="2" t="s">
        <v>253</v>
      </c>
      <c r="E17" s="27">
        <f>SUM(E13:E15)</f>
        <v>28948.666666666668</v>
      </c>
      <c r="G17" s="29">
        <v>2024</v>
      </c>
      <c r="H17" s="12">
        <f>H18*(1+'Growth Rates for Contingencys'!F4)</f>
        <v>3329.8926659999997</v>
      </c>
      <c r="I17" s="12">
        <f t="shared" si="1"/>
        <v>1109.9642219999998</v>
      </c>
    </row>
    <row r="18" spans="1:11" x14ac:dyDescent="0.2">
      <c r="G18" s="29">
        <v>2023</v>
      </c>
      <c r="H18" s="12">
        <f>H19*(1+'Growth Rates for Contingencys'!E4)</f>
        <v>5549.8211099999999</v>
      </c>
      <c r="I18" s="12">
        <f t="shared" si="1"/>
        <v>1849.94037</v>
      </c>
    </row>
    <row r="19" spans="1:11" x14ac:dyDescent="0.2">
      <c r="G19" s="29">
        <v>2022</v>
      </c>
      <c r="H19" s="12">
        <f>H20*(1+'Growth Rates for Contingencys'!D4)</f>
        <v>9249.7018499999995</v>
      </c>
      <c r="I19" s="12">
        <f t="shared" si="1"/>
        <v>3083.2339499999998</v>
      </c>
    </row>
    <row r="20" spans="1:11" x14ac:dyDescent="0.2">
      <c r="G20" s="29">
        <v>2021</v>
      </c>
      <c r="H20" s="12">
        <f>H21*(1+'Growth Rates for Contingencys'!C4)</f>
        <v>15416.169750000001</v>
      </c>
      <c r="I20" s="12">
        <f t="shared" si="1"/>
        <v>5138.72325</v>
      </c>
    </row>
    <row r="21" spans="1:11" x14ac:dyDescent="0.2">
      <c r="G21" s="29">
        <v>2020</v>
      </c>
      <c r="H21" s="12">
        <f>'Adjusted and Pro Forma FS'!C2*'Growth Rates for Contingencys'!B4</f>
        <v>25693.616250000003</v>
      </c>
      <c r="I21" s="12">
        <f t="shared" si="1"/>
        <v>8564.5387500000015</v>
      </c>
      <c r="J21" s="2">
        <v>0</v>
      </c>
      <c r="K21" s="12">
        <f t="shared" ref="K21:K24" si="3">H21-J21</f>
        <v>25693.616250000003</v>
      </c>
    </row>
    <row r="22" spans="1:11" x14ac:dyDescent="0.2">
      <c r="B22" s="2">
        <v>2019</v>
      </c>
      <c r="C22" s="2">
        <v>2018</v>
      </c>
      <c r="D22" s="2">
        <v>2017</v>
      </c>
      <c r="G22" s="29">
        <v>2019</v>
      </c>
      <c r="H22" s="29">
        <v>20650</v>
      </c>
      <c r="I22" s="13">
        <v>6883.333333333333</v>
      </c>
      <c r="J22" s="13">
        <f>I22*1</f>
        <v>6883.333333333333</v>
      </c>
      <c r="K22" s="13">
        <f t="shared" si="3"/>
        <v>13766.666666666668</v>
      </c>
    </row>
    <row r="23" spans="1:11" x14ac:dyDescent="0.2">
      <c r="A23" s="2" t="s">
        <v>254</v>
      </c>
      <c r="B23" s="23">
        <v>355897</v>
      </c>
      <c r="C23" s="23">
        <v>77659</v>
      </c>
      <c r="D23" s="23">
        <v>39819</v>
      </c>
      <c r="G23" s="29">
        <v>2018</v>
      </c>
      <c r="H23" s="29">
        <v>9587</v>
      </c>
      <c r="I23" s="13">
        <v>3195.6666666666665</v>
      </c>
      <c r="J23" s="13">
        <f>I23*2</f>
        <v>6391.333333333333</v>
      </c>
      <c r="K23" s="13">
        <f t="shared" si="3"/>
        <v>3195.666666666667</v>
      </c>
    </row>
    <row r="24" spans="1:11" x14ac:dyDescent="0.2">
      <c r="A24" s="2" t="s">
        <v>255</v>
      </c>
      <c r="B24" s="13">
        <f>B23/'Financial Statements(From Annua'!B2</f>
        <v>1.1946981674874202</v>
      </c>
      <c r="C24" s="13">
        <f>C23/'Financial Statements(From Annua'!C2</f>
        <v>0.88315099961334642</v>
      </c>
      <c r="D24" s="13">
        <f>D23/'Financial Statements(From Annua'!D2</f>
        <v>1.2221540161443787</v>
      </c>
      <c r="G24" s="29">
        <v>2017</v>
      </c>
      <c r="H24" s="29">
        <v>5722</v>
      </c>
      <c r="I24" s="13">
        <v>1907.3333333333333</v>
      </c>
      <c r="J24" s="13">
        <f>I24*3</f>
        <v>5722</v>
      </c>
      <c r="K24" s="13">
        <f t="shared" si="3"/>
        <v>0</v>
      </c>
    </row>
    <row r="25" spans="1:11" x14ac:dyDescent="0.2">
      <c r="A25" s="2" t="s">
        <v>256</v>
      </c>
      <c r="B25" s="27">
        <f t="shared" ref="B25:C25" si="4">B23-C23</f>
        <v>278238</v>
      </c>
      <c r="C25" s="27">
        <f t="shared" si="4"/>
        <v>37840</v>
      </c>
      <c r="G25" s="29" t="s">
        <v>252</v>
      </c>
      <c r="I25" s="13">
        <f>I22+I23+I24</f>
        <v>11986.333333333334</v>
      </c>
    </row>
    <row r="26" spans="1:11" x14ac:dyDescent="0.2">
      <c r="A26" s="2" t="s">
        <v>257</v>
      </c>
      <c r="B26" s="13">
        <f>(B25+C25)/2</f>
        <v>158039</v>
      </c>
      <c r="G26" s="29" t="s">
        <v>253</v>
      </c>
      <c r="K26" s="13">
        <v>28948.666666666668</v>
      </c>
    </row>
    <row r="38" spans="2:2" x14ac:dyDescent="0.2">
      <c r="B38" s="28">
        <f>855+C2</f>
        <v>12194.978086613346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56"/>
  <sheetViews>
    <sheetView tabSelected="1" zoomScale="90" zoomScaleNormal="90" workbookViewId="0">
      <selection activeCell="I9" sqref="I9"/>
    </sheetView>
  </sheetViews>
  <sheetFormatPr defaultColWidth="12.5703125" defaultRowHeight="15.75" customHeight="1" x14ac:dyDescent="0.2"/>
  <cols>
    <col min="1" max="1" width="50" customWidth="1"/>
    <col min="2" max="2" width="13.28515625" customWidth="1"/>
    <col min="3" max="5" width="13.28515625" bestFit="1" customWidth="1"/>
    <col min="6" max="12" width="13.5703125" bestFit="1" customWidth="1"/>
  </cols>
  <sheetData>
    <row r="1" spans="1:26" x14ac:dyDescent="0.2">
      <c r="A1" s="24" t="s">
        <v>56</v>
      </c>
      <c r="B1" s="24">
        <v>2019</v>
      </c>
      <c r="C1" s="2">
        <v>2020</v>
      </c>
      <c r="D1" s="24">
        <v>2021</v>
      </c>
      <c r="E1" s="2">
        <v>2022</v>
      </c>
      <c r="F1" s="24">
        <v>2023</v>
      </c>
      <c r="G1" s="2">
        <v>2024</v>
      </c>
      <c r="H1" s="24">
        <v>2025</v>
      </c>
      <c r="I1" s="2">
        <v>2026</v>
      </c>
      <c r="J1" s="24">
        <v>2027</v>
      </c>
      <c r="K1" s="24">
        <v>2028</v>
      </c>
      <c r="L1" s="24">
        <v>2029</v>
      </c>
    </row>
    <row r="2" spans="1:26" x14ac:dyDescent="0.2">
      <c r="A2" s="2" t="s">
        <v>60</v>
      </c>
      <c r="B2" s="30">
        <v>297897</v>
      </c>
      <c r="C2" s="12">
        <f>B2*(1+'Growth Rates for Contingencys'!B2)</f>
        <v>372371.25</v>
      </c>
      <c r="D2" s="12">
        <f>C2*(1+'Growth Rates for Contingencys'!C2)</f>
        <v>521319.74999999994</v>
      </c>
      <c r="E2" s="12">
        <f>D2*(1+'Growth Rates for Contingencys'!D2)</f>
        <v>834111.6</v>
      </c>
      <c r="F2" s="12">
        <f>E2*(1+'Growth Rates for Contingencys'!E2)</f>
        <v>1126050.6600000001</v>
      </c>
      <c r="G2" s="12">
        <f>F2*(1+'Growth Rates for Contingencys'!F2)</f>
        <v>1294958.2590000001</v>
      </c>
      <c r="H2" s="12">
        <f>G2*(1+'Growth Rates for Contingencys'!G2)</f>
        <v>1424454.0849000001</v>
      </c>
      <c r="I2" s="12">
        <f>H2*(1+'Growth Rates for Contingencys'!H2)</f>
        <v>1495676.7891450003</v>
      </c>
      <c r="J2" s="12">
        <f>I2*(1+'Growth Rates for Contingencys'!I2)</f>
        <v>1570460.6286022502</v>
      </c>
      <c r="K2" s="12">
        <f>J2*(1+'Growth Rates for Contingencys'!J2)</f>
        <v>1617574.4474603178</v>
      </c>
      <c r="L2" s="12">
        <f>K2*(1+'Growth Rates for Contingencys'!K2)</f>
        <v>1649925.9364095242</v>
      </c>
    </row>
    <row r="3" spans="1:26" x14ac:dyDescent="0.2">
      <c r="A3" s="2" t="s">
        <v>63</v>
      </c>
      <c r="B3" s="30">
        <v>198141</v>
      </c>
      <c r="C3" s="12">
        <f t="shared" ref="C3:L3" si="0">C2*66.5%</f>
        <v>247626.88125000001</v>
      </c>
      <c r="D3" s="12">
        <f t="shared" si="0"/>
        <v>346677.63374999998</v>
      </c>
      <c r="E3" s="12">
        <f t="shared" si="0"/>
        <v>554684.21400000004</v>
      </c>
      <c r="F3" s="12">
        <f t="shared" si="0"/>
        <v>748823.68890000018</v>
      </c>
      <c r="G3" s="12">
        <f t="shared" si="0"/>
        <v>861147.24223500013</v>
      </c>
      <c r="H3" s="12">
        <f t="shared" si="0"/>
        <v>947261.96645850013</v>
      </c>
      <c r="I3" s="12">
        <f t="shared" si="0"/>
        <v>994625.06478142529</v>
      </c>
      <c r="J3" s="12">
        <f t="shared" si="0"/>
        <v>1044356.3180204965</v>
      </c>
      <c r="K3" s="12">
        <f t="shared" si="0"/>
        <v>1075687.0075611114</v>
      </c>
      <c r="L3" s="12">
        <f t="shared" si="0"/>
        <v>1097200.7477123337</v>
      </c>
    </row>
    <row r="4" spans="1:26" x14ac:dyDescent="0.2">
      <c r="A4" s="16" t="s">
        <v>66</v>
      </c>
      <c r="B4" s="31">
        <f t="shared" ref="B4:L4" si="1">B2-B3</f>
        <v>99756</v>
      </c>
      <c r="C4" s="12">
        <f t="shared" si="1"/>
        <v>124744.36874999999</v>
      </c>
      <c r="D4" s="12">
        <f t="shared" si="1"/>
        <v>174642.11624999996</v>
      </c>
      <c r="E4" s="12">
        <f t="shared" si="1"/>
        <v>279427.38599999994</v>
      </c>
      <c r="F4" s="12">
        <f t="shared" si="1"/>
        <v>377226.97109999997</v>
      </c>
      <c r="G4" s="12">
        <f t="shared" si="1"/>
        <v>433811.01676499995</v>
      </c>
      <c r="H4" s="12">
        <f t="shared" si="1"/>
        <v>477192.1184415</v>
      </c>
      <c r="I4" s="12">
        <f t="shared" si="1"/>
        <v>501051.72436357499</v>
      </c>
      <c r="J4" s="12">
        <f t="shared" si="1"/>
        <v>526104.31058175373</v>
      </c>
      <c r="K4" s="12">
        <f t="shared" si="1"/>
        <v>541887.43989920639</v>
      </c>
      <c r="L4" s="12">
        <f t="shared" si="1"/>
        <v>552725.18869719049</v>
      </c>
    </row>
    <row r="5" spans="1:26" x14ac:dyDescent="0.2">
      <c r="B5" s="12"/>
      <c r="C5" s="12"/>
      <c r="D5" s="12"/>
      <c r="E5" s="12"/>
      <c r="F5" s="12"/>
      <c r="G5" s="12"/>
      <c r="H5" s="12"/>
      <c r="I5" s="12"/>
    </row>
    <row r="6" spans="1:26" x14ac:dyDescent="0.2">
      <c r="A6" s="32" t="s">
        <v>258</v>
      </c>
      <c r="B6" s="33">
        <f>0</f>
        <v>0</v>
      </c>
      <c r="C6" s="33">
        <v>0</v>
      </c>
      <c r="D6" s="34"/>
      <c r="E6" s="34"/>
      <c r="F6" s="34"/>
      <c r="G6" s="34"/>
      <c r="H6" s="34"/>
      <c r="I6" s="34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2" t="s">
        <v>259</v>
      </c>
      <c r="B7" s="33">
        <f>74726+'Adjustments to FS&amp; Calculation '!C2/6-'Adjustments to FS&amp; Calculation '!I2+'Adjustments to FS&amp; Calculation '!C16</f>
        <v>80454.996347768887</v>
      </c>
      <c r="C7" s="34">
        <f>C2*0.251+'Adjustments to FS&amp; Calculation '!C2/6-'Adjustments to FS&amp; Calculation '!B2+SUM('Adjustments to FS&amp; Calculation '!I22:I24)</f>
        <v>105463.51343110221</v>
      </c>
      <c r="D7" s="34">
        <f>D2*0.251+'Adjustments to FS&amp; Calculation '!C2/6-'Adjustments to FS&amp; Calculation '!B3+SUM('Adjustments to FS&amp; Calculation '!I21:I23)</f>
        <v>149571.79234776887</v>
      </c>
      <c r="E7" s="34">
        <f>E2*0.15+'Adjustments to FS&amp; Calculation '!C2/6-'Adjustments to FS&amp; Calculation '!B4+SUM('Adjustments to FS&amp; Calculation '!I20:I22)</f>
        <v>145776.33168110222</v>
      </c>
      <c r="F7" s="34">
        <f>F2*0.15+'Adjustments to FS&amp; Calculation '!C2/6-'Adjustments to FS&amp; Calculation '!B5+SUM('Adjustments to FS&amp; Calculation '!I19:I21)</f>
        <v>185744.09129776893</v>
      </c>
      <c r="G7" s="34">
        <f>G2*0.15+'Adjustments to FS&amp; Calculation '!C2/6-'Adjustments to FS&amp; Calculation '!B6+SUM('Adjustments to FS&amp; Calculation '!I18:I20)</f>
        <v>204852.6327677689</v>
      </c>
      <c r="H7" s="34">
        <f>H2*0.15-'Adjustments to FS&amp; Calculation '!B7+SUM('Adjustments to FS&amp; Calculation '!I17:I19)</f>
        <v>214544.251277</v>
      </c>
      <c r="I7" s="34">
        <f>I2*0.15+SUM('Adjustments to FS&amp; Calculation '!I16:I18)</f>
        <v>227977.40149695004</v>
      </c>
      <c r="J7" s="34">
        <f>J2*0.15+SUM('Adjustments to FS&amp; Calculation '!I15:I17)</f>
        <v>237744.62416545753</v>
      </c>
      <c r="K7" s="34">
        <f>K2*0.15+SUM('Adjustments to FS&amp; Calculation '!I14:I16)</f>
        <v>243941.48504411968</v>
      </c>
      <c r="L7" s="34">
        <f>L2*0.15+SUM('Adjustments to FS&amp; Calculation '!I13:K15)</f>
        <v>248272.08121647182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2" t="s">
        <v>83</v>
      </c>
      <c r="B8" s="30">
        <v>4869</v>
      </c>
      <c r="C8" s="12">
        <f t="shared" ref="C8:L8" si="2">C2*0.016</f>
        <v>5957.9400000000005</v>
      </c>
      <c r="D8" s="12">
        <f t="shared" si="2"/>
        <v>8341.116</v>
      </c>
      <c r="E8" s="12">
        <f t="shared" si="2"/>
        <v>13345.785599999999</v>
      </c>
      <c r="F8" s="12">
        <f t="shared" si="2"/>
        <v>18016.810560000002</v>
      </c>
      <c r="G8" s="12">
        <f t="shared" si="2"/>
        <v>20719.332144</v>
      </c>
      <c r="H8" s="12">
        <f t="shared" si="2"/>
        <v>22791.265358400004</v>
      </c>
      <c r="I8" s="12">
        <f t="shared" si="2"/>
        <v>23930.828626320006</v>
      </c>
      <c r="J8" s="12">
        <f t="shared" si="2"/>
        <v>25127.370057636006</v>
      </c>
      <c r="K8" s="12">
        <f t="shared" si="2"/>
        <v>25881.191159365084</v>
      </c>
      <c r="L8" s="12">
        <f t="shared" si="2"/>
        <v>26398.814982552387</v>
      </c>
    </row>
    <row r="9" spans="1:26" x14ac:dyDescent="0.2">
      <c r="A9" s="16" t="s">
        <v>87</v>
      </c>
      <c r="B9" s="31">
        <f t="shared" ref="B9:L9" si="3">B6+B7+B8</f>
        <v>85323.996347768887</v>
      </c>
      <c r="C9" s="31">
        <f t="shared" si="3"/>
        <v>111421.45343110221</v>
      </c>
      <c r="D9" s="31">
        <f t="shared" si="3"/>
        <v>157912.90834776888</v>
      </c>
      <c r="E9" s="31">
        <f t="shared" si="3"/>
        <v>159122.11728110223</v>
      </c>
      <c r="F9" s="31">
        <f t="shared" si="3"/>
        <v>203760.90185776894</v>
      </c>
      <c r="G9" s="31">
        <f t="shared" si="3"/>
        <v>225571.96491176891</v>
      </c>
      <c r="H9" s="31">
        <f t="shared" si="3"/>
        <v>237335.51663540001</v>
      </c>
      <c r="I9" s="31">
        <f t="shared" si="3"/>
        <v>251908.23012327004</v>
      </c>
      <c r="J9" s="25">
        <f t="shared" si="3"/>
        <v>262871.99422309356</v>
      </c>
      <c r="K9" s="25">
        <f t="shared" si="3"/>
        <v>269822.67620348476</v>
      </c>
      <c r="L9" s="25">
        <f t="shared" si="3"/>
        <v>274670.89619902422</v>
      </c>
    </row>
    <row r="10" spans="1:26" x14ac:dyDescent="0.2">
      <c r="A10" s="16" t="s">
        <v>260</v>
      </c>
      <c r="B10" s="31">
        <f t="shared" ref="B10:L10" si="4">B4-B9</f>
        <v>14432.003652231113</v>
      </c>
      <c r="C10" s="31">
        <f t="shared" si="4"/>
        <v>13322.91531889778</v>
      </c>
      <c r="D10" s="31">
        <f t="shared" si="4"/>
        <v>16729.207902231079</v>
      </c>
      <c r="E10" s="31">
        <f t="shared" si="4"/>
        <v>120305.26871889771</v>
      </c>
      <c r="F10" s="31">
        <f t="shared" si="4"/>
        <v>173466.06924223102</v>
      </c>
      <c r="G10" s="31">
        <f t="shared" si="4"/>
        <v>208239.05185323104</v>
      </c>
      <c r="H10" s="31">
        <f t="shared" si="4"/>
        <v>239856.60180609999</v>
      </c>
      <c r="I10" s="31">
        <f t="shared" si="4"/>
        <v>249143.49424030495</v>
      </c>
      <c r="J10" s="31">
        <f t="shared" si="4"/>
        <v>263232.31635866017</v>
      </c>
      <c r="K10" s="31">
        <f t="shared" si="4"/>
        <v>272064.76369572163</v>
      </c>
      <c r="L10" s="31">
        <f t="shared" si="4"/>
        <v>278054.29249816627</v>
      </c>
    </row>
    <row r="11" spans="1:26" x14ac:dyDescent="0.2">
      <c r="B11" s="12"/>
      <c r="C11" s="12"/>
      <c r="D11" s="12"/>
      <c r="E11" s="12"/>
      <c r="F11" s="12"/>
      <c r="G11" s="12"/>
      <c r="H11" s="12"/>
      <c r="I11" s="12"/>
    </row>
    <row r="12" spans="1:26" x14ac:dyDescent="0.2">
      <c r="A12" s="24" t="s">
        <v>98</v>
      </c>
      <c r="B12" s="12"/>
      <c r="C12" s="12"/>
      <c r="D12" s="12"/>
      <c r="E12" s="12"/>
      <c r="F12" s="12"/>
      <c r="G12" s="12"/>
      <c r="H12" s="12"/>
      <c r="I12" s="12"/>
    </row>
    <row r="13" spans="1:26" x14ac:dyDescent="0.2">
      <c r="A13" s="36" t="s">
        <v>261</v>
      </c>
      <c r="B13" s="37">
        <f>-3071-'Adjustments to FS&amp; Calculation '!I2</f>
        <v>-4335</v>
      </c>
      <c r="C13" s="38">
        <f>-'Adjustments to FS&amp; Calculation '!B2-3071</f>
        <v>-4949</v>
      </c>
      <c r="D13" s="38">
        <f>-'Adjustments to FS&amp; Calculation '!B3-3071</f>
        <v>-4884</v>
      </c>
      <c r="E13" s="38">
        <f>-'Adjustments to FS&amp; Calculation '!B4</f>
        <v>-1817</v>
      </c>
      <c r="F13" s="38">
        <f>-'Adjustments to FS&amp; Calculation '!B5</f>
        <v>-1840</v>
      </c>
      <c r="G13" s="38">
        <f>-'Adjustments to FS&amp; Calculation '!B6</f>
        <v>-1353</v>
      </c>
      <c r="H13" s="38">
        <f>-'Adjustments to FS&amp; Calculation '!B7</f>
        <v>-5167</v>
      </c>
      <c r="I13" s="37">
        <v>0</v>
      </c>
      <c r="J13" s="36">
        <v>0</v>
      </c>
      <c r="K13" s="36">
        <v>0</v>
      </c>
      <c r="L13" s="36">
        <v>0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2">
      <c r="A14" s="2" t="s">
        <v>105</v>
      </c>
      <c r="B14" s="30">
        <v>-12503</v>
      </c>
      <c r="C14" s="12"/>
      <c r="D14" s="12"/>
      <c r="E14" s="12"/>
      <c r="F14" s="12"/>
      <c r="G14" s="12"/>
      <c r="H14" s="12"/>
      <c r="I14" s="12"/>
    </row>
    <row r="15" spans="1:26" x14ac:dyDescent="0.2">
      <c r="A15" s="2" t="s">
        <v>109</v>
      </c>
      <c r="B15" s="30">
        <v>3629</v>
      </c>
      <c r="C15" s="12"/>
      <c r="D15" s="12"/>
      <c r="E15" s="12"/>
      <c r="F15" s="12"/>
      <c r="G15" s="12"/>
      <c r="H15" s="12"/>
      <c r="I15" s="12"/>
    </row>
    <row r="16" spans="1:26" x14ac:dyDescent="0.2">
      <c r="A16" s="16" t="s">
        <v>112</v>
      </c>
      <c r="B16" s="31">
        <f t="shared" ref="B16:L16" si="5">B13+B14+B15</f>
        <v>-13209</v>
      </c>
      <c r="C16" s="31">
        <f t="shared" si="5"/>
        <v>-4949</v>
      </c>
      <c r="D16" s="31">
        <f t="shared" si="5"/>
        <v>-4884</v>
      </c>
      <c r="E16" s="31">
        <f t="shared" si="5"/>
        <v>-1817</v>
      </c>
      <c r="F16" s="31">
        <f t="shared" si="5"/>
        <v>-1840</v>
      </c>
      <c r="G16" s="31">
        <f t="shared" si="5"/>
        <v>-1353</v>
      </c>
      <c r="H16" s="31">
        <f t="shared" si="5"/>
        <v>-5167</v>
      </c>
      <c r="I16" s="31">
        <f t="shared" si="5"/>
        <v>0</v>
      </c>
      <c r="J16" s="31">
        <f t="shared" si="5"/>
        <v>0</v>
      </c>
      <c r="K16" s="31">
        <f t="shared" si="5"/>
        <v>0</v>
      </c>
      <c r="L16" s="31">
        <f t="shared" si="5"/>
        <v>0</v>
      </c>
    </row>
    <row r="17" spans="1:12" x14ac:dyDescent="0.2">
      <c r="B17" s="12"/>
      <c r="C17" s="12"/>
      <c r="D17" s="12"/>
      <c r="E17" s="12"/>
      <c r="F17" s="12"/>
      <c r="G17" s="12"/>
      <c r="H17" s="12"/>
      <c r="I17" s="12"/>
    </row>
    <row r="18" spans="1:12" x14ac:dyDescent="0.2">
      <c r="A18" s="2" t="s">
        <v>116</v>
      </c>
      <c r="B18" s="30">
        <f t="shared" ref="B18:L18" si="6">B10+B16</f>
        <v>1223.0036522311129</v>
      </c>
      <c r="C18" s="30">
        <f t="shared" si="6"/>
        <v>8373.9153188977798</v>
      </c>
      <c r="D18" s="30">
        <f t="shared" si="6"/>
        <v>11845.207902231079</v>
      </c>
      <c r="E18" s="30">
        <f t="shared" si="6"/>
        <v>118488.26871889771</v>
      </c>
      <c r="F18" s="30">
        <f t="shared" si="6"/>
        <v>171626.06924223102</v>
      </c>
      <c r="G18" s="30">
        <f t="shared" si="6"/>
        <v>206886.05185323104</v>
      </c>
      <c r="H18" s="30">
        <f t="shared" si="6"/>
        <v>234689.60180609999</v>
      </c>
      <c r="I18" s="30">
        <f t="shared" si="6"/>
        <v>249143.49424030495</v>
      </c>
      <c r="J18" s="30">
        <f t="shared" si="6"/>
        <v>263232.31635866017</v>
      </c>
      <c r="K18" s="30">
        <f t="shared" si="6"/>
        <v>272064.76369572163</v>
      </c>
      <c r="L18" s="30">
        <f t="shared" si="6"/>
        <v>278054.29249816627</v>
      </c>
    </row>
    <row r="19" spans="1:12" x14ac:dyDescent="0.2">
      <c r="A19" s="2" t="s">
        <v>118</v>
      </c>
      <c r="B19" s="30">
        <v>9</v>
      </c>
      <c r="C19" s="30">
        <v>9</v>
      </c>
      <c r="D19" s="30">
        <v>9</v>
      </c>
      <c r="E19" s="30">
        <v>9</v>
      </c>
      <c r="F19" s="30">
        <v>9</v>
      </c>
      <c r="G19" s="30">
        <f t="shared" ref="G19:L19" si="7">G18*(G80)</f>
        <v>43446.070889178518</v>
      </c>
      <c r="H19" s="30">
        <f t="shared" si="7"/>
        <v>49284.816379280994</v>
      </c>
      <c r="I19" s="30">
        <f t="shared" si="7"/>
        <v>52320.133790464039</v>
      </c>
      <c r="J19" s="30">
        <f t="shared" si="7"/>
        <v>55278.786435318638</v>
      </c>
      <c r="K19" s="30">
        <f t="shared" si="7"/>
        <v>57133.600376101538</v>
      </c>
      <c r="L19" s="30">
        <f t="shared" si="7"/>
        <v>58391.401424614916</v>
      </c>
    </row>
    <row r="20" spans="1:12" x14ac:dyDescent="0.2">
      <c r="A20" s="16" t="s">
        <v>262</v>
      </c>
      <c r="B20" s="31">
        <f t="shared" ref="B20:L20" si="8">B18-B19</f>
        <v>1214.0036522311129</v>
      </c>
      <c r="C20" s="31">
        <f t="shared" si="8"/>
        <v>8364.9153188977798</v>
      </c>
      <c r="D20" s="31">
        <f t="shared" si="8"/>
        <v>11836.207902231079</v>
      </c>
      <c r="E20" s="31">
        <f t="shared" si="8"/>
        <v>118479.26871889771</v>
      </c>
      <c r="F20" s="31">
        <f t="shared" si="8"/>
        <v>171617.06924223102</v>
      </c>
      <c r="G20" s="31">
        <f t="shared" si="8"/>
        <v>163439.98096405252</v>
      </c>
      <c r="H20" s="31">
        <f t="shared" si="8"/>
        <v>185404.785426819</v>
      </c>
      <c r="I20" s="31">
        <f t="shared" si="8"/>
        <v>196823.3604498409</v>
      </c>
      <c r="J20" s="31">
        <f t="shared" si="8"/>
        <v>207953.52992334153</v>
      </c>
      <c r="K20" s="31">
        <f t="shared" si="8"/>
        <v>214931.1633196201</v>
      </c>
      <c r="L20" s="31">
        <f t="shared" si="8"/>
        <v>219662.89107355135</v>
      </c>
    </row>
    <row r="21" spans="1:12" x14ac:dyDescent="0.2">
      <c r="A21" s="2" t="s">
        <v>122</v>
      </c>
      <c r="B21" s="40">
        <f t="shared" ref="B21:L21" si="9">(B20*1000)/B22</f>
        <v>2.8716973533204279E-2</v>
      </c>
      <c r="C21" s="40">
        <f t="shared" si="9"/>
        <v>0.13583818315845697</v>
      </c>
      <c r="D21" s="40">
        <f t="shared" si="9"/>
        <v>0.19220863758088794</v>
      </c>
      <c r="E21" s="40">
        <f t="shared" si="9"/>
        <v>1.9239894238210087</v>
      </c>
      <c r="F21" s="40">
        <f t="shared" si="9"/>
        <v>2.7868962202375935</v>
      </c>
      <c r="G21" s="40">
        <f t="shared" si="9"/>
        <v>2.6541081676526881</v>
      </c>
      <c r="H21" s="40">
        <f t="shared" si="9"/>
        <v>3.010795476239347</v>
      </c>
      <c r="I21" s="40">
        <f t="shared" si="9"/>
        <v>3.1962221573537009</v>
      </c>
      <c r="J21" s="40">
        <f t="shared" si="9"/>
        <v>3.3769654096028181</v>
      </c>
      <c r="K21" s="40">
        <f t="shared" si="9"/>
        <v>3.4902754680029249</v>
      </c>
      <c r="L21" s="40">
        <f t="shared" si="9"/>
        <v>3.5671141778751436</v>
      </c>
    </row>
    <row r="22" spans="1:12" x14ac:dyDescent="0.2">
      <c r="A22" s="2" t="s">
        <v>124</v>
      </c>
      <c r="B22" s="23">
        <v>42274777</v>
      </c>
      <c r="C22" s="23">
        <v>61580000</v>
      </c>
      <c r="D22" s="23">
        <v>61580000</v>
      </c>
      <c r="E22" s="23">
        <v>61580000</v>
      </c>
      <c r="F22" s="23">
        <v>61580000</v>
      </c>
      <c r="G22" s="23">
        <v>61580000</v>
      </c>
      <c r="H22" s="23">
        <v>61580000</v>
      </c>
      <c r="I22" s="23">
        <v>61580000</v>
      </c>
      <c r="J22" s="23">
        <v>61580000</v>
      </c>
      <c r="K22" s="23">
        <v>61580000</v>
      </c>
      <c r="L22" s="23">
        <v>61580000</v>
      </c>
    </row>
    <row r="24" spans="1:12" x14ac:dyDescent="0.2">
      <c r="A24" s="2" t="s">
        <v>263</v>
      </c>
      <c r="B24" s="2">
        <f t="shared" ref="B24:L24" si="10">B10/(-1*B13)</f>
        <v>3.3291819266969118</v>
      </c>
      <c r="C24" s="2">
        <f t="shared" si="10"/>
        <v>2.6920418910684543</v>
      </c>
      <c r="D24" s="2">
        <f t="shared" si="10"/>
        <v>3.4253087432905569</v>
      </c>
      <c r="E24" s="2">
        <f t="shared" si="10"/>
        <v>66.210934903080741</v>
      </c>
      <c r="F24" s="2">
        <f t="shared" si="10"/>
        <v>94.275037631647294</v>
      </c>
      <c r="G24" s="2">
        <f t="shared" si="10"/>
        <v>153.90912923372582</v>
      </c>
      <c r="H24" s="2">
        <f t="shared" si="10"/>
        <v>46.420863519663243</v>
      </c>
      <c r="I24" s="2" t="e">
        <f t="shared" si="10"/>
        <v>#DIV/0!</v>
      </c>
      <c r="J24" s="30" t="e">
        <f t="shared" si="10"/>
        <v>#DIV/0!</v>
      </c>
      <c r="K24" s="30" t="e">
        <f t="shared" si="10"/>
        <v>#DIV/0!</v>
      </c>
      <c r="L24" s="30" t="e">
        <f t="shared" si="10"/>
        <v>#DIV/0!</v>
      </c>
    </row>
    <row r="27" spans="1:12" x14ac:dyDescent="0.2">
      <c r="A27" s="2" t="s">
        <v>264</v>
      </c>
      <c r="B27" s="13">
        <f>B4/B2</f>
        <v>0.33486742061853592</v>
      </c>
    </row>
    <row r="28" spans="1:12" x14ac:dyDescent="0.2">
      <c r="A28" s="2" t="s">
        <v>265</v>
      </c>
      <c r="B28" s="13">
        <f t="shared" ref="B28:I28" si="11">B10/B2</f>
        <v>4.8446287314847458E-2</v>
      </c>
      <c r="C28" s="13">
        <f t="shared" si="11"/>
        <v>3.5778582043854833E-2</v>
      </c>
      <c r="D28" s="13">
        <f t="shared" si="11"/>
        <v>3.2090109577147384E-2</v>
      </c>
      <c r="E28" s="13">
        <f t="shared" si="11"/>
        <v>0.14423162166657041</v>
      </c>
      <c r="F28" s="13">
        <f t="shared" si="11"/>
        <v>0.15404819286037361</v>
      </c>
      <c r="G28" s="13">
        <f t="shared" si="11"/>
        <v>0.16080753986158486</v>
      </c>
      <c r="H28" s="13">
        <f t="shared" si="11"/>
        <v>0.16838493030327367</v>
      </c>
      <c r="I28" s="13">
        <f t="shared" si="11"/>
        <v>0.16657575757575752</v>
      </c>
    </row>
    <row r="29" spans="1:12" x14ac:dyDescent="0.2">
      <c r="A29" s="2" t="s">
        <v>266</v>
      </c>
      <c r="B29" s="13">
        <f t="shared" ref="B29:J29" si="12">B20/B2</f>
        <v>4.0752463174557416E-3</v>
      </c>
      <c r="C29" s="13">
        <f t="shared" si="12"/>
        <v>2.246391287968064E-2</v>
      </c>
      <c r="D29" s="13">
        <f t="shared" si="12"/>
        <v>2.2704315158271062E-2</v>
      </c>
      <c r="E29" s="13">
        <f t="shared" si="12"/>
        <v>0.1420424661626786</v>
      </c>
      <c r="F29" s="13">
        <f t="shared" si="12"/>
        <v>0.15240617082204011</v>
      </c>
      <c r="G29" s="13">
        <f t="shared" si="12"/>
        <v>0.12621254764633499</v>
      </c>
      <c r="H29" s="13">
        <f t="shared" si="12"/>
        <v>0.13015848484848483</v>
      </c>
      <c r="I29" s="13">
        <f t="shared" si="12"/>
        <v>0.13159484848484843</v>
      </c>
      <c r="J29" s="13">
        <f t="shared" si="12"/>
        <v>0.13241562770562765</v>
      </c>
    </row>
    <row r="31" spans="1:12" x14ac:dyDescent="0.2">
      <c r="A31" s="41" t="s">
        <v>254</v>
      </c>
      <c r="B31" s="42">
        <f>B2*'Financial Statements(From Annua'!$G$73</f>
        <v>90981</v>
      </c>
      <c r="C31" s="42">
        <f>C2*'Financial Statements(From Annua'!$G$73</f>
        <v>113726.24999999999</v>
      </c>
      <c r="D31" s="42">
        <f>D2*'Financial Statements(From Annua'!$G$73</f>
        <v>159216.74999999997</v>
      </c>
      <c r="E31" s="42">
        <f>E2*'Financial Statements(From Annua'!$G$73</f>
        <v>254746.79999999996</v>
      </c>
      <c r="F31" s="42">
        <f>F2*'Financial Statements(From Annua'!$G$73</f>
        <v>343908.18</v>
      </c>
      <c r="G31" s="42">
        <f>G2*'Financial Statements(From Annua'!$G$73</f>
        <v>395494.40700000001</v>
      </c>
      <c r="H31" s="42">
        <f>H2*'Financial Statements(From Annua'!$G$73</f>
        <v>435043.84769999998</v>
      </c>
      <c r="I31" s="42">
        <f>I2*'Financial Statements(From Annua'!$G$73</f>
        <v>456796.04008500004</v>
      </c>
      <c r="J31" s="42">
        <f>J2*'Financial Statements(From Annua'!$G$73</f>
        <v>479635.84208925004</v>
      </c>
      <c r="K31" s="42">
        <f>K2*'Financial Statements(From Annua'!$G$73</f>
        <v>494024.91735192755</v>
      </c>
      <c r="L31" s="42">
        <f>L2*'Financial Statements(From Annua'!$G$73</f>
        <v>503905.41569896613</v>
      </c>
    </row>
    <row r="32" spans="1:12" x14ac:dyDescent="0.2">
      <c r="A32" s="41" t="s">
        <v>29</v>
      </c>
      <c r="B32" s="43"/>
      <c r="C32" s="42">
        <f t="shared" ref="C32:L32" si="13">C31-B31</f>
        <v>22745.249999999985</v>
      </c>
      <c r="D32" s="42">
        <f t="shared" si="13"/>
        <v>45490.499999999985</v>
      </c>
      <c r="E32" s="42">
        <f t="shared" si="13"/>
        <v>95530.049999999988</v>
      </c>
      <c r="F32" s="42">
        <f t="shared" si="13"/>
        <v>89161.380000000034</v>
      </c>
      <c r="G32" s="42">
        <f t="shared" si="13"/>
        <v>51586.227000000014</v>
      </c>
      <c r="H32" s="42">
        <f t="shared" si="13"/>
        <v>39549.440699999977</v>
      </c>
      <c r="I32" s="42">
        <f t="shared" si="13"/>
        <v>21752.19238500006</v>
      </c>
      <c r="J32" s="42">
        <f t="shared" si="13"/>
        <v>22839.802004249999</v>
      </c>
      <c r="K32" s="42">
        <f t="shared" si="13"/>
        <v>14389.075262677507</v>
      </c>
      <c r="L32" s="42">
        <f t="shared" si="13"/>
        <v>9880.4983470385778</v>
      </c>
    </row>
    <row r="35" spans="1:26" x14ac:dyDescent="0.2">
      <c r="A35" s="2" t="s">
        <v>267</v>
      </c>
      <c r="F35" s="12">
        <f t="shared" ref="F35:I35" si="14">F40/F39</f>
        <v>0.35790201117867387</v>
      </c>
      <c r="G35" s="12">
        <f t="shared" si="14"/>
        <v>0.32216209709533267</v>
      </c>
      <c r="H35" s="12">
        <f t="shared" si="14"/>
        <v>0.3227471197695933</v>
      </c>
      <c r="I35" s="12">
        <f t="shared" si="14"/>
        <v>0.26106346421370163</v>
      </c>
    </row>
    <row r="37" spans="1:26" x14ac:dyDescent="0.2">
      <c r="A37" s="24" t="s">
        <v>57</v>
      </c>
      <c r="B37" s="24">
        <v>2019</v>
      </c>
      <c r="C37" s="2">
        <v>2020</v>
      </c>
      <c r="D37" s="24">
        <v>2021</v>
      </c>
      <c r="E37" s="2">
        <v>2022</v>
      </c>
      <c r="F37" s="24">
        <v>2023</v>
      </c>
      <c r="G37" s="2">
        <v>2024</v>
      </c>
      <c r="H37" s="24">
        <v>2025</v>
      </c>
      <c r="I37" s="2">
        <v>2026</v>
      </c>
      <c r="J37" s="24">
        <v>2027</v>
      </c>
      <c r="K37" s="2">
        <v>2028</v>
      </c>
      <c r="L37" s="2">
        <v>2029</v>
      </c>
    </row>
    <row r="38" spans="1:26" x14ac:dyDescent="0.2">
      <c r="A38" s="24" t="s">
        <v>61</v>
      </c>
    </row>
    <row r="39" spans="1:26" x14ac:dyDescent="0.2">
      <c r="A39" s="2" t="s">
        <v>64</v>
      </c>
      <c r="B39" s="23">
        <v>275988</v>
      </c>
      <c r="C39" s="27">
        <f t="shared" ref="C39:L39" si="15">C149</f>
        <v>257649.78302388187</v>
      </c>
      <c r="D39" s="27">
        <f t="shared" si="15"/>
        <v>332821.35658619757</v>
      </c>
      <c r="E39" s="27">
        <f t="shared" si="15"/>
        <v>343077.94690832094</v>
      </c>
      <c r="F39" s="27">
        <f t="shared" si="15"/>
        <v>437530.84758253646</v>
      </c>
      <c r="G39" s="27">
        <f t="shared" si="15"/>
        <v>558979.92802854616</v>
      </c>
      <c r="H39" s="27">
        <f t="shared" si="15"/>
        <v>613763.37168888515</v>
      </c>
      <c r="I39" s="27">
        <f t="shared" si="15"/>
        <v>796721.51398417982</v>
      </c>
      <c r="J39" s="27">
        <f t="shared" si="15"/>
        <v>989969.98588466155</v>
      </c>
      <c r="K39" s="27">
        <f t="shared" si="15"/>
        <v>1198269.0503638338</v>
      </c>
      <c r="L39" s="27">
        <f t="shared" si="15"/>
        <v>1415715.5835805542</v>
      </c>
    </row>
    <row r="40" spans="1:26" x14ac:dyDescent="0.2">
      <c r="A40" s="2" t="s">
        <v>67</v>
      </c>
      <c r="B40" s="23">
        <v>40080</v>
      </c>
      <c r="C40" s="12">
        <f>'Growth Rates for Contingencys'!$D$18*C2</f>
        <v>51783.455787863626</v>
      </c>
      <c r="D40" s="12">
        <f>'Growth Rates for Contingencys'!$D$18*D2</f>
        <v>72496.838103009068</v>
      </c>
      <c r="E40" s="12">
        <f>'Growth Rates for Contingencys'!$D$18*E2</f>
        <v>115994.94096481451</v>
      </c>
      <c r="F40" s="12">
        <f>'Growth Rates for Contingencys'!$D$18*F2</f>
        <v>156593.17030249961</v>
      </c>
      <c r="G40" s="12">
        <f>'Growth Rates for Contingencys'!$D$18*G2</f>
        <v>180082.14584787455</v>
      </c>
      <c r="H40" s="12">
        <f>'Growth Rates for Contingencys'!$D$18*H2</f>
        <v>198090.36043266201</v>
      </c>
      <c r="I40" s="12">
        <f>'Growth Rates for Contingencys'!$D$18*I2</f>
        <v>207994.87845429513</v>
      </c>
      <c r="J40" s="12">
        <f>'Growth Rates for Contingencys'!$D$18*J2</f>
        <v>218394.62237700989</v>
      </c>
      <c r="K40" s="12">
        <f>'Growth Rates for Contingencys'!$D$18*K2</f>
        <v>224946.46104832017</v>
      </c>
      <c r="L40" s="12">
        <f>'Growth Rates for Contingencys'!$D$18*L2</f>
        <v>229445.39026928658</v>
      </c>
    </row>
    <row r="41" spans="1:26" x14ac:dyDescent="0.2">
      <c r="A41" s="2" t="s">
        <v>73</v>
      </c>
      <c r="B41" s="23">
        <v>81596</v>
      </c>
      <c r="C41" s="12">
        <f>C2*'Growth Rates for Contingencys'!$D$19</f>
        <v>115061.6669391248</v>
      </c>
      <c r="D41" s="12">
        <f>D2*'Growth Rates for Contingencys'!$D$19</f>
        <v>161086.33371477469</v>
      </c>
      <c r="E41" s="12">
        <f>E2*'Growth Rates for Contingencys'!$D$19</f>
        <v>257738.13394363955</v>
      </c>
      <c r="F41" s="12">
        <f>F2*'Growth Rates for Contingencys'!$D$19</f>
        <v>347946.48082391347</v>
      </c>
      <c r="G41" s="12">
        <f>G2*'Growth Rates for Contingencys'!$D$19</f>
        <v>400138.45294750045</v>
      </c>
      <c r="H41" s="12">
        <f>H2*'Growth Rates for Contingencys'!$D$19</f>
        <v>440152.29824225052</v>
      </c>
      <c r="I41" s="12">
        <f>I2*'Growth Rates for Contingencys'!$D$19</f>
        <v>462159.91315436305</v>
      </c>
      <c r="J41" s="12">
        <f>J2*'Growth Rates for Contingencys'!$D$19</f>
        <v>485267.90881208121</v>
      </c>
      <c r="K41" s="12">
        <f>K2*'Growth Rates for Contingencys'!$D$19</f>
        <v>499825.94607644365</v>
      </c>
      <c r="L41" s="12">
        <f>L2*'Growth Rates for Contingencys'!$D$19</f>
        <v>509822.46499797254</v>
      </c>
    </row>
    <row r="42" spans="1:26" x14ac:dyDescent="0.2">
      <c r="A42" s="2" t="s">
        <v>76</v>
      </c>
      <c r="B42" s="23">
        <v>5930</v>
      </c>
      <c r="C42" s="12">
        <f>'Growth Rates for Contingencys'!$D$20*'Growth Rates for Contingencys'!C70</f>
        <v>8365.9482002317964</v>
      </c>
      <c r="D42" s="12">
        <f>'Growth Rates for Contingencys'!$D$20*'Growth Rates for Contingencys'!D70</f>
        <v>8853.1378402781556</v>
      </c>
      <c r="E42" s="12">
        <f>'Growth Rates for Contingencys'!$D$20*'Growth Rates for Contingencys'!E70</f>
        <v>9389.0464443291494</v>
      </c>
      <c r="F42" s="12">
        <f>'Growth Rates for Contingencys'!$D$20*'Growth Rates for Contingencys'!F70</f>
        <v>9978.5459087852432</v>
      </c>
      <c r="G42" s="12">
        <f>'Growth Rates for Contingencys'!$D$20*'Growth Rates for Contingencys'!G70</f>
        <v>10626.995319686946</v>
      </c>
      <c r="H42" s="12">
        <f>'Growth Rates for Contingencys'!$D$20*'Growth Rates for Contingencys'!H70</f>
        <v>11340.289671678822</v>
      </c>
      <c r="I42" s="12">
        <f>'Growth Rates for Contingencys'!$D$20*'Growth Rates for Contingencys'!I70</f>
        <v>12124.913458869883</v>
      </c>
      <c r="J42" s="12">
        <f>'Growth Rates for Contingencys'!$D$20*'Growth Rates for Contingencys'!J70</f>
        <v>12987.999624780052</v>
      </c>
      <c r="K42" s="12">
        <f>'Growth Rates for Contingencys'!$D$20*'Growth Rates for Contingencys'!K70</f>
        <v>13937.394407281236</v>
      </c>
      <c r="L42" s="12">
        <f>'Growth Rates for Contingencys'!$D$20*'Growth Rates for Contingencys'!L70</f>
        <v>14981.72866803254</v>
      </c>
    </row>
    <row r="43" spans="1:26" x14ac:dyDescent="0.2">
      <c r="A43" s="16" t="s">
        <v>80</v>
      </c>
      <c r="B43" s="25">
        <f t="shared" ref="B43:L43" si="16">SUM(B39:B42)</f>
        <v>403594</v>
      </c>
      <c r="C43" s="25">
        <f t="shared" si="16"/>
        <v>432860.85395110212</v>
      </c>
      <c r="D43" s="25">
        <f t="shared" si="16"/>
        <v>575257.66624425957</v>
      </c>
      <c r="E43" s="25">
        <f t="shared" si="16"/>
        <v>726200.06826110417</v>
      </c>
      <c r="F43" s="25">
        <f t="shared" si="16"/>
        <v>952049.04461773473</v>
      </c>
      <c r="G43" s="25">
        <f t="shared" si="16"/>
        <v>1149827.522143608</v>
      </c>
      <c r="H43" s="25">
        <f t="shared" si="16"/>
        <v>1263346.3200354765</v>
      </c>
      <c r="I43" s="25">
        <f t="shared" si="16"/>
        <v>1479001.2190517078</v>
      </c>
      <c r="J43" s="25">
        <f t="shared" si="16"/>
        <v>1706620.5166985327</v>
      </c>
      <c r="K43" s="25">
        <f t="shared" si="16"/>
        <v>1936978.8518958788</v>
      </c>
      <c r="L43" s="25">
        <f t="shared" si="16"/>
        <v>2169965.167515846</v>
      </c>
    </row>
    <row r="44" spans="1:26" x14ac:dyDescent="0.2">
      <c r="A44" s="2" t="s">
        <v>84</v>
      </c>
      <c r="B44" s="30">
        <v>47474</v>
      </c>
      <c r="C44" s="12">
        <f>'Growth Rates for Contingencys'!C76</f>
        <v>64286.264985341717</v>
      </c>
      <c r="D44" s="12">
        <f>'Growth Rates for Contingencys'!D76</f>
        <v>58039.740580541358</v>
      </c>
      <c r="E44" s="12">
        <f>'Growth Rates for Contingencys'!E76</f>
        <v>51636.175253458925</v>
      </c>
      <c r="F44" s="12">
        <f>'Growth Rates for Contingencys'!F76</f>
        <v>45059.864911866214</v>
      </c>
      <c r="G44" s="12">
        <f>'Growth Rates for Contingencys'!G76</f>
        <v>38293.535054312204</v>
      </c>
      <c r="H44" s="12">
        <f>'Growth Rates for Contingencys'!H76</f>
        <v>31318.183729200769</v>
      </c>
      <c r="I44" s="12">
        <f>'Growth Rates for Contingencys'!I76</f>
        <v>24112.908789776149</v>
      </c>
      <c r="J44" s="12">
        <f>'Growth Rates for Contingencys'!J76</f>
        <v>16654.717874607013</v>
      </c>
      <c r="K44" s="12">
        <f>'Growth Rates for Contingencys'!K76</f>
        <v>8918.3193861189357</v>
      </c>
      <c r="L44" s="12">
        <f>'Growth Rates for Contingencys'!L76</f>
        <v>875.89256698003737</v>
      </c>
    </row>
    <row r="45" spans="1:26" x14ac:dyDescent="0.2">
      <c r="A45" s="32" t="s">
        <v>268</v>
      </c>
      <c r="B45" s="33">
        <f>855+'Adjustments to FS&amp; Calculation '!C2+'Adjustments to FS&amp; Calculation '!E17</f>
        <v>41143.644753280016</v>
      </c>
      <c r="C45" s="34">
        <f>C44*'Growth Rates for Contingencys'!$D$23+'Adjustments to FS&amp; Calculation '!C3+'Adjustments to FS&amp; Calculation '!M12</f>
        <v>66370.17689280778</v>
      </c>
      <c r="D45" s="34">
        <f>D44*'Growth Rates for Contingencys'!$D$23+'Adjustments to FS&amp; Calculation '!C4+'Adjustments to FS&amp; Calculation '!M11</f>
        <v>70372.21709106573</v>
      </c>
      <c r="E45" s="34">
        <f>E44*'Growth Rates for Contingencys'!$D$23+'Adjustments to FS&amp; Calculation '!C5+'Adjustments to FS&amp; Calculation '!M10</f>
        <v>64909.761212279831</v>
      </c>
      <c r="F45" s="34">
        <f>F44*'Growth Rates for Contingencys'!$D$23+'Adjustments to FS&amp; Calculation '!C6+'Adjustments to FS&amp; Calculation '!M9</f>
        <v>49542.152901724672</v>
      </c>
      <c r="G45" s="34">
        <f>G44*'Growth Rates for Contingencys'!$D$23+'Adjustments to FS&amp; Calculation '!C7+'Adjustments to FS&amp; Calculation '!M8</f>
        <v>31494.93082500478</v>
      </c>
      <c r="H45" s="34">
        <f>H44*'Growth Rates for Contingencys'!$D$23+'Adjustments to FS&amp; Calculation '!M7</f>
        <v>15925.985309262514</v>
      </c>
      <c r="I45" s="34">
        <f>I44*'Growth Rates for Contingencys'!$D$23+'Adjustments to FS&amp; Calculation '!M6</f>
        <v>9638.0342147476058</v>
      </c>
      <c r="J45" s="34">
        <f>J44*'Growth Rates for Contingencys'!$D$23+'Adjustments to FS&amp; Calculation '!N6</f>
        <v>257.99807692676768</v>
      </c>
      <c r="K45" s="34">
        <f>K44*'Growth Rates for Contingencys'!$D$23+'Adjustments to FS&amp; Calculation '!O6</f>
        <v>138.15360118141234</v>
      </c>
      <c r="L45" s="34">
        <f>L44*'Growth Rates for Contingencys'!$D$23+'Adjustments to FS&amp; Calculation '!P6</f>
        <v>13.568443463088798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16" t="s">
        <v>92</v>
      </c>
      <c r="B46" s="25">
        <f t="shared" ref="B46:L46" si="17">SUM(B43:B45)</f>
        <v>492211.64475328004</v>
      </c>
      <c r="C46" s="25">
        <f t="shared" si="17"/>
        <v>563517.29582925164</v>
      </c>
      <c r="D46" s="25">
        <f t="shared" si="17"/>
        <v>703669.6239158666</v>
      </c>
      <c r="E46" s="25">
        <f t="shared" si="17"/>
        <v>842746.00472684286</v>
      </c>
      <c r="F46" s="25">
        <f t="shared" si="17"/>
        <v>1046651.0624313257</v>
      </c>
      <c r="G46" s="25">
        <f t="shared" si="17"/>
        <v>1219615.9880229249</v>
      </c>
      <c r="H46" s="25">
        <f t="shared" si="17"/>
        <v>1310590.4890739399</v>
      </c>
      <c r="I46" s="25">
        <f t="shared" si="17"/>
        <v>1512752.1620562314</v>
      </c>
      <c r="J46" s="25">
        <f t="shared" si="17"/>
        <v>1723533.2326500665</v>
      </c>
      <c r="K46" s="25">
        <f t="shared" si="17"/>
        <v>1946035.3248831793</v>
      </c>
      <c r="L46" s="25">
        <f t="shared" si="17"/>
        <v>2170854.628526289</v>
      </c>
    </row>
    <row r="47" spans="1:26" x14ac:dyDescent="0.2">
      <c r="A47" s="24" t="s">
        <v>95</v>
      </c>
    </row>
    <row r="48" spans="1:26" x14ac:dyDescent="0.2">
      <c r="A48" s="2" t="s">
        <v>99</v>
      </c>
      <c r="B48" s="30">
        <v>26923</v>
      </c>
      <c r="C48" s="12">
        <f>'Growth Rates for Contingencys'!$D$26*C2</f>
        <v>53344.529995507997</v>
      </c>
      <c r="D48" s="12">
        <f>'Growth Rates for Contingencys'!$D$26*D2</f>
        <v>74682.34199371119</v>
      </c>
      <c r="E48" s="12">
        <f>'Growth Rates for Contingencys'!$D$26*E2</f>
        <v>119491.74718993792</v>
      </c>
      <c r="F48" s="12">
        <f>'Growth Rates for Contingencys'!$D$26*F2</f>
        <v>161313.85870641621</v>
      </c>
      <c r="G48" s="12">
        <f>'Growth Rates for Contingencys'!$D$26*G2</f>
        <v>185510.93751237862</v>
      </c>
      <c r="H48" s="12">
        <f>'Growth Rates for Contingencys'!$D$26*H2</f>
        <v>204062.03126361649</v>
      </c>
      <c r="I48" s="12">
        <f>'Growth Rates for Contingencys'!$D$26*I2</f>
        <v>214265.13282679734</v>
      </c>
      <c r="J48" s="12">
        <f>'Growth Rates for Contingencys'!$D$26*J2</f>
        <v>224978.3894681372</v>
      </c>
      <c r="K48" s="12">
        <f>'Growth Rates for Contingencys'!$D$26*K2</f>
        <v>231727.74115218132</v>
      </c>
      <c r="L48" s="12">
        <f>'Growth Rates for Contingencys'!$D$26*L2</f>
        <v>236362.29597522496</v>
      </c>
    </row>
    <row r="49" spans="1:26" x14ac:dyDescent="0.2">
      <c r="A49" s="2" t="s">
        <v>102</v>
      </c>
      <c r="B49" s="30">
        <v>1768</v>
      </c>
      <c r="C49" s="12">
        <f>'Growth Rates for Contingencys'!$D$27*'Growth Rates for Contingencys'!C70</f>
        <v>2494.2658377756852</v>
      </c>
      <c r="D49" s="12">
        <f>'Growth Rates for Contingencys'!$D$27*'Growth Rates for Contingencys'!D70</f>
        <v>2639.5190053308224</v>
      </c>
      <c r="E49" s="12">
        <f>'Growth Rates for Contingencys'!$D$27*'Growth Rates for Contingencys'!E70</f>
        <v>2799.297489641473</v>
      </c>
      <c r="F49" s="12">
        <f>'Growth Rates for Contingencys'!$D$27*'Growth Rates for Contingencys'!F70</f>
        <v>2975.0538223831886</v>
      </c>
      <c r="G49" s="12">
        <f>'Growth Rates for Contingencys'!$D$27*'Growth Rates for Contingencys'!G70</f>
        <v>3168.3857883990763</v>
      </c>
      <c r="H49" s="12">
        <f>'Growth Rates for Contingencys'!$D$27*'Growth Rates for Contingencys'!H70</f>
        <v>3381.0509510165525</v>
      </c>
      <c r="I49" s="12">
        <f>'Growth Rates for Contingencys'!$D$27*'Growth Rates for Contingencys'!I70</f>
        <v>3614.9826298957764</v>
      </c>
      <c r="J49" s="12">
        <f>'Growth Rates for Contingencys'!$D$27*'Growth Rates for Contingencys'!J70</f>
        <v>3872.3074766629225</v>
      </c>
      <c r="K49" s="12">
        <f>'Growth Rates for Contingencys'!$D$27*'Growth Rates for Contingencys'!K70</f>
        <v>4155.3648081067831</v>
      </c>
      <c r="L49" s="12">
        <f>'Growth Rates for Contingencys'!$D$27*'Growth Rates for Contingencys'!L70</f>
        <v>4466.7278726950299</v>
      </c>
    </row>
    <row r="50" spans="1:26" x14ac:dyDescent="0.2">
      <c r="A50" s="2" t="s">
        <v>106</v>
      </c>
      <c r="B50" s="30">
        <v>4129</v>
      </c>
      <c r="C50" s="12">
        <f>'Growth Rates for Contingencys'!$D$28*'Growth Rates for Contingencys'!C70</f>
        <v>6553.6413319288713</v>
      </c>
      <c r="D50" s="12">
        <f>'Growth Rates for Contingencys'!$D$28*'Growth Rates for Contingencys'!D70</f>
        <v>6935.291574684009</v>
      </c>
      <c r="E50" s="12">
        <f>'Growth Rates for Contingencys'!$D$28*'Growth Rates for Contingencys'!E70</f>
        <v>7355.1068417146589</v>
      </c>
      <c r="F50" s="12">
        <f>'Growth Rates for Contingencys'!$D$28*'Growth Rates for Contingencys'!F70</f>
        <v>7816.9036354483751</v>
      </c>
      <c r="G50" s="12">
        <f>'Growth Rates for Contingencys'!$D$28*'Growth Rates for Contingencys'!G70</f>
        <v>8324.8801085554624</v>
      </c>
      <c r="H50" s="12">
        <f>'Growth Rates for Contingencys'!$D$28*'Growth Rates for Contingencys'!H70</f>
        <v>8883.6542289732588</v>
      </c>
      <c r="I50" s="12">
        <f>'Growth Rates for Contingencys'!$D$28*'Growth Rates for Contingencys'!I70</f>
        <v>9498.3057614328354</v>
      </c>
      <c r="J50" s="12">
        <f>'Growth Rates for Contingencys'!$D$28*'Growth Rates for Contingencys'!J70</f>
        <v>10174.422447138368</v>
      </c>
      <c r="K50" s="12">
        <f>'Growth Rates for Contingencys'!$D$28*'Growth Rates for Contingencys'!K70</f>
        <v>10918.150801414455</v>
      </c>
      <c r="L50" s="12">
        <f>'Growth Rates for Contingencys'!$D$28*'Growth Rates for Contingencys'!L70</f>
        <v>11736.251991118152</v>
      </c>
    </row>
    <row r="51" spans="1:26" x14ac:dyDescent="0.2">
      <c r="A51" s="2" t="s">
        <v>110</v>
      </c>
      <c r="B51" s="30">
        <v>3805</v>
      </c>
      <c r="C51" s="12">
        <f>'Growth Rates for Contingencys'!$D$29*C2</f>
        <v>7440.6699698069015</v>
      </c>
      <c r="D51" s="12">
        <f>'Growth Rates for Contingencys'!$D$29*D2</f>
        <v>10416.93795772966</v>
      </c>
      <c r="E51" s="12">
        <f>'Growth Rates for Contingencys'!$D$29*E2</f>
        <v>16667.100732367457</v>
      </c>
      <c r="F51" s="12">
        <f>'Growth Rates for Contingencys'!$D$29*F2</f>
        <v>22500.585988696072</v>
      </c>
      <c r="G51" s="12">
        <f>'Growth Rates for Contingencys'!$D$29*G2</f>
        <v>25875.673887000481</v>
      </c>
      <c r="H51" s="12">
        <f>'Growth Rates for Contingencys'!$D$29*H2</f>
        <v>28463.24127570053</v>
      </c>
      <c r="I51" s="12">
        <f>'Growth Rates for Contingencys'!$D$29*I2</f>
        <v>29886.403339485558</v>
      </c>
      <c r="J51" s="12">
        <f>'Growth Rates for Contingencys'!$D$29*J2</f>
        <v>31380.723506459835</v>
      </c>
      <c r="K51" s="12">
        <f>'Growth Rates for Contingencys'!$D$29*K2</f>
        <v>32322.145211653631</v>
      </c>
      <c r="L51" s="12">
        <f>'Growth Rates for Contingencys'!$D$29*L2</f>
        <v>32968.588115886705</v>
      </c>
    </row>
    <row r="52" spans="1:26" x14ac:dyDescent="0.2">
      <c r="A52" s="2" t="s">
        <v>113</v>
      </c>
      <c r="B52" s="23">
        <v>11000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</row>
    <row r="53" spans="1:26" x14ac:dyDescent="0.2">
      <c r="A53" s="2" t="s">
        <v>115</v>
      </c>
      <c r="B53" s="2">
        <v>72</v>
      </c>
      <c r="C53" s="2">
        <v>86</v>
      </c>
      <c r="D53" s="2">
        <v>80</v>
      </c>
      <c r="E53" s="2">
        <v>71</v>
      </c>
      <c r="F53" s="2">
        <v>58</v>
      </c>
      <c r="G53" s="2">
        <v>30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26" x14ac:dyDescent="0.2">
      <c r="A54" s="2" t="s">
        <v>117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26" x14ac:dyDescent="0.2">
      <c r="A55" s="16" t="s">
        <v>119</v>
      </c>
      <c r="B55" s="25">
        <f t="shared" ref="B55:L55" si="18">SUM(B48:B54)</f>
        <v>47697</v>
      </c>
      <c r="C55" s="25">
        <f t="shared" si="18"/>
        <v>69919.107135019454</v>
      </c>
      <c r="D55" s="25">
        <f t="shared" si="18"/>
        <v>94754.090531455688</v>
      </c>
      <c r="E55" s="25">
        <f t="shared" si="18"/>
        <v>146384.25225366151</v>
      </c>
      <c r="F55" s="25">
        <f t="shared" si="18"/>
        <v>194664.40215294386</v>
      </c>
      <c r="G55" s="25">
        <f t="shared" si="18"/>
        <v>222909.87729633364</v>
      </c>
      <c r="H55" s="25">
        <f t="shared" si="18"/>
        <v>244789.97771930683</v>
      </c>
      <c r="I55" s="25">
        <f t="shared" si="18"/>
        <v>257264.82455761149</v>
      </c>
      <c r="J55" s="25">
        <f t="shared" si="18"/>
        <v>270405.84289839835</v>
      </c>
      <c r="K55" s="25">
        <f t="shared" si="18"/>
        <v>279123.4019733562</v>
      </c>
      <c r="L55" s="25">
        <f t="shared" si="18"/>
        <v>285533.86395492486</v>
      </c>
    </row>
    <row r="56" spans="1:26" x14ac:dyDescent="0.2">
      <c r="A56" s="24" t="s">
        <v>120</v>
      </c>
    </row>
    <row r="57" spans="1:26" x14ac:dyDescent="0.2">
      <c r="A57" s="2" t="s">
        <v>123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26" x14ac:dyDescent="0.2">
      <c r="A58" s="2" t="s">
        <v>125</v>
      </c>
      <c r="B58" s="23">
        <v>14637</v>
      </c>
      <c r="C58" s="23">
        <v>14637</v>
      </c>
      <c r="D58" s="23">
        <f>14637</f>
        <v>14637</v>
      </c>
      <c r="E58" s="23">
        <v>100000</v>
      </c>
      <c r="F58" s="23">
        <v>100000</v>
      </c>
      <c r="G58" s="23">
        <v>100000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</row>
    <row r="59" spans="1:26" x14ac:dyDescent="0.2">
      <c r="A59" s="2" t="s">
        <v>127</v>
      </c>
      <c r="B59" s="23">
        <v>4932</v>
      </c>
      <c r="C59" s="23">
        <v>4932</v>
      </c>
      <c r="D59" s="23">
        <v>4932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</row>
    <row r="60" spans="1:26" x14ac:dyDescent="0.2">
      <c r="A60" s="32" t="s">
        <v>269</v>
      </c>
      <c r="B60" s="44">
        <f>567+'Adjustments to FS&amp; Calculation '!C2</f>
        <v>11906.978086613346</v>
      </c>
      <c r="C60" s="45">
        <f>'Adjustments to FS&amp; Calculation '!C3+567-C53</f>
        <v>10534.924942734564</v>
      </c>
      <c r="D60" s="45">
        <f>'Adjustments to FS&amp; Calculation '!C4+567-C53-D53</f>
        <v>9166.7398247453075</v>
      </c>
      <c r="E60" s="45">
        <f>'Adjustments to FS&amp; Calculation '!C5+567-C53-D53-E53</f>
        <v>7736.3114435970137</v>
      </c>
      <c r="F60" s="45">
        <f>'Adjustments to FS&amp; Calculation '!C6+567-C53-D53-E53-F53</f>
        <v>6224.9209009527776</v>
      </c>
      <c r="G60" s="46">
        <f>'Adjustments to FS&amp; Calculation '!C7+567-C53-D53-E53-F53-G53</f>
        <v>5409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16" t="s">
        <v>132</v>
      </c>
      <c r="B61" s="25">
        <f t="shared" ref="B61:L61" si="19">SUM(B57:B60)</f>
        <v>31475.978086613344</v>
      </c>
      <c r="C61" s="25">
        <f t="shared" si="19"/>
        <v>30103.924942734564</v>
      </c>
      <c r="D61" s="25">
        <f t="shared" si="19"/>
        <v>28735.739824745309</v>
      </c>
      <c r="E61" s="25">
        <f t="shared" si="19"/>
        <v>107736.31144359702</v>
      </c>
      <c r="F61" s="25">
        <f t="shared" si="19"/>
        <v>106224.92090095278</v>
      </c>
      <c r="G61" s="25">
        <f t="shared" si="19"/>
        <v>105409</v>
      </c>
      <c r="H61" s="25">
        <f t="shared" si="19"/>
        <v>0</v>
      </c>
      <c r="I61" s="25">
        <f t="shared" si="19"/>
        <v>0</v>
      </c>
      <c r="J61" s="25">
        <f t="shared" si="19"/>
        <v>0</v>
      </c>
      <c r="K61" s="25">
        <f t="shared" si="19"/>
        <v>0</v>
      </c>
      <c r="L61" s="25">
        <f t="shared" si="19"/>
        <v>0</v>
      </c>
    </row>
    <row r="62" spans="1:26" x14ac:dyDescent="0.2">
      <c r="A62" s="24" t="s">
        <v>134</v>
      </c>
    </row>
    <row r="63" spans="1:26" x14ac:dyDescent="0.2">
      <c r="A63" s="24" t="s">
        <v>136</v>
      </c>
    </row>
    <row r="64" spans="1:26" x14ac:dyDescent="0.2">
      <c r="A64" s="2" t="s">
        <v>138</v>
      </c>
      <c r="B64" s="2">
        <v>0</v>
      </c>
    </row>
    <row r="65" spans="1:26" x14ac:dyDescent="0.2">
      <c r="A65" s="2" t="s">
        <v>140</v>
      </c>
      <c r="B65" s="2">
        <v>0</v>
      </c>
    </row>
    <row r="66" spans="1:26" x14ac:dyDescent="0.2">
      <c r="A66" s="2" t="s">
        <v>141</v>
      </c>
      <c r="B66" s="2">
        <v>0</v>
      </c>
    </row>
    <row r="67" spans="1:26" x14ac:dyDescent="0.2">
      <c r="A67" s="2" t="s">
        <v>143</v>
      </c>
      <c r="B67" s="2">
        <v>0</v>
      </c>
    </row>
    <row r="68" spans="1:26" x14ac:dyDescent="0.2">
      <c r="A68" s="2" t="s">
        <v>145</v>
      </c>
      <c r="B68" s="2">
        <v>0</v>
      </c>
    </row>
    <row r="69" spans="1:26" x14ac:dyDescent="0.2">
      <c r="A69" s="2" t="s">
        <v>147</v>
      </c>
      <c r="B69" s="2">
        <v>0</v>
      </c>
    </row>
    <row r="70" spans="1:26" x14ac:dyDescent="0.2">
      <c r="A70" s="2" t="s">
        <v>149</v>
      </c>
      <c r="B70" s="2">
        <v>0</v>
      </c>
    </row>
    <row r="71" spans="1:26" x14ac:dyDescent="0.2">
      <c r="A71" s="2" t="s">
        <v>151</v>
      </c>
      <c r="B71" s="2">
        <v>0</v>
      </c>
    </row>
    <row r="72" spans="1:26" x14ac:dyDescent="0.2">
      <c r="A72" s="24" t="s">
        <v>153</v>
      </c>
    </row>
    <row r="73" spans="1:26" x14ac:dyDescent="0.2">
      <c r="A73" s="2" t="s">
        <v>155</v>
      </c>
      <c r="B73" s="2">
        <v>0</v>
      </c>
    </row>
    <row r="74" spans="1:26" x14ac:dyDescent="0.2">
      <c r="A74" s="2" t="s">
        <v>157</v>
      </c>
      <c r="B74" s="2">
        <v>6</v>
      </c>
      <c r="C74" s="2">
        <v>6</v>
      </c>
      <c r="D74" s="2">
        <v>6</v>
      </c>
      <c r="E74" s="2">
        <v>6</v>
      </c>
      <c r="F74" s="2">
        <v>6</v>
      </c>
      <c r="G74" s="2">
        <v>6</v>
      </c>
      <c r="H74" s="2">
        <v>6</v>
      </c>
      <c r="I74" s="2">
        <v>6</v>
      </c>
      <c r="J74" s="2">
        <v>6</v>
      </c>
      <c r="K74" s="2">
        <v>6</v>
      </c>
      <c r="L74" s="2">
        <v>6</v>
      </c>
    </row>
    <row r="75" spans="1:26" x14ac:dyDescent="0.2">
      <c r="A75" s="47" t="s">
        <v>270</v>
      </c>
      <c r="B75" s="48">
        <f>526199+'Adjustments to FS&amp; Calculation '!E17</f>
        <v>555147.66666666663</v>
      </c>
      <c r="C75" s="49">
        <f>'Adjustments to FS&amp; Calculation '!M12+526199+C126</f>
        <v>581519.39402777783</v>
      </c>
      <c r="D75" s="49">
        <f>'Adjustments to FS&amp; Calculation '!M11+526199</f>
        <v>586906.3841944444</v>
      </c>
      <c r="E75" s="49">
        <f>'Adjustments to FS&amp; Calculation '!M10+526199</f>
        <v>582902.55426666664</v>
      </c>
      <c r="F75" s="49">
        <f>'Adjustments to FS&amp; Calculation '!M9+526199</f>
        <v>569090.21005999995</v>
      </c>
      <c r="G75" s="49">
        <f>'Adjustments to FS&amp; Calculation '!M8+526199</f>
        <v>551933.72603599995</v>
      </c>
      <c r="H75" s="49">
        <f>'Adjustments to FS&amp; Calculation '!M7+526199</f>
        <v>541639.83562160004</v>
      </c>
      <c r="I75" s="49">
        <f>'Adjustments to FS&amp; Calculation '!M6+526199</f>
        <v>535463.50137296005</v>
      </c>
      <c r="J75" s="50">
        <f>'Adjustments to FS&amp; Calculation '!N6+526199</f>
        <v>526199</v>
      </c>
      <c r="K75" s="50">
        <f>'Adjustments to FS&amp; Calculation '!O6+526199</f>
        <v>526199</v>
      </c>
      <c r="L75" s="50">
        <f>'Adjustments to FS&amp; Calculation '!P6+526199</f>
        <v>526199</v>
      </c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x14ac:dyDescent="0.2">
      <c r="A76" s="2" t="s">
        <v>161</v>
      </c>
      <c r="B76" s="23">
        <v>-142115</v>
      </c>
      <c r="C76" s="27">
        <f t="shared" ref="C76:L76" si="20">B76+C20</f>
        <v>-133750.08468110222</v>
      </c>
      <c r="D76" s="27">
        <f t="shared" si="20"/>
        <v>-121913.87677887114</v>
      </c>
      <c r="E76" s="27">
        <f t="shared" si="20"/>
        <v>-3434.6080599734269</v>
      </c>
      <c r="F76" s="27">
        <f t="shared" si="20"/>
        <v>168182.4611822576</v>
      </c>
      <c r="G76" s="27">
        <f t="shared" si="20"/>
        <v>331622.44214631012</v>
      </c>
      <c r="H76" s="27">
        <f t="shared" si="20"/>
        <v>517027.22757312912</v>
      </c>
      <c r="I76" s="27">
        <f t="shared" si="20"/>
        <v>713850.58802297001</v>
      </c>
      <c r="J76" s="27">
        <f t="shared" si="20"/>
        <v>921804.1179463116</v>
      </c>
      <c r="K76" s="27">
        <f t="shared" si="20"/>
        <v>1136735.2812659317</v>
      </c>
      <c r="L76" s="27">
        <f t="shared" si="20"/>
        <v>1356398.1723394829</v>
      </c>
    </row>
    <row r="77" spans="1:26" x14ac:dyDescent="0.2">
      <c r="A77" s="16" t="s">
        <v>163</v>
      </c>
      <c r="B77" s="25">
        <f t="shared" ref="B77:L77" si="21">SUM(B64:B71,B73:B76)</f>
        <v>413038.66666666663</v>
      </c>
      <c r="C77" s="25">
        <f t="shared" si="21"/>
        <v>447775.30934667564</v>
      </c>
      <c r="D77" s="25">
        <f t="shared" si="21"/>
        <v>464998.50741557323</v>
      </c>
      <c r="E77" s="25">
        <f t="shared" si="21"/>
        <v>579473.94620669319</v>
      </c>
      <c r="F77" s="25">
        <f t="shared" si="21"/>
        <v>737278.67124225758</v>
      </c>
      <c r="G77" s="25">
        <f t="shared" si="21"/>
        <v>883562.16818231007</v>
      </c>
      <c r="H77" s="25">
        <f t="shared" si="21"/>
        <v>1058673.0631947292</v>
      </c>
      <c r="I77" s="25">
        <f t="shared" si="21"/>
        <v>1249320.0893959301</v>
      </c>
      <c r="J77" s="25">
        <f t="shared" si="21"/>
        <v>1448009.1179463116</v>
      </c>
      <c r="K77" s="25">
        <f t="shared" si="21"/>
        <v>1662940.2812659317</v>
      </c>
      <c r="L77" s="25">
        <f t="shared" si="21"/>
        <v>1882603.1723394829</v>
      </c>
    </row>
    <row r="78" spans="1:26" x14ac:dyDescent="0.2">
      <c r="A78" s="16" t="s">
        <v>165</v>
      </c>
      <c r="B78" s="25">
        <f t="shared" ref="B78:L78" si="22">B77+B61+B55</f>
        <v>492211.64475327998</v>
      </c>
      <c r="C78" s="25">
        <f t="shared" si="22"/>
        <v>547798.34142442967</v>
      </c>
      <c r="D78" s="25">
        <f t="shared" si="22"/>
        <v>588488.33777177427</v>
      </c>
      <c r="E78" s="25">
        <f t="shared" si="22"/>
        <v>833594.50990395166</v>
      </c>
      <c r="F78" s="25">
        <f t="shared" si="22"/>
        <v>1038167.9942961542</v>
      </c>
      <c r="G78" s="25">
        <f t="shared" si="22"/>
        <v>1211881.0454786436</v>
      </c>
      <c r="H78" s="25">
        <f t="shared" si="22"/>
        <v>1303463.0409140359</v>
      </c>
      <c r="I78" s="25">
        <f t="shared" si="22"/>
        <v>1506584.9139535415</v>
      </c>
      <c r="J78" s="25">
        <f t="shared" si="22"/>
        <v>1718414.96084471</v>
      </c>
      <c r="K78" s="25">
        <f t="shared" si="22"/>
        <v>1942063.6832392879</v>
      </c>
      <c r="L78" s="25">
        <f t="shared" si="22"/>
        <v>2168137.0362944077</v>
      </c>
    </row>
    <row r="80" spans="1:26" x14ac:dyDescent="0.2">
      <c r="A80" s="2" t="s">
        <v>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0.21</v>
      </c>
      <c r="H80" s="5">
        <v>0.21</v>
      </c>
      <c r="I80" s="5">
        <v>0.21</v>
      </c>
      <c r="J80" s="5">
        <v>0.21</v>
      </c>
      <c r="K80" s="5">
        <v>0.21</v>
      </c>
      <c r="L80" s="5">
        <v>0.21</v>
      </c>
    </row>
    <row r="81" spans="1:12" x14ac:dyDescent="0.2">
      <c r="A81" s="2" t="s">
        <v>271</v>
      </c>
      <c r="B81" s="27">
        <f t="shared" ref="B81:L81" si="23">B61+B55-B48-B49-B50-B51</f>
        <v>42547.978086613351</v>
      </c>
      <c r="C81" s="27">
        <f t="shared" si="23"/>
        <v>30189.92494273456</v>
      </c>
      <c r="D81" s="27">
        <f t="shared" si="23"/>
        <v>28815.739824745313</v>
      </c>
      <c r="E81" s="27">
        <f t="shared" si="23"/>
        <v>107807.31144359703</v>
      </c>
      <c r="F81" s="27">
        <f t="shared" si="23"/>
        <v>106282.92090095281</v>
      </c>
      <c r="G81" s="27">
        <f t="shared" si="23"/>
        <v>105439.00000000003</v>
      </c>
      <c r="H81" s="27">
        <f t="shared" si="23"/>
        <v>0</v>
      </c>
      <c r="I81" s="27">
        <f t="shared" si="23"/>
        <v>-2.9103830456733704E-11</v>
      </c>
      <c r="J81" s="27">
        <f t="shared" si="23"/>
        <v>0</v>
      </c>
      <c r="K81" s="27">
        <f t="shared" si="23"/>
        <v>0</v>
      </c>
      <c r="L81" s="27">
        <f t="shared" si="23"/>
        <v>0</v>
      </c>
    </row>
    <row r="82" spans="1:12" x14ac:dyDescent="0.2">
      <c r="A82" s="2" t="s">
        <v>5</v>
      </c>
      <c r="B82" s="10">
        <f t="shared" ref="B82:L82" si="24">(B55+B61)/(B77)</f>
        <v>0.19168417989908942</v>
      </c>
      <c r="C82" s="10">
        <f t="shared" si="24"/>
        <v>0.22337772983439425</v>
      </c>
      <c r="D82" s="10">
        <f t="shared" si="24"/>
        <v>0.26557038009121403</v>
      </c>
      <c r="E82" s="10">
        <f t="shared" si="24"/>
        <v>0.43853665097587663</v>
      </c>
      <c r="F82" s="10">
        <f t="shared" si="24"/>
        <v>0.40810799876649273</v>
      </c>
      <c r="G82" s="10">
        <f t="shared" si="24"/>
        <v>0.37158548557116344</v>
      </c>
      <c r="H82" s="10">
        <f t="shared" si="24"/>
        <v>0.23122339297139641</v>
      </c>
      <c r="I82" s="10">
        <f t="shared" si="24"/>
        <v>0.20592386750300629</v>
      </c>
      <c r="J82" s="10">
        <f t="shared" si="24"/>
        <v>0.18674319073481435</v>
      </c>
      <c r="K82" s="10">
        <f t="shared" si="24"/>
        <v>0.16784932394617949</v>
      </c>
      <c r="L82" s="10">
        <f t="shared" si="24"/>
        <v>0.15166970296777743</v>
      </c>
    </row>
    <row r="83" spans="1:12" x14ac:dyDescent="0.2">
      <c r="A83" s="2" t="s">
        <v>272</v>
      </c>
      <c r="B83" s="10">
        <f t="shared" ref="B83:L83" si="25">B84+B82*(B84+B13/(B55+B61)*(1-B80))</f>
        <v>6.9044437600970926E-2</v>
      </c>
      <c r="C83" s="10">
        <f t="shared" si="25"/>
        <v>4.5122108303071055E-2</v>
      </c>
      <c r="D83" s="10">
        <f t="shared" si="25"/>
        <v>7.230755126660264E-2</v>
      </c>
      <c r="E83" s="10">
        <f t="shared" si="25"/>
        <v>0.34968334669537454</v>
      </c>
      <c r="F83" s="10">
        <f t="shared" si="25"/>
        <v>0.40417075817997922</v>
      </c>
      <c r="G83" s="10">
        <f t="shared" si="25"/>
        <v>0.34438311312366182</v>
      </c>
      <c r="H83" s="10">
        <f t="shared" si="25"/>
        <v>0.33440816225610315</v>
      </c>
      <c r="I83" s="10">
        <f t="shared" si="25"/>
        <v>0.33436572171329693</v>
      </c>
      <c r="J83" s="10">
        <f t="shared" si="25"/>
        <v>0.33878665391209417</v>
      </c>
      <c r="K83" s="10">
        <f t="shared" si="25"/>
        <v>0.33746843911391133</v>
      </c>
      <c r="L83" s="10">
        <f t="shared" si="25"/>
        <v>0.33621994110251441</v>
      </c>
    </row>
    <row r="84" spans="1:12" x14ac:dyDescent="0.2">
      <c r="A84" s="2" t="s">
        <v>32</v>
      </c>
      <c r="B84" s="10">
        <f t="shared" ref="B84:L84" si="26">(B10*(1-B80))/(B55+B61+B77-B39)</f>
        <v>6.6745723709812674E-2</v>
      </c>
      <c r="C84" s="10">
        <f t="shared" si="26"/>
        <v>4.5917565099550139E-2</v>
      </c>
      <c r="D84" s="10">
        <f t="shared" si="26"/>
        <v>6.543358796139627E-2</v>
      </c>
      <c r="E84" s="10">
        <f t="shared" si="26"/>
        <v>0.24526239844824427</v>
      </c>
      <c r="F84" s="10">
        <f t="shared" si="26"/>
        <v>0.28880343180795509</v>
      </c>
      <c r="G84" s="10">
        <f t="shared" si="26"/>
        <v>0.25196595099506197</v>
      </c>
      <c r="H84" s="10">
        <f t="shared" si="26"/>
        <v>0.27473801116897667</v>
      </c>
      <c r="I84" s="10">
        <f t="shared" si="26"/>
        <v>0.27726934570557654</v>
      </c>
      <c r="J84" s="10">
        <f t="shared" si="26"/>
        <v>0.28547596190741348</v>
      </c>
      <c r="K84" s="10">
        <f t="shared" si="26"/>
        <v>0.28896573572830497</v>
      </c>
      <c r="L84" s="10">
        <f t="shared" si="26"/>
        <v>0.2919412920528322</v>
      </c>
    </row>
    <row r="85" spans="1:12" x14ac:dyDescent="0.2">
      <c r="A85" s="2" t="s">
        <v>273</v>
      </c>
      <c r="B85" s="13">
        <f>100%</f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</row>
    <row r="86" spans="1:12" x14ac:dyDescent="0.2">
      <c r="A86" s="2" t="s">
        <v>274</v>
      </c>
      <c r="B86" s="13">
        <f>B85*B83</f>
        <v>6.9044437600970926E-2</v>
      </c>
    </row>
    <row r="87" spans="1:12" x14ac:dyDescent="0.2">
      <c r="A87" s="2" t="s">
        <v>275</v>
      </c>
      <c r="B87" s="10">
        <f>B84*'DCF Valuation'!B40</f>
        <v>0.46782117707534182</v>
      </c>
    </row>
    <row r="89" spans="1:12" x14ac:dyDescent="0.2">
      <c r="A89" s="2" t="s">
        <v>254</v>
      </c>
      <c r="B89" s="12">
        <f t="shared" ref="B89:L89" si="27">B40+B41+B42-B48-B49-B50-B51</f>
        <v>90981</v>
      </c>
      <c r="C89" s="12">
        <f t="shared" si="27"/>
        <v>105377.96379220077</v>
      </c>
      <c r="D89" s="12">
        <f t="shared" si="27"/>
        <v>147762.21912660624</v>
      </c>
      <c r="E89" s="12">
        <f t="shared" si="27"/>
        <v>236808.86909912174</v>
      </c>
      <c r="F89" s="12">
        <f t="shared" si="27"/>
        <v>319911.7948822545</v>
      </c>
      <c r="G89" s="12">
        <f t="shared" si="27"/>
        <v>367967.71681872825</v>
      </c>
      <c r="H89" s="12">
        <f t="shared" si="27"/>
        <v>404792.97062728449</v>
      </c>
      <c r="I89" s="12">
        <f t="shared" si="27"/>
        <v>425014.88050991652</v>
      </c>
      <c r="J89" s="12">
        <f t="shared" si="27"/>
        <v>446244.68791547278</v>
      </c>
      <c r="K89" s="12">
        <f t="shared" si="27"/>
        <v>459586.39955868886</v>
      </c>
      <c r="L89" s="12">
        <f t="shared" si="27"/>
        <v>468715.71998036682</v>
      </c>
    </row>
    <row r="90" spans="1:12" x14ac:dyDescent="0.2">
      <c r="A90" s="2" t="s">
        <v>29</v>
      </c>
      <c r="B90" s="12"/>
      <c r="C90" s="12">
        <f t="shared" ref="C90:L90" si="28">C89-B89</f>
        <v>14396.963792200768</v>
      </c>
      <c r="D90" s="12">
        <f t="shared" si="28"/>
        <v>42384.255334405476</v>
      </c>
      <c r="E90" s="12">
        <f t="shared" si="28"/>
        <v>89046.649972515501</v>
      </c>
      <c r="F90" s="12">
        <f t="shared" si="28"/>
        <v>83102.925783132756</v>
      </c>
      <c r="G90" s="12">
        <f t="shared" si="28"/>
        <v>48055.921936473751</v>
      </c>
      <c r="H90" s="12">
        <f t="shared" si="28"/>
        <v>36825.253808556241</v>
      </c>
      <c r="I90" s="12">
        <f t="shared" si="28"/>
        <v>20221.909882632026</v>
      </c>
      <c r="J90" s="12">
        <f t="shared" si="28"/>
        <v>21229.807405556261</v>
      </c>
      <c r="K90" s="12">
        <f t="shared" si="28"/>
        <v>13341.711643216084</v>
      </c>
      <c r="L90" s="12">
        <f t="shared" si="28"/>
        <v>9129.3204216779559</v>
      </c>
    </row>
    <row r="96" spans="1:12" x14ac:dyDescent="0.2">
      <c r="A96" s="24" t="s">
        <v>58</v>
      </c>
      <c r="B96" s="24">
        <v>2019</v>
      </c>
      <c r="C96" s="2">
        <v>2020</v>
      </c>
      <c r="D96" s="24">
        <v>2021</v>
      </c>
      <c r="E96" s="2">
        <v>2022</v>
      </c>
      <c r="F96" s="24">
        <v>2023</v>
      </c>
      <c r="G96" s="2">
        <v>2024</v>
      </c>
      <c r="H96" s="24">
        <v>2025</v>
      </c>
      <c r="I96" s="2">
        <v>2026</v>
      </c>
      <c r="J96" s="2">
        <v>2027</v>
      </c>
      <c r="K96" s="2">
        <v>2028</v>
      </c>
      <c r="L96" s="2">
        <v>2029</v>
      </c>
    </row>
    <row r="97" spans="1:12" x14ac:dyDescent="0.2">
      <c r="A97" s="24" t="s">
        <v>62</v>
      </c>
    </row>
    <row r="98" spans="1:12" x14ac:dyDescent="0.2">
      <c r="A98" s="2" t="s">
        <v>276</v>
      </c>
      <c r="B98" s="23">
        <f t="shared" ref="B98:L98" si="29">B20</f>
        <v>1214.0036522311129</v>
      </c>
      <c r="C98" s="23">
        <f t="shared" si="29"/>
        <v>8364.9153188977798</v>
      </c>
      <c r="D98" s="23">
        <f t="shared" si="29"/>
        <v>11836.207902231079</v>
      </c>
      <c r="E98" s="23">
        <f t="shared" si="29"/>
        <v>118479.26871889771</v>
      </c>
      <c r="F98" s="23">
        <f t="shared" si="29"/>
        <v>171617.06924223102</v>
      </c>
      <c r="G98" s="23">
        <f t="shared" si="29"/>
        <v>163439.98096405252</v>
      </c>
      <c r="H98" s="23">
        <f t="shared" si="29"/>
        <v>185404.785426819</v>
      </c>
      <c r="I98" s="23">
        <f t="shared" si="29"/>
        <v>196823.3604498409</v>
      </c>
      <c r="J98" s="23">
        <f t="shared" si="29"/>
        <v>207953.52992334153</v>
      </c>
      <c r="K98" s="23">
        <f t="shared" si="29"/>
        <v>214931.1633196201</v>
      </c>
      <c r="L98" s="23">
        <f t="shared" si="29"/>
        <v>219662.89107355135</v>
      </c>
    </row>
    <row r="99" spans="1:12" x14ac:dyDescent="0.2">
      <c r="A99" s="2" t="s">
        <v>68</v>
      </c>
    </row>
    <row r="100" spans="1:12" x14ac:dyDescent="0.2">
      <c r="A100" s="2" t="s">
        <v>74</v>
      </c>
      <c r="B100" s="23">
        <v>8106</v>
      </c>
      <c r="C100" s="12">
        <f>'DCF Valuation'!C34</f>
        <v>11196.20991118518</v>
      </c>
      <c r="D100" s="12">
        <f>'DCF Valuation'!D34</f>
        <v>11848.219384105734</v>
      </c>
      <c r="E100" s="12">
        <f>'DCF Valuation'!E34</f>
        <v>12565.429804318343</v>
      </c>
      <c r="F100" s="12">
        <f>'DCF Valuation'!F34</f>
        <v>13354.361266552211</v>
      </c>
      <c r="G100" s="12">
        <f>'DCF Valuation'!G34</f>
        <v>14222.185875009467</v>
      </c>
      <c r="H100" s="12">
        <f>'DCF Valuation'!H34</f>
        <v>15176.79294431245</v>
      </c>
      <c r="I100" s="13">
        <f>'DCF Valuation'!I34</f>
        <v>16226.86072054573</v>
      </c>
      <c r="J100" s="13">
        <f>'DCF Valuation'!J34</f>
        <v>17381.935274402338</v>
      </c>
      <c r="K100" s="13">
        <f>'DCF Valuation'!K34</f>
        <v>18652.517283644607</v>
      </c>
      <c r="L100" s="13">
        <f>'DCF Valuation'!L34</f>
        <v>20050.157493811104</v>
      </c>
    </row>
    <row r="101" spans="1:12" x14ac:dyDescent="0.2">
      <c r="A101" s="2" t="s">
        <v>77</v>
      </c>
      <c r="B101" s="2">
        <v>0</v>
      </c>
    </row>
    <row r="102" spans="1:12" x14ac:dyDescent="0.2">
      <c r="A102" s="2" t="s">
        <v>81</v>
      </c>
      <c r="B102" s="23">
        <v>12807</v>
      </c>
    </row>
    <row r="103" spans="1:12" x14ac:dyDescent="0.2">
      <c r="A103" s="2" t="s">
        <v>85</v>
      </c>
      <c r="B103" s="2">
        <v>93</v>
      </c>
    </row>
    <row r="104" spans="1:12" x14ac:dyDescent="0.2">
      <c r="A104" s="2" t="s">
        <v>89</v>
      </c>
      <c r="B104" s="2">
        <v>181</v>
      </c>
    </row>
    <row r="105" spans="1:12" x14ac:dyDescent="0.2">
      <c r="A105" s="2" t="s">
        <v>93</v>
      </c>
      <c r="B105" s="23">
        <v>12503</v>
      </c>
    </row>
    <row r="106" spans="1:12" x14ac:dyDescent="0.2">
      <c r="A106" s="2" t="s">
        <v>96</v>
      </c>
      <c r="B106" s="2">
        <v>0</v>
      </c>
    </row>
    <row r="108" spans="1:12" x14ac:dyDescent="0.2">
      <c r="A108" s="2" t="s">
        <v>103</v>
      </c>
    </row>
    <row r="109" spans="1:12" x14ac:dyDescent="0.2">
      <c r="A109" s="2" t="s">
        <v>107</v>
      </c>
      <c r="B109" s="23">
        <v>-27454</v>
      </c>
      <c r="C109" s="27">
        <f t="shared" ref="C109:L109" si="30">B40-C40</f>
        <v>-11703.455787863626</v>
      </c>
      <c r="D109" s="12">
        <f t="shared" si="30"/>
        <v>-20713.382315145442</v>
      </c>
      <c r="E109" s="12">
        <f t="shared" si="30"/>
        <v>-43498.102861805441</v>
      </c>
      <c r="F109" s="12">
        <f t="shared" si="30"/>
        <v>-40598.229337685101</v>
      </c>
      <c r="G109" s="12">
        <f t="shared" si="30"/>
        <v>-23488.975545374939</v>
      </c>
      <c r="H109" s="12">
        <f t="shared" si="30"/>
        <v>-18008.214584787464</v>
      </c>
      <c r="I109" s="12">
        <f t="shared" si="30"/>
        <v>-9904.518021633121</v>
      </c>
      <c r="J109" s="12">
        <f t="shared" si="30"/>
        <v>-10399.743922714755</v>
      </c>
      <c r="K109" s="12">
        <f t="shared" si="30"/>
        <v>-6551.8386713102809</v>
      </c>
      <c r="L109" s="12">
        <f t="shared" si="30"/>
        <v>-4498.9292209664127</v>
      </c>
    </row>
    <row r="110" spans="1:12" x14ac:dyDescent="0.2">
      <c r="A110" s="2" t="s">
        <v>111</v>
      </c>
      <c r="B110" s="23">
        <v>-51339</v>
      </c>
      <c r="C110" s="27">
        <f t="shared" ref="C110:L110" si="31">B41-C41</f>
        <v>-33465.6669391248</v>
      </c>
      <c r="D110" s="12">
        <f t="shared" si="31"/>
        <v>-46024.666775649894</v>
      </c>
      <c r="E110" s="12">
        <f t="shared" si="31"/>
        <v>-96651.800228864857</v>
      </c>
      <c r="F110" s="12">
        <f t="shared" si="31"/>
        <v>-90208.346880273923</v>
      </c>
      <c r="G110" s="12">
        <f t="shared" si="31"/>
        <v>-52191.97212358698</v>
      </c>
      <c r="H110" s="12">
        <f t="shared" si="31"/>
        <v>-40013.845294750063</v>
      </c>
      <c r="I110" s="12">
        <f t="shared" si="31"/>
        <v>-22007.614912112535</v>
      </c>
      <c r="J110" s="12">
        <f t="shared" si="31"/>
        <v>-23107.995657718158</v>
      </c>
      <c r="K110" s="12">
        <f t="shared" si="31"/>
        <v>-14558.037264362443</v>
      </c>
      <c r="L110" s="12">
        <f t="shared" si="31"/>
        <v>-9996.5189215288847</v>
      </c>
    </row>
    <row r="111" spans="1:12" x14ac:dyDescent="0.2">
      <c r="A111" s="2" t="s">
        <v>114</v>
      </c>
      <c r="B111" s="23">
        <v>-2362</v>
      </c>
      <c r="C111" s="27">
        <f t="shared" ref="C111:L111" si="32">B42-C42</f>
        <v>-2435.9482002317964</v>
      </c>
      <c r="D111" s="12">
        <f t="shared" si="32"/>
        <v>-487.18964004635927</v>
      </c>
      <c r="E111" s="12">
        <f t="shared" si="32"/>
        <v>-535.90860405099374</v>
      </c>
      <c r="F111" s="12">
        <f t="shared" si="32"/>
        <v>-589.49946445609385</v>
      </c>
      <c r="G111" s="12">
        <f t="shared" si="32"/>
        <v>-648.44941090170323</v>
      </c>
      <c r="H111" s="12">
        <f t="shared" si="32"/>
        <v>-713.29435199187537</v>
      </c>
      <c r="I111" s="12">
        <f t="shared" si="32"/>
        <v>-784.62378719106164</v>
      </c>
      <c r="J111" s="12">
        <f t="shared" si="32"/>
        <v>-863.08616591016835</v>
      </c>
      <c r="K111" s="12">
        <f t="shared" si="32"/>
        <v>-949.39478250118373</v>
      </c>
      <c r="L111" s="12">
        <f t="shared" si="32"/>
        <v>-1044.3342607513041</v>
      </c>
    </row>
    <row r="112" spans="1:12" x14ac:dyDescent="0.2">
      <c r="A112" s="2" t="s">
        <v>99</v>
      </c>
      <c r="B112" s="23">
        <v>10149</v>
      </c>
      <c r="C112" s="12">
        <f t="shared" ref="C112:L112" si="33">C48-B48</f>
        <v>26421.529995507997</v>
      </c>
      <c r="D112" s="12">
        <f t="shared" si="33"/>
        <v>21337.811998203193</v>
      </c>
      <c r="E112" s="12">
        <f t="shared" si="33"/>
        <v>44809.405196226726</v>
      </c>
      <c r="F112" s="12">
        <f t="shared" si="33"/>
        <v>41822.111516478297</v>
      </c>
      <c r="G112" s="12">
        <f t="shared" si="33"/>
        <v>24197.078805962403</v>
      </c>
      <c r="H112" s="12">
        <f t="shared" si="33"/>
        <v>18551.093751237873</v>
      </c>
      <c r="I112" s="12">
        <f t="shared" si="33"/>
        <v>10203.101563180855</v>
      </c>
      <c r="J112" s="12">
        <f t="shared" si="33"/>
        <v>10713.25664133986</v>
      </c>
      <c r="K112" s="12">
        <f t="shared" si="33"/>
        <v>6749.3516840441152</v>
      </c>
      <c r="L112" s="12">
        <f t="shared" si="33"/>
        <v>4634.5548230436398</v>
      </c>
    </row>
    <row r="113" spans="1:12" x14ac:dyDescent="0.2">
      <c r="A113" s="2" t="s">
        <v>110</v>
      </c>
      <c r="B113" s="23">
        <v>2743</v>
      </c>
      <c r="C113" s="12">
        <f t="shared" ref="C113:L113" si="34">C51-B51</f>
        <v>3635.6699698069015</v>
      </c>
      <c r="D113" s="12">
        <f t="shared" si="34"/>
        <v>2976.2679879227589</v>
      </c>
      <c r="E113" s="12">
        <f t="shared" si="34"/>
        <v>6250.1627746377962</v>
      </c>
      <c r="F113" s="12">
        <f t="shared" si="34"/>
        <v>5833.4852563286149</v>
      </c>
      <c r="G113" s="12">
        <f t="shared" si="34"/>
        <v>3375.0878983044095</v>
      </c>
      <c r="H113" s="12">
        <f t="shared" si="34"/>
        <v>2587.5673887000485</v>
      </c>
      <c r="I113" s="12">
        <f t="shared" si="34"/>
        <v>1423.1620637850283</v>
      </c>
      <c r="J113" s="12">
        <f t="shared" si="34"/>
        <v>1494.3201669742775</v>
      </c>
      <c r="K113" s="12">
        <f t="shared" si="34"/>
        <v>941.42170519379579</v>
      </c>
      <c r="L113" s="12">
        <f t="shared" si="34"/>
        <v>646.44290423307393</v>
      </c>
    </row>
    <row r="114" spans="1:12" x14ac:dyDescent="0.2">
      <c r="A114" s="2" t="s">
        <v>120</v>
      </c>
      <c r="B114" s="2">
        <v>21</v>
      </c>
    </row>
    <row r="115" spans="1:12" x14ac:dyDescent="0.2">
      <c r="A115" s="16" t="s">
        <v>121</v>
      </c>
      <c r="B115" s="25">
        <f t="shared" ref="B115:L115" si="35">SUM(B98:B114)</f>
        <v>-33337.996347768887</v>
      </c>
      <c r="C115" s="25">
        <f t="shared" si="35"/>
        <v>2013.2542681776349</v>
      </c>
      <c r="D115" s="25">
        <f t="shared" si="35"/>
        <v>-19226.731458378934</v>
      </c>
      <c r="E115" s="25">
        <f t="shared" si="35"/>
        <v>41418.454799359286</v>
      </c>
      <c r="F115" s="25">
        <f t="shared" si="35"/>
        <v>101230.95159917502</v>
      </c>
      <c r="G115" s="25">
        <f t="shared" si="35"/>
        <v>128904.93646346517</v>
      </c>
      <c r="H115" s="25">
        <f t="shared" si="35"/>
        <v>162984.88527953997</v>
      </c>
      <c r="I115" s="25">
        <f t="shared" si="35"/>
        <v>191979.72807641578</v>
      </c>
      <c r="J115" s="25">
        <f t="shared" si="35"/>
        <v>203172.21625971491</v>
      </c>
      <c r="K115" s="25">
        <f t="shared" si="35"/>
        <v>219215.18327432871</v>
      </c>
      <c r="L115" s="25">
        <f t="shared" si="35"/>
        <v>229454.26389139256</v>
      </c>
    </row>
    <row r="117" spans="1:12" x14ac:dyDescent="0.2">
      <c r="A117" s="24" t="s">
        <v>126</v>
      </c>
    </row>
    <row r="118" spans="1:12" x14ac:dyDescent="0.2">
      <c r="A118" s="2" t="s">
        <v>128</v>
      </c>
      <c r="B118" s="23">
        <v>-23795</v>
      </c>
    </row>
    <row r="119" spans="1:12" x14ac:dyDescent="0.2">
      <c r="A119" s="2" t="s">
        <v>131</v>
      </c>
      <c r="B119" s="2">
        <v>0</v>
      </c>
    </row>
    <row r="120" spans="1:12" x14ac:dyDescent="0.2">
      <c r="A120" s="2" t="s">
        <v>133</v>
      </c>
      <c r="B120" s="23">
        <v>-2123</v>
      </c>
    </row>
    <row r="121" spans="1:12" x14ac:dyDescent="0.2">
      <c r="A121" s="2" t="s">
        <v>135</v>
      </c>
      <c r="B121" s="2">
        <v>299</v>
      </c>
    </row>
    <row r="122" spans="1:12" x14ac:dyDescent="0.2">
      <c r="A122" s="2" t="s">
        <v>137</v>
      </c>
      <c r="B122" s="2">
        <v>-545</v>
      </c>
    </row>
    <row r="123" spans="1:12" x14ac:dyDescent="0.2">
      <c r="A123" s="16" t="s">
        <v>139</v>
      </c>
      <c r="B123" s="25">
        <f>SUM(B118:B122)</f>
        <v>-26164</v>
      </c>
      <c r="C123" s="12">
        <f>-'DCF Valuation'!C32</f>
        <v>-28008.474896526903</v>
      </c>
      <c r="D123" s="12">
        <f>-'DCF Valuation'!D32</f>
        <v>-5601.6949793053791</v>
      </c>
      <c r="E123" s="12">
        <f>-'DCF Valuation'!E32</f>
        <v>-6161.8644772359175</v>
      </c>
      <c r="F123" s="12">
        <f>-'DCF Valuation'!F32</f>
        <v>-6778.0509249595098</v>
      </c>
      <c r="G123" s="12">
        <f>-'DCF Valuation'!G32</f>
        <v>-7455.8560174554614</v>
      </c>
      <c r="H123" s="12">
        <f>-'DCF Valuation'!H32</f>
        <v>-8201.4416192010085</v>
      </c>
      <c r="I123" s="12">
        <f>-'DCF Valuation'!I32</f>
        <v>-9021.5857811211099</v>
      </c>
      <c r="J123" s="12">
        <f>-'DCF Valuation'!J32</f>
        <v>-9923.744359233222</v>
      </c>
      <c r="K123" s="12">
        <f>-'DCF Valuation'!K32</f>
        <v>-10916.118795156544</v>
      </c>
      <c r="L123" s="12">
        <f>-'DCF Valuation'!L32</f>
        <v>-12007.730674672201</v>
      </c>
    </row>
    <row r="125" spans="1:12" x14ac:dyDescent="0.2">
      <c r="A125" s="24" t="s">
        <v>142</v>
      </c>
    </row>
    <row r="126" spans="1:12" x14ac:dyDescent="0.2">
      <c r="A126" s="2" t="s">
        <v>144</v>
      </c>
      <c r="B126" s="23">
        <v>254868</v>
      </c>
      <c r="C126" s="30">
        <v>0</v>
      </c>
    </row>
    <row r="127" spans="1:12" x14ac:dyDescent="0.2">
      <c r="A127" s="2" t="s">
        <v>146</v>
      </c>
      <c r="B127" s="23">
        <v>37394</v>
      </c>
      <c r="C127" s="23"/>
    </row>
    <row r="128" spans="1:12" x14ac:dyDescent="0.2">
      <c r="A128" s="2" t="s">
        <v>148</v>
      </c>
    </row>
    <row r="129" spans="1:26" x14ac:dyDescent="0.2">
      <c r="A129" s="2" t="s">
        <v>150</v>
      </c>
    </row>
    <row r="130" spans="1:26" x14ac:dyDescent="0.2">
      <c r="A130" s="2" t="s">
        <v>152</v>
      </c>
    </row>
    <row r="131" spans="1:26" x14ac:dyDescent="0.2">
      <c r="A131" s="2" t="s">
        <v>154</v>
      </c>
    </row>
    <row r="132" spans="1:26" x14ac:dyDescent="0.2">
      <c r="A132" s="2" t="s">
        <v>156</v>
      </c>
    </row>
    <row r="133" spans="1:26" x14ac:dyDescent="0.2">
      <c r="A133" s="2" t="s">
        <v>158</v>
      </c>
    </row>
    <row r="134" spans="1:26" x14ac:dyDescent="0.2">
      <c r="A134" s="2" t="s">
        <v>160</v>
      </c>
    </row>
    <row r="135" spans="1:26" x14ac:dyDescent="0.2">
      <c r="A135" s="2" t="s">
        <v>162</v>
      </c>
    </row>
    <row r="136" spans="1:26" x14ac:dyDescent="0.2">
      <c r="A136" s="32" t="s">
        <v>164</v>
      </c>
      <c r="B136" s="35"/>
      <c r="C136" s="32">
        <v>-6000</v>
      </c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x14ac:dyDescent="0.2">
      <c r="A137" s="32" t="s">
        <v>166</v>
      </c>
      <c r="B137" s="35"/>
      <c r="C137" s="35"/>
      <c r="D137" s="35"/>
      <c r="E137" s="32">
        <v>-25000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x14ac:dyDescent="0.2">
      <c r="A138" s="32" t="s">
        <v>277</v>
      </c>
      <c r="B138" s="35"/>
      <c r="C138" s="51"/>
      <c r="D138" s="35"/>
      <c r="E138" s="3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x14ac:dyDescent="0.2">
      <c r="A139" s="2" t="s">
        <v>167</v>
      </c>
    </row>
    <row r="140" spans="1:26" x14ac:dyDescent="0.2">
      <c r="A140" s="2" t="s">
        <v>168</v>
      </c>
      <c r="B140" s="2">
        <v>-55</v>
      </c>
      <c r="D140" s="23">
        <v>100000</v>
      </c>
      <c r="H140" s="23">
        <v>-100000</v>
      </c>
    </row>
    <row r="141" spans="1:26" x14ac:dyDescent="0.2">
      <c r="A141" s="2" t="s">
        <v>278</v>
      </c>
      <c r="B141" s="23">
        <v>2669</v>
      </c>
    </row>
    <row r="142" spans="1:26" x14ac:dyDescent="0.2">
      <c r="A142" s="2" t="s">
        <v>169</v>
      </c>
    </row>
    <row r="143" spans="1:26" x14ac:dyDescent="0.2">
      <c r="A143" s="2" t="s">
        <v>170</v>
      </c>
    </row>
    <row r="144" spans="1:26" x14ac:dyDescent="0.2">
      <c r="A144" s="2" t="s">
        <v>171</v>
      </c>
    </row>
    <row r="145" spans="1:12" x14ac:dyDescent="0.2">
      <c r="A145" s="2" t="s">
        <v>172</v>
      </c>
    </row>
    <row r="146" spans="1:12" x14ac:dyDescent="0.2">
      <c r="A146" s="16" t="s">
        <v>173</v>
      </c>
      <c r="B146" s="25">
        <f t="shared" ref="B146:L146" si="36">SUM(B126:B145)</f>
        <v>294876</v>
      </c>
      <c r="C146" s="12">
        <f t="shared" si="36"/>
        <v>-6000</v>
      </c>
      <c r="D146" s="13">
        <f t="shared" si="36"/>
        <v>100000</v>
      </c>
      <c r="E146" s="13">
        <f t="shared" si="36"/>
        <v>-25000</v>
      </c>
      <c r="F146" s="13">
        <f t="shared" si="36"/>
        <v>0</v>
      </c>
      <c r="G146" s="13">
        <f t="shared" si="36"/>
        <v>0</v>
      </c>
      <c r="H146" s="13">
        <f t="shared" si="36"/>
        <v>-100000</v>
      </c>
      <c r="I146" s="13">
        <f t="shared" si="36"/>
        <v>0</v>
      </c>
      <c r="J146" s="13">
        <f t="shared" si="36"/>
        <v>0</v>
      </c>
      <c r="K146" s="13">
        <f t="shared" si="36"/>
        <v>0</v>
      </c>
      <c r="L146" s="13">
        <f t="shared" si="36"/>
        <v>0</v>
      </c>
    </row>
    <row r="147" spans="1:12" x14ac:dyDescent="0.2">
      <c r="A147" s="16" t="s">
        <v>279</v>
      </c>
      <c r="B147" s="25">
        <f t="shared" ref="B147:L147" si="37">B146+B123+B115</f>
        <v>235374.00365223113</v>
      </c>
      <c r="C147" s="30">
        <f t="shared" si="37"/>
        <v>-31995.220628349267</v>
      </c>
      <c r="D147" s="30">
        <f t="shared" si="37"/>
        <v>75171.573562315694</v>
      </c>
      <c r="E147" s="30">
        <f t="shared" si="37"/>
        <v>10256.590322123368</v>
      </c>
      <c r="F147" s="30">
        <f t="shared" si="37"/>
        <v>94452.900674215518</v>
      </c>
      <c r="G147" s="30">
        <f t="shared" si="37"/>
        <v>121449.08044600971</v>
      </c>
      <c r="H147" s="30">
        <f t="shared" si="37"/>
        <v>54783.443660338962</v>
      </c>
      <c r="I147" s="30">
        <f t="shared" si="37"/>
        <v>182958.14229529467</v>
      </c>
      <c r="J147" s="30">
        <f t="shared" si="37"/>
        <v>193248.4719004817</v>
      </c>
      <c r="K147" s="30">
        <f t="shared" si="37"/>
        <v>208299.06447917217</v>
      </c>
      <c r="L147" s="30">
        <f t="shared" si="37"/>
        <v>217446.53321672036</v>
      </c>
    </row>
    <row r="148" spans="1:12" x14ac:dyDescent="0.2">
      <c r="A148" s="16" t="s">
        <v>174</v>
      </c>
      <c r="B148" s="25">
        <v>54271</v>
      </c>
      <c r="C148" s="27">
        <f t="shared" ref="C148:L148" si="38">B149</f>
        <v>289645.00365223113</v>
      </c>
      <c r="D148" s="27">
        <f t="shared" si="38"/>
        <v>257649.78302388187</v>
      </c>
      <c r="E148" s="27">
        <f t="shared" si="38"/>
        <v>332821.35658619757</v>
      </c>
      <c r="F148" s="27">
        <f t="shared" si="38"/>
        <v>343077.94690832094</v>
      </c>
      <c r="G148" s="27">
        <f t="shared" si="38"/>
        <v>437530.84758253646</v>
      </c>
      <c r="H148" s="27">
        <f t="shared" si="38"/>
        <v>558979.92802854616</v>
      </c>
      <c r="I148" s="27">
        <f t="shared" si="38"/>
        <v>613763.37168888515</v>
      </c>
      <c r="J148" s="27">
        <f t="shared" si="38"/>
        <v>796721.51398417982</v>
      </c>
      <c r="K148" s="27">
        <f t="shared" si="38"/>
        <v>989969.98588466155</v>
      </c>
      <c r="L148" s="27">
        <f t="shared" si="38"/>
        <v>1198269.0503638338</v>
      </c>
    </row>
    <row r="149" spans="1:12" x14ac:dyDescent="0.2">
      <c r="A149" s="16" t="s">
        <v>175</v>
      </c>
      <c r="B149" s="25">
        <f t="shared" ref="B149:L149" si="39">B148+B147</f>
        <v>289645.00365223113</v>
      </c>
      <c r="C149" s="27">
        <f t="shared" si="39"/>
        <v>257649.78302388187</v>
      </c>
      <c r="D149" s="27">
        <f t="shared" si="39"/>
        <v>332821.35658619757</v>
      </c>
      <c r="E149" s="27">
        <f t="shared" si="39"/>
        <v>343077.94690832094</v>
      </c>
      <c r="F149" s="27">
        <f t="shared" si="39"/>
        <v>437530.84758253646</v>
      </c>
      <c r="G149" s="27">
        <f t="shared" si="39"/>
        <v>558979.92802854616</v>
      </c>
      <c r="H149" s="27">
        <f t="shared" si="39"/>
        <v>613763.37168888515</v>
      </c>
      <c r="I149" s="27">
        <f t="shared" si="39"/>
        <v>796721.51398417982</v>
      </c>
      <c r="J149" s="27">
        <f t="shared" si="39"/>
        <v>989969.98588466155</v>
      </c>
      <c r="K149" s="27">
        <f t="shared" si="39"/>
        <v>1198269.0503638338</v>
      </c>
      <c r="L149" s="27">
        <f t="shared" si="39"/>
        <v>1415715.5835805542</v>
      </c>
    </row>
    <row r="156" spans="1:12" x14ac:dyDescent="0.2">
      <c r="A156" s="2" t="s">
        <v>280</v>
      </c>
      <c r="B156" s="13">
        <f t="shared" ref="B156:L156" si="40">B46/(B78)</f>
        <v>1.0000000000000002</v>
      </c>
      <c r="C156" s="13">
        <f t="shared" si="40"/>
        <v>1.0286947827624819</v>
      </c>
      <c r="D156" s="13">
        <f t="shared" si="40"/>
        <v>1.1957239910313424</v>
      </c>
      <c r="E156" s="13">
        <f t="shared" si="40"/>
        <v>1.0109783530411514</v>
      </c>
      <c r="F156" s="13">
        <f t="shared" si="40"/>
        <v>1.0081711901944375</v>
      </c>
      <c r="G156" s="13">
        <f t="shared" si="40"/>
        <v>1.0063825922297731</v>
      </c>
      <c r="H156" s="13">
        <f t="shared" si="40"/>
        <v>1.0054680861184264</v>
      </c>
      <c r="I156" s="13">
        <f t="shared" si="40"/>
        <v>1.0040935283803591</v>
      </c>
      <c r="J156" s="13">
        <f t="shared" si="40"/>
        <v>1.0029784841973446</v>
      </c>
      <c r="K156" s="13">
        <f t="shared" si="40"/>
        <v>1.0020450625168309</v>
      </c>
      <c r="L156" s="13">
        <f t="shared" si="40"/>
        <v>1.0012534227248504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DCF Valuation</vt:lpstr>
      <vt:lpstr>Option Pricing Model</vt:lpstr>
      <vt:lpstr>Financial Statements(From Annua</vt:lpstr>
      <vt:lpstr>Estimated Default Spread(From D</vt:lpstr>
      <vt:lpstr>Growth Rates for Contingencys</vt:lpstr>
      <vt:lpstr>Adjustments to FS&amp; Calculation </vt:lpstr>
      <vt:lpstr>Adjusted and Pro Forma 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Ramanaa Thuraisingam</cp:lastModifiedBy>
  <dcterms:modified xsi:type="dcterms:W3CDTF">2022-08-15T00:12:24Z</dcterms:modified>
</cp:coreProperties>
</file>